
<file path=[Content_Types].xml><?xml version="1.0" encoding="utf-8"?>
<Types xmlns="http://schemas.openxmlformats.org/package/2006/content-types">
  <Default Extension="png" ContentType="image/png"/>
  <Default Extension="bin" ContentType="application/vnd.openxmlformats-officedocument.spreadsheetml.printerSettings"/>
  <Default Extension="svg" ContentType="image/svg+xml"/>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13.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mc:AlternateContent xmlns:mc="http://schemas.openxmlformats.org/markup-compatibility/2006">
    <mc:Choice Requires="x15">
      <x15ac:absPath xmlns:x15ac="http://schemas.microsoft.com/office/spreadsheetml/2010/11/ac" url="\\10.66.3.185\springeruserworkarea\mac009587\comp\springernature\natrevneph\1000\esm\"/>
    </mc:Choice>
  </mc:AlternateContent>
  <bookViews>
    <workbookView xWindow="0" yWindow="0" windowWidth="16875" windowHeight="7560"/>
  </bookViews>
  <sheets>
    <sheet name="Title" sheetId="1" r:id="rId1"/>
    <sheet name="Overview" sheetId="21" r:id="rId2"/>
    <sheet name="Glossary" sheetId="22" r:id="rId3"/>
    <sheet name="1.Introduction" sheetId="2" r:id="rId4"/>
    <sheet name="2.Questions" sheetId="3" r:id="rId5"/>
    <sheet name="3.Model structure" sheetId="4" r:id="rId6"/>
    <sheet name="4.Epidemiology" sheetId="5" r:id="rId7"/>
    <sheet name="5.Survival" sheetId="17" r:id="rId8"/>
    <sheet name="6.1.CostComponent" sheetId="15" r:id="rId9"/>
    <sheet name="6.2.TotalCost" sheetId="6" r:id="rId10"/>
    <sheet name="7.Outcome" sheetId="7" r:id="rId11"/>
    <sheet name="8.Discounting" sheetId="9" r:id="rId12"/>
    <sheet name="9.TotalCost&amp;Outcome" sheetId="10" r:id="rId13"/>
    <sheet name="10.FinalResults" sheetId="16" r:id="rId14"/>
    <sheet name="Appendix_11.PolicyOption1Model" sheetId="11" r:id="rId15"/>
    <sheet name="Appendix_11.PolicyOption2Model" sheetId="12" r:id="rId16"/>
    <sheet name="Survivaldata" sheetId="19" state="hidden" r:id="rId17"/>
    <sheet name="Appendix_11.PolicyOption3Model" sheetId="18" r:id="rId18"/>
  </sheets>
  <definedNames>
    <definedName name="_xleta.AND" hidden="1" xlm="1">#NAME?</definedName>
    <definedName name="Age">'4.Epidemiology'!$C$18</definedName>
    <definedName name="ageC">'5.Survival'!$C$11</definedName>
    <definedName name="cCath">'6.1.CostComponent'!$C$8</definedName>
    <definedName name="cChroHD">'6.1.CostComponent'!$C$25</definedName>
    <definedName name="cChroPD">'6.1.CostComponent'!$C$24</definedName>
    <definedName name="cComHD">'6.1.CostComponent'!$C$27</definedName>
    <definedName name="cCoMobid">'6.1.CostComponent'!$C$36</definedName>
    <definedName name="cComPD">'6.1.CostComponent'!$C$26</definedName>
    <definedName name="cDC">'8.Discounting'!$C$5</definedName>
    <definedName name="cDO">'8.Discounting'!$C$7</definedName>
    <definedName name="cErythro">'6.1.CostComponent'!$C$14</definedName>
    <definedName name="CET">'10.FinalResults'!$C$12</definedName>
    <definedName name="cHD">'6.1.CostComponent'!$C$18</definedName>
    <definedName name="cIdMDonot">'6.1.CostComponent'!$C$40</definedName>
    <definedName name="cIdMHD">'6.1.CostComponent'!$C$42</definedName>
    <definedName name="cIdMPD">'6.1.CostComponent'!$C$41</definedName>
    <definedName name="cIP">'6.1.CostComponent'!$C$31</definedName>
    <definedName name="cMedHD1">'6.2.TotalCost'!$C$12</definedName>
    <definedName name="cMedHD2">'6.2.TotalCost'!$C$14</definedName>
    <definedName name="cMedPD1">'6.2.TotalCost'!$C$8</definedName>
    <definedName name="cMedPD2">'6.2.TotalCost'!$C$10</definedName>
    <definedName name="cNonMedHD">'6.2.TotalCost'!$C$25</definedName>
    <definedName name="cNonMedPD">'6.2.TotalCost'!$C$23</definedName>
    <definedName name="cons">'5.Survival'!$C$9</definedName>
    <definedName name="cOP">'6.1.CostComponent'!$C$32</definedName>
    <definedName name="cPaliative">'6.1.CostComponent'!$C$22</definedName>
    <definedName name="cPatientHD">'6.1.CostComponent'!$C$47</definedName>
    <definedName name="cPatientPD">'6.1.CostComponent'!$C$46</definedName>
    <definedName name="cPD">'6.1.CostComponent'!$C$9</definedName>
    <definedName name="cPeritonitis">'6.1.CostComponent'!$C$21</definedName>
    <definedName name="Currency">'6.1.CostComponent'!$C$3</definedName>
    <definedName name="cVas">'6.1.CostComponent'!$C$17</definedName>
    <definedName name="dErythro">'6.1.CostComponent'!$C$15</definedName>
    <definedName name="gamma">'5.Survival'!$C$13</definedName>
    <definedName name="Invest">'6.1.CostComponent'!$C$13</definedName>
    <definedName name="lambda">'5.Survival'!$C$15</definedName>
    <definedName name="pComHD">'4.Epidemiology'!$C$11</definedName>
    <definedName name="pComPD">'4.Epidemiology'!$C$8</definedName>
    <definedName name="pDeath">'5.Survival'!$C$24</definedName>
    <definedName name="pDoNot">'4.Epidemiology'!$C$5</definedName>
    <definedName name="pHDtoPD">'4.Epidemiology'!$C$14</definedName>
    <definedName name="pPDtoHD">'4.Epidemiology'!$C$16</definedName>
    <definedName name="rER">'6.1.CostComponent'!$C$34</definedName>
    <definedName name="rIP">'6.1.CostComponent'!$C$33</definedName>
    <definedName name="rOP">'6.1.CostComponent'!$C$35</definedName>
    <definedName name="SessionHD">'6.1.CostComponent'!$C$19</definedName>
    <definedName name="SessionPD">'6.1.CostComponent'!$C$10</definedName>
    <definedName name="Set">'6.1.CostComponent'!$C$11</definedName>
    <definedName name="TotalCostHDfirst">Appendix_11.PolicyOption2Model!$I$108</definedName>
    <definedName name="TotalCostPaliative">Appendix_11.PolicyOption1Model!$F$42</definedName>
    <definedName name="TotalCostPDfirst">Appendix_11.PolicyOption3Model!$I$108</definedName>
    <definedName name="TotalLYHDfirst">Appendix_11.PolicyOption2Model!$J$108</definedName>
    <definedName name="TotalLYPaliative">Appendix_11.PolicyOption1Model!$G$42</definedName>
    <definedName name="TotalLYPDfirst">Appendix_11.PolicyOption3Model!$J$108</definedName>
    <definedName name="TotalQALYHDfirst">Appendix_11.PolicyOption2Model!$K$108</definedName>
    <definedName name="TotalQALYPaliative">Appendix_11.PolicyOption1Model!$H$42</definedName>
    <definedName name="TotalQALYPDfirst">Appendix_11.PolicyOption3Model!$K$108</definedName>
    <definedName name="uCom">'7.Outcome'!$C$9</definedName>
    <definedName name="uHD">'7.Outcome'!$C$7</definedName>
    <definedName name="uPD">'7.Outcome'!$C$5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6" i="15" l="1"/>
  <c r="C27" i="15"/>
  <c r="C26" i="15"/>
  <c r="C25" i="15"/>
  <c r="C24" i="15"/>
  <c r="C15" i="17"/>
  <c r="D23" i="16" l="1"/>
  <c r="C23" i="6"/>
  <c r="D21" i="16"/>
  <c r="D19" i="16"/>
  <c r="D12" i="16"/>
  <c r="D10" i="16"/>
  <c r="D8" i="16"/>
  <c r="D6" i="16"/>
  <c r="D10" i="10"/>
  <c r="D8" i="10"/>
  <c r="D6" i="10"/>
  <c r="C25" i="6"/>
  <c r="C21" i="6"/>
  <c r="D25" i="6"/>
  <c r="D23" i="6"/>
  <c r="D21" i="6"/>
  <c r="D14" i="6"/>
  <c r="D12" i="6"/>
  <c r="D10" i="6"/>
  <c r="D8" i="6"/>
  <c r="D6" i="6"/>
  <c r="D5" i="11" l="1"/>
  <c r="C6" i="6"/>
  <c r="C10" i="6" l="1"/>
  <c r="C14" i="6"/>
  <c r="C8" i="6"/>
  <c r="C12" i="6"/>
  <c r="A3" i="19" l="1"/>
  <c r="A4" i="19" s="1"/>
  <c r="A5" i="19" s="1"/>
  <c r="A6" i="19" s="1"/>
  <c r="A7" i="19" s="1"/>
  <c r="A8" i="19" s="1"/>
  <c r="A9" i="19" s="1"/>
  <c r="A10" i="19" s="1"/>
  <c r="A11" i="19" s="1"/>
  <c r="A12" i="19" s="1"/>
  <c r="A13" i="19" s="1"/>
  <c r="A14" i="19" s="1"/>
  <c r="A15" i="19" s="1"/>
  <c r="A16" i="19" s="1"/>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65" i="19" s="1"/>
  <c r="A66" i="19" s="1"/>
  <c r="A67" i="19" s="1"/>
  <c r="A68" i="19" s="1"/>
  <c r="A69" i="19" s="1"/>
  <c r="A70" i="19" s="1"/>
  <c r="A71" i="19" s="1"/>
  <c r="A72" i="19" s="1"/>
  <c r="A73" i="19" s="1"/>
  <c r="A74" i="19" s="1"/>
  <c r="A75" i="19" s="1"/>
  <c r="A76" i="19" s="1"/>
  <c r="A77" i="19" s="1"/>
  <c r="A78" i="19" s="1"/>
  <c r="A79"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C33" i="16"/>
  <c r="A7" i="18"/>
  <c r="B7" i="18" s="1"/>
  <c r="O6" i="18"/>
  <c r="G6" i="18"/>
  <c r="B6" i="18"/>
  <c r="O6" i="12"/>
  <c r="G6" i="12"/>
  <c r="B6" i="12"/>
  <c r="A7" i="12"/>
  <c r="A8" i="12" s="1"/>
  <c r="B40" i="11"/>
  <c r="B41" i="11"/>
  <c r="B30" i="11"/>
  <c r="B31" i="11"/>
  <c r="B32" i="11"/>
  <c r="B33" i="11"/>
  <c r="B34" i="11"/>
  <c r="B35" i="11"/>
  <c r="B36" i="11"/>
  <c r="B37" i="11"/>
  <c r="B38" i="11"/>
  <c r="B39" i="11"/>
  <c r="A7" i="11"/>
  <c r="A8" i="1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B6" i="11"/>
  <c r="B7" i="11"/>
  <c r="B8" i="11"/>
  <c r="B9" i="11"/>
  <c r="B10" i="11"/>
  <c r="B11" i="11"/>
  <c r="B12" i="11"/>
  <c r="B13" i="11"/>
  <c r="B14" i="11"/>
  <c r="B15" i="11"/>
  <c r="B16" i="11"/>
  <c r="B17" i="11"/>
  <c r="B18" i="11"/>
  <c r="B19" i="11"/>
  <c r="B20" i="11"/>
  <c r="B21" i="11"/>
  <c r="B22" i="11"/>
  <c r="B23" i="11"/>
  <c r="B24" i="11"/>
  <c r="B25" i="11"/>
  <c r="B26" i="11"/>
  <c r="B27" i="11"/>
  <c r="B28" i="11"/>
  <c r="B29" i="11"/>
  <c r="B5" i="11"/>
  <c r="C6" i="11" s="1"/>
  <c r="D6" i="11" s="1"/>
  <c r="A6" i="11"/>
  <c r="E6" i="11" l="1"/>
  <c r="A8" i="18"/>
  <c r="B8" i="18" s="1"/>
  <c r="B7" i="12"/>
  <c r="C32" i="16"/>
  <c r="C38" i="16"/>
  <c r="C37" i="16"/>
  <c r="C36" i="16"/>
  <c r="C35" i="16"/>
  <c r="C40" i="16"/>
  <c r="C39" i="16"/>
  <c r="C34" i="16"/>
  <c r="E5" i="11"/>
  <c r="C6" i="12"/>
  <c r="C7" i="12"/>
  <c r="C6" i="18"/>
  <c r="C8" i="18"/>
  <c r="C7" i="18"/>
  <c r="A9" i="18"/>
  <c r="A9" i="12"/>
  <c r="B8" i="12"/>
  <c r="C8" i="12" s="1"/>
  <c r="C7" i="11"/>
  <c r="D7" i="12" l="1"/>
  <c r="D8" i="12"/>
  <c r="D7" i="18"/>
  <c r="D6" i="18"/>
  <c r="D8" i="18"/>
  <c r="E7" i="11"/>
  <c r="D7" i="11"/>
  <c r="D6" i="12"/>
  <c r="N6" i="12" s="1"/>
  <c r="B9" i="18"/>
  <c r="C9" i="18" s="1"/>
  <c r="A10" i="18"/>
  <c r="A10" i="12"/>
  <c r="B9" i="12"/>
  <c r="C9" i="12" s="1"/>
  <c r="C8" i="11"/>
  <c r="D9" i="12" l="1"/>
  <c r="D9" i="18"/>
  <c r="E8" i="11"/>
  <c r="D8" i="11"/>
  <c r="P6" i="12"/>
  <c r="H6" i="12"/>
  <c r="F6" i="12"/>
  <c r="O7" i="12" s="1"/>
  <c r="N6" i="18"/>
  <c r="F6" i="18"/>
  <c r="F7" i="18" s="1"/>
  <c r="P6" i="18"/>
  <c r="H6" i="18"/>
  <c r="A11" i="18"/>
  <c r="B10" i="18"/>
  <c r="C10" i="18" s="1"/>
  <c r="R6" i="12"/>
  <c r="P7" i="12"/>
  <c r="N7" i="12"/>
  <c r="G7" i="12"/>
  <c r="A11" i="12"/>
  <c r="B10" i="12"/>
  <c r="C10" i="12" s="1"/>
  <c r="C9" i="11"/>
  <c r="D9" i="11" s="1"/>
  <c r="D10" i="18" l="1"/>
  <c r="D10" i="12"/>
  <c r="U6" i="12"/>
  <c r="B2" i="19" s="1"/>
  <c r="C2" i="19" s="1"/>
  <c r="H7" i="12"/>
  <c r="F7" i="12"/>
  <c r="J7" i="12" s="1"/>
  <c r="K7" i="12" s="1"/>
  <c r="J6" i="12"/>
  <c r="K6" i="12" s="1"/>
  <c r="U6" i="18"/>
  <c r="E2" i="19" s="1"/>
  <c r="F2" i="19" s="1"/>
  <c r="S6" i="12"/>
  <c r="B11" i="18"/>
  <c r="C11" i="18" s="1"/>
  <c r="D11" i="18" s="1"/>
  <c r="A12" i="18"/>
  <c r="O7" i="18"/>
  <c r="J6" i="18"/>
  <c r="G7" i="18"/>
  <c r="R6" i="18"/>
  <c r="H7" i="18"/>
  <c r="G8" i="12"/>
  <c r="R7" i="12"/>
  <c r="S7" i="12" s="1"/>
  <c r="N8" i="12"/>
  <c r="P8" i="12"/>
  <c r="N7" i="18"/>
  <c r="E9" i="11"/>
  <c r="P7" i="18"/>
  <c r="A12" i="12"/>
  <c r="B11" i="12"/>
  <c r="C11" i="12" s="1"/>
  <c r="C10" i="11"/>
  <c r="D11" i="12" l="1"/>
  <c r="E10" i="11"/>
  <c r="D10" i="11"/>
  <c r="U7" i="12"/>
  <c r="B3" i="19" s="1"/>
  <c r="C3" i="19" s="1"/>
  <c r="V6" i="12"/>
  <c r="F8" i="12"/>
  <c r="O9" i="12" s="1"/>
  <c r="O8" i="12"/>
  <c r="P9" i="12" s="1"/>
  <c r="H8" i="12"/>
  <c r="V6" i="18"/>
  <c r="U7" i="18"/>
  <c r="E3" i="19" s="1"/>
  <c r="F3" i="19" s="1"/>
  <c r="H8" i="18"/>
  <c r="G8" i="18"/>
  <c r="R7" i="18"/>
  <c r="S7" i="18" s="1"/>
  <c r="N8" i="18"/>
  <c r="P8" i="18"/>
  <c r="F8" i="18"/>
  <c r="S6" i="18"/>
  <c r="K6" i="18"/>
  <c r="O8" i="18"/>
  <c r="J7" i="18"/>
  <c r="K7" i="18" s="1"/>
  <c r="B12" i="18"/>
  <c r="C12" i="18" s="1"/>
  <c r="D12" i="18" s="1"/>
  <c r="A13" i="18"/>
  <c r="A13" i="12"/>
  <c r="B12" i="12"/>
  <c r="C12" i="12" s="1"/>
  <c r="C11" i="11"/>
  <c r="D12" i="12" l="1"/>
  <c r="E11" i="11"/>
  <c r="D11" i="11"/>
  <c r="F9" i="12"/>
  <c r="H9" i="12"/>
  <c r="J8" i="12"/>
  <c r="K8" i="12" s="1"/>
  <c r="V7" i="12"/>
  <c r="U8" i="12"/>
  <c r="B4" i="19" s="1"/>
  <c r="C4" i="19" s="1"/>
  <c r="R8" i="12"/>
  <c r="S8" i="12" s="1"/>
  <c r="N9" i="12"/>
  <c r="P10" i="12" s="1"/>
  <c r="G9" i="12"/>
  <c r="V7" i="18"/>
  <c r="U8" i="18"/>
  <c r="E4" i="19" s="1"/>
  <c r="F4" i="19" s="1"/>
  <c r="R8" i="18"/>
  <c r="S8" i="18" s="1"/>
  <c r="G9" i="18"/>
  <c r="P9" i="18"/>
  <c r="N9" i="18"/>
  <c r="B13" i="18"/>
  <c r="C13" i="18" s="1"/>
  <c r="A14" i="18"/>
  <c r="O9" i="18"/>
  <c r="J8" i="18"/>
  <c r="K8" i="18" s="1"/>
  <c r="F9" i="18"/>
  <c r="H9" i="18"/>
  <c r="A14" i="12"/>
  <c r="B13" i="12"/>
  <c r="C13" i="12" s="1"/>
  <c r="D13" i="12" s="1"/>
  <c r="C12" i="11"/>
  <c r="D13" i="18" l="1"/>
  <c r="O10" i="12"/>
  <c r="E12" i="11"/>
  <c r="D12" i="11"/>
  <c r="J9" i="12"/>
  <c r="K9" i="12" s="1"/>
  <c r="F10" i="12"/>
  <c r="U9" i="12"/>
  <c r="B5" i="19" s="1"/>
  <c r="C5" i="19" s="1"/>
  <c r="V8" i="12"/>
  <c r="G10" i="12"/>
  <c r="N10" i="12"/>
  <c r="R9" i="12"/>
  <c r="S9" i="12" s="1"/>
  <c r="H10" i="12"/>
  <c r="V8" i="18"/>
  <c r="U9" i="18"/>
  <c r="E5" i="19" s="1"/>
  <c r="F5" i="19" s="1"/>
  <c r="R9" i="18"/>
  <c r="G10" i="18"/>
  <c r="P10" i="18"/>
  <c r="N10" i="18"/>
  <c r="A15" i="18"/>
  <c r="B14" i="18"/>
  <c r="C14" i="18" s="1"/>
  <c r="O10" i="18"/>
  <c r="J9" i="18"/>
  <c r="K9" i="18" s="1"/>
  <c r="H10" i="18"/>
  <c r="F10" i="18"/>
  <c r="A15" i="12"/>
  <c r="B14" i="12"/>
  <c r="C14" i="12" s="1"/>
  <c r="C13" i="11"/>
  <c r="D14" i="12" l="1"/>
  <c r="D14" i="18"/>
  <c r="J10" i="12"/>
  <c r="K10" i="12" s="1"/>
  <c r="E13" i="11"/>
  <c r="D13" i="11"/>
  <c r="U10" i="12"/>
  <c r="B6" i="19" s="1"/>
  <c r="C6" i="19" s="1"/>
  <c r="V9" i="12"/>
  <c r="F11" i="12"/>
  <c r="R10" i="12"/>
  <c r="S10" i="12" s="1"/>
  <c r="H11" i="12"/>
  <c r="N11" i="12"/>
  <c r="P11" i="12"/>
  <c r="O11" i="12"/>
  <c r="G11" i="12"/>
  <c r="V9" i="18"/>
  <c r="U10" i="18"/>
  <c r="E6" i="19" s="1"/>
  <c r="F6" i="19" s="1"/>
  <c r="S9" i="18"/>
  <c r="B15" i="18"/>
  <c r="C15" i="18" s="1"/>
  <c r="A16" i="18"/>
  <c r="O11" i="18"/>
  <c r="J10" i="18"/>
  <c r="H11" i="18"/>
  <c r="F11" i="18"/>
  <c r="G11" i="18"/>
  <c r="R10" i="18"/>
  <c r="S10" i="18" s="1"/>
  <c r="P11" i="18"/>
  <c r="N11" i="18"/>
  <c r="A16" i="12"/>
  <c r="B15" i="12"/>
  <c r="C15" i="12" s="1"/>
  <c r="D15" i="12" s="1"/>
  <c r="C14" i="11"/>
  <c r="D15" i="18" l="1"/>
  <c r="V10" i="12"/>
  <c r="E14" i="11"/>
  <c r="D14" i="11"/>
  <c r="R11" i="12"/>
  <c r="S11" i="12" s="1"/>
  <c r="O12" i="12"/>
  <c r="P12" i="12"/>
  <c r="U11" i="12"/>
  <c r="B7" i="19" s="1"/>
  <c r="C7" i="19" s="1"/>
  <c r="J11" i="12"/>
  <c r="K11" i="12" s="1"/>
  <c r="G12" i="12"/>
  <c r="N12" i="12"/>
  <c r="F12" i="12"/>
  <c r="H12" i="12"/>
  <c r="V10" i="18"/>
  <c r="U11" i="18"/>
  <c r="E7" i="19" s="1"/>
  <c r="F7" i="19" s="1"/>
  <c r="G12" i="18"/>
  <c r="R11" i="18"/>
  <c r="P12" i="18"/>
  <c r="N12" i="18"/>
  <c r="J11" i="18"/>
  <c r="K11" i="18" s="1"/>
  <c r="O12" i="18"/>
  <c r="F12" i="18"/>
  <c r="H12" i="18"/>
  <c r="K10" i="18"/>
  <c r="B16" i="18"/>
  <c r="C16" i="18" s="1"/>
  <c r="A17" i="18"/>
  <c r="A17" i="12"/>
  <c r="B16" i="12"/>
  <c r="C16" i="12" s="1"/>
  <c r="D16" i="12" s="1"/>
  <c r="C15" i="11"/>
  <c r="D16" i="18" l="1"/>
  <c r="P13" i="12"/>
  <c r="E15" i="11"/>
  <c r="D15" i="11"/>
  <c r="V11" i="12"/>
  <c r="U12" i="12"/>
  <c r="B8" i="19" s="1"/>
  <c r="C8" i="19" s="1"/>
  <c r="O13" i="12"/>
  <c r="H13" i="12"/>
  <c r="F13" i="12"/>
  <c r="J12" i="12"/>
  <c r="K12" i="12" s="1"/>
  <c r="G13" i="12"/>
  <c r="N13" i="12"/>
  <c r="R12" i="12"/>
  <c r="S12" i="12" s="1"/>
  <c r="V11" i="18"/>
  <c r="U12" i="18"/>
  <c r="S11" i="18"/>
  <c r="O13" i="18"/>
  <c r="J12" i="18"/>
  <c r="F13" i="18"/>
  <c r="H13" i="18"/>
  <c r="B17" i="18"/>
  <c r="C17" i="18" s="1"/>
  <c r="A18" i="18"/>
  <c r="R12" i="18"/>
  <c r="S12" i="18" s="1"/>
  <c r="G13" i="18"/>
  <c r="P13" i="18"/>
  <c r="N13" i="18"/>
  <c r="A18" i="12"/>
  <c r="B17" i="12"/>
  <c r="C17" i="12" s="1"/>
  <c r="C16" i="11"/>
  <c r="D17" i="12" l="1"/>
  <c r="D17" i="18"/>
  <c r="U13" i="12"/>
  <c r="B9" i="19" s="1"/>
  <c r="C9" i="19" s="1"/>
  <c r="V12" i="12"/>
  <c r="E16" i="11"/>
  <c r="D16" i="11"/>
  <c r="R13" i="12"/>
  <c r="S13" i="12" s="1"/>
  <c r="O14" i="12"/>
  <c r="G14" i="12"/>
  <c r="H14" i="12"/>
  <c r="J13" i="12"/>
  <c r="K13" i="12" s="1"/>
  <c r="P14" i="12"/>
  <c r="F14" i="12"/>
  <c r="N14" i="12"/>
  <c r="V12" i="18"/>
  <c r="E8" i="19"/>
  <c r="F8" i="19" s="1"/>
  <c r="U13" i="18"/>
  <c r="E9" i="19" s="1"/>
  <c r="F9" i="19" s="1"/>
  <c r="A19" i="18"/>
  <c r="B18" i="18"/>
  <c r="C18" i="18" s="1"/>
  <c r="O14" i="18"/>
  <c r="J13" i="18"/>
  <c r="K13" i="18" s="1"/>
  <c r="F14" i="18"/>
  <c r="H14" i="18"/>
  <c r="K12" i="18"/>
  <c r="G14" i="18"/>
  <c r="R13" i="18"/>
  <c r="P14" i="18"/>
  <c r="N14" i="18"/>
  <c r="A19" i="12"/>
  <c r="B18" i="12"/>
  <c r="C18" i="12" s="1"/>
  <c r="C17" i="11"/>
  <c r="D17" i="11" s="1"/>
  <c r="V13" i="12" l="1"/>
  <c r="D18" i="18"/>
  <c r="D18" i="12"/>
  <c r="O15" i="12"/>
  <c r="P15" i="12"/>
  <c r="U14" i="12"/>
  <c r="B10" i="19" s="1"/>
  <c r="C10" i="19" s="1"/>
  <c r="F15" i="12"/>
  <c r="R14" i="12"/>
  <c r="S14" i="12" s="1"/>
  <c r="G15" i="12"/>
  <c r="J14" i="12"/>
  <c r="K14" i="12" s="1"/>
  <c r="N15" i="12"/>
  <c r="H15" i="12"/>
  <c r="V13" i="18"/>
  <c r="U14" i="18"/>
  <c r="E10" i="19" s="1"/>
  <c r="F10" i="19" s="1"/>
  <c r="O15" i="18"/>
  <c r="J14" i="18"/>
  <c r="K14" i="18" s="1"/>
  <c r="F15" i="18"/>
  <c r="H15" i="18"/>
  <c r="E17" i="11"/>
  <c r="G17" i="11"/>
  <c r="S13" i="18"/>
  <c r="B19" i="18"/>
  <c r="C19" i="18" s="1"/>
  <c r="D19" i="18" s="1"/>
  <c r="A20" i="18"/>
  <c r="G15" i="18"/>
  <c r="R14" i="18"/>
  <c r="S14" i="18" s="1"/>
  <c r="N15" i="18"/>
  <c r="P15" i="18"/>
  <c r="A20" i="12"/>
  <c r="B19" i="12"/>
  <c r="C19" i="12" s="1"/>
  <c r="D19" i="12" s="1"/>
  <c r="C18" i="11"/>
  <c r="R15" i="12" l="1"/>
  <c r="S15" i="12" s="1"/>
  <c r="E18" i="11"/>
  <c r="D18" i="11"/>
  <c r="O16" i="12"/>
  <c r="V14" i="12"/>
  <c r="F16" i="12"/>
  <c r="J15" i="12"/>
  <c r="K15" i="12" s="1"/>
  <c r="U15" i="12"/>
  <c r="V15" i="12" s="1"/>
  <c r="H16" i="12"/>
  <c r="P16" i="12"/>
  <c r="G16" i="12"/>
  <c r="N16" i="12"/>
  <c r="V14" i="18"/>
  <c r="U15" i="18"/>
  <c r="E11" i="19" s="1"/>
  <c r="F11" i="19" s="1"/>
  <c r="J15" i="18"/>
  <c r="K15" i="18" s="1"/>
  <c r="O16" i="18"/>
  <c r="F16" i="18"/>
  <c r="H16" i="18"/>
  <c r="G16" i="18"/>
  <c r="R15" i="18"/>
  <c r="S15" i="18" s="1"/>
  <c r="P16" i="18"/>
  <c r="N16" i="18"/>
  <c r="A21" i="18"/>
  <c r="B20" i="18"/>
  <c r="C20" i="18" s="1"/>
  <c r="H17" i="11"/>
  <c r="F17" i="11"/>
  <c r="A21" i="12"/>
  <c r="B20" i="12"/>
  <c r="C20" i="12" s="1"/>
  <c r="C19" i="11"/>
  <c r="P17" i="12" l="1"/>
  <c r="D20" i="12"/>
  <c r="D20" i="18"/>
  <c r="E19" i="11"/>
  <c r="D19" i="11"/>
  <c r="H17" i="12"/>
  <c r="U16" i="12"/>
  <c r="V16" i="12" s="1"/>
  <c r="B11" i="19"/>
  <c r="C11" i="19" s="1"/>
  <c r="F17" i="12"/>
  <c r="O17" i="12"/>
  <c r="N17" i="12"/>
  <c r="R16" i="12"/>
  <c r="S16" i="12" s="1"/>
  <c r="G17" i="12"/>
  <c r="J16" i="12"/>
  <c r="K16" i="12" s="1"/>
  <c r="V15" i="18"/>
  <c r="U16" i="18"/>
  <c r="E12" i="19" s="1"/>
  <c r="F12" i="19" s="1"/>
  <c r="A22" i="18"/>
  <c r="B21" i="18"/>
  <c r="C21" i="18" s="1"/>
  <c r="D21" i="18" s="1"/>
  <c r="R16" i="18"/>
  <c r="S16" i="18" s="1"/>
  <c r="G17" i="18"/>
  <c r="N17" i="18"/>
  <c r="P17" i="18"/>
  <c r="O17" i="18"/>
  <c r="J16" i="18"/>
  <c r="K16" i="18" s="1"/>
  <c r="F17" i="18"/>
  <c r="H17" i="18"/>
  <c r="A22" i="12"/>
  <c r="B21" i="12"/>
  <c r="C21" i="12" s="1"/>
  <c r="C20" i="11"/>
  <c r="D20" i="11" s="1"/>
  <c r="D21" i="12" l="1"/>
  <c r="B12" i="19"/>
  <c r="C12" i="19" s="1"/>
  <c r="U17" i="12"/>
  <c r="B13" i="19" s="1"/>
  <c r="C13" i="19" s="1"/>
  <c r="J17" i="12"/>
  <c r="K17" i="12" s="1"/>
  <c r="H18" i="12"/>
  <c r="R17" i="12"/>
  <c r="S17" i="12" s="1"/>
  <c r="N18" i="12"/>
  <c r="G18" i="12"/>
  <c r="F18" i="12"/>
  <c r="O18" i="12"/>
  <c r="P18" i="12"/>
  <c r="V16" i="18"/>
  <c r="U17" i="18"/>
  <c r="E13" i="19" s="1"/>
  <c r="F13" i="19" s="1"/>
  <c r="G18" i="18"/>
  <c r="R17" i="18"/>
  <c r="S17" i="18" s="1"/>
  <c r="N18" i="18"/>
  <c r="P18" i="18"/>
  <c r="O18" i="18"/>
  <c r="J17" i="18"/>
  <c r="K17" i="18" s="1"/>
  <c r="H18" i="18"/>
  <c r="F18" i="18"/>
  <c r="A23" i="18"/>
  <c r="B22" i="18"/>
  <c r="C22" i="18" s="1"/>
  <c r="D22" i="18" s="1"/>
  <c r="E20" i="11"/>
  <c r="A23" i="12"/>
  <c r="B22" i="12"/>
  <c r="C22" i="12" s="1"/>
  <c r="C21" i="11"/>
  <c r="V17" i="12" l="1"/>
  <c r="D22" i="12"/>
  <c r="U18" i="12"/>
  <c r="B14" i="19" s="1"/>
  <c r="C14" i="19" s="1"/>
  <c r="E21" i="11"/>
  <c r="D21" i="11"/>
  <c r="N19" i="12"/>
  <c r="G19" i="12"/>
  <c r="R18" i="12"/>
  <c r="S18" i="12" s="1"/>
  <c r="P19" i="12"/>
  <c r="O19" i="12"/>
  <c r="H19" i="12"/>
  <c r="F19" i="12"/>
  <c r="J18" i="12"/>
  <c r="K18" i="12" s="1"/>
  <c r="V17" i="18"/>
  <c r="U18" i="18"/>
  <c r="E14" i="19" s="1"/>
  <c r="F14" i="19" s="1"/>
  <c r="O19" i="18"/>
  <c r="J18" i="18"/>
  <c r="K18" i="18" s="1"/>
  <c r="H19" i="18"/>
  <c r="F19" i="18"/>
  <c r="G19" i="18"/>
  <c r="R18" i="18"/>
  <c r="S18" i="18" s="1"/>
  <c r="P19" i="18"/>
  <c r="N19" i="18"/>
  <c r="A24" i="18"/>
  <c r="B23" i="18"/>
  <c r="C23" i="18" s="1"/>
  <c r="D23" i="18" s="1"/>
  <c r="A24" i="12"/>
  <c r="B23" i="12"/>
  <c r="C23" i="12" s="1"/>
  <c r="C22" i="11"/>
  <c r="V18" i="12" l="1"/>
  <c r="D23" i="12"/>
  <c r="N20" i="12"/>
  <c r="J19" i="12"/>
  <c r="K19" i="12" s="1"/>
  <c r="E22" i="11"/>
  <c r="D22" i="11"/>
  <c r="U19" i="12"/>
  <c r="B15" i="19" s="1"/>
  <c r="C15" i="19" s="1"/>
  <c r="P20" i="12"/>
  <c r="R19" i="12"/>
  <c r="S19" i="12" s="1"/>
  <c r="H20" i="12"/>
  <c r="G20" i="12"/>
  <c r="O20" i="12"/>
  <c r="F20" i="12"/>
  <c r="V18" i="18"/>
  <c r="U19" i="18"/>
  <c r="G20" i="18"/>
  <c r="R19" i="18"/>
  <c r="S19" i="18" s="1"/>
  <c r="N20" i="18"/>
  <c r="P20" i="18"/>
  <c r="J19" i="18"/>
  <c r="K19" i="18" s="1"/>
  <c r="O20" i="18"/>
  <c r="H20" i="18"/>
  <c r="F20" i="18"/>
  <c r="B24" i="18"/>
  <c r="C24" i="18" s="1"/>
  <c r="A25" i="18"/>
  <c r="A25" i="12"/>
  <c r="B24" i="12"/>
  <c r="C24" i="12" s="1"/>
  <c r="C23" i="11"/>
  <c r="V19" i="12" l="1"/>
  <c r="N21" i="12"/>
  <c r="D24" i="18"/>
  <c r="D24" i="12"/>
  <c r="U20" i="12"/>
  <c r="B16" i="19" s="1"/>
  <c r="C16" i="19" s="1"/>
  <c r="E23" i="11"/>
  <c r="D23" i="11"/>
  <c r="J20" i="12"/>
  <c r="K20" i="12" s="1"/>
  <c r="P21" i="12"/>
  <c r="G21" i="12"/>
  <c r="R20" i="12"/>
  <c r="S20" i="12" s="1"/>
  <c r="F21" i="12"/>
  <c r="O21" i="12"/>
  <c r="H21" i="12"/>
  <c r="V19" i="18"/>
  <c r="E15" i="19"/>
  <c r="F15" i="19" s="1"/>
  <c r="U20" i="18"/>
  <c r="E16" i="19" s="1"/>
  <c r="F16" i="19" s="1"/>
  <c r="O21" i="18"/>
  <c r="J20" i="18"/>
  <c r="K20" i="18" s="1"/>
  <c r="H21" i="18"/>
  <c r="F21" i="18"/>
  <c r="B25" i="18"/>
  <c r="C25" i="18" s="1"/>
  <c r="A26" i="18"/>
  <c r="R20" i="18"/>
  <c r="S20" i="18" s="1"/>
  <c r="G21" i="18"/>
  <c r="P21" i="18"/>
  <c r="N21" i="18"/>
  <c r="A26" i="12"/>
  <c r="B25" i="12"/>
  <c r="C25" i="12" s="1"/>
  <c r="C24" i="11"/>
  <c r="P22" i="12" l="1"/>
  <c r="V20" i="12"/>
  <c r="D25" i="12"/>
  <c r="D25" i="18"/>
  <c r="U21" i="12"/>
  <c r="B17" i="19" s="1"/>
  <c r="C17" i="19" s="1"/>
  <c r="E24" i="11"/>
  <c r="D24" i="11"/>
  <c r="H22" i="12"/>
  <c r="G22" i="12"/>
  <c r="N22" i="12"/>
  <c r="R21" i="12"/>
  <c r="S21" i="12" s="1"/>
  <c r="J21" i="12"/>
  <c r="K21" i="12" s="1"/>
  <c r="F22" i="12"/>
  <c r="O22" i="12"/>
  <c r="V20" i="18"/>
  <c r="U21" i="18"/>
  <c r="E17" i="19" s="1"/>
  <c r="F17" i="19" s="1"/>
  <c r="A27" i="18"/>
  <c r="B26" i="18"/>
  <c r="C26" i="18" s="1"/>
  <c r="G22" i="18"/>
  <c r="R21" i="18"/>
  <c r="S21" i="18" s="1"/>
  <c r="N22" i="18"/>
  <c r="P22" i="18"/>
  <c r="O22" i="18"/>
  <c r="J21" i="18"/>
  <c r="K21" i="18" s="1"/>
  <c r="H22" i="18"/>
  <c r="F22" i="18"/>
  <c r="A27" i="12"/>
  <c r="B26" i="12"/>
  <c r="C26" i="12" s="1"/>
  <c r="D26" i="12" s="1"/>
  <c r="C25" i="11"/>
  <c r="V21" i="12" l="1"/>
  <c r="U22" i="12"/>
  <c r="B18" i="19" s="1"/>
  <c r="C18" i="19" s="1"/>
  <c r="D26" i="18"/>
  <c r="P23" i="12"/>
  <c r="E25" i="11"/>
  <c r="D25" i="11"/>
  <c r="O23" i="12"/>
  <c r="R22" i="12"/>
  <c r="S22" i="12" s="1"/>
  <c r="F23" i="12"/>
  <c r="J22" i="12"/>
  <c r="K22" i="12" s="1"/>
  <c r="H23" i="12"/>
  <c r="N23" i="12"/>
  <c r="G23" i="12"/>
  <c r="V21" i="18"/>
  <c r="U22" i="18"/>
  <c r="E18" i="19" s="1"/>
  <c r="F18" i="19" s="1"/>
  <c r="G23" i="18"/>
  <c r="R22" i="18"/>
  <c r="S22" i="18" s="1"/>
  <c r="N23" i="18"/>
  <c r="P23" i="18"/>
  <c r="J22" i="18"/>
  <c r="K22" i="18" s="1"/>
  <c r="O23" i="18"/>
  <c r="H23" i="18"/>
  <c r="F23" i="18"/>
  <c r="A28" i="18"/>
  <c r="B27" i="18"/>
  <c r="C27" i="18" s="1"/>
  <c r="D27" i="18" s="1"/>
  <c r="A28" i="12"/>
  <c r="B27" i="12"/>
  <c r="C27" i="12" s="1"/>
  <c r="C26" i="11"/>
  <c r="V22" i="12" l="1"/>
  <c r="U23" i="12"/>
  <c r="B19" i="19" s="1"/>
  <c r="C19" i="19" s="1"/>
  <c r="D27" i="12"/>
  <c r="G24" i="12"/>
  <c r="E26" i="11"/>
  <c r="D26" i="11"/>
  <c r="O24" i="12"/>
  <c r="R23" i="12"/>
  <c r="S23" i="12" s="1"/>
  <c r="F24" i="12"/>
  <c r="H24" i="12"/>
  <c r="N24" i="12"/>
  <c r="P24" i="12"/>
  <c r="J23" i="12"/>
  <c r="K23" i="12" s="1"/>
  <c r="V22" i="18"/>
  <c r="U23" i="18"/>
  <c r="E19" i="19" s="1"/>
  <c r="F19" i="19" s="1"/>
  <c r="A29" i="18"/>
  <c r="B28" i="18"/>
  <c r="C28" i="18" s="1"/>
  <c r="G24" i="18"/>
  <c r="R23" i="18"/>
  <c r="S23" i="18" s="1"/>
  <c r="P24" i="18"/>
  <c r="N24" i="18"/>
  <c r="J23" i="18"/>
  <c r="K23" i="18" s="1"/>
  <c r="O24" i="18"/>
  <c r="F24" i="18"/>
  <c r="H24" i="18"/>
  <c r="A29" i="12"/>
  <c r="B28" i="12"/>
  <c r="C28" i="12" s="1"/>
  <c r="C27" i="11"/>
  <c r="V23" i="12" l="1"/>
  <c r="P25" i="12"/>
  <c r="D28" i="18"/>
  <c r="H25" i="12"/>
  <c r="D28" i="12"/>
  <c r="F25" i="12"/>
  <c r="E27" i="11"/>
  <c r="D27" i="11"/>
  <c r="O25" i="12"/>
  <c r="J24" i="12"/>
  <c r="K24" i="12" s="1"/>
  <c r="U24" i="12"/>
  <c r="V24" i="12" s="1"/>
  <c r="N25" i="12"/>
  <c r="G25" i="12"/>
  <c r="R24" i="12"/>
  <c r="S24" i="12" s="1"/>
  <c r="V23" i="18"/>
  <c r="U24" i="18"/>
  <c r="E20" i="19" s="1"/>
  <c r="F20" i="19" s="1"/>
  <c r="A30" i="18"/>
  <c r="B29" i="18"/>
  <c r="C29" i="18" s="1"/>
  <c r="D29" i="18" s="1"/>
  <c r="R24" i="18"/>
  <c r="S24" i="18" s="1"/>
  <c r="G25" i="18"/>
  <c r="P25" i="18"/>
  <c r="N25" i="18"/>
  <c r="O25" i="18"/>
  <c r="J24" i="18"/>
  <c r="K24" i="18" s="1"/>
  <c r="F25" i="18"/>
  <c r="H25" i="18"/>
  <c r="A30" i="12"/>
  <c r="B29" i="12"/>
  <c r="C29" i="12" s="1"/>
  <c r="D29" i="12" s="1"/>
  <c r="C28" i="11"/>
  <c r="H26" i="12" l="1"/>
  <c r="R25" i="12"/>
  <c r="S25" i="12" s="1"/>
  <c r="B20" i="19"/>
  <c r="C20" i="19" s="1"/>
  <c r="G26" i="12"/>
  <c r="E28" i="11"/>
  <c r="D28" i="11"/>
  <c r="F26" i="12"/>
  <c r="O26" i="12"/>
  <c r="U25" i="12"/>
  <c r="B21" i="19" s="1"/>
  <c r="C21" i="19" s="1"/>
  <c r="N26" i="12"/>
  <c r="J25" i="12"/>
  <c r="K25" i="12" s="1"/>
  <c r="P26" i="12"/>
  <c r="V24" i="18"/>
  <c r="U25" i="18"/>
  <c r="E21" i="19" s="1"/>
  <c r="F21" i="19" s="1"/>
  <c r="O26" i="18"/>
  <c r="J25" i="18"/>
  <c r="K25" i="18" s="1"/>
  <c r="H26" i="18"/>
  <c r="F26" i="18"/>
  <c r="A31" i="18"/>
  <c r="B30" i="18"/>
  <c r="C30" i="18" s="1"/>
  <c r="R25" i="18"/>
  <c r="S25" i="18" s="1"/>
  <c r="G26" i="18"/>
  <c r="N26" i="18"/>
  <c r="P26" i="18"/>
  <c r="A31" i="12"/>
  <c r="B30" i="12"/>
  <c r="C30" i="12" s="1"/>
  <c r="C29" i="11"/>
  <c r="D29" i="11" s="1"/>
  <c r="D30" i="18" l="1"/>
  <c r="D30" i="12"/>
  <c r="H27" i="12"/>
  <c r="F27" i="12"/>
  <c r="V25" i="12"/>
  <c r="O27" i="12"/>
  <c r="J26" i="12"/>
  <c r="K26" i="12" s="1"/>
  <c r="P27" i="12"/>
  <c r="U26" i="12"/>
  <c r="B22" i="19" s="1"/>
  <c r="C22" i="19" s="1"/>
  <c r="G27" i="12"/>
  <c r="R26" i="12"/>
  <c r="S26" i="12" s="1"/>
  <c r="N27" i="12"/>
  <c r="V25" i="18"/>
  <c r="U26" i="18"/>
  <c r="E22" i="19" s="1"/>
  <c r="F22" i="19" s="1"/>
  <c r="R26" i="18"/>
  <c r="S26" i="18" s="1"/>
  <c r="G27" i="18"/>
  <c r="P27" i="18"/>
  <c r="N27" i="18"/>
  <c r="O27" i="18"/>
  <c r="J26" i="18"/>
  <c r="K26" i="18" s="1"/>
  <c r="H27" i="18"/>
  <c r="F27" i="18"/>
  <c r="C30" i="11"/>
  <c r="D30" i="11" s="1"/>
  <c r="E29" i="11"/>
  <c r="G29" i="11"/>
  <c r="B31" i="18"/>
  <c r="C31" i="18" s="1"/>
  <c r="A32" i="18"/>
  <c r="A32" i="12"/>
  <c r="B31" i="12"/>
  <c r="C31" i="12" s="1"/>
  <c r="J27" i="12" l="1"/>
  <c r="K27" i="12" s="1"/>
  <c r="P28" i="12"/>
  <c r="G28" i="12"/>
  <c r="F28" i="12"/>
  <c r="R27" i="12"/>
  <c r="S27" i="12" s="1"/>
  <c r="U27" i="12"/>
  <c r="B23" i="19" s="1"/>
  <c r="C23" i="19" s="1"/>
  <c r="D31" i="12"/>
  <c r="D31" i="18"/>
  <c r="O28" i="12"/>
  <c r="H28" i="12"/>
  <c r="N28" i="12"/>
  <c r="V26" i="12"/>
  <c r="F29" i="11"/>
  <c r="V26" i="18"/>
  <c r="U27" i="18"/>
  <c r="E23" i="19" s="1"/>
  <c r="F23" i="19" s="1"/>
  <c r="J27" i="18"/>
  <c r="K27" i="18" s="1"/>
  <c r="O28" i="18"/>
  <c r="H28" i="18"/>
  <c r="F28" i="18"/>
  <c r="H29" i="11"/>
  <c r="C31" i="11"/>
  <c r="D31" i="11" s="1"/>
  <c r="E30" i="11"/>
  <c r="G28" i="18"/>
  <c r="R27" i="18"/>
  <c r="S27" i="18" s="1"/>
  <c r="P28" i="18"/>
  <c r="N28" i="18"/>
  <c r="B32" i="18"/>
  <c r="C32" i="18" s="1"/>
  <c r="D32" i="18" s="1"/>
  <c r="A33" i="18"/>
  <c r="A33" i="12"/>
  <c r="B32" i="12"/>
  <c r="C32" i="12" s="1"/>
  <c r="H29" i="12" l="1"/>
  <c r="J28" i="12"/>
  <c r="K28" i="12" s="1"/>
  <c r="O29" i="12"/>
  <c r="F29" i="12"/>
  <c r="P29" i="12"/>
  <c r="V27" i="12"/>
  <c r="G29" i="12"/>
  <c r="D32" i="12"/>
  <c r="R28" i="12"/>
  <c r="S28" i="12" s="1"/>
  <c r="U28" i="12"/>
  <c r="B24" i="19" s="1"/>
  <c r="C24" i="19" s="1"/>
  <c r="N29" i="12"/>
  <c r="V27" i="18"/>
  <c r="U28" i="18"/>
  <c r="E24" i="19" s="1"/>
  <c r="F24" i="19" s="1"/>
  <c r="C32" i="11"/>
  <c r="D32" i="11" s="1"/>
  <c r="E31" i="11"/>
  <c r="J28" i="18"/>
  <c r="K28" i="18" s="1"/>
  <c r="O29" i="18"/>
  <c r="F29" i="18"/>
  <c r="H29" i="18"/>
  <c r="B33" i="18"/>
  <c r="C33" i="18" s="1"/>
  <c r="D33" i="18" s="1"/>
  <c r="A34" i="18"/>
  <c r="R28" i="18"/>
  <c r="S28" i="18" s="1"/>
  <c r="G29" i="18"/>
  <c r="P29" i="18"/>
  <c r="N29" i="18"/>
  <c r="A34" i="12"/>
  <c r="B33" i="12"/>
  <c r="C33" i="12" s="1"/>
  <c r="D33" i="12" s="1"/>
  <c r="P30" i="12" l="1"/>
  <c r="J29" i="12"/>
  <c r="K29" i="12" s="1"/>
  <c r="O30" i="12"/>
  <c r="F30" i="12"/>
  <c r="H30" i="12"/>
  <c r="U29" i="12"/>
  <c r="V29" i="12" s="1"/>
  <c r="R29" i="12"/>
  <c r="S29" i="12" s="1"/>
  <c r="N30" i="12"/>
  <c r="G31" i="12" s="1"/>
  <c r="G30" i="12"/>
  <c r="V28" i="12"/>
  <c r="V28" i="18"/>
  <c r="U29" i="18"/>
  <c r="E25" i="19" s="1"/>
  <c r="F25" i="19" s="1"/>
  <c r="J29" i="18"/>
  <c r="K29" i="18" s="1"/>
  <c r="O30" i="18"/>
  <c r="H30" i="18"/>
  <c r="F30" i="18"/>
  <c r="A35" i="18"/>
  <c r="B34" i="18"/>
  <c r="C34" i="18" s="1"/>
  <c r="G30" i="18"/>
  <c r="R29" i="18"/>
  <c r="S29" i="18" s="1"/>
  <c r="N30" i="18"/>
  <c r="P30" i="18"/>
  <c r="C33" i="11"/>
  <c r="D33" i="11" s="1"/>
  <c r="E32" i="11"/>
  <c r="A35" i="12"/>
  <c r="B34" i="12"/>
  <c r="C34" i="12" s="1"/>
  <c r="D34" i="12" s="1"/>
  <c r="H31" i="12" l="1"/>
  <c r="B25" i="19"/>
  <c r="C25" i="19" s="1"/>
  <c r="U30" i="12"/>
  <c r="B26" i="19" s="1"/>
  <c r="C26" i="19" s="1"/>
  <c r="R30" i="12"/>
  <c r="S30" i="12" s="1"/>
  <c r="N31" i="12"/>
  <c r="F31" i="12"/>
  <c r="J31" i="12" s="1"/>
  <c r="K31" i="12" s="1"/>
  <c r="P31" i="12"/>
  <c r="O31" i="12"/>
  <c r="J30" i="12"/>
  <c r="K30" i="12" s="1"/>
  <c r="D34" i="18"/>
  <c r="V29" i="18"/>
  <c r="U30" i="18"/>
  <c r="E26" i="19" s="1"/>
  <c r="F26" i="19" s="1"/>
  <c r="B35" i="18"/>
  <c r="C35" i="18" s="1"/>
  <c r="A36" i="18"/>
  <c r="C34" i="11"/>
  <c r="D34" i="11" s="1"/>
  <c r="E33" i="11"/>
  <c r="J30" i="18"/>
  <c r="K30" i="18" s="1"/>
  <c r="O31" i="18"/>
  <c r="F31" i="18"/>
  <c r="H31" i="18"/>
  <c r="R30" i="18"/>
  <c r="S30" i="18" s="1"/>
  <c r="G31" i="18"/>
  <c r="P31" i="18"/>
  <c r="N31" i="18"/>
  <c r="A36" i="12"/>
  <c r="B35" i="12"/>
  <c r="C35" i="12" s="1"/>
  <c r="U31" i="12" l="1"/>
  <c r="V31" i="12" s="1"/>
  <c r="V30" i="12"/>
  <c r="P32" i="12"/>
  <c r="F32" i="12"/>
  <c r="H32" i="12"/>
  <c r="N32" i="12"/>
  <c r="O32" i="12"/>
  <c r="G32" i="12"/>
  <c r="R31" i="12"/>
  <c r="S31" i="12" s="1"/>
  <c r="D35" i="18"/>
  <c r="D35" i="12"/>
  <c r="V30" i="18"/>
  <c r="B27" i="19"/>
  <c r="C27" i="19" s="1"/>
  <c r="U31" i="18"/>
  <c r="E27" i="19" s="1"/>
  <c r="F27" i="19" s="1"/>
  <c r="J31" i="18"/>
  <c r="K31" i="18" s="1"/>
  <c r="O32" i="18"/>
  <c r="H32" i="18"/>
  <c r="F32" i="18"/>
  <c r="G32" i="18"/>
  <c r="R31" i="18"/>
  <c r="S31" i="18" s="1"/>
  <c r="N32" i="18"/>
  <c r="P32" i="18"/>
  <c r="C35" i="11"/>
  <c r="D35" i="11" s="1"/>
  <c r="E34" i="11"/>
  <c r="B36" i="18"/>
  <c r="C36" i="18" s="1"/>
  <c r="A37" i="18"/>
  <c r="A37" i="12"/>
  <c r="B36" i="12"/>
  <c r="C36" i="12" s="1"/>
  <c r="U32" i="12" l="1"/>
  <c r="B28" i="19" s="1"/>
  <c r="C28" i="19" s="1"/>
  <c r="H33" i="12"/>
  <c r="R32" i="12"/>
  <c r="S32" i="12" s="1"/>
  <c r="N33" i="12"/>
  <c r="P33" i="12"/>
  <c r="G33" i="12"/>
  <c r="J32" i="12"/>
  <c r="K32" i="12" s="1"/>
  <c r="O33" i="12"/>
  <c r="F33" i="12"/>
  <c r="D36" i="12"/>
  <c r="D36" i="18"/>
  <c r="V31" i="18"/>
  <c r="U32" i="18"/>
  <c r="E35" i="11"/>
  <c r="C36" i="11"/>
  <c r="D36" i="11" s="1"/>
  <c r="O33" i="18"/>
  <c r="J32" i="18"/>
  <c r="K32" i="18" s="1"/>
  <c r="H33" i="18"/>
  <c r="F33" i="18"/>
  <c r="R32" i="18"/>
  <c r="S32" i="18" s="1"/>
  <c r="G33" i="18"/>
  <c r="P33" i="18"/>
  <c r="N33" i="18"/>
  <c r="B37" i="18"/>
  <c r="C37" i="18" s="1"/>
  <c r="A38" i="18"/>
  <c r="A38" i="12"/>
  <c r="B37" i="12"/>
  <c r="C37" i="12" s="1"/>
  <c r="U33" i="12" l="1"/>
  <c r="B29" i="19" s="1"/>
  <c r="C29" i="19" s="1"/>
  <c r="V32" i="12"/>
  <c r="R33" i="12"/>
  <c r="S33" i="12" s="1"/>
  <c r="F34" i="12"/>
  <c r="N34" i="12"/>
  <c r="O34" i="12"/>
  <c r="P34" i="12"/>
  <c r="H34" i="12"/>
  <c r="G34" i="12"/>
  <c r="J33" i="12"/>
  <c r="K33" i="12" s="1"/>
  <c r="D37" i="18"/>
  <c r="D37" i="12"/>
  <c r="V32" i="18"/>
  <c r="E28" i="19"/>
  <c r="F28" i="19" s="1"/>
  <c r="U33" i="18"/>
  <c r="E29" i="19" s="1"/>
  <c r="F29" i="19" s="1"/>
  <c r="O34" i="18"/>
  <c r="J33" i="18"/>
  <c r="K33" i="18" s="1"/>
  <c r="H34" i="18"/>
  <c r="F34" i="18"/>
  <c r="A39" i="18"/>
  <c r="B38" i="18"/>
  <c r="C38" i="18" s="1"/>
  <c r="R33" i="18"/>
  <c r="S33" i="18" s="1"/>
  <c r="G34" i="18"/>
  <c r="N34" i="18"/>
  <c r="P34" i="18"/>
  <c r="C37" i="11"/>
  <c r="D37" i="11" s="1"/>
  <c r="E36" i="11"/>
  <c r="A39" i="12"/>
  <c r="B38" i="12"/>
  <c r="C38" i="12" s="1"/>
  <c r="V33" i="12" l="1"/>
  <c r="P35" i="12"/>
  <c r="F35" i="12"/>
  <c r="R34" i="12"/>
  <c r="S34" i="12" s="1"/>
  <c r="N35" i="12"/>
  <c r="G35" i="12"/>
  <c r="U34" i="12"/>
  <c r="B30" i="19" s="1"/>
  <c r="C30" i="19" s="1"/>
  <c r="H35" i="12"/>
  <c r="O35" i="12"/>
  <c r="J34" i="12"/>
  <c r="K34" i="12" s="1"/>
  <c r="D38" i="18"/>
  <c r="D38" i="12"/>
  <c r="V33" i="18"/>
  <c r="U34" i="18"/>
  <c r="E30" i="19" s="1"/>
  <c r="F30" i="19" s="1"/>
  <c r="C38" i="11"/>
  <c r="D38" i="11" s="1"/>
  <c r="E37" i="11"/>
  <c r="O35" i="18"/>
  <c r="J34" i="18"/>
  <c r="K34" i="18" s="1"/>
  <c r="F35" i="18"/>
  <c r="H35" i="18"/>
  <c r="B39" i="18"/>
  <c r="C39" i="18" s="1"/>
  <c r="A40" i="18"/>
  <c r="R34" i="18"/>
  <c r="S34" i="18" s="1"/>
  <c r="G35" i="18"/>
  <c r="N35" i="18"/>
  <c r="P35" i="18"/>
  <c r="A40" i="12"/>
  <c r="B39" i="12"/>
  <c r="C39" i="12" s="1"/>
  <c r="P36" i="12" l="1"/>
  <c r="O36" i="12"/>
  <c r="H36" i="12"/>
  <c r="F36" i="12"/>
  <c r="J35" i="12"/>
  <c r="K35" i="12" s="1"/>
  <c r="U35" i="12"/>
  <c r="B31" i="19" s="1"/>
  <c r="C31" i="19" s="1"/>
  <c r="R35" i="12"/>
  <c r="S35" i="12" s="1"/>
  <c r="V34" i="12"/>
  <c r="N36" i="12"/>
  <c r="G36" i="12"/>
  <c r="D39" i="12"/>
  <c r="D39" i="18"/>
  <c r="V34" i="18"/>
  <c r="U35" i="18"/>
  <c r="E31" i="19" s="1"/>
  <c r="F31" i="19" s="1"/>
  <c r="E38" i="11"/>
  <c r="C39" i="11"/>
  <c r="D39" i="11" s="1"/>
  <c r="J35" i="18"/>
  <c r="K35" i="18" s="1"/>
  <c r="O36" i="18"/>
  <c r="H36" i="18"/>
  <c r="F36" i="18"/>
  <c r="R35" i="18"/>
  <c r="S35" i="18" s="1"/>
  <c r="G36" i="18"/>
  <c r="N36" i="18"/>
  <c r="P36" i="18"/>
  <c r="A41" i="18"/>
  <c r="B40" i="18"/>
  <c r="C40" i="18" s="1"/>
  <c r="A41" i="12"/>
  <c r="B40" i="12"/>
  <c r="C40" i="12" s="1"/>
  <c r="P37" i="12" l="1"/>
  <c r="J36" i="12"/>
  <c r="K36" i="12" s="1"/>
  <c r="U36" i="12"/>
  <c r="B32" i="19" s="1"/>
  <c r="C32" i="19" s="1"/>
  <c r="V35" i="12"/>
  <c r="G37" i="12"/>
  <c r="N37" i="12"/>
  <c r="R36" i="12"/>
  <c r="S36" i="12" s="1"/>
  <c r="F37" i="12"/>
  <c r="H37" i="12"/>
  <c r="O37" i="12"/>
  <c r="D40" i="18"/>
  <c r="D40" i="12"/>
  <c r="V35" i="18"/>
  <c r="U36" i="18"/>
  <c r="E32" i="19" s="1"/>
  <c r="F32" i="19" s="1"/>
  <c r="A42" i="18"/>
  <c r="B41" i="18"/>
  <c r="C41" i="18" s="1"/>
  <c r="R36" i="18"/>
  <c r="S36" i="18" s="1"/>
  <c r="G37" i="18"/>
  <c r="P37" i="18"/>
  <c r="N37" i="18"/>
  <c r="O37" i="18"/>
  <c r="J36" i="18"/>
  <c r="K36" i="18" s="1"/>
  <c r="F37" i="18"/>
  <c r="H37" i="18"/>
  <c r="C40" i="11"/>
  <c r="D40" i="11" s="1"/>
  <c r="E39" i="11"/>
  <c r="B41" i="12"/>
  <c r="C41" i="12" s="1"/>
  <c r="A42" i="12"/>
  <c r="V36" i="12" l="1"/>
  <c r="U37" i="12"/>
  <c r="B33" i="19" s="1"/>
  <c r="C33" i="19" s="1"/>
  <c r="F38" i="12"/>
  <c r="J37" i="12"/>
  <c r="K37" i="12" s="1"/>
  <c r="H38" i="12"/>
  <c r="G38" i="12"/>
  <c r="O38" i="12"/>
  <c r="R37" i="12"/>
  <c r="S37" i="12" s="1"/>
  <c r="N38" i="12"/>
  <c r="P38" i="12"/>
  <c r="D41" i="18"/>
  <c r="D41" i="12"/>
  <c r="V37" i="12"/>
  <c r="V36" i="18"/>
  <c r="U37" i="18"/>
  <c r="E33" i="19" s="1"/>
  <c r="F33" i="19" s="1"/>
  <c r="C41" i="11"/>
  <c r="D41" i="11" s="1"/>
  <c r="E40" i="11"/>
  <c r="O38" i="18"/>
  <c r="J37" i="18"/>
  <c r="K37" i="18" s="1"/>
  <c r="H38" i="18"/>
  <c r="F38" i="18"/>
  <c r="A43" i="18"/>
  <c r="B42" i="18"/>
  <c r="C42" i="18" s="1"/>
  <c r="R37" i="18"/>
  <c r="S37" i="18" s="1"/>
  <c r="G38" i="18"/>
  <c r="P38" i="18"/>
  <c r="N38" i="18"/>
  <c r="A43" i="12"/>
  <c r="B42" i="12"/>
  <c r="C42" i="12" s="1"/>
  <c r="H39" i="12" l="1"/>
  <c r="U38" i="12"/>
  <c r="B34" i="19" s="1"/>
  <c r="C34" i="19" s="1"/>
  <c r="J38" i="12"/>
  <c r="K38" i="12" s="1"/>
  <c r="F39" i="12"/>
  <c r="R38" i="12"/>
  <c r="S38" i="12" s="1"/>
  <c r="P39" i="12"/>
  <c r="U39" i="12" s="1"/>
  <c r="B35" i="19" s="1"/>
  <c r="C35" i="19" s="1"/>
  <c r="O39" i="12"/>
  <c r="N39" i="12"/>
  <c r="G39" i="12"/>
  <c r="D42" i="12"/>
  <c r="D42" i="18"/>
  <c r="V38" i="12"/>
  <c r="V37" i="18"/>
  <c r="U38" i="18"/>
  <c r="E34" i="19" s="1"/>
  <c r="F34" i="19" s="1"/>
  <c r="B43" i="18"/>
  <c r="C43" i="18" s="1"/>
  <c r="A44" i="18"/>
  <c r="O39" i="18"/>
  <c r="J38" i="18"/>
  <c r="K38" i="18" s="1"/>
  <c r="F39" i="18"/>
  <c r="H39" i="18"/>
  <c r="E41" i="11"/>
  <c r="G41" i="11"/>
  <c r="G39" i="18"/>
  <c r="R38" i="18"/>
  <c r="S38" i="18" s="1"/>
  <c r="P39" i="18"/>
  <c r="N39" i="18"/>
  <c r="A44" i="12"/>
  <c r="B43" i="12"/>
  <c r="C43" i="12" s="1"/>
  <c r="H40" i="12" l="1"/>
  <c r="G40" i="12"/>
  <c r="P40" i="12"/>
  <c r="R39" i="12"/>
  <c r="S39" i="12" s="1"/>
  <c r="N40" i="12"/>
  <c r="J39" i="12"/>
  <c r="K39" i="12" s="1"/>
  <c r="O40" i="12"/>
  <c r="F40" i="12"/>
  <c r="D43" i="18"/>
  <c r="D43" i="12"/>
  <c r="V39" i="12"/>
  <c r="V38" i="18"/>
  <c r="U39" i="18"/>
  <c r="E35" i="19" s="1"/>
  <c r="F35" i="19" s="1"/>
  <c r="F41" i="11"/>
  <c r="F42" i="11" s="1"/>
  <c r="C10" i="10" s="1"/>
  <c r="B44" i="18"/>
  <c r="C44" i="18" s="1"/>
  <c r="A45" i="18"/>
  <c r="J39" i="18"/>
  <c r="K39" i="18" s="1"/>
  <c r="O40" i="18"/>
  <c r="F40" i="18"/>
  <c r="H40" i="18"/>
  <c r="R39" i="18"/>
  <c r="S39" i="18" s="1"/>
  <c r="G40" i="18"/>
  <c r="N40" i="18"/>
  <c r="P40" i="18"/>
  <c r="H41" i="11"/>
  <c r="H42" i="11" s="1"/>
  <c r="C45" i="10" s="1"/>
  <c r="G42" i="11"/>
  <c r="C28" i="10" s="1"/>
  <c r="A45" i="12"/>
  <c r="B44" i="12"/>
  <c r="C44" i="12" s="1"/>
  <c r="U40" i="12" l="1"/>
  <c r="B36" i="19" s="1"/>
  <c r="C36" i="19" s="1"/>
  <c r="F41" i="12"/>
  <c r="G41" i="12"/>
  <c r="O41" i="12"/>
  <c r="H41" i="12"/>
  <c r="R40" i="12"/>
  <c r="S40" i="12" s="1"/>
  <c r="P41" i="12"/>
  <c r="N41" i="12"/>
  <c r="J40" i="12"/>
  <c r="K40" i="12" s="1"/>
  <c r="D44" i="18"/>
  <c r="D44" i="12"/>
  <c r="V39" i="18"/>
  <c r="U40" i="18"/>
  <c r="E36" i="19" s="1"/>
  <c r="F36" i="19" s="1"/>
  <c r="B45" i="18"/>
  <c r="C45" i="18" s="1"/>
  <c r="A46" i="18"/>
  <c r="R40" i="18"/>
  <c r="S40" i="18" s="1"/>
  <c r="G41" i="18"/>
  <c r="P41" i="18"/>
  <c r="N41" i="18"/>
  <c r="O41" i="18"/>
  <c r="J40" i="18"/>
  <c r="K40" i="18" s="1"/>
  <c r="F41" i="18"/>
  <c r="H41" i="18"/>
  <c r="A46" i="12"/>
  <c r="B45" i="12"/>
  <c r="C45" i="12" s="1"/>
  <c r="P42" i="12" l="1"/>
  <c r="V40" i="12"/>
  <c r="H42" i="12"/>
  <c r="O42" i="12"/>
  <c r="F42" i="12"/>
  <c r="J41" i="12"/>
  <c r="K41" i="12" s="1"/>
  <c r="U41" i="12"/>
  <c r="B37" i="19" s="1"/>
  <c r="C37" i="19" s="1"/>
  <c r="G42" i="12"/>
  <c r="R41" i="12"/>
  <c r="S41" i="12" s="1"/>
  <c r="N42" i="12"/>
  <c r="D45" i="18"/>
  <c r="D45" i="12"/>
  <c r="V40" i="18"/>
  <c r="U41" i="18"/>
  <c r="E37" i="19" s="1"/>
  <c r="F37" i="19" s="1"/>
  <c r="A47" i="18"/>
  <c r="B46" i="18"/>
  <c r="C46" i="18" s="1"/>
  <c r="R41" i="18"/>
  <c r="S41" i="18" s="1"/>
  <c r="G42" i="18"/>
  <c r="N42" i="18"/>
  <c r="P42" i="18"/>
  <c r="O42" i="18"/>
  <c r="J41" i="18"/>
  <c r="K41" i="18" s="1"/>
  <c r="F42" i="18"/>
  <c r="H42" i="18"/>
  <c r="A47" i="12"/>
  <c r="B46" i="12"/>
  <c r="C46" i="12" s="1"/>
  <c r="D46" i="12" s="1"/>
  <c r="H43" i="12" l="1"/>
  <c r="O43" i="12"/>
  <c r="F43" i="12"/>
  <c r="J42" i="12"/>
  <c r="K42" i="12" s="1"/>
  <c r="R42" i="12"/>
  <c r="S42" i="12" s="1"/>
  <c r="U42" i="12"/>
  <c r="B38" i="19" s="1"/>
  <c r="C38" i="19" s="1"/>
  <c r="V41" i="12"/>
  <c r="N43" i="12"/>
  <c r="G44" i="12" s="1"/>
  <c r="G43" i="12"/>
  <c r="P43" i="12"/>
  <c r="D46" i="18"/>
  <c r="V41" i="18"/>
  <c r="U42" i="18"/>
  <c r="E38" i="19" s="1"/>
  <c r="F38" i="19" s="1"/>
  <c r="R42" i="18"/>
  <c r="S42" i="18" s="1"/>
  <c r="G43" i="18"/>
  <c r="P43" i="18"/>
  <c r="N43" i="18"/>
  <c r="O43" i="18"/>
  <c r="J42" i="18"/>
  <c r="K42" i="18" s="1"/>
  <c r="F43" i="18"/>
  <c r="H43" i="18"/>
  <c r="B47" i="18"/>
  <c r="C47" i="18" s="1"/>
  <c r="A48" i="18"/>
  <c r="A48" i="12"/>
  <c r="B47" i="12"/>
  <c r="C47" i="12" s="1"/>
  <c r="D47" i="12" s="1"/>
  <c r="H44" i="12" l="1"/>
  <c r="R43" i="12"/>
  <c r="S43" i="12" s="1"/>
  <c r="V42" i="12"/>
  <c r="P44" i="12"/>
  <c r="U43" i="12"/>
  <c r="B39" i="19" s="1"/>
  <c r="C39" i="19" s="1"/>
  <c r="N44" i="12"/>
  <c r="G45" i="12" s="1"/>
  <c r="F44" i="12"/>
  <c r="H45" i="12" s="1"/>
  <c r="J43" i="12"/>
  <c r="K43" i="12" s="1"/>
  <c r="O44" i="12"/>
  <c r="D47" i="18"/>
  <c r="U43" i="18"/>
  <c r="E39" i="19" s="1"/>
  <c r="F39" i="19" s="1"/>
  <c r="V42" i="18"/>
  <c r="J43" i="18"/>
  <c r="K43" i="18" s="1"/>
  <c r="O44" i="18"/>
  <c r="H44" i="18"/>
  <c r="F44" i="18"/>
  <c r="R43" i="18"/>
  <c r="S43" i="18" s="1"/>
  <c r="G44" i="18"/>
  <c r="P44" i="18"/>
  <c r="N44" i="18"/>
  <c r="B48" i="18"/>
  <c r="C48" i="18" s="1"/>
  <c r="A49" i="18"/>
  <c r="B48" i="12"/>
  <c r="C48" i="12" s="1"/>
  <c r="A49" i="12"/>
  <c r="U44" i="12" l="1"/>
  <c r="B40" i="19" s="1"/>
  <c r="C40" i="19" s="1"/>
  <c r="R44" i="12"/>
  <c r="S44" i="12" s="1"/>
  <c r="N45" i="12"/>
  <c r="P45" i="12"/>
  <c r="V43" i="12"/>
  <c r="O45" i="12"/>
  <c r="J44" i="12"/>
  <c r="K44" i="12" s="1"/>
  <c r="F45" i="12"/>
  <c r="H46" i="12" s="1"/>
  <c r="D48" i="12"/>
  <c r="D48" i="18"/>
  <c r="V43" i="18"/>
  <c r="V44" i="12"/>
  <c r="U44" i="18"/>
  <c r="E40" i="19" s="1"/>
  <c r="F40" i="19" s="1"/>
  <c r="O45" i="18"/>
  <c r="J44" i="18"/>
  <c r="K44" i="18" s="1"/>
  <c r="F45" i="18"/>
  <c r="H45" i="18"/>
  <c r="B49" i="18"/>
  <c r="C49" i="18" s="1"/>
  <c r="A50" i="18"/>
  <c r="R44" i="18"/>
  <c r="S44" i="18" s="1"/>
  <c r="G45" i="18"/>
  <c r="N45" i="18"/>
  <c r="P45" i="18"/>
  <c r="A50" i="12"/>
  <c r="B49" i="12"/>
  <c r="C49" i="12" s="1"/>
  <c r="U45" i="12" l="1"/>
  <c r="B41" i="19" s="1"/>
  <c r="C41" i="19" s="1"/>
  <c r="N46" i="12"/>
  <c r="P46" i="12"/>
  <c r="U46" i="12" s="1"/>
  <c r="B42" i="19" s="1"/>
  <c r="C42" i="19" s="1"/>
  <c r="G46" i="12"/>
  <c r="R45" i="12"/>
  <c r="S45" i="12" s="1"/>
  <c r="O46" i="12"/>
  <c r="P47" i="12" s="1"/>
  <c r="F46" i="12"/>
  <c r="J45" i="12"/>
  <c r="K45" i="12" s="1"/>
  <c r="D49" i="12"/>
  <c r="D49" i="18"/>
  <c r="V44" i="18"/>
  <c r="V45" i="12"/>
  <c r="U45" i="18"/>
  <c r="E41" i="19" s="1"/>
  <c r="F41" i="19" s="1"/>
  <c r="A51" i="18"/>
  <c r="B50" i="18"/>
  <c r="C50" i="18" s="1"/>
  <c r="D50" i="18" s="1"/>
  <c r="O46" i="18"/>
  <c r="J45" i="18"/>
  <c r="K45" i="18" s="1"/>
  <c r="F46" i="18"/>
  <c r="H46" i="18"/>
  <c r="G46" i="18"/>
  <c r="R45" i="18"/>
  <c r="S45" i="18" s="1"/>
  <c r="N46" i="18"/>
  <c r="P46" i="18"/>
  <c r="A51" i="12"/>
  <c r="B50" i="12"/>
  <c r="C50" i="12" s="1"/>
  <c r="F47" i="12" l="1"/>
  <c r="R46" i="12"/>
  <c r="S46" i="12" s="1"/>
  <c r="N47" i="12"/>
  <c r="G47" i="12"/>
  <c r="H48" i="12" s="1"/>
  <c r="J46" i="12"/>
  <c r="K46" i="12" s="1"/>
  <c r="H47" i="12"/>
  <c r="U47" i="12" s="1"/>
  <c r="B43" i="19" s="1"/>
  <c r="C43" i="19" s="1"/>
  <c r="O47" i="12"/>
  <c r="D50" i="12"/>
  <c r="V46" i="12"/>
  <c r="V45" i="18"/>
  <c r="U46" i="18"/>
  <c r="E42" i="19" s="1"/>
  <c r="F42" i="19" s="1"/>
  <c r="B51" i="18"/>
  <c r="C51" i="18" s="1"/>
  <c r="A52" i="18"/>
  <c r="O47" i="18"/>
  <c r="J46" i="18"/>
  <c r="K46" i="18" s="1"/>
  <c r="F47" i="18"/>
  <c r="H47" i="18"/>
  <c r="G47" i="18"/>
  <c r="R46" i="18"/>
  <c r="S46" i="18" s="1"/>
  <c r="P47" i="18"/>
  <c r="N47" i="18"/>
  <c r="A52" i="12"/>
  <c r="B51" i="12"/>
  <c r="C51" i="12" s="1"/>
  <c r="F48" i="12" l="1"/>
  <c r="P48" i="12"/>
  <c r="U48" i="12" s="1"/>
  <c r="B44" i="19" s="1"/>
  <c r="C44" i="19" s="1"/>
  <c r="O48" i="12"/>
  <c r="J47" i="12"/>
  <c r="K47" i="12" s="1"/>
  <c r="R47" i="12"/>
  <c r="S47" i="12" s="1"/>
  <c r="N48" i="12"/>
  <c r="G48" i="12"/>
  <c r="H49" i="12" s="1"/>
  <c r="D51" i="18"/>
  <c r="D51" i="12"/>
  <c r="V47" i="12"/>
  <c r="V46" i="18"/>
  <c r="U47" i="18"/>
  <c r="E43" i="19" s="1"/>
  <c r="F43" i="19" s="1"/>
  <c r="J47" i="18"/>
  <c r="K47" i="18" s="1"/>
  <c r="O48" i="18"/>
  <c r="H48" i="18"/>
  <c r="F48" i="18"/>
  <c r="A53" i="18"/>
  <c r="B52" i="18"/>
  <c r="C52" i="18" s="1"/>
  <c r="G48" i="18"/>
  <c r="R47" i="18"/>
  <c r="S47" i="18" s="1"/>
  <c r="P48" i="18"/>
  <c r="N48" i="18"/>
  <c r="A53" i="12"/>
  <c r="B52" i="12"/>
  <c r="C52" i="12" s="1"/>
  <c r="R48" i="12" l="1"/>
  <c r="S48" i="12" s="1"/>
  <c r="O49" i="12"/>
  <c r="P49" i="12"/>
  <c r="U49" i="12" s="1"/>
  <c r="B45" i="19" s="1"/>
  <c r="C45" i="19" s="1"/>
  <c r="G49" i="12"/>
  <c r="J48" i="12"/>
  <c r="K48" i="12" s="1"/>
  <c r="N49" i="12"/>
  <c r="F49" i="12"/>
  <c r="D52" i="12"/>
  <c r="D52" i="18"/>
  <c r="V48" i="12"/>
  <c r="U48" i="18"/>
  <c r="E44" i="19" s="1"/>
  <c r="F44" i="19" s="1"/>
  <c r="V47" i="18"/>
  <c r="O49" i="18"/>
  <c r="J48" i="18"/>
  <c r="K48" i="18" s="1"/>
  <c r="F49" i="18"/>
  <c r="H49" i="18"/>
  <c r="A54" i="18"/>
  <c r="B53" i="18"/>
  <c r="C53" i="18" s="1"/>
  <c r="R48" i="18"/>
  <c r="S48" i="18" s="1"/>
  <c r="G49" i="18"/>
  <c r="N49" i="18"/>
  <c r="P49" i="18"/>
  <c r="A54" i="12"/>
  <c r="B53" i="12"/>
  <c r="C53" i="12" s="1"/>
  <c r="P50" i="12" l="1"/>
  <c r="H50" i="12"/>
  <c r="N50" i="12"/>
  <c r="G50" i="12"/>
  <c r="R49" i="12"/>
  <c r="S49" i="12" s="1"/>
  <c r="O50" i="12"/>
  <c r="P51" i="12" s="1"/>
  <c r="J49" i="12"/>
  <c r="K49" i="12" s="1"/>
  <c r="F50" i="12"/>
  <c r="J50" i="12" s="1"/>
  <c r="K50" i="12" s="1"/>
  <c r="D53" i="18"/>
  <c r="D53" i="12"/>
  <c r="V48" i="18"/>
  <c r="V49" i="12"/>
  <c r="U50" i="12"/>
  <c r="B46" i="19" s="1"/>
  <c r="C46" i="19" s="1"/>
  <c r="U49" i="18"/>
  <c r="E45" i="19" s="1"/>
  <c r="F45" i="19" s="1"/>
  <c r="G50" i="18"/>
  <c r="R49" i="18"/>
  <c r="S49" i="18" s="1"/>
  <c r="N50" i="18"/>
  <c r="P50" i="18"/>
  <c r="O50" i="18"/>
  <c r="J49" i="18"/>
  <c r="K49" i="18" s="1"/>
  <c r="H50" i="18"/>
  <c r="F50" i="18"/>
  <c r="A55" i="18"/>
  <c r="B54" i="18"/>
  <c r="C54" i="18" s="1"/>
  <c r="A55" i="12"/>
  <c r="B54" i="12"/>
  <c r="C54" i="12" s="1"/>
  <c r="H51" i="12" l="1"/>
  <c r="O51" i="12"/>
  <c r="F51" i="12"/>
  <c r="R50" i="12"/>
  <c r="S50" i="12" s="1"/>
  <c r="G51" i="12"/>
  <c r="N51" i="12"/>
  <c r="D54" i="18"/>
  <c r="D54" i="12"/>
  <c r="V50" i="12"/>
  <c r="V49" i="18"/>
  <c r="U51" i="12"/>
  <c r="B47" i="19" s="1"/>
  <c r="C47" i="19" s="1"/>
  <c r="U50" i="18"/>
  <c r="E46" i="19" s="1"/>
  <c r="F46" i="19" s="1"/>
  <c r="O51" i="18"/>
  <c r="J50" i="18"/>
  <c r="K50" i="18" s="1"/>
  <c r="H51" i="18"/>
  <c r="F51" i="18"/>
  <c r="B55" i="18"/>
  <c r="C55" i="18" s="1"/>
  <c r="A56" i="18"/>
  <c r="G51" i="18"/>
  <c r="R50" i="18"/>
  <c r="S50" i="18" s="1"/>
  <c r="P51" i="18"/>
  <c r="N51" i="18"/>
  <c r="A56" i="12"/>
  <c r="B55" i="12"/>
  <c r="C55" i="12" s="1"/>
  <c r="F52" i="12" l="1"/>
  <c r="R51" i="12"/>
  <c r="S51" i="12" s="1"/>
  <c r="O52" i="12"/>
  <c r="H52" i="12"/>
  <c r="J51" i="12"/>
  <c r="K51" i="12" s="1"/>
  <c r="P52" i="12"/>
  <c r="G52" i="12"/>
  <c r="F53" i="12" s="1"/>
  <c r="N52" i="12"/>
  <c r="P53" i="12" s="1"/>
  <c r="D55" i="12"/>
  <c r="D55" i="18"/>
  <c r="V51" i="12"/>
  <c r="V50" i="18"/>
  <c r="U51" i="18"/>
  <c r="E47" i="19" s="1"/>
  <c r="F47" i="19" s="1"/>
  <c r="J51" i="18"/>
  <c r="K51" i="18" s="1"/>
  <c r="O52" i="18"/>
  <c r="H52" i="18"/>
  <c r="F52" i="18"/>
  <c r="A57" i="18"/>
  <c r="B56" i="18"/>
  <c r="C56" i="18" s="1"/>
  <c r="R51" i="18"/>
  <c r="S51" i="18" s="1"/>
  <c r="G52" i="18"/>
  <c r="P52" i="18"/>
  <c r="N52" i="18"/>
  <c r="A57" i="12"/>
  <c r="B56" i="12"/>
  <c r="C56" i="12" s="1"/>
  <c r="D56" i="12" s="1"/>
  <c r="U52" i="12" l="1"/>
  <c r="B48" i="19" s="1"/>
  <c r="C48" i="19" s="1"/>
  <c r="N53" i="12"/>
  <c r="G53" i="12"/>
  <c r="H54" i="12" s="1"/>
  <c r="R52" i="12"/>
  <c r="S52" i="12" s="1"/>
  <c r="J52" i="12"/>
  <c r="K52" i="12" s="1"/>
  <c r="H53" i="12"/>
  <c r="U53" i="12" s="1"/>
  <c r="B49" i="19" s="1"/>
  <c r="C49" i="19" s="1"/>
  <c r="O53" i="12"/>
  <c r="D56" i="18"/>
  <c r="V51" i="18"/>
  <c r="U52" i="18"/>
  <c r="E48" i="19" s="1"/>
  <c r="F48" i="19" s="1"/>
  <c r="R52" i="18"/>
  <c r="S52" i="18" s="1"/>
  <c r="G53" i="18"/>
  <c r="P53" i="18"/>
  <c r="N53" i="18"/>
  <c r="J52" i="18"/>
  <c r="K52" i="18" s="1"/>
  <c r="O53" i="18"/>
  <c r="F53" i="18"/>
  <c r="H53" i="18"/>
  <c r="A58" i="18"/>
  <c r="B57" i="18"/>
  <c r="C57" i="18" s="1"/>
  <c r="B57" i="12"/>
  <c r="C57" i="12" s="1"/>
  <c r="A58" i="12"/>
  <c r="V52" i="12" l="1"/>
  <c r="O54" i="12"/>
  <c r="G54" i="12"/>
  <c r="J53" i="12"/>
  <c r="K53" i="12" s="1"/>
  <c r="F54" i="12"/>
  <c r="P54" i="12"/>
  <c r="U54" i="12" s="1"/>
  <c r="B50" i="19" s="1"/>
  <c r="C50" i="19" s="1"/>
  <c r="R53" i="12"/>
  <c r="S53" i="12" s="1"/>
  <c r="N54" i="12"/>
  <c r="G55" i="12" s="1"/>
  <c r="D57" i="12"/>
  <c r="D57" i="18"/>
  <c r="V53" i="12"/>
  <c r="V52" i="18"/>
  <c r="U53" i="18"/>
  <c r="E49" i="19" s="1"/>
  <c r="F49" i="19" s="1"/>
  <c r="B58" i="18"/>
  <c r="C58" i="18" s="1"/>
  <c r="D58" i="18" s="1"/>
  <c r="A59" i="18"/>
  <c r="R53" i="18"/>
  <c r="S53" i="18" s="1"/>
  <c r="G54" i="18"/>
  <c r="P54" i="18"/>
  <c r="N54" i="18"/>
  <c r="J53" i="18"/>
  <c r="K53" i="18" s="1"/>
  <c r="O54" i="18"/>
  <c r="F54" i="18"/>
  <c r="H54" i="18"/>
  <c r="A59" i="12"/>
  <c r="B58" i="12"/>
  <c r="C58" i="12" s="1"/>
  <c r="H55" i="12" l="1"/>
  <c r="R54" i="12"/>
  <c r="S54" i="12" s="1"/>
  <c r="O55" i="12"/>
  <c r="F55" i="12"/>
  <c r="H56" i="12" s="1"/>
  <c r="J54" i="12"/>
  <c r="K54" i="12" s="1"/>
  <c r="P55" i="12"/>
  <c r="U55" i="12" s="1"/>
  <c r="B51" i="19" s="1"/>
  <c r="C51" i="19" s="1"/>
  <c r="N55" i="12"/>
  <c r="D58" i="12"/>
  <c r="V54" i="12"/>
  <c r="V53" i="18"/>
  <c r="U54" i="18"/>
  <c r="E50" i="19" s="1"/>
  <c r="F50" i="19" s="1"/>
  <c r="G55" i="18"/>
  <c r="R54" i="18"/>
  <c r="S54" i="18" s="1"/>
  <c r="P55" i="18"/>
  <c r="N55" i="18"/>
  <c r="B59" i="18"/>
  <c r="C59" i="18" s="1"/>
  <c r="A60" i="18"/>
  <c r="J54" i="18"/>
  <c r="K54" i="18" s="1"/>
  <c r="O55" i="18"/>
  <c r="F55" i="18"/>
  <c r="H55" i="18"/>
  <c r="A60" i="12"/>
  <c r="B59" i="12"/>
  <c r="C59" i="12" s="1"/>
  <c r="O56" i="12" l="1"/>
  <c r="G56" i="12"/>
  <c r="J55" i="12"/>
  <c r="K55" i="12" s="1"/>
  <c r="R55" i="12"/>
  <c r="S55" i="12" s="1"/>
  <c r="P56" i="12"/>
  <c r="U56" i="12" s="1"/>
  <c r="B52" i="19" s="1"/>
  <c r="C52" i="19" s="1"/>
  <c r="N56" i="12"/>
  <c r="R56" i="12" s="1"/>
  <c r="S56" i="12" s="1"/>
  <c r="F56" i="12"/>
  <c r="H57" i="12" s="1"/>
  <c r="D59" i="18"/>
  <c r="D59" i="12"/>
  <c r="V55" i="12"/>
  <c r="U55" i="18"/>
  <c r="E51" i="19" s="1"/>
  <c r="F51" i="19" s="1"/>
  <c r="V54" i="18"/>
  <c r="B60" i="18"/>
  <c r="C60" i="18" s="1"/>
  <c r="A61" i="18"/>
  <c r="R55" i="18"/>
  <c r="S55" i="18" s="1"/>
  <c r="G56" i="18"/>
  <c r="P56" i="18"/>
  <c r="N56" i="18"/>
  <c r="J55" i="18"/>
  <c r="K55" i="18" s="1"/>
  <c r="O56" i="18"/>
  <c r="H56" i="18"/>
  <c r="F56" i="18"/>
  <c r="A61" i="12"/>
  <c r="B60" i="12"/>
  <c r="C60" i="12" s="1"/>
  <c r="D60" i="12" s="1"/>
  <c r="G57" i="12" l="1"/>
  <c r="N57" i="12"/>
  <c r="P57" i="12"/>
  <c r="U57" i="12" s="1"/>
  <c r="J56" i="12"/>
  <c r="K56" i="12" s="1"/>
  <c r="F57" i="12"/>
  <c r="F58" i="12" s="1"/>
  <c r="O57" i="12"/>
  <c r="P58" i="12" s="1"/>
  <c r="D60" i="18"/>
  <c r="V55" i="18"/>
  <c r="V56" i="12"/>
  <c r="U56" i="18"/>
  <c r="E52" i="19" s="1"/>
  <c r="F52" i="19" s="1"/>
  <c r="G57" i="18"/>
  <c r="R56" i="18"/>
  <c r="S56" i="18" s="1"/>
  <c r="P57" i="18"/>
  <c r="N57" i="18"/>
  <c r="O57" i="18"/>
  <c r="J56" i="18"/>
  <c r="K56" i="18" s="1"/>
  <c r="H57" i="18"/>
  <c r="F57" i="18"/>
  <c r="A62" i="18"/>
  <c r="B61" i="18"/>
  <c r="C61" i="18" s="1"/>
  <c r="A62" i="12"/>
  <c r="B61" i="12"/>
  <c r="C61" i="12" s="1"/>
  <c r="D61" i="12" s="1"/>
  <c r="O58" i="12" l="1"/>
  <c r="J57" i="12"/>
  <c r="K57" i="12" s="1"/>
  <c r="H58" i="12"/>
  <c r="U58" i="12" s="1"/>
  <c r="N58" i="12"/>
  <c r="G58" i="12"/>
  <c r="J58" i="12" s="1"/>
  <c r="K58" i="12" s="1"/>
  <c r="R57" i="12"/>
  <c r="S57" i="12" s="1"/>
  <c r="D61" i="18"/>
  <c r="V56" i="18"/>
  <c r="V57" i="12"/>
  <c r="B53" i="19"/>
  <c r="C53" i="19" s="1"/>
  <c r="U57" i="18"/>
  <c r="E53" i="19" s="1"/>
  <c r="F53" i="19" s="1"/>
  <c r="O58" i="18"/>
  <c r="J57" i="18"/>
  <c r="K57" i="18" s="1"/>
  <c r="H58" i="18"/>
  <c r="F58" i="18"/>
  <c r="G58" i="18"/>
  <c r="R57" i="18"/>
  <c r="S57" i="18" s="1"/>
  <c r="P58" i="18"/>
  <c r="N58" i="18"/>
  <c r="B62" i="18"/>
  <c r="C62" i="18" s="1"/>
  <c r="A63" i="18"/>
  <c r="A63" i="12"/>
  <c r="B62" i="12"/>
  <c r="C62" i="12" s="1"/>
  <c r="N59" i="12" l="1"/>
  <c r="P59" i="12"/>
  <c r="R58" i="12"/>
  <c r="S58" i="12" s="1"/>
  <c r="G59" i="12"/>
  <c r="H59" i="12"/>
  <c r="U59" i="12" s="1"/>
  <c r="B55" i="19" s="1"/>
  <c r="C55" i="19" s="1"/>
  <c r="F59" i="12"/>
  <c r="O59" i="12"/>
  <c r="N60" i="12" s="1"/>
  <c r="D62" i="18"/>
  <c r="D62" i="12"/>
  <c r="U58" i="18"/>
  <c r="E54" i="19" s="1"/>
  <c r="F54" i="19" s="1"/>
  <c r="V58" i="12"/>
  <c r="B54" i="19"/>
  <c r="C54" i="19" s="1"/>
  <c r="V57" i="18"/>
  <c r="G59" i="18"/>
  <c r="R58" i="18"/>
  <c r="S58" i="18" s="1"/>
  <c r="P59" i="18"/>
  <c r="N59" i="18"/>
  <c r="B63" i="18"/>
  <c r="C63" i="18" s="1"/>
  <c r="A64" i="18"/>
  <c r="J58" i="18"/>
  <c r="K58" i="18" s="1"/>
  <c r="O59" i="18"/>
  <c r="H59" i="18"/>
  <c r="F59" i="18"/>
  <c r="A64" i="12"/>
  <c r="B63" i="12"/>
  <c r="C63" i="12" s="1"/>
  <c r="H60" i="12" l="1"/>
  <c r="O60" i="12"/>
  <c r="R60" i="12" s="1"/>
  <c r="S60" i="12" s="1"/>
  <c r="J59" i="12"/>
  <c r="K59" i="12" s="1"/>
  <c r="R59" i="12"/>
  <c r="S59" i="12" s="1"/>
  <c r="F60" i="12"/>
  <c r="G60" i="12"/>
  <c r="P60" i="12"/>
  <c r="U60" i="12" s="1"/>
  <c r="B56" i="19" s="1"/>
  <c r="C56" i="19" s="1"/>
  <c r="D63" i="12"/>
  <c r="D63" i="18"/>
  <c r="V58" i="18"/>
  <c r="V59" i="12"/>
  <c r="U59" i="18"/>
  <c r="E55" i="19" s="1"/>
  <c r="F55" i="19" s="1"/>
  <c r="B64" i="18"/>
  <c r="C64" i="18" s="1"/>
  <c r="D64" i="18" s="1"/>
  <c r="A65" i="18"/>
  <c r="R59" i="18"/>
  <c r="S59" i="18" s="1"/>
  <c r="G60" i="18"/>
  <c r="N60" i="18"/>
  <c r="P60" i="18"/>
  <c r="O60" i="18"/>
  <c r="J59" i="18"/>
  <c r="K59" i="18" s="1"/>
  <c r="H60" i="18"/>
  <c r="F60" i="18"/>
  <c r="P61" i="12"/>
  <c r="G61" i="12"/>
  <c r="A65" i="12"/>
  <c r="B64" i="12"/>
  <c r="C64" i="12" s="1"/>
  <c r="N61" i="12" l="1"/>
  <c r="F61" i="12"/>
  <c r="J60" i="12"/>
  <c r="K60" i="12" s="1"/>
  <c r="O61" i="12"/>
  <c r="N62" i="12" s="1"/>
  <c r="H61" i="12"/>
  <c r="U61" i="12" s="1"/>
  <c r="D64" i="12"/>
  <c r="V60" i="12"/>
  <c r="V59" i="18"/>
  <c r="U60" i="18"/>
  <c r="E56" i="19" s="1"/>
  <c r="F56" i="19" s="1"/>
  <c r="R60" i="18"/>
  <c r="S60" i="18" s="1"/>
  <c r="G61" i="18"/>
  <c r="N61" i="18"/>
  <c r="P61" i="18"/>
  <c r="O61" i="18"/>
  <c r="J60" i="18"/>
  <c r="K60" i="18" s="1"/>
  <c r="H61" i="18"/>
  <c r="F61" i="18"/>
  <c r="A66" i="18"/>
  <c r="B65" i="18"/>
  <c r="C65" i="18" s="1"/>
  <c r="D65" i="18" s="1"/>
  <c r="F62" i="12"/>
  <c r="H62" i="12"/>
  <c r="J61" i="12"/>
  <c r="K61" i="12" s="1"/>
  <c r="O62" i="12"/>
  <c r="B65" i="12"/>
  <c r="C65" i="12" s="1"/>
  <c r="A66" i="12"/>
  <c r="P62" i="12" l="1"/>
  <c r="R61" i="12"/>
  <c r="S61" i="12" s="1"/>
  <c r="G62" i="12"/>
  <c r="F63" i="12" s="1"/>
  <c r="D65" i="12"/>
  <c r="U61" i="18"/>
  <c r="E57" i="19" s="1"/>
  <c r="F57" i="19" s="1"/>
  <c r="V60" i="18"/>
  <c r="V61" i="12"/>
  <c r="B57" i="19"/>
  <c r="C57" i="19" s="1"/>
  <c r="U62" i="12"/>
  <c r="B58" i="19" s="1"/>
  <c r="C58" i="19" s="1"/>
  <c r="O62" i="18"/>
  <c r="J61" i="18"/>
  <c r="K61" i="18" s="1"/>
  <c r="H62" i="18"/>
  <c r="F62" i="18"/>
  <c r="B66" i="18"/>
  <c r="C66" i="18" s="1"/>
  <c r="A67" i="18"/>
  <c r="P63" i="12"/>
  <c r="R62" i="12"/>
  <c r="S62" i="12" s="1"/>
  <c r="N63" i="12"/>
  <c r="G63" i="12"/>
  <c r="J62" i="12"/>
  <c r="K62" i="12" s="1"/>
  <c r="H63" i="12"/>
  <c r="O63" i="12"/>
  <c r="R61" i="18"/>
  <c r="S61" i="18" s="1"/>
  <c r="G62" i="18"/>
  <c r="P62" i="18"/>
  <c r="N62" i="18"/>
  <c r="B66" i="12"/>
  <c r="C66" i="12" s="1"/>
  <c r="A67" i="12"/>
  <c r="D66" i="18" l="1"/>
  <c r="D66" i="12"/>
  <c r="V61" i="18"/>
  <c r="U62" i="18"/>
  <c r="E58" i="19" s="1"/>
  <c r="F58" i="19" s="1"/>
  <c r="V62" i="12"/>
  <c r="U63" i="12"/>
  <c r="B59" i="19" s="1"/>
  <c r="C59" i="19" s="1"/>
  <c r="P64" i="12"/>
  <c r="R63" i="12"/>
  <c r="S63" i="12" s="1"/>
  <c r="G64" i="12"/>
  <c r="N64" i="12"/>
  <c r="B67" i="18"/>
  <c r="C67" i="18" s="1"/>
  <c r="A68" i="18"/>
  <c r="G63" i="18"/>
  <c r="R62" i="18"/>
  <c r="S62" i="18" s="1"/>
  <c r="N63" i="18"/>
  <c r="P63" i="18"/>
  <c r="F64" i="12"/>
  <c r="J63" i="12"/>
  <c r="K63" i="12" s="1"/>
  <c r="H64" i="12"/>
  <c r="O64" i="12"/>
  <c r="J62" i="18"/>
  <c r="K62" i="18" s="1"/>
  <c r="O63" i="18"/>
  <c r="H63" i="18"/>
  <c r="F63" i="18"/>
  <c r="A68" i="12"/>
  <c r="B67" i="12"/>
  <c r="C67" i="12" s="1"/>
  <c r="D67" i="12" l="1"/>
  <c r="D67" i="18"/>
  <c r="V62" i="18"/>
  <c r="V63" i="12"/>
  <c r="U64" i="12"/>
  <c r="B60" i="19" s="1"/>
  <c r="C60" i="19" s="1"/>
  <c r="U63" i="18"/>
  <c r="E59" i="19" s="1"/>
  <c r="F59" i="19" s="1"/>
  <c r="A69" i="18"/>
  <c r="B68" i="18"/>
  <c r="C68" i="18" s="1"/>
  <c r="P65" i="12"/>
  <c r="N65" i="12"/>
  <c r="G65" i="12"/>
  <c r="R64" i="12"/>
  <c r="S64" i="12" s="1"/>
  <c r="O64" i="18"/>
  <c r="J63" i="18"/>
  <c r="K63" i="18" s="1"/>
  <c r="F64" i="18"/>
  <c r="H64" i="18"/>
  <c r="H65" i="12"/>
  <c r="F65" i="12"/>
  <c r="J64" i="12"/>
  <c r="K64" i="12" s="1"/>
  <c r="O65" i="12"/>
  <c r="R63" i="18"/>
  <c r="S63" i="18" s="1"/>
  <c r="G64" i="18"/>
  <c r="N64" i="18"/>
  <c r="P64" i="18"/>
  <c r="A69" i="12"/>
  <c r="B68" i="12"/>
  <c r="C68" i="12" s="1"/>
  <c r="D68" i="12" l="1"/>
  <c r="D68" i="18"/>
  <c r="V64" i="12"/>
  <c r="V63" i="18"/>
  <c r="U65" i="12"/>
  <c r="B61" i="19" s="1"/>
  <c r="C61" i="19" s="1"/>
  <c r="U64" i="18"/>
  <c r="E60" i="19" s="1"/>
  <c r="F60" i="19" s="1"/>
  <c r="P66" i="12"/>
  <c r="R65" i="12"/>
  <c r="S65" i="12" s="1"/>
  <c r="N66" i="12"/>
  <c r="G66" i="12"/>
  <c r="O66" i="12"/>
  <c r="F66" i="12"/>
  <c r="H66" i="12"/>
  <c r="J65" i="12"/>
  <c r="K65" i="12" s="1"/>
  <c r="O65" i="18"/>
  <c r="J64" i="18"/>
  <c r="K64" i="18" s="1"/>
  <c r="F65" i="18"/>
  <c r="H65" i="18"/>
  <c r="A70" i="18"/>
  <c r="B69" i="18"/>
  <c r="C69" i="18" s="1"/>
  <c r="G65" i="18"/>
  <c r="R64" i="18"/>
  <c r="S64" i="18" s="1"/>
  <c r="N65" i="18"/>
  <c r="P65" i="18"/>
  <c r="A70" i="12"/>
  <c r="B69" i="12"/>
  <c r="C69" i="12" s="1"/>
  <c r="D69" i="18" l="1"/>
  <c r="D69" i="12"/>
  <c r="V65" i="12"/>
  <c r="V64" i="18"/>
  <c r="U65" i="18"/>
  <c r="E61" i="19" s="1"/>
  <c r="F61" i="19" s="1"/>
  <c r="G66" i="18"/>
  <c r="R65" i="18"/>
  <c r="S65" i="18" s="1"/>
  <c r="N66" i="18"/>
  <c r="P66" i="18"/>
  <c r="O66" i="18"/>
  <c r="J65" i="18"/>
  <c r="K65" i="18" s="1"/>
  <c r="H66" i="18"/>
  <c r="F66" i="18"/>
  <c r="B70" i="18"/>
  <c r="C70" i="18" s="1"/>
  <c r="A71" i="18"/>
  <c r="U66" i="12"/>
  <c r="B62" i="19" s="1"/>
  <c r="C62" i="19" s="1"/>
  <c r="F67" i="12"/>
  <c r="H67" i="12"/>
  <c r="O67" i="12"/>
  <c r="J66" i="12"/>
  <c r="K66" i="12" s="1"/>
  <c r="P67" i="12"/>
  <c r="N67" i="12"/>
  <c r="G67" i="12"/>
  <c r="R66" i="12"/>
  <c r="S66" i="12" s="1"/>
  <c r="A71" i="12"/>
  <c r="B70" i="12"/>
  <c r="C70" i="12" s="1"/>
  <c r="D70" i="12" l="1"/>
  <c r="D70" i="18"/>
  <c r="V66" i="12"/>
  <c r="V65" i="18"/>
  <c r="U66" i="18"/>
  <c r="E62" i="19" s="1"/>
  <c r="F62" i="19" s="1"/>
  <c r="A72" i="18"/>
  <c r="B71" i="18"/>
  <c r="C71" i="18" s="1"/>
  <c r="U67" i="12"/>
  <c r="B63" i="19" s="1"/>
  <c r="C63" i="19" s="1"/>
  <c r="G67" i="18"/>
  <c r="R66" i="18"/>
  <c r="S66" i="18" s="1"/>
  <c r="P67" i="18"/>
  <c r="N67" i="18"/>
  <c r="H68" i="12"/>
  <c r="O68" i="12"/>
  <c r="J67" i="12"/>
  <c r="K67" i="12" s="1"/>
  <c r="F68" i="12"/>
  <c r="J66" i="18"/>
  <c r="K66" i="18" s="1"/>
  <c r="O67" i="18"/>
  <c r="H67" i="18"/>
  <c r="F67" i="18"/>
  <c r="P68" i="12"/>
  <c r="R67" i="12"/>
  <c r="S67" i="12" s="1"/>
  <c r="N68" i="12"/>
  <c r="G68" i="12"/>
  <c r="A72" i="12"/>
  <c r="B71" i="12"/>
  <c r="C71" i="12" s="1"/>
  <c r="D71" i="12" l="1"/>
  <c r="D71" i="18"/>
  <c r="U68" i="12"/>
  <c r="B64" i="19" s="1"/>
  <c r="C64" i="19" s="1"/>
  <c r="V67" i="12"/>
  <c r="V66" i="18"/>
  <c r="U67" i="18"/>
  <c r="E63" i="19" s="1"/>
  <c r="F63" i="19" s="1"/>
  <c r="H69" i="12"/>
  <c r="O69" i="12"/>
  <c r="J68" i="12"/>
  <c r="K68" i="12" s="1"/>
  <c r="F69" i="12"/>
  <c r="P69" i="12"/>
  <c r="G69" i="12"/>
  <c r="N69" i="12"/>
  <c r="R68" i="12"/>
  <c r="S68" i="12" s="1"/>
  <c r="J67" i="18"/>
  <c r="K67" i="18" s="1"/>
  <c r="O68" i="18"/>
  <c r="F68" i="18"/>
  <c r="H68" i="18"/>
  <c r="B72" i="18"/>
  <c r="C72" i="18" s="1"/>
  <c r="A73" i="18"/>
  <c r="R67" i="18"/>
  <c r="S67" i="18" s="1"/>
  <c r="G68" i="18"/>
  <c r="P68" i="18"/>
  <c r="N68" i="18"/>
  <c r="A73" i="12"/>
  <c r="B72" i="12"/>
  <c r="C72" i="12" s="1"/>
  <c r="D72" i="18" l="1"/>
  <c r="D72" i="12"/>
  <c r="V68" i="12"/>
  <c r="U69" i="12"/>
  <c r="B65" i="19" s="1"/>
  <c r="C65" i="19" s="1"/>
  <c r="V67" i="18"/>
  <c r="U68" i="18"/>
  <c r="E64" i="19" s="1"/>
  <c r="F64" i="19" s="1"/>
  <c r="P70" i="12"/>
  <c r="R69" i="12"/>
  <c r="S69" i="12" s="1"/>
  <c r="N70" i="12"/>
  <c r="G70" i="12"/>
  <c r="A74" i="18"/>
  <c r="B73" i="18"/>
  <c r="C73" i="18" s="1"/>
  <c r="R68" i="18"/>
  <c r="S68" i="18" s="1"/>
  <c r="G69" i="18"/>
  <c r="P69" i="18"/>
  <c r="N69" i="18"/>
  <c r="J68" i="18"/>
  <c r="K68" i="18" s="1"/>
  <c r="O69" i="18"/>
  <c r="H69" i="18"/>
  <c r="F69" i="18"/>
  <c r="H70" i="12"/>
  <c r="F70" i="12"/>
  <c r="J69" i="12"/>
  <c r="K69" i="12" s="1"/>
  <c r="O70" i="12"/>
  <c r="A74" i="12"/>
  <c r="B73" i="12"/>
  <c r="C73" i="12" s="1"/>
  <c r="D73" i="12" l="1"/>
  <c r="D73" i="18"/>
  <c r="V69" i="12"/>
  <c r="U70" i="12"/>
  <c r="B66" i="19" s="1"/>
  <c r="C66" i="19" s="1"/>
  <c r="V68" i="18"/>
  <c r="U69" i="18"/>
  <c r="E65" i="19" s="1"/>
  <c r="F65" i="19" s="1"/>
  <c r="O70" i="18"/>
  <c r="J69" i="18"/>
  <c r="K69" i="18" s="1"/>
  <c r="H70" i="18"/>
  <c r="F70" i="18"/>
  <c r="B74" i="18"/>
  <c r="C74" i="18" s="1"/>
  <c r="D74" i="18" s="1"/>
  <c r="A75" i="18"/>
  <c r="H71" i="12"/>
  <c r="O71" i="12"/>
  <c r="J70" i="12"/>
  <c r="K70" i="12" s="1"/>
  <c r="F71" i="12"/>
  <c r="R69" i="18"/>
  <c r="S69" i="18" s="1"/>
  <c r="G70" i="18"/>
  <c r="N70" i="18"/>
  <c r="P70" i="18"/>
  <c r="P71" i="12"/>
  <c r="G71" i="12"/>
  <c r="R70" i="12"/>
  <c r="S70" i="12" s="1"/>
  <c r="N71" i="12"/>
  <c r="A75" i="12"/>
  <c r="B74" i="12"/>
  <c r="C74" i="12" s="1"/>
  <c r="D74" i="12" l="1"/>
  <c r="V70" i="12"/>
  <c r="V69" i="18"/>
  <c r="U70" i="18"/>
  <c r="E66" i="19" s="1"/>
  <c r="F66" i="19" s="1"/>
  <c r="J70" i="18"/>
  <c r="K70" i="18" s="1"/>
  <c r="O71" i="18"/>
  <c r="H71" i="18"/>
  <c r="F71" i="18"/>
  <c r="U71" i="12"/>
  <c r="B67" i="19" s="1"/>
  <c r="C67" i="19" s="1"/>
  <c r="R70" i="18"/>
  <c r="S70" i="18" s="1"/>
  <c r="G71" i="18"/>
  <c r="N71" i="18"/>
  <c r="P71" i="18"/>
  <c r="A76" i="18"/>
  <c r="B75" i="18"/>
  <c r="C75" i="18" s="1"/>
  <c r="D75" i="18" s="1"/>
  <c r="R71" i="12"/>
  <c r="S71" i="12" s="1"/>
  <c r="G72" i="12"/>
  <c r="N72" i="12"/>
  <c r="P72" i="12"/>
  <c r="H72" i="12"/>
  <c r="O72" i="12"/>
  <c r="J71" i="12"/>
  <c r="K71" i="12" s="1"/>
  <c r="F72" i="12"/>
  <c r="A76" i="12"/>
  <c r="B75" i="12"/>
  <c r="C75" i="12" s="1"/>
  <c r="D75" i="12" l="1"/>
  <c r="V71" i="12"/>
  <c r="U71" i="18"/>
  <c r="E67" i="19" s="1"/>
  <c r="F67" i="19" s="1"/>
  <c r="V70" i="18"/>
  <c r="U72" i="12"/>
  <c r="B68" i="19" s="1"/>
  <c r="C68" i="19" s="1"/>
  <c r="R71" i="18"/>
  <c r="S71" i="18" s="1"/>
  <c r="G72" i="18"/>
  <c r="P72" i="18"/>
  <c r="N72" i="18"/>
  <c r="P73" i="12"/>
  <c r="N73" i="12"/>
  <c r="G73" i="12"/>
  <c r="R72" i="12"/>
  <c r="S72" i="12" s="1"/>
  <c r="B76" i="18"/>
  <c r="C76" i="18" s="1"/>
  <c r="A77" i="18"/>
  <c r="J71" i="18"/>
  <c r="K71" i="18" s="1"/>
  <c r="O72" i="18"/>
  <c r="F72" i="18"/>
  <c r="H72" i="18"/>
  <c r="H73" i="12"/>
  <c r="O73" i="12"/>
  <c r="F73" i="12"/>
  <c r="J72" i="12"/>
  <c r="K72" i="12" s="1"/>
  <c r="A77" i="12"/>
  <c r="B76" i="12"/>
  <c r="C76" i="12" s="1"/>
  <c r="D76" i="18" l="1"/>
  <c r="D76" i="12"/>
  <c r="V71" i="18"/>
  <c r="V72" i="12"/>
  <c r="U73" i="12"/>
  <c r="B69" i="19" s="1"/>
  <c r="C69" i="19" s="1"/>
  <c r="U72" i="18"/>
  <c r="E68" i="19" s="1"/>
  <c r="F68" i="19" s="1"/>
  <c r="A78" i="18"/>
  <c r="B77" i="18"/>
  <c r="C77" i="18" s="1"/>
  <c r="R72" i="18"/>
  <c r="S72" i="18" s="1"/>
  <c r="G73" i="18"/>
  <c r="P73" i="18"/>
  <c r="N73" i="18"/>
  <c r="H74" i="12"/>
  <c r="F74" i="12"/>
  <c r="O74" i="12"/>
  <c r="J73" i="12"/>
  <c r="K73" i="12" s="1"/>
  <c r="J72" i="18"/>
  <c r="K72" i="18" s="1"/>
  <c r="O73" i="18"/>
  <c r="H73" i="18"/>
  <c r="F73" i="18"/>
  <c r="R73" i="12"/>
  <c r="S73" i="12" s="1"/>
  <c r="N74" i="12"/>
  <c r="G74" i="12"/>
  <c r="P74" i="12"/>
  <c r="A78" i="12"/>
  <c r="B77" i="12"/>
  <c r="C77" i="12" s="1"/>
  <c r="D77" i="12" l="1"/>
  <c r="D77" i="18"/>
  <c r="V73" i="12"/>
  <c r="V72" i="18"/>
  <c r="U73" i="18"/>
  <c r="E69" i="19" s="1"/>
  <c r="F69" i="19" s="1"/>
  <c r="J73" i="18"/>
  <c r="K73" i="18" s="1"/>
  <c r="O74" i="18"/>
  <c r="F74" i="18"/>
  <c r="H74" i="18"/>
  <c r="B78" i="18"/>
  <c r="C78" i="18" s="1"/>
  <c r="A79" i="18"/>
  <c r="P75" i="12"/>
  <c r="N75" i="12"/>
  <c r="G75" i="12"/>
  <c r="R74" i="12"/>
  <c r="S74" i="12" s="1"/>
  <c r="U74" i="12"/>
  <c r="B70" i="19" s="1"/>
  <c r="C70" i="19" s="1"/>
  <c r="H75" i="12"/>
  <c r="J74" i="12"/>
  <c r="K74" i="12" s="1"/>
  <c r="O75" i="12"/>
  <c r="F75" i="12"/>
  <c r="R73" i="18"/>
  <c r="S73" i="18" s="1"/>
  <c r="G74" i="18"/>
  <c r="P74" i="18"/>
  <c r="N74" i="18"/>
  <c r="A79" i="12"/>
  <c r="B78" i="12"/>
  <c r="C78" i="12" s="1"/>
  <c r="D78" i="18" l="1"/>
  <c r="D78" i="12"/>
  <c r="V73" i="18"/>
  <c r="V74" i="12"/>
  <c r="U74" i="18"/>
  <c r="E70" i="19" s="1"/>
  <c r="F70" i="19" s="1"/>
  <c r="J74" i="18"/>
  <c r="K74" i="18" s="1"/>
  <c r="O75" i="18"/>
  <c r="H75" i="18"/>
  <c r="F75" i="18"/>
  <c r="P76" i="12"/>
  <c r="G76" i="12"/>
  <c r="R75" i="12"/>
  <c r="S75" i="12" s="1"/>
  <c r="N76" i="12"/>
  <c r="R74" i="18"/>
  <c r="S74" i="18" s="1"/>
  <c r="G75" i="18"/>
  <c r="N75" i="18"/>
  <c r="P75" i="18"/>
  <c r="U75" i="12"/>
  <c r="B71" i="19" s="1"/>
  <c r="C71" i="19" s="1"/>
  <c r="A80" i="18"/>
  <c r="B79" i="18"/>
  <c r="C79" i="18" s="1"/>
  <c r="H76" i="12"/>
  <c r="O76" i="12"/>
  <c r="J75" i="12"/>
  <c r="K75" i="12" s="1"/>
  <c r="F76" i="12"/>
  <c r="A80" i="12"/>
  <c r="B79" i="12"/>
  <c r="C79" i="12" s="1"/>
  <c r="D79" i="12" l="1"/>
  <c r="D79" i="18"/>
  <c r="V75" i="12"/>
  <c r="U76" i="12"/>
  <c r="B72" i="19" s="1"/>
  <c r="C72" i="19" s="1"/>
  <c r="V74" i="18"/>
  <c r="U75" i="18"/>
  <c r="E71" i="19" s="1"/>
  <c r="F71" i="19" s="1"/>
  <c r="R75" i="18"/>
  <c r="S75" i="18" s="1"/>
  <c r="G76" i="18"/>
  <c r="P76" i="18"/>
  <c r="N76" i="18"/>
  <c r="R76" i="12"/>
  <c r="S76" i="12" s="1"/>
  <c r="G77" i="12"/>
  <c r="P77" i="12"/>
  <c r="N77" i="12"/>
  <c r="H77" i="12"/>
  <c r="O77" i="12"/>
  <c r="F77" i="12"/>
  <c r="J76" i="12"/>
  <c r="K76" i="12" s="1"/>
  <c r="A81" i="18"/>
  <c r="B80" i="18"/>
  <c r="C80" i="18" s="1"/>
  <c r="J75" i="18"/>
  <c r="K75" i="18" s="1"/>
  <c r="O76" i="18"/>
  <c r="F76" i="18"/>
  <c r="H76" i="18"/>
  <c r="A81" i="12"/>
  <c r="B80" i="12"/>
  <c r="C80" i="12" s="1"/>
  <c r="D80" i="12" l="1"/>
  <c r="D80" i="18"/>
  <c r="V76" i="12"/>
  <c r="V75" i="18"/>
  <c r="U76" i="18"/>
  <c r="E72" i="19" s="1"/>
  <c r="F72" i="19" s="1"/>
  <c r="H78" i="12"/>
  <c r="O78" i="12"/>
  <c r="F78" i="12"/>
  <c r="J77" i="12"/>
  <c r="K77" i="12" s="1"/>
  <c r="G77" i="18"/>
  <c r="R76" i="18"/>
  <c r="S76" i="18" s="1"/>
  <c r="P77" i="18"/>
  <c r="N77" i="18"/>
  <c r="J76" i="18"/>
  <c r="K76" i="18" s="1"/>
  <c r="O77" i="18"/>
  <c r="F77" i="18"/>
  <c r="H77" i="18"/>
  <c r="A82" i="18"/>
  <c r="B81" i="18"/>
  <c r="C81" i="18" s="1"/>
  <c r="R77" i="12"/>
  <c r="S77" i="12" s="1"/>
  <c r="N78" i="12"/>
  <c r="G78" i="12"/>
  <c r="P78" i="12"/>
  <c r="U77" i="12"/>
  <c r="A82" i="12"/>
  <c r="B81" i="12"/>
  <c r="C81" i="12" s="1"/>
  <c r="D81" i="18" l="1"/>
  <c r="D81" i="12"/>
  <c r="V76" i="18"/>
  <c r="V77" i="12"/>
  <c r="B73" i="19"/>
  <c r="C73" i="19" s="1"/>
  <c r="U77" i="18"/>
  <c r="E73" i="19" s="1"/>
  <c r="F73" i="19" s="1"/>
  <c r="J77" i="18"/>
  <c r="K77" i="18" s="1"/>
  <c r="O78" i="18"/>
  <c r="F78" i="18"/>
  <c r="H78" i="18"/>
  <c r="H79" i="12"/>
  <c r="F79" i="12"/>
  <c r="J78" i="12"/>
  <c r="K78" i="12" s="1"/>
  <c r="O79" i="12"/>
  <c r="B82" i="18"/>
  <c r="C82" i="18" s="1"/>
  <c r="A83" i="18"/>
  <c r="U78" i="12"/>
  <c r="B74" i="19" s="1"/>
  <c r="C74" i="19" s="1"/>
  <c r="R77" i="18"/>
  <c r="S77" i="18" s="1"/>
  <c r="G78" i="18"/>
  <c r="P78" i="18"/>
  <c r="N78" i="18"/>
  <c r="P79" i="12"/>
  <c r="G79" i="12"/>
  <c r="R78" i="12"/>
  <c r="S78" i="12" s="1"/>
  <c r="N79" i="12"/>
  <c r="A83" i="12"/>
  <c r="B82" i="12"/>
  <c r="C82" i="12" s="1"/>
  <c r="D82" i="12" l="1"/>
  <c r="D82" i="18"/>
  <c r="V77" i="18"/>
  <c r="U78" i="18"/>
  <c r="E74" i="19" s="1"/>
  <c r="F74" i="19" s="1"/>
  <c r="R78" i="18"/>
  <c r="S78" i="18" s="1"/>
  <c r="G79" i="18"/>
  <c r="P79" i="18"/>
  <c r="N79" i="18"/>
  <c r="A84" i="18"/>
  <c r="B83" i="18"/>
  <c r="C83" i="18" s="1"/>
  <c r="P80" i="12"/>
  <c r="R79" i="12"/>
  <c r="S79" i="12" s="1"/>
  <c r="G80" i="12"/>
  <c r="N80" i="12"/>
  <c r="J78" i="18"/>
  <c r="K78" i="18" s="1"/>
  <c r="O79" i="18"/>
  <c r="H79" i="18"/>
  <c r="F79" i="18"/>
  <c r="U79" i="12"/>
  <c r="B75" i="19" s="1"/>
  <c r="C75" i="19" s="1"/>
  <c r="H80" i="12"/>
  <c r="F80" i="12"/>
  <c r="J79" i="12"/>
  <c r="K79" i="12" s="1"/>
  <c r="O80" i="12"/>
  <c r="V78" i="12"/>
  <c r="A84" i="12"/>
  <c r="B83" i="12"/>
  <c r="C83" i="12" s="1"/>
  <c r="D83" i="18" l="1"/>
  <c r="D83" i="12"/>
  <c r="V78" i="18"/>
  <c r="V79" i="12"/>
  <c r="U79" i="18"/>
  <c r="E75" i="19" s="1"/>
  <c r="F75" i="19" s="1"/>
  <c r="H81" i="12"/>
  <c r="F81" i="12"/>
  <c r="J80" i="12"/>
  <c r="K80" i="12" s="1"/>
  <c r="O81" i="12"/>
  <c r="U80" i="12"/>
  <c r="J79" i="18"/>
  <c r="K79" i="18" s="1"/>
  <c r="O80" i="18"/>
  <c r="F80" i="18"/>
  <c r="H80" i="18"/>
  <c r="A85" i="18"/>
  <c r="B84" i="18"/>
  <c r="C84" i="18" s="1"/>
  <c r="P81" i="12"/>
  <c r="R80" i="12"/>
  <c r="S80" i="12" s="1"/>
  <c r="N81" i="12"/>
  <c r="G81" i="12"/>
  <c r="R79" i="18"/>
  <c r="S79" i="18" s="1"/>
  <c r="G80" i="18"/>
  <c r="N80" i="18"/>
  <c r="P80" i="18"/>
  <c r="A85" i="12"/>
  <c r="B84" i="12"/>
  <c r="C84" i="12" s="1"/>
  <c r="D84" i="12" l="1"/>
  <c r="D84" i="18"/>
  <c r="V79" i="18"/>
  <c r="V80" i="12"/>
  <c r="B76" i="19"/>
  <c r="C76" i="19" s="1"/>
  <c r="U80" i="18"/>
  <c r="E76" i="19" s="1"/>
  <c r="F76" i="19" s="1"/>
  <c r="H82" i="12"/>
  <c r="J81" i="12"/>
  <c r="K81" i="12" s="1"/>
  <c r="O82" i="12"/>
  <c r="F82" i="12"/>
  <c r="U81" i="12"/>
  <c r="B77" i="19" s="1"/>
  <c r="C77" i="19" s="1"/>
  <c r="J80" i="18"/>
  <c r="K80" i="18" s="1"/>
  <c r="O81" i="18"/>
  <c r="F81" i="18"/>
  <c r="H81" i="18"/>
  <c r="N82" i="12"/>
  <c r="G82" i="12"/>
  <c r="R81" i="12"/>
  <c r="S81" i="12" s="1"/>
  <c r="P82" i="12"/>
  <c r="R80" i="18"/>
  <c r="S80" i="18" s="1"/>
  <c r="G81" i="18"/>
  <c r="P81" i="18"/>
  <c r="N81" i="18"/>
  <c r="A86" i="18"/>
  <c r="B85" i="18"/>
  <c r="C85" i="18" s="1"/>
  <c r="A86" i="12"/>
  <c r="B85" i="12"/>
  <c r="C85" i="12" s="1"/>
  <c r="D85" i="18" l="1"/>
  <c r="D85" i="12"/>
  <c r="V80" i="18"/>
  <c r="U81" i="18"/>
  <c r="E77" i="19" s="1"/>
  <c r="F77" i="19" s="1"/>
  <c r="U82" i="12"/>
  <c r="B78" i="19" s="1"/>
  <c r="C78" i="19" s="1"/>
  <c r="J82" i="12"/>
  <c r="K82" i="12" s="1"/>
  <c r="O83" i="12"/>
  <c r="F83" i="12"/>
  <c r="H83" i="12"/>
  <c r="P83" i="12"/>
  <c r="G83" i="12"/>
  <c r="N83" i="12"/>
  <c r="R82" i="12"/>
  <c r="S82" i="12" s="1"/>
  <c r="R81" i="18"/>
  <c r="S81" i="18" s="1"/>
  <c r="G82" i="18"/>
  <c r="P82" i="18"/>
  <c r="N82" i="18"/>
  <c r="A87" i="18"/>
  <c r="B86" i="18"/>
  <c r="C86" i="18" s="1"/>
  <c r="O82" i="18"/>
  <c r="J81" i="18"/>
  <c r="K81" i="18" s="1"/>
  <c r="F82" i="18"/>
  <c r="H82" i="18"/>
  <c r="V81" i="12"/>
  <c r="A87" i="12"/>
  <c r="B86" i="12"/>
  <c r="C86" i="12" s="1"/>
  <c r="D86" i="12" s="1"/>
  <c r="D86" i="18" l="1"/>
  <c r="V82" i="12"/>
  <c r="V81" i="18"/>
  <c r="U82" i="18"/>
  <c r="E78" i="19" s="1"/>
  <c r="F78" i="19" s="1"/>
  <c r="P84" i="12"/>
  <c r="G84" i="12"/>
  <c r="R83" i="12"/>
  <c r="S83" i="12" s="1"/>
  <c r="N84" i="12"/>
  <c r="J82" i="18"/>
  <c r="K82" i="18" s="1"/>
  <c r="O83" i="18"/>
  <c r="H83" i="18"/>
  <c r="F83" i="18"/>
  <c r="R82" i="18"/>
  <c r="S82" i="18" s="1"/>
  <c r="G83" i="18"/>
  <c r="N83" i="18"/>
  <c r="P83" i="18"/>
  <c r="U83" i="12"/>
  <c r="O84" i="12"/>
  <c r="J83" i="12"/>
  <c r="K83" i="12" s="1"/>
  <c r="F84" i="12"/>
  <c r="H84" i="12"/>
  <c r="A88" i="18"/>
  <c r="B87" i="18"/>
  <c r="C87" i="18" s="1"/>
  <c r="A88" i="12"/>
  <c r="B87" i="12"/>
  <c r="C87" i="12" s="1"/>
  <c r="D87" i="12" l="1"/>
  <c r="D87" i="18"/>
  <c r="U83" i="18"/>
  <c r="E79" i="19" s="1"/>
  <c r="F79" i="19" s="1"/>
  <c r="V82" i="18"/>
  <c r="V83" i="12"/>
  <c r="B79" i="19"/>
  <c r="C79" i="19" s="1"/>
  <c r="R84" i="12"/>
  <c r="S84" i="12" s="1"/>
  <c r="G85" i="12"/>
  <c r="P85" i="12"/>
  <c r="N85" i="12"/>
  <c r="R83" i="18"/>
  <c r="S83" i="18" s="1"/>
  <c r="G84" i="18"/>
  <c r="P84" i="18"/>
  <c r="N84" i="18"/>
  <c r="A89" i="18"/>
  <c r="B88" i="18"/>
  <c r="C88" i="18" s="1"/>
  <c r="D88" i="18" s="1"/>
  <c r="U84" i="12"/>
  <c r="B80" i="19" s="1"/>
  <c r="C80" i="19" s="1"/>
  <c r="J83" i="18"/>
  <c r="K83" i="18" s="1"/>
  <c r="O84" i="18"/>
  <c r="F84" i="18"/>
  <c r="H84" i="18"/>
  <c r="O85" i="12"/>
  <c r="F85" i="12"/>
  <c r="J84" i="12"/>
  <c r="K84" i="12" s="1"/>
  <c r="H85" i="12"/>
  <c r="A89" i="12"/>
  <c r="B88" i="12"/>
  <c r="C88" i="12" s="1"/>
  <c r="D88" i="12" l="1"/>
  <c r="V83" i="18"/>
  <c r="V84" i="12"/>
  <c r="U84" i="18"/>
  <c r="E80" i="19" s="1"/>
  <c r="F80" i="19" s="1"/>
  <c r="F86" i="12"/>
  <c r="H86" i="12"/>
  <c r="J85" i="12"/>
  <c r="K85" i="12" s="1"/>
  <c r="O86" i="12"/>
  <c r="N86" i="12"/>
  <c r="G86" i="12"/>
  <c r="P86" i="12"/>
  <c r="R85" i="12"/>
  <c r="S85" i="12" s="1"/>
  <c r="R84" i="18"/>
  <c r="S84" i="18" s="1"/>
  <c r="G85" i="18"/>
  <c r="N85" i="18"/>
  <c r="P85" i="18"/>
  <c r="J84" i="18"/>
  <c r="K84" i="18" s="1"/>
  <c r="O85" i="18"/>
  <c r="H85" i="18"/>
  <c r="F85" i="18"/>
  <c r="A90" i="18"/>
  <c r="B89" i="18"/>
  <c r="C89" i="18" s="1"/>
  <c r="U85" i="12"/>
  <c r="A90" i="12"/>
  <c r="B89" i="12"/>
  <c r="C89" i="12" s="1"/>
  <c r="D89" i="18" l="1"/>
  <c r="D89" i="12"/>
  <c r="V84" i="18"/>
  <c r="V85" i="12"/>
  <c r="B81" i="19"/>
  <c r="C81" i="19" s="1"/>
  <c r="U85" i="18"/>
  <c r="E81" i="19" s="1"/>
  <c r="F81" i="19" s="1"/>
  <c r="P87" i="12"/>
  <c r="N87" i="12"/>
  <c r="G87" i="12"/>
  <c r="R86" i="12"/>
  <c r="S86" i="12" s="1"/>
  <c r="U86" i="12"/>
  <c r="B82" i="19" s="1"/>
  <c r="C82" i="19" s="1"/>
  <c r="J86" i="12"/>
  <c r="K86" i="12" s="1"/>
  <c r="O87" i="12"/>
  <c r="F87" i="12"/>
  <c r="H87" i="12"/>
  <c r="A91" i="18"/>
  <c r="B90" i="18"/>
  <c r="C90" i="18" s="1"/>
  <c r="J85" i="18"/>
  <c r="K85" i="18" s="1"/>
  <c r="O86" i="18"/>
  <c r="F86" i="18"/>
  <c r="H86" i="18"/>
  <c r="R85" i="18"/>
  <c r="S85" i="18" s="1"/>
  <c r="G86" i="18"/>
  <c r="P86" i="18"/>
  <c r="N86" i="18"/>
  <c r="A91" i="12"/>
  <c r="B90" i="12"/>
  <c r="C90" i="12" s="1"/>
  <c r="D90" i="12" s="1"/>
  <c r="D90" i="18" l="1"/>
  <c r="V86" i="12"/>
  <c r="U87" i="12"/>
  <c r="B83" i="19" s="1"/>
  <c r="C83" i="19" s="1"/>
  <c r="V85" i="18"/>
  <c r="U86" i="18"/>
  <c r="E82" i="19" s="1"/>
  <c r="F82" i="19" s="1"/>
  <c r="P88" i="12"/>
  <c r="R87" i="12"/>
  <c r="S87" i="12" s="1"/>
  <c r="G88" i="12"/>
  <c r="N88" i="12"/>
  <c r="R86" i="18"/>
  <c r="S86" i="18" s="1"/>
  <c r="G87" i="18"/>
  <c r="N87" i="18"/>
  <c r="P87" i="18"/>
  <c r="A92" i="18"/>
  <c r="B91" i="18"/>
  <c r="C91" i="18" s="1"/>
  <c r="D91" i="18" s="1"/>
  <c r="J87" i="12"/>
  <c r="K87" i="12" s="1"/>
  <c r="O88" i="12"/>
  <c r="F88" i="12"/>
  <c r="H88" i="12"/>
  <c r="J86" i="18"/>
  <c r="K86" i="18" s="1"/>
  <c r="O87" i="18"/>
  <c r="F87" i="18"/>
  <c r="H87" i="18"/>
  <c r="A92" i="12"/>
  <c r="B91" i="12"/>
  <c r="C91" i="12" s="1"/>
  <c r="D91" i="12" l="1"/>
  <c r="V87" i="12"/>
  <c r="U87" i="18"/>
  <c r="E83" i="19" s="1"/>
  <c r="F83" i="19" s="1"/>
  <c r="V86" i="18"/>
  <c r="U88" i="12"/>
  <c r="B84" i="19" s="1"/>
  <c r="C84" i="19" s="1"/>
  <c r="F89" i="12"/>
  <c r="H89" i="12"/>
  <c r="O89" i="12"/>
  <c r="J88" i="12"/>
  <c r="K88" i="12" s="1"/>
  <c r="P89" i="12"/>
  <c r="G89" i="12"/>
  <c r="N89" i="12"/>
  <c r="R88" i="12"/>
  <c r="S88" i="12" s="1"/>
  <c r="A93" i="18"/>
  <c r="B92" i="18"/>
  <c r="C92" i="18" s="1"/>
  <c r="D92" i="18" s="1"/>
  <c r="J87" i="18"/>
  <c r="K87" i="18" s="1"/>
  <c r="O88" i="18"/>
  <c r="F88" i="18"/>
  <c r="H88" i="18"/>
  <c r="R87" i="18"/>
  <c r="S87" i="18" s="1"/>
  <c r="G88" i="18"/>
  <c r="P88" i="18"/>
  <c r="N88" i="18"/>
  <c r="A93" i="12"/>
  <c r="B92" i="12"/>
  <c r="C92" i="12" s="1"/>
  <c r="D92" i="12" l="1"/>
  <c r="V87" i="18"/>
  <c r="V88" i="12"/>
  <c r="U89" i="12"/>
  <c r="B85" i="19" s="1"/>
  <c r="C85" i="19" s="1"/>
  <c r="U88" i="18"/>
  <c r="E84" i="19" s="1"/>
  <c r="F84" i="19" s="1"/>
  <c r="A94" i="18"/>
  <c r="B93" i="18"/>
  <c r="C93" i="18" s="1"/>
  <c r="D93" i="18" s="1"/>
  <c r="O90" i="12"/>
  <c r="H90" i="12"/>
  <c r="J89" i="12"/>
  <c r="K89" i="12" s="1"/>
  <c r="F90" i="12"/>
  <c r="P90" i="12"/>
  <c r="R89" i="12"/>
  <c r="S89" i="12" s="1"/>
  <c r="N90" i="12"/>
  <c r="G90" i="12"/>
  <c r="J88" i="18"/>
  <c r="K88" i="18" s="1"/>
  <c r="O89" i="18"/>
  <c r="H89" i="18"/>
  <c r="F89" i="18"/>
  <c r="R88" i="18"/>
  <c r="S88" i="18" s="1"/>
  <c r="G89" i="18"/>
  <c r="N89" i="18"/>
  <c r="P89" i="18"/>
  <c r="A94" i="12"/>
  <c r="B93" i="12"/>
  <c r="C93" i="12" s="1"/>
  <c r="D93" i="12" l="1"/>
  <c r="V88" i="18"/>
  <c r="V89" i="12"/>
  <c r="U90" i="12"/>
  <c r="B86" i="19" s="1"/>
  <c r="C86" i="19" s="1"/>
  <c r="U89" i="18"/>
  <c r="E85" i="19" s="1"/>
  <c r="F85" i="19" s="1"/>
  <c r="R89" i="18"/>
  <c r="S89" i="18" s="1"/>
  <c r="G90" i="18"/>
  <c r="N90" i="18"/>
  <c r="P90" i="18"/>
  <c r="G91" i="12"/>
  <c r="P91" i="12"/>
  <c r="N91" i="12"/>
  <c r="R90" i="12"/>
  <c r="S90" i="12" s="1"/>
  <c r="A95" i="18"/>
  <c r="B94" i="18"/>
  <c r="C94" i="18" s="1"/>
  <c r="D94" i="18" s="1"/>
  <c r="J89" i="18"/>
  <c r="K89" i="18" s="1"/>
  <c r="O90" i="18"/>
  <c r="H90" i="18"/>
  <c r="F90" i="18"/>
  <c r="F91" i="12"/>
  <c r="H91" i="12"/>
  <c r="J90" i="12"/>
  <c r="K90" i="12" s="1"/>
  <c r="O91" i="12"/>
  <c r="A95" i="12"/>
  <c r="B94" i="12"/>
  <c r="C94" i="12" s="1"/>
  <c r="D94" i="12" l="1"/>
  <c r="V89" i="18"/>
  <c r="V90" i="12"/>
  <c r="U91" i="12"/>
  <c r="B87" i="19" s="1"/>
  <c r="C87" i="19" s="1"/>
  <c r="U90" i="18"/>
  <c r="E86" i="19" s="1"/>
  <c r="F86" i="19" s="1"/>
  <c r="R90" i="18"/>
  <c r="S90" i="18" s="1"/>
  <c r="G91" i="18"/>
  <c r="P91" i="18"/>
  <c r="N91" i="18"/>
  <c r="O92" i="12"/>
  <c r="J91" i="12"/>
  <c r="K91" i="12" s="1"/>
  <c r="F92" i="12"/>
  <c r="H92" i="12"/>
  <c r="A96" i="18"/>
  <c r="B95" i="18"/>
  <c r="C95" i="18" s="1"/>
  <c r="D95" i="18" s="1"/>
  <c r="J90" i="18"/>
  <c r="K90" i="18" s="1"/>
  <c r="O91" i="18"/>
  <c r="H91" i="18"/>
  <c r="F91" i="18"/>
  <c r="P92" i="12"/>
  <c r="G92" i="12"/>
  <c r="N92" i="12"/>
  <c r="R91" i="12"/>
  <c r="S91" i="12" s="1"/>
  <c r="A96" i="12"/>
  <c r="B95" i="12"/>
  <c r="C95" i="12" s="1"/>
  <c r="D95" i="12" l="1"/>
  <c r="V91" i="12"/>
  <c r="V90" i="18"/>
  <c r="U92" i="12"/>
  <c r="B88" i="19" s="1"/>
  <c r="C88" i="19" s="1"/>
  <c r="U91" i="18"/>
  <c r="E87" i="19" s="1"/>
  <c r="F87" i="19" s="1"/>
  <c r="P93" i="12"/>
  <c r="R92" i="12"/>
  <c r="S92" i="12" s="1"/>
  <c r="N93" i="12"/>
  <c r="G93" i="12"/>
  <c r="R91" i="18"/>
  <c r="S91" i="18" s="1"/>
  <c r="G92" i="18"/>
  <c r="P92" i="18"/>
  <c r="N92" i="18"/>
  <c r="A97" i="18"/>
  <c r="B96" i="18"/>
  <c r="C96" i="18" s="1"/>
  <c r="D96" i="18" s="1"/>
  <c r="O92" i="18"/>
  <c r="J91" i="18"/>
  <c r="K91" i="18" s="1"/>
  <c r="F92" i="18"/>
  <c r="H92" i="18"/>
  <c r="O93" i="12"/>
  <c r="F93" i="12"/>
  <c r="H93" i="12"/>
  <c r="J92" i="12"/>
  <c r="K92" i="12" s="1"/>
  <c r="A97" i="12"/>
  <c r="B96" i="12"/>
  <c r="C96" i="12" s="1"/>
  <c r="D96" i="12" l="1"/>
  <c r="V92" i="12"/>
  <c r="U93" i="12"/>
  <c r="B89" i="19" s="1"/>
  <c r="C89" i="19" s="1"/>
  <c r="U92" i="18"/>
  <c r="E88" i="19" s="1"/>
  <c r="F88" i="19" s="1"/>
  <c r="V91" i="18"/>
  <c r="J92" i="18"/>
  <c r="K92" i="18" s="1"/>
  <c r="O93" i="18"/>
  <c r="H93" i="18"/>
  <c r="F93" i="18"/>
  <c r="R92" i="18"/>
  <c r="S92" i="18" s="1"/>
  <c r="G93" i="18"/>
  <c r="N93" i="18"/>
  <c r="P93" i="18"/>
  <c r="O94" i="12"/>
  <c r="F94" i="12"/>
  <c r="H94" i="12"/>
  <c r="J93" i="12"/>
  <c r="K93" i="12" s="1"/>
  <c r="A98" i="18"/>
  <c r="B97" i="18"/>
  <c r="C97" i="18" s="1"/>
  <c r="R93" i="12"/>
  <c r="S93" i="12" s="1"/>
  <c r="N94" i="12"/>
  <c r="G94" i="12"/>
  <c r="P94" i="12"/>
  <c r="A98" i="12"/>
  <c r="B97" i="12"/>
  <c r="C97" i="12" s="1"/>
  <c r="D97" i="18" l="1"/>
  <c r="D97" i="12"/>
  <c r="V93" i="12"/>
  <c r="V92" i="18"/>
  <c r="U93" i="18"/>
  <c r="E89" i="19" s="1"/>
  <c r="F89" i="19" s="1"/>
  <c r="F95" i="12"/>
  <c r="H95" i="12"/>
  <c r="J94" i="12"/>
  <c r="K94" i="12" s="1"/>
  <c r="O95" i="12"/>
  <c r="J93" i="18"/>
  <c r="K93" i="18" s="1"/>
  <c r="O94" i="18"/>
  <c r="H94" i="18"/>
  <c r="F94" i="18"/>
  <c r="A99" i="18"/>
  <c r="B98" i="18"/>
  <c r="C98" i="18" s="1"/>
  <c r="P95" i="12"/>
  <c r="N95" i="12"/>
  <c r="R94" i="12"/>
  <c r="S94" i="12" s="1"/>
  <c r="G95" i="12"/>
  <c r="U94" i="12"/>
  <c r="R93" i="18"/>
  <c r="S93" i="18" s="1"/>
  <c r="G94" i="18"/>
  <c r="P94" i="18"/>
  <c r="N94" i="18"/>
  <c r="A99" i="12"/>
  <c r="B98" i="12"/>
  <c r="C98" i="12" s="1"/>
  <c r="D98" i="12" l="1"/>
  <c r="D98" i="18"/>
  <c r="V93" i="18"/>
  <c r="V94" i="12"/>
  <c r="B90" i="19"/>
  <c r="C90" i="19" s="1"/>
  <c r="U94" i="18"/>
  <c r="E90" i="19" s="1"/>
  <c r="F90" i="19" s="1"/>
  <c r="P96" i="12"/>
  <c r="R95" i="12"/>
  <c r="S95" i="12" s="1"/>
  <c r="G96" i="12"/>
  <c r="N96" i="12"/>
  <c r="G95" i="18"/>
  <c r="R94" i="18"/>
  <c r="S94" i="18" s="1"/>
  <c r="N95" i="18"/>
  <c r="P95" i="18"/>
  <c r="A100" i="18"/>
  <c r="B99" i="18"/>
  <c r="C99" i="18" s="1"/>
  <c r="D99" i="18" s="1"/>
  <c r="U95" i="12"/>
  <c r="B91" i="19" s="1"/>
  <c r="C91" i="19" s="1"/>
  <c r="J94" i="18"/>
  <c r="K94" i="18" s="1"/>
  <c r="O95" i="18"/>
  <c r="H95" i="18"/>
  <c r="F95" i="18"/>
  <c r="J95" i="12"/>
  <c r="K95" i="12" s="1"/>
  <c r="H96" i="12"/>
  <c r="O96" i="12"/>
  <c r="F96" i="12"/>
  <c r="A100" i="12"/>
  <c r="B99" i="12"/>
  <c r="C99" i="12" s="1"/>
  <c r="D99" i="12" l="1"/>
  <c r="V94" i="18"/>
  <c r="V95" i="12"/>
  <c r="U95" i="18"/>
  <c r="E91" i="19" s="1"/>
  <c r="F91" i="19" s="1"/>
  <c r="O96" i="18"/>
  <c r="J95" i="18"/>
  <c r="K95" i="18" s="1"/>
  <c r="H96" i="18"/>
  <c r="F96" i="18"/>
  <c r="R95" i="18"/>
  <c r="S95" i="18" s="1"/>
  <c r="G96" i="18"/>
  <c r="N96" i="18"/>
  <c r="P96" i="18"/>
  <c r="F97" i="12"/>
  <c r="H97" i="12"/>
  <c r="J96" i="12"/>
  <c r="K96" i="12" s="1"/>
  <c r="O97" i="12"/>
  <c r="U96" i="12"/>
  <c r="B92" i="19" s="1"/>
  <c r="C92" i="19" s="1"/>
  <c r="G97" i="12"/>
  <c r="P97" i="12"/>
  <c r="R96" i="12"/>
  <c r="S96" i="12" s="1"/>
  <c r="N97" i="12"/>
  <c r="B100" i="18"/>
  <c r="C100" i="18" s="1"/>
  <c r="D100" i="18" s="1"/>
  <c r="A101" i="18"/>
  <c r="A101" i="12"/>
  <c r="B100" i="12"/>
  <c r="C100" i="12" s="1"/>
  <c r="D100" i="12" l="1"/>
  <c r="V95" i="18"/>
  <c r="U96" i="18"/>
  <c r="E92" i="19" s="1"/>
  <c r="F92" i="19" s="1"/>
  <c r="V96" i="12"/>
  <c r="O98" i="12"/>
  <c r="F98" i="12"/>
  <c r="H98" i="12"/>
  <c r="J97" i="12"/>
  <c r="K97" i="12" s="1"/>
  <c r="A102" i="18"/>
  <c r="B101" i="18"/>
  <c r="C101" i="18" s="1"/>
  <c r="R97" i="12"/>
  <c r="S97" i="12" s="1"/>
  <c r="N98" i="12"/>
  <c r="G98" i="12"/>
  <c r="P98" i="12"/>
  <c r="G97" i="18"/>
  <c r="R96" i="18"/>
  <c r="S96" i="18" s="1"/>
  <c r="N97" i="18"/>
  <c r="P97" i="18"/>
  <c r="J96" i="18"/>
  <c r="K96" i="18" s="1"/>
  <c r="O97" i="18"/>
  <c r="H97" i="18"/>
  <c r="F97" i="18"/>
  <c r="U97" i="12"/>
  <c r="A102" i="12"/>
  <c r="B101" i="12"/>
  <c r="C101" i="12" s="1"/>
  <c r="D101" i="18" l="1"/>
  <c r="D101" i="12"/>
  <c r="V96" i="18"/>
  <c r="V97" i="12"/>
  <c r="B93" i="19"/>
  <c r="C93" i="19" s="1"/>
  <c r="U97" i="18"/>
  <c r="E93" i="19" s="1"/>
  <c r="F93" i="19" s="1"/>
  <c r="U98" i="12"/>
  <c r="B94" i="19" s="1"/>
  <c r="C94" i="19" s="1"/>
  <c r="J98" i="12"/>
  <c r="K98" i="12" s="1"/>
  <c r="F99" i="12"/>
  <c r="H99" i="12"/>
  <c r="O99" i="12"/>
  <c r="P99" i="12"/>
  <c r="G99" i="12"/>
  <c r="N99" i="12"/>
  <c r="R98" i="12"/>
  <c r="S98" i="12" s="1"/>
  <c r="O98" i="18"/>
  <c r="J97" i="18"/>
  <c r="K97" i="18" s="1"/>
  <c r="F98" i="18"/>
  <c r="H98" i="18"/>
  <c r="R97" i="18"/>
  <c r="S97" i="18" s="1"/>
  <c r="G98" i="18"/>
  <c r="P98" i="18"/>
  <c r="N98" i="18"/>
  <c r="B102" i="18"/>
  <c r="C102" i="18" s="1"/>
  <c r="A103" i="18"/>
  <c r="A103" i="12"/>
  <c r="B102" i="12"/>
  <c r="C102" i="12" s="1"/>
  <c r="D102" i="12" l="1"/>
  <c r="D102" i="18"/>
  <c r="V97" i="18"/>
  <c r="U99" i="12"/>
  <c r="B95" i="19" s="1"/>
  <c r="C95" i="19" s="1"/>
  <c r="V98" i="12"/>
  <c r="U98" i="18"/>
  <c r="E94" i="19" s="1"/>
  <c r="F94" i="19" s="1"/>
  <c r="G99" i="18"/>
  <c r="R98" i="18"/>
  <c r="S98" i="18" s="1"/>
  <c r="N99" i="18"/>
  <c r="P99" i="18"/>
  <c r="J98" i="18"/>
  <c r="K98" i="18" s="1"/>
  <c r="O99" i="18"/>
  <c r="H99" i="18"/>
  <c r="F99" i="18"/>
  <c r="J99" i="12"/>
  <c r="K99" i="12" s="1"/>
  <c r="O100" i="12"/>
  <c r="F100" i="12"/>
  <c r="H100" i="12"/>
  <c r="A104" i="18"/>
  <c r="B103" i="18"/>
  <c r="C103" i="18" s="1"/>
  <c r="G100" i="12"/>
  <c r="P100" i="12"/>
  <c r="R99" i="12"/>
  <c r="S99" i="12" s="1"/>
  <c r="N100" i="12"/>
  <c r="A104" i="12"/>
  <c r="B103" i="12"/>
  <c r="C103" i="12" s="1"/>
  <c r="D103" i="18" l="1"/>
  <c r="D103" i="12"/>
  <c r="V99" i="12"/>
  <c r="V98" i="18"/>
  <c r="U100" i="12"/>
  <c r="B96" i="19" s="1"/>
  <c r="C96" i="19" s="1"/>
  <c r="U99" i="18"/>
  <c r="E95" i="19" s="1"/>
  <c r="F95" i="19" s="1"/>
  <c r="B104" i="18"/>
  <c r="C104" i="18" s="1"/>
  <c r="A105" i="18"/>
  <c r="B105" i="18" s="1"/>
  <c r="C105" i="18" s="1"/>
  <c r="H101" i="12"/>
  <c r="O101" i="12"/>
  <c r="J100" i="12"/>
  <c r="K100" i="12" s="1"/>
  <c r="F101" i="12"/>
  <c r="R99" i="18"/>
  <c r="S99" i="18" s="1"/>
  <c r="G100" i="18"/>
  <c r="P100" i="18"/>
  <c r="N100" i="18"/>
  <c r="O100" i="18"/>
  <c r="J99" i="18"/>
  <c r="K99" i="18" s="1"/>
  <c r="F100" i="18"/>
  <c r="H100" i="18"/>
  <c r="P101" i="12"/>
  <c r="N101" i="12"/>
  <c r="R100" i="12"/>
  <c r="S100" i="12" s="1"/>
  <c r="G101" i="12"/>
  <c r="B104" i="12"/>
  <c r="C104" i="12" s="1"/>
  <c r="D104" i="12" s="1"/>
  <c r="A105" i="12"/>
  <c r="B105" i="12" s="1"/>
  <c r="C105" i="12" s="1"/>
  <c r="D105" i="12" l="1"/>
  <c r="D105" i="18"/>
  <c r="D104" i="18"/>
  <c r="V99" i="18"/>
  <c r="V100" i="12"/>
  <c r="U101" i="12"/>
  <c r="B97" i="19" s="1"/>
  <c r="C97" i="19" s="1"/>
  <c r="U100" i="18"/>
  <c r="E96" i="19" s="1"/>
  <c r="F96" i="19" s="1"/>
  <c r="J100" i="18"/>
  <c r="K100" i="18" s="1"/>
  <c r="O101" i="18"/>
  <c r="F101" i="18"/>
  <c r="H101" i="18"/>
  <c r="R100" i="18"/>
  <c r="S100" i="18" s="1"/>
  <c r="G101" i="18"/>
  <c r="N101" i="18"/>
  <c r="P101" i="18"/>
  <c r="P102" i="12"/>
  <c r="G102" i="12"/>
  <c r="R101" i="12"/>
  <c r="S101" i="12" s="1"/>
  <c r="N102" i="12"/>
  <c r="H102" i="12"/>
  <c r="F102" i="12"/>
  <c r="J101" i="12"/>
  <c r="K101" i="12" s="1"/>
  <c r="O102" i="12"/>
  <c r="V101" i="12" l="1"/>
  <c r="V100" i="18"/>
  <c r="U102" i="12"/>
  <c r="B98" i="19" s="1"/>
  <c r="C98" i="19" s="1"/>
  <c r="U101" i="18"/>
  <c r="E97" i="19" s="1"/>
  <c r="F97" i="19" s="1"/>
  <c r="P103" i="12"/>
  <c r="N103" i="12"/>
  <c r="G103" i="12"/>
  <c r="R102" i="12"/>
  <c r="S102" i="12" s="1"/>
  <c r="O102" i="18"/>
  <c r="J101" i="18"/>
  <c r="K101" i="18" s="1"/>
  <c r="F102" i="18"/>
  <c r="H102" i="18"/>
  <c r="H103" i="12"/>
  <c r="O103" i="12"/>
  <c r="J102" i="12"/>
  <c r="K102" i="12" s="1"/>
  <c r="F103" i="12"/>
  <c r="G102" i="18"/>
  <c r="R101" i="18"/>
  <c r="S101" i="18" s="1"/>
  <c r="P102" i="18"/>
  <c r="N102" i="18"/>
  <c r="V102" i="12" l="1"/>
  <c r="V101" i="18"/>
  <c r="U103" i="12"/>
  <c r="B99" i="19" s="1"/>
  <c r="C99" i="19" s="1"/>
  <c r="U102" i="18"/>
  <c r="E98" i="19" s="1"/>
  <c r="F98" i="19" s="1"/>
  <c r="P104" i="12"/>
  <c r="R103" i="12"/>
  <c r="S103" i="12" s="1"/>
  <c r="G104" i="12"/>
  <c r="N104" i="12"/>
  <c r="O104" i="12"/>
  <c r="J103" i="12"/>
  <c r="K103" i="12" s="1"/>
  <c r="F104" i="12"/>
  <c r="H104" i="12"/>
  <c r="G103" i="18"/>
  <c r="R102" i="18"/>
  <c r="S102" i="18" s="1"/>
  <c r="N103" i="18"/>
  <c r="P103" i="18"/>
  <c r="J102" i="18"/>
  <c r="K102" i="18" s="1"/>
  <c r="O103" i="18"/>
  <c r="F103" i="18"/>
  <c r="H103" i="18"/>
  <c r="V103" i="12" l="1"/>
  <c r="V102" i="18"/>
  <c r="U103" i="18"/>
  <c r="E99" i="19" s="1"/>
  <c r="F99" i="19" s="1"/>
  <c r="U104" i="12"/>
  <c r="B100" i="19" s="1"/>
  <c r="C100" i="19" s="1"/>
  <c r="N105" i="12"/>
  <c r="P105" i="12"/>
  <c r="R104" i="12"/>
  <c r="S104" i="12" s="1"/>
  <c r="G105" i="12"/>
  <c r="O104" i="18"/>
  <c r="J103" i="18"/>
  <c r="K103" i="18" s="1"/>
  <c r="F104" i="18"/>
  <c r="H104" i="18"/>
  <c r="R103" i="18"/>
  <c r="S103" i="18" s="1"/>
  <c r="G104" i="18"/>
  <c r="P104" i="18"/>
  <c r="N104" i="18"/>
  <c r="H105" i="12"/>
  <c r="J104" i="12"/>
  <c r="K104" i="12" s="1"/>
  <c r="F105" i="12"/>
  <c r="O105" i="12"/>
  <c r="V103" i="18" l="1"/>
  <c r="V104" i="12"/>
  <c r="U105" i="12"/>
  <c r="B101" i="19" s="1"/>
  <c r="C101" i="19" s="1"/>
  <c r="R105" i="12"/>
  <c r="S105" i="12" s="1"/>
  <c r="S107" i="12" s="1"/>
  <c r="U104" i="18"/>
  <c r="E100" i="19" s="1"/>
  <c r="F100" i="19" s="1"/>
  <c r="R104" i="18"/>
  <c r="S104" i="18" s="1"/>
  <c r="G105" i="18"/>
  <c r="P105" i="18"/>
  <c r="N105" i="18"/>
  <c r="J105" i="12"/>
  <c r="J104" i="18"/>
  <c r="K104" i="18" s="1"/>
  <c r="O105" i="18"/>
  <c r="H105" i="18"/>
  <c r="F105" i="18"/>
  <c r="V105" i="12" l="1"/>
  <c r="R107" i="12"/>
  <c r="R105" i="18"/>
  <c r="R107" i="18" s="1"/>
  <c r="V104" i="18"/>
  <c r="J105" i="18"/>
  <c r="U105" i="18"/>
  <c r="K105" i="12"/>
  <c r="K107" i="12" s="1"/>
  <c r="K108" i="12" s="1"/>
  <c r="J107" i="12"/>
  <c r="C41" i="10" l="1"/>
  <c r="C25" i="16"/>
  <c r="J107" i="18"/>
  <c r="J108" i="18" s="1"/>
  <c r="C26" i="10" s="1"/>
  <c r="K105" i="18"/>
  <c r="K107" i="18" s="1"/>
  <c r="J108" i="12"/>
  <c r="C24" i="10" s="1"/>
  <c r="S105" i="18"/>
  <c r="S107" i="18" s="1"/>
  <c r="V105" i="18"/>
  <c r="E101" i="19"/>
  <c r="F101" i="19" s="1"/>
  <c r="K108" i="18" l="1"/>
  <c r="C27" i="16" s="1"/>
  <c r="I6" i="12"/>
  <c r="I6" i="18"/>
  <c r="I7" i="18"/>
  <c r="I7" i="12"/>
  <c r="I8" i="12"/>
  <c r="I8" i="18"/>
  <c r="I9" i="12"/>
  <c r="I10" i="12"/>
  <c r="I9" i="18"/>
  <c r="I10" i="18"/>
  <c r="I11" i="12"/>
  <c r="I11" i="18"/>
  <c r="I12" i="18"/>
  <c r="I12" i="12"/>
  <c r="I13" i="18"/>
  <c r="I13" i="12"/>
  <c r="I14" i="12"/>
  <c r="I14" i="18"/>
  <c r="I15" i="12"/>
  <c r="I15" i="18"/>
  <c r="I16" i="18"/>
  <c r="I16" i="12"/>
  <c r="I17" i="18"/>
  <c r="I17" i="12"/>
  <c r="I18" i="12"/>
  <c r="I18" i="18"/>
  <c r="I19" i="12"/>
  <c r="I19" i="18"/>
  <c r="I20" i="12"/>
  <c r="I21" i="12"/>
  <c r="I20" i="18"/>
  <c r="I21" i="18"/>
  <c r="I22" i="12"/>
  <c r="I22" i="18"/>
  <c r="I23" i="12"/>
  <c r="I24" i="12"/>
  <c r="I23" i="18"/>
  <c r="I25" i="12"/>
  <c r="I24" i="18"/>
  <c r="I25" i="18"/>
  <c r="I26" i="12"/>
  <c r="I26" i="18"/>
  <c r="I27" i="12"/>
  <c r="I27" i="18"/>
  <c r="I28" i="12"/>
  <c r="I29" i="12"/>
  <c r="I28" i="18"/>
  <c r="I30" i="12"/>
  <c r="I29" i="18"/>
  <c r="I31" i="12"/>
  <c r="I30" i="18"/>
  <c r="I32" i="12"/>
  <c r="I31" i="18"/>
  <c r="I33" i="12"/>
  <c r="I32" i="18"/>
  <c r="I34" i="12"/>
  <c r="I33" i="18"/>
  <c r="I35" i="12"/>
  <c r="I34" i="18"/>
  <c r="I35" i="18"/>
  <c r="I36" i="12"/>
  <c r="I37" i="12"/>
  <c r="I36" i="18"/>
  <c r="I37" i="18"/>
  <c r="I38" i="12"/>
  <c r="I39" i="12"/>
  <c r="I38" i="18"/>
  <c r="I39" i="18"/>
  <c r="I40" i="12"/>
  <c r="I41" i="12"/>
  <c r="I40" i="18"/>
  <c r="I42" i="12"/>
  <c r="I41" i="18"/>
  <c r="I43" i="12"/>
  <c r="I42" i="18"/>
  <c r="I43" i="18"/>
  <c r="I44" i="12"/>
  <c r="I45" i="12"/>
  <c r="I44" i="18"/>
  <c r="I45" i="18"/>
  <c r="I46" i="12"/>
  <c r="I47" i="12"/>
  <c r="I46" i="18"/>
  <c r="I48" i="12"/>
  <c r="I47" i="18"/>
  <c r="I49" i="12"/>
  <c r="I48" i="18"/>
  <c r="I50" i="12"/>
  <c r="I49" i="18"/>
  <c r="I50" i="18"/>
  <c r="I51" i="12"/>
  <c r="I51" i="18"/>
  <c r="I52" i="12"/>
  <c r="I52" i="18"/>
  <c r="I53" i="12"/>
  <c r="I53" i="18"/>
  <c r="I54" i="12"/>
  <c r="I54" i="18"/>
  <c r="I55" i="12"/>
  <c r="I55" i="18"/>
  <c r="I56" i="12"/>
  <c r="I57" i="12"/>
  <c r="I56" i="18"/>
  <c r="I58" i="12"/>
  <c r="I57" i="18"/>
  <c r="I58" i="18"/>
  <c r="I59" i="12"/>
  <c r="I59" i="18"/>
  <c r="I60" i="12"/>
  <c r="I61" i="12"/>
  <c r="I60" i="18"/>
  <c r="I61" i="18"/>
  <c r="I62" i="12"/>
  <c r="I62" i="18"/>
  <c r="I63" i="12"/>
  <c r="I63" i="18"/>
  <c r="I64" i="12"/>
  <c r="I64" i="18"/>
  <c r="I65" i="12"/>
  <c r="I65" i="18"/>
  <c r="I66" i="12"/>
  <c r="I67" i="12"/>
  <c r="I66" i="18"/>
  <c r="I67" i="18"/>
  <c r="I68" i="12"/>
  <c r="I69" i="12"/>
  <c r="I68" i="18"/>
  <c r="I70" i="12"/>
  <c r="I69" i="18"/>
  <c r="I71" i="12"/>
  <c r="I70" i="18"/>
  <c r="I71" i="18"/>
  <c r="I72" i="12"/>
  <c r="I72" i="18"/>
  <c r="I73" i="12"/>
  <c r="I73" i="18"/>
  <c r="I74" i="12"/>
  <c r="I75" i="12"/>
  <c r="I74" i="18"/>
  <c r="I76" i="12"/>
  <c r="I75" i="18"/>
  <c r="I77" i="12"/>
  <c r="I76" i="18"/>
  <c r="I77" i="18"/>
  <c r="I78" i="12"/>
  <c r="I78" i="18"/>
  <c r="I79" i="12"/>
  <c r="I80" i="12"/>
  <c r="I79" i="18"/>
  <c r="I80" i="18"/>
  <c r="I81" i="12"/>
  <c r="I81" i="18"/>
  <c r="I82" i="12"/>
  <c r="I83" i="12"/>
  <c r="I82" i="18"/>
  <c r="I83" i="18"/>
  <c r="I84" i="12"/>
  <c r="I84" i="18"/>
  <c r="I85" i="12"/>
  <c r="I85" i="18"/>
  <c r="I86" i="12"/>
  <c r="I87" i="12"/>
  <c r="I86" i="18"/>
  <c r="I88" i="12"/>
  <c r="I87" i="18"/>
  <c r="I89" i="12"/>
  <c r="I88" i="18"/>
  <c r="I90" i="12"/>
  <c r="I89" i="18"/>
  <c r="I90" i="18"/>
  <c r="I91" i="12"/>
  <c r="I91" i="18"/>
  <c r="I92" i="12"/>
  <c r="I93" i="12"/>
  <c r="I92" i="18"/>
  <c r="I94" i="12"/>
  <c r="I93" i="18"/>
  <c r="I95" i="12"/>
  <c r="I94" i="18"/>
  <c r="I95" i="18"/>
  <c r="I96" i="12"/>
  <c r="I97" i="12"/>
  <c r="I96" i="18"/>
  <c r="I97" i="18"/>
  <c r="I98" i="12"/>
  <c r="I99" i="12"/>
  <c r="I98" i="18"/>
  <c r="I100" i="12"/>
  <c r="I99" i="18"/>
  <c r="I100" i="18"/>
  <c r="I101" i="12"/>
  <c r="I102" i="12"/>
  <c r="I101" i="18"/>
  <c r="I102" i="18"/>
  <c r="I103" i="12"/>
  <c r="I104" i="12"/>
  <c r="I103" i="18"/>
  <c r="I105" i="12"/>
  <c r="I104" i="18"/>
  <c r="I105" i="18"/>
  <c r="Q6" i="12"/>
  <c r="Q6" i="18"/>
  <c r="Q7" i="12"/>
  <c r="Q7" i="18"/>
  <c r="Q8" i="18"/>
  <c r="Q8" i="12"/>
  <c r="Q9" i="12"/>
  <c r="Q9" i="18"/>
  <c r="Q10" i="12"/>
  <c r="Q10" i="18"/>
  <c r="Q11" i="18"/>
  <c r="Q11" i="12"/>
  <c r="Q12" i="12"/>
  <c r="Q12" i="18"/>
  <c r="Q13" i="12"/>
  <c r="Q13" i="18"/>
  <c r="Q14" i="18"/>
  <c r="Q14" i="12"/>
  <c r="Q15" i="12"/>
  <c r="Q15" i="18"/>
  <c r="Q16" i="12"/>
  <c r="Q16" i="18"/>
  <c r="Q17" i="12"/>
  <c r="Q17" i="18"/>
  <c r="Q18" i="12"/>
  <c r="Q18" i="18"/>
  <c r="Q19" i="12"/>
  <c r="Q19" i="18"/>
  <c r="Q20" i="12"/>
  <c r="Q21" i="12"/>
  <c r="Q20" i="18"/>
  <c r="Q22" i="12"/>
  <c r="Q21" i="18"/>
  <c r="Q23" i="12"/>
  <c r="Q22" i="18"/>
  <c r="Q23" i="18"/>
  <c r="Q24" i="12"/>
  <c r="Q24" i="18"/>
  <c r="Q25" i="12"/>
  <c r="Q25" i="18"/>
  <c r="Q26" i="12"/>
  <c r="Q27" i="12"/>
  <c r="Q26" i="18"/>
  <c r="Q28" i="12"/>
  <c r="Q27" i="18"/>
  <c r="Q28" i="18"/>
  <c r="Q29" i="12"/>
  <c r="Q30" i="12"/>
  <c r="Q29" i="18"/>
  <c r="Q30" i="18"/>
  <c r="Q31" i="12"/>
  <c r="Q32" i="12"/>
  <c r="Q31" i="18"/>
  <c r="Q33" i="12"/>
  <c r="Q32" i="18"/>
  <c r="Q33" i="18"/>
  <c r="Q34" i="12"/>
  <c r="Q34" i="18"/>
  <c r="Q35" i="12"/>
  <c r="Q35" i="18"/>
  <c r="Q36" i="12"/>
  <c r="Q36" i="18"/>
  <c r="Q37" i="12"/>
  <c r="Q37" i="18"/>
  <c r="Q38" i="12"/>
  <c r="Q38" i="18"/>
  <c r="Q39" i="12"/>
  <c r="Q40" i="12"/>
  <c r="Q39" i="18"/>
  <c r="Q41" i="12"/>
  <c r="Q40" i="18"/>
  <c r="Q41" i="18"/>
  <c r="Q42" i="12"/>
  <c r="Q42" i="18"/>
  <c r="Q43" i="12"/>
  <c r="Q44" i="12"/>
  <c r="Q43" i="18"/>
  <c r="Q45" i="12"/>
  <c r="Q44" i="18"/>
  <c r="Q45" i="18"/>
  <c r="Q46" i="12"/>
  <c r="Q46" i="18"/>
  <c r="Q47" i="12"/>
  <c r="Q48" i="12"/>
  <c r="Q47" i="18"/>
  <c r="Q48" i="18"/>
  <c r="Q49" i="12"/>
  <c r="Q49" i="18"/>
  <c r="Q50" i="12"/>
  <c r="Q50" i="18"/>
  <c r="Q51" i="12"/>
  <c r="Q51" i="18"/>
  <c r="Q52" i="12"/>
  <c r="Q52" i="18"/>
  <c r="Q53" i="12"/>
  <c r="Q54" i="12"/>
  <c r="Q53" i="18"/>
  <c r="Q55" i="12"/>
  <c r="Q54" i="18"/>
  <c r="Q56" i="12"/>
  <c r="Q55" i="18"/>
  <c r="Q57" i="12"/>
  <c r="Q56" i="18"/>
  <c r="Q57" i="18"/>
  <c r="Q58" i="12"/>
  <c r="Q59" i="12"/>
  <c r="Q58" i="18"/>
  <c r="Q59" i="18"/>
  <c r="Q60" i="12"/>
  <c r="Q60" i="18"/>
  <c r="Q61" i="12"/>
  <c r="Q61" i="18"/>
  <c r="Q62" i="12"/>
  <c r="Q63" i="12"/>
  <c r="Q62" i="18"/>
  <c r="Q64" i="12"/>
  <c r="Q63" i="18"/>
  <c r="Q65" i="12"/>
  <c r="Q64" i="18"/>
  <c r="Q65" i="18"/>
  <c r="Q66" i="12"/>
  <c r="Q67" i="12"/>
  <c r="Q66" i="18"/>
  <c r="Q68" i="12"/>
  <c r="Q67" i="18"/>
  <c r="Q68" i="18"/>
  <c r="Q69" i="12"/>
  <c r="Q69" i="18"/>
  <c r="Q70" i="12"/>
  <c r="Q70" i="18"/>
  <c r="Q71" i="12"/>
  <c r="Q71" i="18"/>
  <c r="Q72" i="12"/>
  <c r="Q73" i="12"/>
  <c r="Q72" i="18"/>
  <c r="Q73" i="18"/>
  <c r="Q74" i="12"/>
  <c r="Q75" i="12"/>
  <c r="Q74" i="18"/>
  <c r="Q76" i="12"/>
  <c r="Q75" i="18"/>
  <c r="Q76" i="18"/>
  <c r="Q77" i="12"/>
  <c r="Q77" i="18"/>
  <c r="Q78" i="12"/>
  <c r="Q78" i="18"/>
  <c r="Q79" i="12"/>
  <c r="Q79" i="18"/>
  <c r="Q80" i="12"/>
  <c r="Q81" i="12"/>
  <c r="Q80" i="18"/>
  <c r="Q82" i="12"/>
  <c r="Q81" i="18"/>
  <c r="Q83" i="12"/>
  <c r="Q82" i="18"/>
  <c r="Q84" i="12"/>
  <c r="Q83" i="18"/>
  <c r="Q84" i="18"/>
  <c r="Q85" i="12"/>
  <c r="Q86" i="12"/>
  <c r="Q85" i="18"/>
  <c r="Q87" i="12"/>
  <c r="Q86" i="18"/>
  <c r="Q88" i="12"/>
  <c r="Q87" i="18"/>
  <c r="Q88" i="18"/>
  <c r="Q89" i="12"/>
  <c r="Q90" i="12"/>
  <c r="Q89" i="18"/>
  <c r="Q90" i="18"/>
  <c r="Q91" i="12"/>
  <c r="Q91" i="18"/>
  <c r="Q92" i="12"/>
  <c r="Q92" i="18"/>
  <c r="Q93" i="12"/>
  <c r="Q93" i="18"/>
  <c r="Q94" i="12"/>
  <c r="Q95" i="12"/>
  <c r="Q94" i="18"/>
  <c r="Q96" i="12"/>
  <c r="Q95" i="18"/>
  <c r="Q96" i="18"/>
  <c r="Q97" i="12"/>
  <c r="Q97" i="18"/>
  <c r="Q98" i="12"/>
  <c r="Q98" i="18"/>
  <c r="Q99" i="12"/>
  <c r="Q100" i="12"/>
  <c r="Q99" i="18"/>
  <c r="Q101" i="12"/>
  <c r="Q100" i="18"/>
  <c r="Q101" i="18"/>
  <c r="Q102" i="12"/>
  <c r="Q102" i="18"/>
  <c r="Q103" i="12"/>
  <c r="Q103" i="18"/>
  <c r="Q104" i="12"/>
  <c r="Q105" i="12"/>
  <c r="Q104" i="18"/>
  <c r="Q105" i="18"/>
  <c r="C43" i="10" l="1"/>
  <c r="C29" i="16" s="1"/>
  <c r="Q107" i="12"/>
  <c r="Q107" i="18"/>
  <c r="I107" i="18"/>
  <c r="I107" i="12"/>
  <c r="I108" i="12" l="1"/>
  <c r="I108" i="18"/>
  <c r="C6" i="10" l="1"/>
  <c r="C6" i="16" s="1"/>
  <c r="F6" i="16" s="1"/>
  <c r="C19" i="16"/>
  <c r="C8" i="10"/>
  <c r="C10" i="16" s="1"/>
  <c r="C21" i="16"/>
  <c r="C23" i="16" l="1"/>
  <c r="C8" i="16"/>
  <c r="F8" i="16" s="1"/>
</calcChain>
</file>

<file path=xl/sharedStrings.xml><?xml version="1.0" encoding="utf-8"?>
<sst xmlns="http://schemas.openxmlformats.org/spreadsheetml/2006/main" count="388" uniqueCount="284">
  <si>
    <t>HEALTH INTERVENTION AND TECHNOLOGY ASSESSMENT PROGRAM FOUNDATION (HITAP)</t>
  </si>
  <si>
    <t xml:space="preserve">Basic template for cost effectiveness analysis of kidney replacement therapy for kidney failure </t>
  </si>
  <si>
    <r>
      <rPr>
        <b/>
        <sz val="12"/>
        <color theme="1"/>
        <rFont val="Aptos Narrow"/>
        <family val="2"/>
        <scheme val="minor"/>
      </rPr>
      <t>Authors</t>
    </r>
    <r>
      <rPr>
        <sz val="12"/>
        <color theme="1"/>
        <rFont val="Aptos Narrow"/>
        <family val="2"/>
        <scheme val="minor"/>
      </rPr>
      <t>: Aye Nandar Myint &amp; Chotika Suwanpanich</t>
    </r>
  </si>
  <si>
    <t>Contact the authors at: https://gear4health.com/</t>
  </si>
  <si>
    <r>
      <rPr>
        <b/>
        <sz val="11"/>
        <color theme="1"/>
        <rFont val="Aptos Narrow"/>
        <family val="2"/>
        <scheme val="minor"/>
      </rPr>
      <t xml:space="preserve">Acknowledgments: </t>
    </r>
    <r>
      <rPr>
        <sz val="11"/>
        <color theme="1"/>
        <rFont val="Aptos Narrow"/>
        <family val="2"/>
        <scheme val="minor"/>
      </rPr>
      <t xml:space="preserve">Martin Meltzer, Siobhan Botwright, Yot Teerawattananon, 
Panji Hadisoemarto, Brandon Chua Wen Bing, Kinanti Khansa Chavarina, Valerie Luyckx, Lim Chiao Yuen, Ijeoma Edoka, Kridsada Charoenrungrueangchai </t>
    </r>
  </si>
  <si>
    <t>Version 1.0</t>
  </si>
  <si>
    <t>Date of this version:</t>
  </si>
  <si>
    <t>Overview</t>
  </si>
  <si>
    <t>This sheet provides overveiw of the steps involved in conducting the health economic evaluation of kidney replacement therapy for kidney failure patients.</t>
  </si>
  <si>
    <t>Description</t>
  </si>
  <si>
    <t>Steps</t>
  </si>
  <si>
    <t xml:space="preserve">The Introduction sheet provides users with an overview of the background and explains the icons used throughout the workbook. It indicates where inputs are required and guides users on where to find additional information.
</t>
  </si>
  <si>
    <t>1.Introduction</t>
  </si>
  <si>
    <t>The Question sheet presents information on the policy and research questions, including detailed breakdowns of the population, interventions (policy options), comparators, and study outcomes.</t>
  </si>
  <si>
    <t>2.Questions</t>
  </si>
  <si>
    <t>Once the study question is defined, the next step is to create the Markov model diagram, which includes an explanation of the health states and the transitions between them.</t>
  </si>
  <si>
    <t>3.Model Structure</t>
  </si>
  <si>
    <t>Based on the model structure, users need to add the epidemiological data in this sheet, including transition probabilities between health states, complication rates, and death rates.</t>
  </si>
  <si>
    <t>4.Epidemiology</t>
  </si>
  <si>
    <t>Along with the transition data, survival data is required for estimating the cost and health outcomes.</t>
  </si>
  <si>
    <t>5.Survival</t>
  </si>
  <si>
    <t>The next step is to input the cost data for HD, PD, and palliative care accordingly in the sheet '6.1.CostComponent'</t>
  </si>
  <si>
    <t>6.Cost</t>
  </si>
  <si>
    <t xml:space="preserve">In this sheet, users should input the 'utility' values, which will be used to estimate QALYs in the final analysis.
</t>
  </si>
  <si>
    <t>7.Outcome</t>
  </si>
  <si>
    <t>Once the cost and outcome data are obtained, add the discount rates for the analysis.</t>
  </si>
  <si>
    <t>8.Discounting</t>
  </si>
  <si>
    <t>When the above parameters are applied in the Markov (Policy Option) sheets, the total lifetime cost and health outcomes (LYs, QALYs) of each policy option will be generated and automatically linked to this sheet.</t>
  </si>
  <si>
    <t>9.TotalCostOutcome</t>
  </si>
  <si>
    <t>Based on the total cost and outcomes from the previous steps, the final incremental cost-effectiveness result will be automatically generated in this sheet.</t>
  </si>
  <si>
    <t>10.FinalResults</t>
  </si>
  <si>
    <t>Three appendix model sheets provide detailed estimations of the costs and health outcomes for each policy option, allowing for further exploration.</t>
  </si>
  <si>
    <t>Appendix.11.PolicyOptions1-3 Model</t>
  </si>
  <si>
    <t>Glossary</t>
  </si>
  <si>
    <t>Acronym/Term</t>
  </si>
  <si>
    <t>Full Form</t>
  </si>
  <si>
    <t>Working definition for the model</t>
  </si>
  <si>
    <t>ESRD*</t>
  </si>
  <si>
    <t>End Stage Renal Disease</t>
  </si>
  <si>
    <t>ESRD is the most advanced stage in chronic kidney disease, at which stage kidney replacement therapies (KRT) are usually required to extend a patient’s life.</t>
  </si>
  <si>
    <t>Palliative Care</t>
  </si>
  <si>
    <t>Conservative care that focuses on active symptom management and minimizing adverse events, for patients who choose not to undergo dialysis or for whom dialysis is not a suitable option.</t>
  </si>
  <si>
    <t>HD</t>
  </si>
  <si>
    <t>Hemodialysis</t>
  </si>
  <si>
    <t>HD requires a specialized machine to ‘clean’ the blood for 4-5 hours every 2-3 days, and a vascular access (catheter, arteriovenous fistula or graft) to circulate blood from the patient through the machine and back. HD can be carried out in a hospital, dialysis center, a satellite unit, or in a patient’s home.</t>
  </si>
  <si>
    <t>PD</t>
  </si>
  <si>
    <t>Peritoneal Dialysis</t>
  </si>
  <si>
    <t>Peritoneal dialysis has two main treatment varieties, either with manual exchange of dialysis fluid (continuous ambulatory peritoneal dialysis—CAPD) or with automated exchange of dialysis fluid at night. Only CAPD was offered in Thailand during that time and has been included in the analysis.</t>
  </si>
  <si>
    <t>LYs</t>
  </si>
  <si>
    <t>Life Years</t>
  </si>
  <si>
    <t>Life Years refer to the total number of years a person or cohort is expected to live under different policy options.</t>
  </si>
  <si>
    <t>QALYs</t>
  </si>
  <si>
    <t>Quality Adjusted Life Years</t>
  </si>
  <si>
    <t>QALYs combine the quantity (Life years) and quality of life into a single value to assess the effectiveness of healthcare interventions.</t>
  </si>
  <si>
    <t>*Kidney Failure is referred to as 'ESRD' in the template.</t>
  </si>
  <si>
    <t>INTRODUCTION</t>
  </si>
  <si>
    <t>About the Tool</t>
  </si>
  <si>
    <t>This tool is based on a 2007 publication assessing the cost-effectiveness of dialysis policies in Thailand. The purpose of the tool is to show the principles of conducting an economic evaluation for kidney failure policies. Inputs to the model may be updated by the user with country-specific data. However, we recommend the development of a model specific to your jurisdiction and policy question for any economic evaluation intended to inform policy.</t>
  </si>
  <si>
    <t>Instruction</t>
  </si>
  <si>
    <t>Click the yellow cells and enter your values; they are pre-populated with illustrative numbers or suggested default values.</t>
  </si>
  <si>
    <t>Grey cells contain a formula or calculation; they will be automatically updated based on user entries in the yellow cells.</t>
  </si>
  <si>
    <t xml:space="preserve">Blue cells are linked to other pages that contain detailed calculations or assumed default parameters. </t>
  </si>
  <si>
    <t xml:space="preserve">Click the arrow buttons on the upper right corner to navigate through the tool. </t>
  </si>
  <si>
    <t xml:space="preserve">Click the icons to see general information, definitions and detailed explanations of the corresponding page. </t>
  </si>
  <si>
    <t>Background</t>
  </si>
  <si>
    <t>The Health Intervention and Technology Assessment Program Foundation (HITAP) is a  research unit under Thailand’s Ministry of Public Health, established in 2007 to evaluate health technologies and policies to inform policy decisions. HITAP supports lower and middle income countries (LMICs) in building capacity for evidence-informed health decision-making and has assisted countries in the ASEAN and African regions in conducting cost-effectiveness analyses of kidney replacement therapy. This tool offers a simplified framework to assist researchers in LMICs in performing similar studies within their local context.</t>
  </si>
  <si>
    <t>Descriptions of Health Outcomes Considered in this Model</t>
  </si>
  <si>
    <t>Life years (LYs)</t>
  </si>
  <si>
    <t>Life Years refer to the total number of years a person or cohort is expected to live. This type of outcome does not adjust for the quality of life.</t>
  </si>
  <si>
    <t>Quality Adjusted Life Years (QALYs)</t>
  </si>
  <si>
    <t>QALYs combine the quantity (Life years) and quality of life into a single value to assess the effectiveness of healthcare interventions</t>
  </si>
  <si>
    <t>STUDY QUESTIONS</t>
  </si>
  <si>
    <t>Policy question</t>
  </si>
  <si>
    <t>Should dialysis be fully reimbursed for all beneficiaries with kidney failure registered under the Universal Coverage Scheme in Thailand?</t>
  </si>
  <si>
    <t xml:space="preserve">Research question </t>
  </si>
  <si>
    <t>Is either a haemodialysis-first (HD-first) or Continuous Ambulatory Peritoneal Dialysis first (PD-first) policy for patients under Universal Coverage Scheme cost-effective compared to the current practice (palliative care) in Thailand?</t>
  </si>
  <si>
    <t xml:space="preserve">Population </t>
  </si>
  <si>
    <t>End Stage Renal Disease (ESRD) patients aged 20-70 registered under the Universal Coverage Scheme in Thailand.</t>
  </si>
  <si>
    <t>Policy option 1</t>
  </si>
  <si>
    <t>Continuous Ambulatory Peritoneal Dialysis (CAPD) first policy</t>
  </si>
  <si>
    <t>Policy option 2</t>
  </si>
  <si>
    <t>Haemodialysis (HD) first policy</t>
  </si>
  <si>
    <t>Comparator</t>
  </si>
  <si>
    <t>Current standard practice (palliative care,  which includes restricted fluid intake, high-dose diuretic, antihypertensive drugs, calcium, bicarbonate, ferrous sulfate, blood transfusion, and hospital admission, if required)</t>
  </si>
  <si>
    <t>Outcome</t>
  </si>
  <si>
    <t>LYs, QALYs</t>
  </si>
  <si>
    <t>Time horizon</t>
  </si>
  <si>
    <t>99 years</t>
  </si>
  <si>
    <t>SCHEMATIC DIAGRAM OF THE MODEL</t>
  </si>
  <si>
    <t>Health states are represented by ovals and transitions between states are represented by arrows</t>
  </si>
  <si>
    <r>
      <t>Movement #</t>
    </r>
    <r>
      <rPr>
        <sz val="11"/>
        <color theme="0"/>
        <rFont val="Aptos Display"/>
        <family val="2"/>
        <scheme val="major"/>
      </rPr>
      <t> </t>
    </r>
  </si>
  <si>
    <r>
      <t>Description</t>
    </r>
    <r>
      <rPr>
        <sz val="11"/>
        <color theme="0"/>
        <rFont val="Aptos Display"/>
        <family val="2"/>
        <scheme val="major"/>
      </rPr>
      <t> </t>
    </r>
  </si>
  <si>
    <t>1 </t>
  </si>
  <si>
    <t>Patient enters the model into the “Initial mode of dialysis” i.e. either PD or HD </t>
  </si>
  <si>
    <t>2.1 </t>
  </si>
  <si>
    <t>Patient moves from the “Initial mode of dialysis” to the other mode of dialysis in health state “Switching to another mode of dialysis” during the cycle due to complications or other reasons </t>
  </si>
  <si>
    <t>2.2 </t>
  </si>
  <si>
    <t>Patient moves back from the health state “Switching to another mode of dialysis” to the “Initial mode of dialysis” during the cycle due to complications or other reasons</t>
  </si>
  <si>
    <t>3 </t>
  </si>
  <si>
    <t>Patient stays in the “Initial mode of dialysis” during the cycle </t>
  </si>
  <si>
    <t>4 </t>
  </si>
  <si>
    <t>Patient stays in the “Switching to another mode of dialysis” during the cycle </t>
  </si>
  <si>
    <t>Patient moves from “Initial mode of dialysis” to “Death” during the cycle due to complications or other reasons </t>
  </si>
  <si>
    <t>Patient moves from “Switching to another mode of dialysis” to “Death” during the cycle due to complications or other reasons </t>
  </si>
  <si>
    <r>
      <rPr>
        <b/>
        <sz val="11"/>
        <rFont val="Aptos Display"/>
        <family val="2"/>
        <scheme val="major"/>
      </rPr>
      <t xml:space="preserve">Note: </t>
    </r>
    <r>
      <rPr>
        <sz val="11"/>
        <rFont val="Aptos Display"/>
        <family val="2"/>
        <scheme val="major"/>
      </rPr>
      <t xml:space="preserve">The model allows patients to move from one state to another once every year. (1 cycle = 1 year) </t>
    </r>
  </si>
  <si>
    <t>Below are three Markov model structures representing HD-first, PD-first, and palliative care policies. Each diagram illustrates patient transitions between states, including death, based on the chosen policy. These models serve as a foundation for developing Markov sheets and incorporating calculations to estimate cost-effectiveness, as detailed in the appendix (Sheet12.PolicyOptions).</t>
  </si>
  <si>
    <t>Model structure for HD-first policy</t>
  </si>
  <si>
    <t>Model structure for PD-first policy</t>
  </si>
  <si>
    <t>Model structure for Palliative care</t>
  </si>
  <si>
    <t>Patient enters the model into the “Conservative treatment"</t>
  </si>
  <si>
    <t>Patient stays in the Palliative Care” during the cycle </t>
  </si>
  <si>
    <t>Patient moves from “conservative treatment” to “Death” during the cycle due to complications or other reasons </t>
  </si>
  <si>
    <r>
      <rPr>
        <b/>
        <sz val="11"/>
        <rFont val="Aptos Display"/>
        <family val="2"/>
        <scheme val="major"/>
      </rPr>
      <t xml:space="preserve">Note: </t>
    </r>
    <r>
      <rPr>
        <sz val="11"/>
        <rFont val="Aptos Display"/>
        <family val="2"/>
        <scheme val="major"/>
      </rPr>
      <t xml:space="preserve">The model allows patients to move from one state to another once every month. (1 cycle = 1 month) 															</t>
    </r>
  </si>
  <si>
    <t>EPIDEMIOLOGY: age, transitional probabilities, and rate of complications</t>
  </si>
  <si>
    <t>Value</t>
  </si>
  <si>
    <t>Data source</t>
  </si>
  <si>
    <t xml:space="preserve">Monthly transitional probability of death among ESRD patients receiving palliative care </t>
  </si>
  <si>
    <t>Expert opinion</t>
  </si>
  <si>
    <t>Rate (per year) of peritonitis among PD patients</t>
  </si>
  <si>
    <t xml:space="preserve">Waongsiripisan et al (2003) </t>
  </si>
  <si>
    <r>
      <rPr>
        <b/>
        <sz val="10"/>
        <color theme="4" tint="-0.499984740745262"/>
        <rFont val="Aptos Narrow"/>
        <family val="2"/>
        <scheme val="minor"/>
      </rPr>
      <t xml:space="preserve">Note: </t>
    </r>
    <r>
      <rPr>
        <sz val="10"/>
        <color theme="4" tint="-0.499984740745262"/>
        <rFont val="Aptos Narrow"/>
        <family val="2"/>
        <scheme val="minor"/>
      </rPr>
      <t>you may update this parameter to include other complications (e.g. blocked peritoneal dialysis catheters)</t>
    </r>
  </si>
  <si>
    <t>Rate (per year) of vascular access related conditions among HD patients</t>
  </si>
  <si>
    <t>Brunori G et al; Sriwajana, P; and Polth D.W. et al</t>
  </si>
  <si>
    <t>Annual probability of switching from HD to PD</t>
  </si>
  <si>
    <t>Thailand Registry of Renal Replacement Therapy</t>
  </si>
  <si>
    <t>Annual probability of switching from PD to HD in the first year</t>
  </si>
  <si>
    <t>Mean age of patient starting dialysis</t>
  </si>
  <si>
    <r>
      <rPr>
        <b/>
        <sz val="10"/>
        <color theme="4" tint="-0.499984740745262"/>
        <rFont val="Aptos Narrow"/>
        <family val="2"/>
        <scheme val="minor"/>
      </rPr>
      <t xml:space="preserve">Note: </t>
    </r>
    <r>
      <rPr>
        <sz val="10"/>
        <color theme="4" tint="-0.499984740745262"/>
        <rFont val="Aptos Narrow"/>
        <family val="2"/>
        <scheme val="minor"/>
      </rPr>
      <t>if you change the starting age, the patient's survival will be affected. You can view the survival graph in Sheet 5.</t>
    </r>
  </si>
  <si>
    <t>SURVlVAL: Survival parameters</t>
  </si>
  <si>
    <t>Yes</t>
  </si>
  <si>
    <t>Do you have longitudinal patient-level data, such as data from renal dialysis registries? (select options yes/no)</t>
  </si>
  <si>
    <t>No</t>
  </si>
  <si>
    <t xml:space="preserve">*For methodological details, please refer to </t>
  </si>
  <si>
    <t xml:space="preserve">Teerawattananon Y et al., (2007), </t>
  </si>
  <si>
    <t>Box 1: Values used to calculate survival curve</t>
  </si>
  <si>
    <t>Constant in survival analysis for baseline hazard</t>
  </si>
  <si>
    <t>Age coefficient in survival analysis for baseline hazard</t>
  </si>
  <si>
    <t>Ancilliary parameter in Weibull distribution</t>
  </si>
  <si>
    <t>Lambda parameter survival analysis (depends on chosen mix of above coefficients)</t>
  </si>
  <si>
    <t xml:space="preserve">calculation </t>
  </si>
  <si>
    <t>*The Weibull distribution was selected because it best represents the renal registry data from Thailand. However, if your data fits a different distribution, such as exponential or Gompertz, you can choose to use those models instead.</t>
  </si>
  <si>
    <t>Box 2: Probability of death whilst receiving regular hemodialysis</t>
  </si>
  <si>
    <t xml:space="preserve">Probability of death in dialysis patients (per year) </t>
  </si>
  <si>
    <t>Survival curve for patients under an HD-first or PD-first policy</t>
  </si>
  <si>
    <t>Survival curve for palliative care patients</t>
  </si>
  <si>
    <t>*The results are based on data from Teerawattananon Y et al. (2007), which are specific to the Thai context and the age dependence of initial dialysis. Without adjustment, these findings may not be directly generalisable to other countries or settings.</t>
  </si>
  <si>
    <t xml:space="preserve">*The results are based on data from Teerawattananon Y et al. (2007), which are specific to the Thai context and the age dependence of initial dialysis. Without adjustment, these findings may not be directly generalisable to other countries or settings.	</t>
  </si>
  <si>
    <t>COSTS: Inputs to calculate costs</t>
  </si>
  <si>
    <t>What is the currency employed for the cost data?</t>
  </si>
  <si>
    <t>international dollar</t>
  </si>
  <si>
    <t>If you have additional cost components beyond those listed, you may consider adapting this table to incorporate them accordingly.</t>
  </si>
  <si>
    <t>Direct medical care costs</t>
  </si>
  <si>
    <t>Cost of catheter implantation</t>
  </si>
  <si>
    <t>Survey from 5 private hospitals in BKK</t>
  </si>
  <si>
    <t>Cost of dialysis solution with bag (per set)</t>
  </si>
  <si>
    <t>Survey from Prince Songkla University, Lumpang hospital, Viphavadee hospital</t>
  </si>
  <si>
    <t>Sessions of PD per day</t>
  </si>
  <si>
    <t>Survey from Prince Songkla University, Lumpang hospital, Viphavadee hospita</t>
  </si>
  <si>
    <t>Gauze+cotton+alcohol (per day)</t>
  </si>
  <si>
    <t>Investigations e.g. BUN Cr Electrolyte chest x ray</t>
  </si>
  <si>
    <t>Homvijitkul et al., (2000)</t>
  </si>
  <si>
    <t>Cost of erythropoietin (per dose)</t>
  </si>
  <si>
    <t>Doses of erythropoietin required per patient per week</t>
  </si>
  <si>
    <t>Cost of vacular access</t>
  </si>
  <si>
    <t>Unit cost of haemodialysis (per session)</t>
  </si>
  <si>
    <t>Tisayatikom K et al., (2001)</t>
  </si>
  <si>
    <t>Dialysis sessions per HD patient per week</t>
  </si>
  <si>
    <t>Cost of treating peritonitis (per patient)</t>
  </si>
  <si>
    <t>Medical record review of one peritonitis case from Vibhavadee hospital and 3 KI estimation, of peritonitis cost</t>
  </si>
  <si>
    <r>
      <rPr>
        <b/>
        <u/>
        <sz val="11"/>
        <rFont val="Aptos Display (Headings)"/>
      </rPr>
      <t>Monthly</t>
    </r>
    <r>
      <rPr>
        <sz val="11"/>
        <rFont val="Aptos Display"/>
        <family val="2"/>
        <scheme val="major"/>
      </rPr>
      <t xml:space="preserve"> cost of palliative care for ESRD patient</t>
    </r>
  </si>
  <si>
    <t>Medical care cost of chronic peritoneal dialysis per patient per year</t>
  </si>
  <si>
    <t>calculate</t>
  </si>
  <si>
    <t>Medical care cost of chronic haemodialysis complications per patient per year</t>
  </si>
  <si>
    <t>Average cost of treatment per episode of peritonitis</t>
  </si>
  <si>
    <t>Average cost of treatment per episode of vascular access related conditions</t>
  </si>
  <si>
    <t>Indirect medical care costs e.g. costs for treating co-morbidities from life-year saved</t>
  </si>
  <si>
    <t>Unit cost per inpatient case</t>
  </si>
  <si>
    <t>Waliaporn et al., (2004)</t>
  </si>
  <si>
    <t xml:space="preserve">Unit cost per outpatient visit </t>
  </si>
  <si>
    <t>Incidence rate of inpatient treatment of co-morbidities</t>
  </si>
  <si>
    <t>Incidence rate of emergency room treatment of co-morbidities</t>
  </si>
  <si>
    <t>Incidence rate of outpatient visits for treatment of co-morbidities</t>
  </si>
  <si>
    <t>Total cost of treating co-morbidities</t>
  </si>
  <si>
    <t>calculated and adjusted ER cost at 20% higher than cost per OP visit</t>
  </si>
  <si>
    <t>Direct non-medical care cost i.e. travel costs, foods, and accommodation</t>
  </si>
  <si>
    <t>Lifetime cost paid by household with palliative care</t>
  </si>
  <si>
    <t>3 Expert opinion, no info available</t>
  </si>
  <si>
    <t>Annual cost paid by household with PD</t>
  </si>
  <si>
    <t>Homvijitkul et al., (2001)</t>
  </si>
  <si>
    <t>Annual cost paid by household with HD</t>
  </si>
  <si>
    <t>Indirect non-medical cost i.e. income loss from sick leave or providing informal care (income loss from sick leave is a major part, accounting for &gt;90% of total cost)</t>
  </si>
  <si>
    <t>*The cost is converted to international dollars using the purchasing power parity (PPP) exchange rate, where 1 international dollar is equivalent to 10.65 Thai Baht, according to World Bank data from 2023.https://data.worldbank.org/indicator/PA.NUS.PPP</t>
  </si>
  <si>
    <t>COSTS: Total medical and non-medical costs</t>
  </si>
  <si>
    <t>Total medical care cost paid by the government/healthcare payer</t>
  </si>
  <si>
    <r>
      <rPr>
        <b/>
        <sz val="11"/>
        <color theme="1"/>
        <rFont val="Aptos Display"/>
        <family val="2"/>
        <scheme val="major"/>
      </rPr>
      <t>Monthly</t>
    </r>
    <r>
      <rPr>
        <sz val="11"/>
        <color theme="1"/>
        <rFont val="Aptos Display"/>
        <family val="2"/>
        <scheme val="major"/>
      </rPr>
      <t xml:space="preserve"> cost of palliative care for ESRD patient</t>
    </r>
  </si>
  <si>
    <r>
      <t xml:space="preserve">Medical care cost of PD in the first </t>
    </r>
    <r>
      <rPr>
        <b/>
        <sz val="11"/>
        <rFont val="Aptos Display"/>
        <family val="2"/>
        <scheme val="major"/>
      </rPr>
      <t>year</t>
    </r>
  </si>
  <si>
    <t>*The cost of catheter implantation is incorporated into the first-year cost.</t>
  </si>
  <si>
    <r>
      <t>Medical care cost of PD in subsequent</t>
    </r>
    <r>
      <rPr>
        <b/>
        <sz val="11"/>
        <rFont val="Aptos Display"/>
        <family val="2"/>
        <scheme val="major"/>
      </rPr>
      <t xml:space="preserve"> years</t>
    </r>
  </si>
  <si>
    <r>
      <t xml:space="preserve">Medical care cost of HD in the first </t>
    </r>
    <r>
      <rPr>
        <b/>
        <sz val="11"/>
        <rFont val="Aptos Display"/>
        <family val="2"/>
        <scheme val="major"/>
      </rPr>
      <t>year</t>
    </r>
  </si>
  <si>
    <t>*The cost of vacular access is incorporated into the first-year cost.</t>
  </si>
  <si>
    <r>
      <t xml:space="preserve">Medical care cost of HD in subsequent </t>
    </r>
    <r>
      <rPr>
        <b/>
        <sz val="11"/>
        <rFont val="Aptos Display"/>
        <family val="2"/>
        <scheme val="major"/>
      </rPr>
      <t>years</t>
    </r>
  </si>
  <si>
    <t>Total non-medical cost borne by the patient/household</t>
  </si>
  <si>
    <r>
      <rPr>
        <b/>
        <sz val="11"/>
        <color theme="1"/>
        <rFont val="Aptos Narrow"/>
        <family val="2"/>
        <scheme val="minor"/>
      </rPr>
      <t>Monthly</t>
    </r>
    <r>
      <rPr>
        <sz val="11"/>
        <color theme="1"/>
        <rFont val="Aptos Narrow"/>
        <family val="2"/>
        <scheme val="minor"/>
      </rPr>
      <t xml:space="preserve"> non-medical cost per palliative care patient</t>
    </r>
  </si>
  <si>
    <r>
      <t>Non-medical cost of PD</t>
    </r>
    <r>
      <rPr>
        <b/>
        <sz val="11"/>
        <rFont val="Aptos Narrow"/>
        <family val="2"/>
        <scheme val="minor"/>
      </rPr>
      <t xml:space="preserve"> </t>
    </r>
    <r>
      <rPr>
        <sz val="11"/>
        <rFont val="Aptos Narrow"/>
        <family val="2"/>
        <scheme val="minor"/>
      </rPr>
      <t xml:space="preserve">per </t>
    </r>
    <r>
      <rPr>
        <b/>
        <sz val="11"/>
        <rFont val="Aptos Narrow"/>
        <family val="2"/>
        <scheme val="minor"/>
      </rPr>
      <t>year</t>
    </r>
  </si>
  <si>
    <r>
      <t xml:space="preserve">Non-medical cost of HD </t>
    </r>
    <r>
      <rPr>
        <sz val="11"/>
        <rFont val="Aptos Narrow"/>
        <family val="2"/>
        <scheme val="minor"/>
      </rPr>
      <t xml:space="preserve">per </t>
    </r>
    <r>
      <rPr>
        <b/>
        <sz val="11"/>
        <rFont val="Aptos Narrow"/>
        <family val="2"/>
        <scheme val="minor"/>
      </rPr>
      <t>year</t>
    </r>
  </si>
  <si>
    <t> </t>
  </si>
  <si>
    <t xml:space="preserve">Outcomes: Utility values </t>
  </si>
  <si>
    <t xml:space="preserve">Utility for PD </t>
  </si>
  <si>
    <t>Kusoom &amp; Larpcharoenwong et al., (2006)</t>
  </si>
  <si>
    <t>Utility for HD</t>
  </si>
  <si>
    <t>Kusoom &amp; Larpcharoenwong et al., (2004)</t>
  </si>
  <si>
    <t>Factor by which to adjust for patients with complications (in which 1 is same as the utility without complications)</t>
  </si>
  <si>
    <t>Discounting: Discount rate for cost and outcome</t>
  </si>
  <si>
    <t>Discounting rate for costs</t>
  </si>
  <si>
    <t>Thai HTA guideline</t>
  </si>
  <si>
    <t>Discounting rate for outcomes</t>
  </si>
  <si>
    <t>Results: Life time costs and outcomes</t>
  </si>
  <si>
    <t>Life time cost</t>
  </si>
  <si>
    <t>Results</t>
  </si>
  <si>
    <t xml:space="preserve">Life time cost of HD first </t>
  </si>
  <si>
    <t xml:space="preserve">Life time cost of PD first </t>
  </si>
  <si>
    <t>Life time cost of palliative care</t>
  </si>
  <si>
    <t>Life year</t>
  </si>
  <si>
    <t xml:space="preserve">Life years of HD first </t>
  </si>
  <si>
    <t>years</t>
  </si>
  <si>
    <t xml:space="preserve">Life years of PD first </t>
  </si>
  <si>
    <t>Life years of palliative care</t>
  </si>
  <si>
    <t xml:space="preserve">bar chart </t>
  </si>
  <si>
    <t xml:space="preserve">QALYs of HD first </t>
  </si>
  <si>
    <t xml:space="preserve">QALYs of PD first </t>
  </si>
  <si>
    <t>QALYs of palliative care</t>
  </si>
  <si>
    <t>Results: Cost utility analysis and Cost effectiveness plane</t>
  </si>
  <si>
    <t>Final results: Incremental cost effectiveness  ratio</t>
  </si>
  <si>
    <t>HD first compare with palliative care</t>
  </si>
  <si>
    <t>/ QALYs</t>
  </si>
  <si>
    <t>PD first compare with palliative care</t>
  </si>
  <si>
    <t>PD first compare with HD first</t>
  </si>
  <si>
    <t>Cost effectiveness threshold</t>
  </si>
  <si>
    <t>For a detailed of the cost-effectiveness threshold, please refer to the main manuscript.</t>
  </si>
  <si>
    <t>Cost effectiveness plane</t>
  </si>
  <si>
    <t>Incremental cost HD first compare with palliative care</t>
  </si>
  <si>
    <t>Incremental cost PD first compare with palliative care</t>
  </si>
  <si>
    <t>Incremental cost PD first compare with HD first</t>
  </si>
  <si>
    <t>Incremental QALYs HD first compare with palliative care</t>
  </si>
  <si>
    <t>Incremental QALYs PD first compare with palliative care</t>
  </si>
  <si>
    <t>Incremental QALYs PD first compare with HD first</t>
  </si>
  <si>
    <t>x</t>
  </si>
  <si>
    <t>y</t>
  </si>
  <si>
    <t>APPENDIX SHEET: NOT FOR USE</t>
  </si>
  <si>
    <t>Standard Practice: Palliative care</t>
  </si>
  <si>
    <t>Estimating transitional probability applying exponential distribution</t>
  </si>
  <si>
    <t>Month</t>
  </si>
  <si>
    <t>tp(t)</t>
  </si>
  <si>
    <t xml:space="preserve">Survival </t>
  </si>
  <si>
    <t xml:space="preserve">Medical care cost </t>
  </si>
  <si>
    <t>Direct non medical cost</t>
  </si>
  <si>
    <t>Total cost</t>
  </si>
  <si>
    <t>Total life year</t>
  </si>
  <si>
    <t xml:space="preserve">Total QALYs </t>
  </si>
  <si>
    <t>Sum</t>
  </si>
  <si>
    <t>HD first</t>
  </si>
  <si>
    <t>Heamodialysis</t>
  </si>
  <si>
    <t>cycle
(year)</t>
  </si>
  <si>
    <t>days</t>
  </si>
  <si>
    <t>H(day)</t>
  </si>
  <si>
    <t>Prob of death</t>
  </si>
  <si>
    <t>New HD</t>
  </si>
  <si>
    <t>SwitchingToHD</t>
  </si>
  <si>
    <t>HDdeath</t>
  </si>
  <si>
    <t>Cost</t>
  </si>
  <si>
    <t>New PD</t>
  </si>
  <si>
    <t>SwitchingToPD</t>
  </si>
  <si>
    <t>PDdeath</t>
  </si>
  <si>
    <t>Accum death</t>
  </si>
  <si>
    <t>Check</t>
  </si>
  <si>
    <t>sum</t>
  </si>
  <si>
    <t>Grand sum</t>
  </si>
  <si>
    <t>Time (year)</t>
  </si>
  <si>
    <t>Prob of death HD first</t>
  </si>
  <si>
    <t>Prob survival HD first</t>
  </si>
  <si>
    <t>Prob of death PD first</t>
  </si>
  <si>
    <t>Prob survival PD first</t>
  </si>
  <si>
    <t>PD first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</si>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</sst>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_);_(* \(#,##0.00\);_(* &quot;-&quot;??_);_(@_)"/>
    <numFmt numFmtId="164" formatCode="_-* #,##0.00_-;\-* #,##0.00_-;_-* &quot;-&quot;??_-;_-@_-"/>
    <numFmt numFmtId="165" formatCode="_-* #,##0.0000_-;\-* #,##0.0000_-;_-* &quot;-&quot;??_-;_-@_-"/>
    <numFmt numFmtId="166" formatCode="0.0000"/>
    <numFmt numFmtId="167" formatCode="_-* #,##0_-;\-* #,##0_-;_-* &quot;-&quot;??_-;_-@_-"/>
    <numFmt numFmtId="168" formatCode="_-* #,##0.0_-;\-* #,##0.0_-;_-* &quot;-&quot;??_-;_-@_-"/>
    <numFmt numFmtId="169" formatCode="_-* #,##0.000_-;\-* #,##0.000_-;_-* &quot;-&quot;??_-;_-@_-"/>
    <numFmt numFmtId="170" formatCode="0.0%"/>
  </numFmts>
  <fonts count="51">
    <font>
      <sz val="11"/>
      <color theme="1"/>
      <name val="Aptos Narrow"/>
      <family val="2"/>
      <scheme val="minor"/>
    </font>
    <font>
      <sz val="12"/>
      <color theme="1"/>
      <name val="Aptos Narrow"/>
      <family val="2"/>
      <scheme val="minor"/>
    </font>
    <font>
      <sz val="10"/>
      <name val="Arial"/>
      <family val="2"/>
    </font>
    <font>
      <i/>
      <sz val="10"/>
      <color rgb="FFFF0000"/>
      <name val="Arial"/>
      <family val="2"/>
      <charset val="222"/>
    </font>
    <font>
      <sz val="10"/>
      <name val="Arial"/>
      <family val="2"/>
      <charset val="222"/>
    </font>
    <font>
      <sz val="10"/>
      <name val="Arial"/>
      <family val="2"/>
    </font>
    <font>
      <sz val="10"/>
      <color rgb="FF333399"/>
      <name val="Arial"/>
      <family val="2"/>
      <charset val="222"/>
    </font>
    <font>
      <sz val="11"/>
      <color theme="0"/>
      <name val="Aptos Narrow"/>
      <family val="2"/>
      <scheme val="minor"/>
    </font>
    <font>
      <b/>
      <sz val="11"/>
      <color theme="1"/>
      <name val="Aptos Narrow"/>
      <family val="2"/>
      <scheme val="minor"/>
    </font>
    <font>
      <b/>
      <sz val="12"/>
      <color theme="1"/>
      <name val="Aptos Narrow"/>
      <family val="2"/>
      <scheme val="minor"/>
    </font>
    <font>
      <b/>
      <sz val="18"/>
      <color theme="0"/>
      <name val="Aptos Narrow"/>
      <family val="2"/>
      <scheme val="minor"/>
    </font>
    <font>
      <b/>
      <sz val="20"/>
      <color theme="0"/>
      <name val="Aptos Narrow"/>
      <family val="2"/>
      <scheme val="minor"/>
    </font>
    <font>
      <b/>
      <sz val="11"/>
      <color rgb="FFFF0000"/>
      <name val="Aptos Narrow"/>
      <family val="2"/>
      <scheme val="minor"/>
    </font>
    <font>
      <b/>
      <sz val="16"/>
      <color theme="1"/>
      <name val="Aptos Narrow"/>
      <family val="2"/>
      <scheme val="minor"/>
    </font>
    <font>
      <sz val="20"/>
      <color theme="0"/>
      <name val="Aptos Narrow"/>
      <family val="2"/>
      <scheme val="minor"/>
    </font>
    <font>
      <sz val="14"/>
      <color theme="0"/>
      <name val="Aptos Narrow"/>
      <family val="2"/>
      <scheme val="minor"/>
    </font>
    <font>
      <sz val="16"/>
      <color theme="0"/>
      <name val="Aptos Narrow"/>
      <family val="2"/>
      <scheme val="minor"/>
    </font>
    <font>
      <i/>
      <sz val="11"/>
      <color theme="1"/>
      <name val="Aptos Narrow"/>
      <family val="2"/>
      <scheme val="minor"/>
    </font>
    <font>
      <sz val="11"/>
      <name val="Aptos Display"/>
      <family val="2"/>
      <scheme val="major"/>
    </font>
    <font>
      <b/>
      <sz val="11"/>
      <color theme="0"/>
      <name val="Aptos Display"/>
      <family val="2"/>
      <scheme val="major"/>
    </font>
    <font>
      <sz val="11"/>
      <color theme="0"/>
      <name val="Aptos Display"/>
      <family val="2"/>
      <scheme val="major"/>
    </font>
    <font>
      <sz val="11"/>
      <color theme="1"/>
      <name val="Aptos Narrow"/>
      <family val="2"/>
      <scheme val="minor"/>
    </font>
    <font>
      <sz val="11"/>
      <color theme="1"/>
      <name val="Aptos Display"/>
      <family val="2"/>
      <scheme val="major"/>
    </font>
    <font>
      <b/>
      <sz val="11"/>
      <color theme="1"/>
      <name val="Aptos Display"/>
      <family val="2"/>
      <scheme val="major"/>
    </font>
    <font>
      <b/>
      <sz val="11"/>
      <name val="Aptos Display"/>
      <family val="2"/>
      <scheme val="major"/>
    </font>
    <font>
      <sz val="11"/>
      <name val="Aptos Narrow"/>
      <family val="2"/>
      <scheme val="minor"/>
    </font>
    <font>
      <i/>
      <sz val="11"/>
      <color indexed="10"/>
      <name val="Aptos Display"/>
      <family val="2"/>
      <scheme val="major"/>
    </font>
    <font>
      <b/>
      <sz val="10"/>
      <name val="Arial"/>
      <family val="2"/>
      <charset val="222"/>
    </font>
    <font>
      <b/>
      <sz val="18"/>
      <color rgb="FF002060"/>
      <name val="Aptos Narrow"/>
      <family val="2"/>
      <scheme val="minor"/>
    </font>
    <font>
      <sz val="11"/>
      <color rgb="FF002060"/>
      <name val="Aptos Narrow"/>
      <family val="2"/>
      <scheme val="minor"/>
    </font>
    <font>
      <b/>
      <sz val="16"/>
      <color theme="0"/>
      <name val="Aptos Narrow"/>
      <family val="2"/>
      <scheme val="minor"/>
    </font>
    <font>
      <b/>
      <sz val="11"/>
      <color theme="0"/>
      <name val="Aptos Narrow"/>
      <family val="2"/>
      <scheme val="minor"/>
    </font>
    <font>
      <sz val="16"/>
      <color theme="1"/>
      <name val="Aptos Narrow"/>
      <family val="2"/>
      <scheme val="minor"/>
    </font>
    <font>
      <u/>
      <sz val="11"/>
      <color theme="10"/>
      <name val="Aptos Narrow"/>
      <family val="2"/>
      <scheme val="minor"/>
    </font>
    <font>
      <b/>
      <sz val="16"/>
      <color theme="2" tint="-0.499984740745262"/>
      <name val="Aptos Narrow"/>
      <family val="2"/>
      <scheme val="minor"/>
    </font>
    <font>
      <sz val="11"/>
      <color rgb="FFFF0000"/>
      <name val="Aptos Narrow"/>
      <family val="2"/>
      <scheme val="minor"/>
    </font>
    <font>
      <sz val="11"/>
      <color theme="3" tint="0.249977111117893"/>
      <name val="Aptos Narrow"/>
      <family val="2"/>
      <scheme val="minor"/>
    </font>
    <font>
      <b/>
      <u/>
      <sz val="11"/>
      <name val="Aptos Display (Headings)"/>
    </font>
    <font>
      <b/>
      <sz val="11"/>
      <name val="Aptos Narrow"/>
      <family val="2"/>
      <scheme val="minor"/>
    </font>
    <font>
      <sz val="11"/>
      <color theme="4" tint="-0.499984740745262"/>
      <name val="Aptos Narrow"/>
      <family val="2"/>
      <scheme val="minor"/>
    </font>
    <font>
      <sz val="10"/>
      <color theme="4" tint="-0.499984740745262"/>
      <name val="Aptos Narrow"/>
      <family val="2"/>
      <scheme val="minor"/>
    </font>
    <font>
      <sz val="9"/>
      <color theme="4" tint="-0.499984740745262"/>
      <name val="Aptos Display"/>
      <family val="2"/>
      <scheme val="major"/>
    </font>
    <font>
      <sz val="9"/>
      <name val="Aptos Display"/>
      <family val="2"/>
      <scheme val="major"/>
    </font>
    <font>
      <b/>
      <i/>
      <sz val="11"/>
      <color theme="1"/>
      <name val="Aptos Display"/>
      <family val="2"/>
      <scheme val="major"/>
    </font>
    <font>
      <b/>
      <sz val="22"/>
      <color theme="0"/>
      <name val="Aptos Narrow"/>
      <family val="2"/>
      <scheme val="minor"/>
    </font>
    <font>
      <b/>
      <sz val="11"/>
      <color rgb="FF002060"/>
      <name val="Aptos Narrow"/>
      <family val="2"/>
      <scheme val="minor"/>
    </font>
    <font>
      <sz val="8"/>
      <name val="Aptos Narrow"/>
      <family val="2"/>
      <scheme val="minor"/>
    </font>
    <font>
      <sz val="11"/>
      <color rgb="FF000000"/>
      <name val="Aptos Display"/>
      <family val="2"/>
      <scheme val="major"/>
    </font>
    <font>
      <sz val="9"/>
      <color theme="4" tint="-0.499984740745262"/>
      <name val="Arial"/>
      <family val="2"/>
    </font>
    <font>
      <sz val="9"/>
      <color theme="4" tint="-0.499984740745262"/>
      <name val="Aptos Narrow"/>
      <family val="2"/>
      <scheme val="minor"/>
    </font>
    <font>
      <b/>
      <sz val="10"/>
      <color theme="4" tint="-0.499984740745262"/>
      <name val="Aptos Narrow"/>
      <family val="2"/>
      <scheme val="minor"/>
    </font>
  </fonts>
  <fills count="16">
    <fill>
      <patternFill patternType="none"/>
    </fill>
    <fill>
      <patternFill patternType="gray125"/>
    </fill>
    <fill>
      <patternFill patternType="solid">
        <fgColor theme="4" tint="-0.499984740745262"/>
        <bgColor indexed="64"/>
      </patternFill>
    </fill>
    <fill>
      <patternFill patternType="solid">
        <fgColor indexed="9"/>
        <bgColor indexed="64"/>
      </patternFill>
    </fill>
    <fill>
      <patternFill patternType="solid">
        <fgColor rgb="FFFFFFCC"/>
        <bgColor indexed="64"/>
      </patternFill>
    </fill>
    <fill>
      <patternFill patternType="solid">
        <fgColor theme="3"/>
        <bgColor indexed="64"/>
      </patternFill>
    </fill>
    <fill>
      <patternFill patternType="solid">
        <fgColor theme="0"/>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5"/>
        <bgColor indexed="64"/>
      </patternFill>
    </fill>
    <fill>
      <patternFill patternType="solid">
        <fgColor theme="0" tint="-4.9989318521683403E-2"/>
        <bgColor indexed="64"/>
      </patternFill>
    </fill>
  </fills>
  <borders count="49">
    <border>
      <left/>
      <right/>
      <top/>
      <bottom/>
      <diagonal/>
    </border>
    <border>
      <left style="thin">
        <color indexed="55"/>
      </left>
      <right style="thin">
        <color indexed="55"/>
      </right>
      <top style="thin">
        <color indexed="55"/>
      </top>
      <bottom style="thin">
        <color indexed="55"/>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style="thin">
        <color rgb="FF002060"/>
      </left>
      <right style="thin">
        <color rgb="FF002060"/>
      </right>
      <top style="thin">
        <color rgb="FF002060"/>
      </top>
      <bottom style="thin">
        <color rgb="FF002060"/>
      </bottom>
      <diagonal/>
    </border>
    <border>
      <left style="thin">
        <color theme="1"/>
      </left>
      <right style="thin">
        <color theme="1"/>
      </right>
      <top style="thin">
        <color theme="1"/>
      </top>
      <bottom style="thin">
        <color theme="1"/>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ck">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theme="4" tint="-0.499984740745262"/>
      </left>
      <right/>
      <top style="medium">
        <color theme="4" tint="-0.499984740745262"/>
      </top>
      <bottom/>
      <diagonal/>
    </border>
    <border>
      <left/>
      <right/>
      <top style="medium">
        <color theme="4" tint="-0.499984740745262"/>
      </top>
      <bottom/>
      <diagonal/>
    </border>
    <border>
      <left/>
      <right style="medium">
        <color theme="4" tint="-0.499984740745262"/>
      </right>
      <top style="medium">
        <color theme="4" tint="-0.499984740745262"/>
      </top>
      <bottom/>
      <diagonal/>
    </border>
    <border>
      <left style="medium">
        <color theme="4" tint="-0.499984740745262"/>
      </left>
      <right/>
      <top/>
      <bottom/>
      <diagonal/>
    </border>
    <border>
      <left/>
      <right style="medium">
        <color theme="4" tint="-0.499984740745262"/>
      </right>
      <top/>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style="thin">
        <color theme="4" tint="-0.499984740745262"/>
      </left>
      <right style="thin">
        <color theme="4" tint="-0.499984740745262"/>
      </right>
      <top style="thin">
        <color theme="4" tint="-0.499984740745262"/>
      </top>
      <bottom style="thin">
        <color theme="4" tint="-0.499984740745262"/>
      </bottom>
      <diagonal/>
    </border>
    <border>
      <left style="thin">
        <color indexed="64"/>
      </left>
      <right/>
      <top style="thin">
        <color indexed="64"/>
      </top>
      <bottom style="thin">
        <color indexed="64"/>
      </bottom>
      <diagonal/>
    </border>
    <border>
      <left style="thin">
        <color theme="4" tint="-0.499984740745262"/>
      </left>
      <right/>
      <top style="thin">
        <color theme="4" tint="-0.499984740745262"/>
      </top>
      <bottom style="thin">
        <color theme="4" tint="-0.499984740745262"/>
      </bottom>
      <diagonal/>
    </border>
  </borders>
  <cellStyleXfs count="5">
    <xf numFmtId="0" fontId="0" fillId="0" borderId="0"/>
    <xf numFmtId="0" fontId="5" fillId="0" borderId="0"/>
    <xf numFmtId="164" fontId="21" fillId="0" borderId="0" applyFont="0" applyFill="0" applyBorder="0" applyAlignment="0" applyProtection="0"/>
    <xf numFmtId="0" fontId="2" fillId="0" borderId="0"/>
    <xf numFmtId="0" fontId="33" fillId="0" borderId="0" applyNumberFormat="0" applyFill="0" applyBorder="0" applyAlignment="0" applyProtection="0"/>
  </cellStyleXfs>
  <cellXfs count="282">
    <xf numFmtId="0" fontId="0" fillId="0" borderId="0" xfId="0"/>
    <xf numFmtId="0" fontId="2" fillId="0" borderId="0" xfId="0" applyFont="1"/>
    <xf numFmtId="0" fontId="3" fillId="0" borderId="0" xfId="0" applyFont="1"/>
    <xf numFmtId="0" fontId="4" fillId="0" borderId="0" xfId="0" applyFont="1"/>
    <xf numFmtId="3" fontId="4" fillId="0" borderId="0" xfId="0" applyNumberFormat="1" applyFont="1"/>
    <xf numFmtId="0" fontId="6" fillId="0" borderId="0" xfId="0" applyFont="1"/>
    <xf numFmtId="0" fontId="0" fillId="0" borderId="0" xfId="0" applyAlignment="1">
      <alignment horizontal="center"/>
    </xf>
    <xf numFmtId="0" fontId="12" fillId="0" borderId="0" xfId="0" applyFont="1" applyAlignment="1">
      <alignment horizontal="center" vertical="center"/>
    </xf>
    <xf numFmtId="0" fontId="8" fillId="0" borderId="0" xfId="0" applyFont="1" applyAlignment="1">
      <alignment horizontal="center"/>
    </xf>
    <xf numFmtId="0" fontId="0" fillId="0" borderId="0" xfId="0" applyAlignment="1">
      <alignment wrapText="1"/>
    </xf>
    <xf numFmtId="0" fontId="15" fillId="2" borderId="2" xfId="0" applyFont="1" applyFill="1" applyBorder="1"/>
    <xf numFmtId="0" fontId="7" fillId="2" borderId="3" xfId="0" applyFont="1" applyFill="1" applyBorder="1"/>
    <xf numFmtId="0" fontId="7" fillId="2" borderId="4" xfId="0" applyFont="1" applyFill="1" applyBorder="1"/>
    <xf numFmtId="0" fontId="0" fillId="0" borderId="5" xfId="0" applyBorder="1"/>
    <xf numFmtId="0" fontId="0" fillId="0" borderId="6" xfId="0" applyBorder="1"/>
    <xf numFmtId="0" fontId="15" fillId="2" borderId="5" xfId="0" applyFont="1" applyFill="1" applyBorder="1"/>
    <xf numFmtId="0" fontId="7" fillId="2" borderId="0" xfId="0" applyFont="1" applyFill="1"/>
    <xf numFmtId="0" fontId="7" fillId="2" borderId="6" xfId="0" applyFont="1" applyFill="1" applyBorder="1"/>
    <xf numFmtId="0" fontId="0" fillId="0" borderId="0" xfId="0" applyAlignment="1">
      <alignment horizontal="left"/>
    </xf>
    <xf numFmtId="0" fontId="0" fillId="0" borderId="6" xfId="0" applyBorder="1" applyAlignment="1">
      <alignment horizontal="left"/>
    </xf>
    <xf numFmtId="0" fontId="15" fillId="2" borderId="0" xfId="0" applyFont="1" applyFill="1"/>
    <xf numFmtId="0" fontId="0" fillId="2" borderId="6" xfId="0" applyFill="1" applyBorder="1"/>
    <xf numFmtId="0" fontId="15" fillId="2" borderId="6" xfId="0" applyFont="1" applyFill="1" applyBorder="1"/>
    <xf numFmtId="0" fontId="0" fillId="0" borderId="7" xfId="0" applyBorder="1"/>
    <xf numFmtId="0" fontId="0" fillId="0" borderId="8" xfId="0" applyBorder="1"/>
    <xf numFmtId="0" fontId="0" fillId="0" borderId="9" xfId="0" applyBorder="1"/>
    <xf numFmtId="0" fontId="0" fillId="0" borderId="2" xfId="0" applyBorder="1"/>
    <xf numFmtId="0" fontId="0" fillId="0" borderId="3" xfId="0" applyBorder="1"/>
    <xf numFmtId="0" fontId="0" fillId="0" borderId="4" xfId="0" applyBorder="1"/>
    <xf numFmtId="0" fontId="8" fillId="0" borderId="5" xfId="0" applyFont="1" applyBorder="1" applyAlignment="1">
      <alignment horizontal="left"/>
    </xf>
    <xf numFmtId="0" fontId="8" fillId="0" borderId="0" xfId="0" applyFont="1" applyAlignment="1">
      <alignment horizontal="left"/>
    </xf>
    <xf numFmtId="0" fontId="8" fillId="0" borderId="5" xfId="0" applyFont="1" applyBorder="1"/>
    <xf numFmtId="0" fontId="8" fillId="0" borderId="0" xfId="0" applyFont="1"/>
    <xf numFmtId="0" fontId="5" fillId="3" borderId="0" xfId="1" applyFill="1"/>
    <xf numFmtId="0" fontId="5" fillId="3" borderId="0" xfId="1" applyFill="1" applyAlignment="1">
      <alignment horizontal="left"/>
    </xf>
    <xf numFmtId="0" fontId="5" fillId="3" borderId="0" xfId="1" applyFill="1" applyAlignment="1">
      <alignment horizontal="center"/>
    </xf>
    <xf numFmtId="0" fontId="5" fillId="3" borderId="0" xfId="1" applyFill="1" applyAlignment="1">
      <alignment horizontal="right"/>
    </xf>
    <xf numFmtId="0" fontId="17" fillId="0" borderId="0" xfId="0" applyFont="1"/>
    <xf numFmtId="0" fontId="18" fillId="0" borderId="5" xfId="0" applyFont="1" applyBorder="1" applyAlignment="1">
      <alignment horizontal="center" vertical="center" wrapText="1"/>
    </xf>
    <xf numFmtId="0" fontId="19" fillId="2" borderId="2" xfId="0" applyFont="1" applyFill="1" applyBorder="1" applyAlignment="1">
      <alignment horizontal="left" vertical="center" wrapText="1"/>
    </xf>
    <xf numFmtId="0" fontId="16" fillId="2" borderId="0" xfId="0" applyFont="1" applyFill="1"/>
    <xf numFmtId="165" fontId="22" fillId="0" borderId="0" xfId="2" applyNumberFormat="1" applyFont="1" applyFill="1" applyBorder="1"/>
    <xf numFmtId="165" fontId="22" fillId="4" borderId="10" xfId="2" applyNumberFormat="1" applyFont="1" applyFill="1" applyBorder="1"/>
    <xf numFmtId="0" fontId="22" fillId="4" borderId="10" xfId="0" applyFont="1" applyFill="1" applyBorder="1"/>
    <xf numFmtId="166" fontId="18" fillId="4" borderId="10" xfId="0" applyNumberFormat="1" applyFont="1" applyFill="1" applyBorder="1"/>
    <xf numFmtId="0" fontId="18" fillId="0" borderId="5" xfId="0" applyFont="1" applyBorder="1"/>
    <xf numFmtId="0" fontId="22" fillId="0" borderId="5" xfId="0" applyFont="1" applyBorder="1"/>
    <xf numFmtId="167" fontId="0" fillId="0" borderId="0" xfId="2" applyNumberFormat="1" applyFont="1" applyBorder="1"/>
    <xf numFmtId="167" fontId="23" fillId="0" borderId="0" xfId="2" applyNumberFormat="1" applyFont="1" applyFill="1" applyBorder="1" applyAlignment="1">
      <alignment horizontal="center"/>
    </xf>
    <xf numFmtId="0" fontId="22" fillId="0" borderId="0" xfId="0" applyFont="1"/>
    <xf numFmtId="167" fontId="22" fillId="0" borderId="0" xfId="2" applyNumberFormat="1" applyFont="1" applyFill="1" applyBorder="1"/>
    <xf numFmtId="167" fontId="22" fillId="0" borderId="0" xfId="2" applyNumberFormat="1" applyFont="1" applyBorder="1"/>
    <xf numFmtId="0" fontId="23" fillId="0" borderId="5" xfId="0" applyFont="1" applyBorder="1" applyAlignment="1">
      <alignment horizontal="center"/>
    </xf>
    <xf numFmtId="3" fontId="0" fillId="0" borderId="0" xfId="0" applyNumberFormat="1"/>
    <xf numFmtId="169" fontId="25" fillId="0" borderId="5" xfId="2" applyNumberFormat="1" applyFont="1" applyFill="1" applyBorder="1"/>
    <xf numFmtId="164" fontId="25" fillId="0" borderId="0" xfId="2" applyFont="1" applyFill="1" applyBorder="1"/>
    <xf numFmtId="0" fontId="8" fillId="0" borderId="5" xfId="0" applyFont="1" applyBorder="1" applyAlignment="1">
      <alignment horizontal="center"/>
    </xf>
    <xf numFmtId="164" fontId="25" fillId="4" borderId="10" xfId="2" applyFont="1" applyFill="1" applyBorder="1"/>
    <xf numFmtId="0" fontId="0" fillId="4" borderId="10" xfId="0" applyFill="1" applyBorder="1"/>
    <xf numFmtId="166" fontId="18" fillId="0" borderId="0" xfId="0" applyNumberFormat="1" applyFont="1"/>
    <xf numFmtId="0" fontId="25" fillId="0" borderId="5" xfId="3" applyFont="1" applyBorder="1"/>
    <xf numFmtId="170" fontId="0" fillId="0" borderId="0" xfId="0" applyNumberFormat="1"/>
    <xf numFmtId="168" fontId="22" fillId="0" borderId="0" xfId="2" applyNumberFormat="1" applyFont="1" applyFill="1" applyBorder="1"/>
    <xf numFmtId="0" fontId="26" fillId="0" borderId="0" xfId="0" applyFont="1"/>
    <xf numFmtId="0" fontId="16" fillId="5" borderId="0" xfId="0" applyFont="1" applyFill="1" applyAlignment="1">
      <alignment vertical="center"/>
    </xf>
    <xf numFmtId="0" fontId="16" fillId="5" borderId="0" xfId="0" applyFont="1" applyFill="1"/>
    <xf numFmtId="0" fontId="16" fillId="6" borderId="0" xfId="0" applyFont="1" applyFill="1"/>
    <xf numFmtId="0" fontId="7" fillId="6" borderId="0" xfId="0" applyFont="1" applyFill="1"/>
    <xf numFmtId="169" fontId="25" fillId="0" borderId="5" xfId="2" applyNumberFormat="1" applyFont="1" applyFill="1" applyBorder="1" applyAlignment="1">
      <alignment wrapText="1"/>
    </xf>
    <xf numFmtId="0" fontId="25" fillId="0" borderId="0" xfId="3" applyFont="1"/>
    <xf numFmtId="0" fontId="27" fillId="0" borderId="1" xfId="0" applyFont="1" applyBorder="1"/>
    <xf numFmtId="2" fontId="25" fillId="0" borderId="0" xfId="3" applyNumberFormat="1" applyFont="1"/>
    <xf numFmtId="0" fontId="0" fillId="6" borderId="0" xfId="0" applyFill="1"/>
    <xf numFmtId="0" fontId="7" fillId="6" borderId="13" xfId="0" applyFont="1" applyFill="1" applyBorder="1"/>
    <xf numFmtId="0" fontId="7" fillId="6" borderId="15" xfId="0" applyFont="1" applyFill="1" applyBorder="1"/>
    <xf numFmtId="0" fontId="7" fillId="6" borderId="14" xfId="0" applyFont="1" applyFill="1" applyBorder="1"/>
    <xf numFmtId="0" fontId="7" fillId="6" borderId="12" xfId="0" applyFont="1" applyFill="1" applyBorder="1"/>
    <xf numFmtId="0" fontId="7" fillId="6" borderId="16" xfId="0" applyFont="1" applyFill="1" applyBorder="1"/>
    <xf numFmtId="0" fontId="7" fillId="6" borderId="17" xfId="0" applyFont="1" applyFill="1" applyBorder="1"/>
    <xf numFmtId="0" fontId="7" fillId="6" borderId="18" xfId="0" applyFont="1" applyFill="1" applyBorder="1"/>
    <xf numFmtId="0" fontId="29" fillId="6" borderId="12" xfId="0" applyFont="1" applyFill="1" applyBorder="1"/>
    <xf numFmtId="0" fontId="29" fillId="6" borderId="13" xfId="0" applyFont="1" applyFill="1" applyBorder="1"/>
    <xf numFmtId="0" fontId="29" fillId="6" borderId="0" xfId="0" applyFont="1" applyFill="1"/>
    <xf numFmtId="0" fontId="29" fillId="6" borderId="15" xfId="0" applyFont="1" applyFill="1" applyBorder="1"/>
    <xf numFmtId="0" fontId="29" fillId="6" borderId="17" xfId="0" applyFont="1" applyFill="1" applyBorder="1"/>
    <xf numFmtId="0" fontId="29" fillId="6" borderId="18" xfId="0" applyFont="1" applyFill="1" applyBorder="1"/>
    <xf numFmtId="170" fontId="0" fillId="4" borderId="20" xfId="0" applyNumberFormat="1" applyFill="1" applyBorder="1"/>
    <xf numFmtId="0" fontId="0" fillId="4" borderId="20" xfId="0" applyFill="1" applyBorder="1"/>
    <xf numFmtId="0" fontId="7" fillId="6" borderId="14" xfId="0" applyFont="1" applyFill="1" applyBorder="1" applyAlignment="1">
      <alignment horizontal="right"/>
    </xf>
    <xf numFmtId="0" fontId="7" fillId="6" borderId="0" xfId="0" applyFont="1" applyFill="1" applyAlignment="1">
      <alignment horizontal="right"/>
    </xf>
    <xf numFmtId="0" fontId="7" fillId="5" borderId="0" xfId="0" applyFont="1" applyFill="1"/>
    <xf numFmtId="0" fontId="30" fillId="5" borderId="0" xfId="0" applyFont="1" applyFill="1" applyAlignment="1">
      <alignment vertical="center"/>
    </xf>
    <xf numFmtId="0" fontId="30" fillId="5" borderId="0" xfId="0" applyFont="1" applyFill="1"/>
    <xf numFmtId="0" fontId="31" fillId="5" borderId="0" xfId="0" applyFont="1" applyFill="1"/>
    <xf numFmtId="0" fontId="0" fillId="6" borderId="24" xfId="0" applyFill="1" applyBorder="1"/>
    <xf numFmtId="0" fontId="0" fillId="6" borderId="25" xfId="0" applyFill="1" applyBorder="1"/>
    <xf numFmtId="0" fontId="0" fillId="6" borderId="26" xfId="0" applyFill="1" applyBorder="1"/>
    <xf numFmtId="0" fontId="0" fillId="6" borderId="27" xfId="0" applyFill="1" applyBorder="1"/>
    <xf numFmtId="0" fontId="0" fillId="6" borderId="28" xfId="0" applyFill="1" applyBorder="1"/>
    <xf numFmtId="0" fontId="0" fillId="6" borderId="24" xfId="0" applyFill="1" applyBorder="1" applyAlignment="1">
      <alignment wrapText="1"/>
    </xf>
    <xf numFmtId="0" fontId="0" fillId="7" borderId="0" xfId="0" applyFill="1"/>
    <xf numFmtId="0" fontId="0" fillId="8" borderId="0" xfId="0" applyFill="1"/>
    <xf numFmtId="0" fontId="14" fillId="0" borderId="0" xfId="0" applyFont="1"/>
    <xf numFmtId="0" fontId="14" fillId="2" borderId="0" xfId="0" applyFont="1" applyFill="1"/>
    <xf numFmtId="0" fontId="16" fillId="0" borderId="0" xfId="0" applyFont="1"/>
    <xf numFmtId="0" fontId="8" fillId="6" borderId="0" xfId="0" applyFont="1" applyFill="1" applyAlignment="1">
      <alignment horizontal="center"/>
    </xf>
    <xf numFmtId="0" fontId="8" fillId="2" borderId="22" xfId="0" applyFont="1" applyFill="1" applyBorder="1"/>
    <xf numFmtId="0" fontId="8" fillId="2" borderId="23" xfId="0" applyFont="1" applyFill="1" applyBorder="1"/>
    <xf numFmtId="0" fontId="31" fillId="2" borderId="21" xfId="0" applyFont="1" applyFill="1" applyBorder="1"/>
    <xf numFmtId="0" fontId="0" fillId="0" borderId="0" xfId="0" applyAlignment="1">
      <alignment vertical="top" wrapText="1"/>
    </xf>
    <xf numFmtId="0" fontId="32" fillId="6" borderId="14" xfId="0" applyFont="1" applyFill="1" applyBorder="1"/>
    <xf numFmtId="0" fontId="19" fillId="2" borderId="30" xfId="0" applyFont="1" applyFill="1" applyBorder="1" applyAlignment="1">
      <alignment horizontal="left" vertical="center" wrapText="1"/>
    </xf>
    <xf numFmtId="0" fontId="18" fillId="0" borderId="33" xfId="0" applyFont="1" applyBorder="1" applyAlignment="1">
      <alignment horizontal="center" vertical="center" wrapText="1"/>
    </xf>
    <xf numFmtId="0" fontId="18" fillId="0" borderId="0" xfId="0" applyFont="1" applyAlignment="1">
      <alignment horizontal="center" vertical="center" wrapText="1"/>
    </xf>
    <xf numFmtId="0" fontId="0" fillId="0" borderId="6" xfId="0" applyBorder="1" applyAlignment="1">
      <alignment wrapText="1"/>
    </xf>
    <xf numFmtId="0" fontId="0" fillId="0" borderId="5" xfId="0" applyBorder="1" applyAlignment="1">
      <alignment vertical="top"/>
    </xf>
    <xf numFmtId="0" fontId="0" fillId="0" borderId="0" xfId="0" applyAlignment="1">
      <alignment vertical="top"/>
    </xf>
    <xf numFmtId="0" fontId="31" fillId="2" borderId="2" xfId="0" applyFont="1" applyFill="1" applyBorder="1"/>
    <xf numFmtId="0" fontId="31" fillId="2" borderId="3" xfId="0" applyFont="1" applyFill="1" applyBorder="1"/>
    <xf numFmtId="0" fontId="31" fillId="2" borderId="4" xfId="0" applyFont="1" applyFill="1" applyBorder="1"/>
    <xf numFmtId="0" fontId="31" fillId="0" borderId="0" xfId="0" applyFont="1" applyAlignment="1">
      <alignment horizontal="center" vertical="center"/>
    </xf>
    <xf numFmtId="0" fontId="31" fillId="0" borderId="0" xfId="0" applyFont="1"/>
    <xf numFmtId="0" fontId="30" fillId="2" borderId="0" xfId="0" applyFont="1" applyFill="1" applyAlignment="1">
      <alignment vertical="center"/>
    </xf>
    <xf numFmtId="0" fontId="0" fillId="9" borderId="0" xfId="0" applyFill="1"/>
    <xf numFmtId="0" fontId="34" fillId="9" borderId="0" xfId="0" applyFont="1" applyFill="1"/>
    <xf numFmtId="3" fontId="8" fillId="0" borderId="0" xfId="0" applyNumberFormat="1" applyFont="1"/>
    <xf numFmtId="0" fontId="18" fillId="0" borderId="0" xfId="0" applyFont="1" applyAlignment="1">
      <alignment horizontal="left" vertical="center" wrapText="1"/>
    </xf>
    <xf numFmtId="0" fontId="0" fillId="0" borderId="0" xfId="0" applyAlignment="1">
      <alignment horizontal="center" wrapText="1"/>
    </xf>
    <xf numFmtId="0" fontId="18" fillId="0" borderId="34" xfId="0" applyFont="1" applyBorder="1" applyAlignment="1">
      <alignment horizontal="left" vertical="center" wrapText="1"/>
    </xf>
    <xf numFmtId="0" fontId="8" fillId="6" borderId="0" xfId="0" applyFont="1" applyFill="1" applyAlignment="1">
      <alignment horizontal="left" vertical="top" wrapText="1"/>
    </xf>
    <xf numFmtId="0" fontId="33" fillId="6" borderId="0" xfId="4" applyFill="1" applyAlignment="1">
      <alignment horizontal="left" vertical="top"/>
    </xf>
    <xf numFmtId="0" fontId="0" fillId="4" borderId="10" xfId="0" applyFill="1" applyBorder="1" applyAlignment="1">
      <alignment horizontal="left" vertical="center"/>
    </xf>
    <xf numFmtId="167" fontId="22" fillId="7" borderId="20" xfId="2" applyNumberFormat="1" applyFont="1" applyFill="1" applyBorder="1"/>
    <xf numFmtId="0" fontId="23" fillId="0" borderId="38" xfId="0" applyFont="1" applyBorder="1" applyAlignment="1">
      <alignment horizontal="center"/>
    </xf>
    <xf numFmtId="167" fontId="24" fillId="0" borderId="39" xfId="2" applyNumberFormat="1" applyFont="1" applyFill="1" applyBorder="1" applyAlignment="1">
      <alignment horizontal="center"/>
    </xf>
    <xf numFmtId="0" fontId="0" fillId="0" borderId="40" xfId="0" applyBorder="1"/>
    <xf numFmtId="0" fontId="0" fillId="0" borderId="42" xfId="0" applyBorder="1"/>
    <xf numFmtId="0" fontId="22" fillId="0" borderId="41" xfId="0" applyFont="1" applyBorder="1"/>
    <xf numFmtId="0" fontId="18" fillId="0" borderId="41" xfId="0" applyFont="1" applyBorder="1"/>
    <xf numFmtId="0" fontId="18" fillId="0" borderId="41" xfId="0" applyFont="1" applyBorder="1" applyAlignment="1">
      <alignment horizontal="left"/>
    </xf>
    <xf numFmtId="167" fontId="21" fillId="0" borderId="44" xfId="2" applyNumberFormat="1" applyFill="1" applyBorder="1"/>
    <xf numFmtId="0" fontId="0" fillId="0" borderId="45" xfId="0" applyBorder="1"/>
    <xf numFmtId="0" fontId="19" fillId="2" borderId="41" xfId="0" applyFont="1" applyFill="1" applyBorder="1"/>
    <xf numFmtId="167" fontId="20" fillId="2" borderId="0" xfId="2" applyNumberFormat="1" applyFont="1" applyFill="1" applyBorder="1"/>
    <xf numFmtId="0" fontId="7" fillId="2" borderId="42" xfId="0" applyFont="1" applyFill="1" applyBorder="1"/>
    <xf numFmtId="167" fontId="19" fillId="2" borderId="0" xfId="2" applyNumberFormat="1" applyFont="1" applyFill="1" applyBorder="1" applyAlignment="1">
      <alignment horizontal="center"/>
    </xf>
    <xf numFmtId="0" fontId="0" fillId="0" borderId="42" xfId="0" applyBorder="1" applyAlignment="1">
      <alignment horizontal="left"/>
    </xf>
    <xf numFmtId="167" fontId="22" fillId="4" borderId="47" xfId="2" applyNumberFormat="1" applyFont="1" applyFill="1" applyBorder="1"/>
    <xf numFmtId="164" fontId="22" fillId="4" borderId="47" xfId="2" applyFont="1" applyFill="1" applyBorder="1"/>
    <xf numFmtId="168" fontId="22" fillId="4" borderId="47" xfId="2" applyNumberFormat="1" applyFont="1" applyFill="1" applyBorder="1"/>
    <xf numFmtId="167" fontId="18" fillId="4" borderId="47" xfId="2" applyNumberFormat="1" applyFont="1" applyFill="1" applyBorder="1"/>
    <xf numFmtId="167" fontId="20" fillId="0" borderId="0" xfId="2" applyNumberFormat="1" applyFont="1" applyFill="1" applyBorder="1"/>
    <xf numFmtId="0" fontId="7" fillId="0" borderId="42" xfId="0" applyFont="1" applyBorder="1"/>
    <xf numFmtId="0" fontId="19" fillId="0" borderId="41" xfId="0" applyFont="1" applyBorder="1"/>
    <xf numFmtId="167" fontId="19" fillId="0" borderId="0" xfId="2" applyNumberFormat="1" applyFont="1" applyFill="1" applyBorder="1" applyAlignment="1">
      <alignment horizontal="center"/>
    </xf>
    <xf numFmtId="0" fontId="28" fillId="6" borderId="0" xfId="0" applyFont="1" applyFill="1"/>
    <xf numFmtId="0" fontId="28" fillId="6" borderId="38" xfId="0" applyFont="1" applyFill="1" applyBorder="1"/>
    <xf numFmtId="0" fontId="0" fillId="6" borderId="39" xfId="0" applyFill="1" applyBorder="1"/>
    <xf numFmtId="0" fontId="0" fillId="6" borderId="40" xfId="0" applyFill="1" applyBorder="1"/>
    <xf numFmtId="0" fontId="0" fillId="6" borderId="41" xfId="0" applyFill="1" applyBorder="1"/>
    <xf numFmtId="0" fontId="0" fillId="6" borderId="42" xfId="0" applyFill="1" applyBorder="1"/>
    <xf numFmtId="0" fontId="0" fillId="6" borderId="43" xfId="0" applyFill="1" applyBorder="1"/>
    <xf numFmtId="0" fontId="0" fillId="6" borderId="44" xfId="0" applyFill="1" applyBorder="1"/>
    <xf numFmtId="0" fontId="0" fillId="6" borderId="45" xfId="0" applyFill="1" applyBorder="1"/>
    <xf numFmtId="0" fontId="35" fillId="6" borderId="0" xfId="0" applyFont="1" applyFill="1" applyAlignment="1">
      <alignment vertical="top" wrapText="1"/>
    </xf>
    <xf numFmtId="0" fontId="39" fillId="6" borderId="0" xfId="0" applyFont="1" applyFill="1" applyAlignment="1">
      <alignment vertical="top" wrapText="1"/>
    </xf>
    <xf numFmtId="0" fontId="39" fillId="6" borderId="42" xfId="0" applyFont="1" applyFill="1" applyBorder="1" applyAlignment="1">
      <alignment vertical="top" wrapText="1"/>
    </xf>
    <xf numFmtId="0" fontId="18" fillId="0" borderId="0" xfId="0" applyFont="1" applyAlignment="1">
      <alignment horizontal="left" vertical="center"/>
    </xf>
    <xf numFmtId="0" fontId="8" fillId="7" borderId="0" xfId="4" applyFont="1" applyFill="1" applyAlignment="1">
      <alignment horizontal="center" vertical="center"/>
    </xf>
    <xf numFmtId="0" fontId="8" fillId="10" borderId="0" xfId="4" applyFont="1" applyFill="1" applyAlignment="1">
      <alignment horizontal="center" vertical="center"/>
    </xf>
    <xf numFmtId="0" fontId="8" fillId="11" borderId="0" xfId="4" applyFont="1" applyFill="1" applyAlignment="1">
      <alignment horizontal="center" vertical="center"/>
    </xf>
    <xf numFmtId="0" fontId="8" fillId="9" borderId="0" xfId="4" applyFont="1" applyFill="1" applyAlignment="1">
      <alignment horizontal="center" vertical="center"/>
    </xf>
    <xf numFmtId="0" fontId="40" fillId="0" borderId="5" xfId="0" applyFont="1" applyBorder="1"/>
    <xf numFmtId="0" fontId="0" fillId="0" borderId="42" xfId="0" quotePrefix="1" applyBorder="1"/>
    <xf numFmtId="167" fontId="0" fillId="0" borderId="42" xfId="0" applyNumberFormat="1" applyBorder="1"/>
    <xf numFmtId="43" fontId="0" fillId="0" borderId="42" xfId="0" applyNumberFormat="1" applyBorder="1"/>
    <xf numFmtId="0" fontId="0" fillId="0" borderId="0" xfId="0" quotePrefix="1"/>
    <xf numFmtId="0" fontId="41" fillId="0" borderId="5" xfId="0" applyFont="1" applyBorder="1"/>
    <xf numFmtId="0" fontId="42" fillId="0" borderId="5" xfId="0" applyFont="1" applyBorder="1"/>
    <xf numFmtId="0" fontId="43" fillId="0" borderId="0" xfId="0" applyFont="1"/>
    <xf numFmtId="167" fontId="22" fillId="4" borderId="46" xfId="2" applyNumberFormat="1" applyFont="1" applyFill="1" applyBorder="1" applyAlignment="1">
      <alignment horizontal="right"/>
    </xf>
    <xf numFmtId="0" fontId="44" fillId="2" borderId="0" xfId="0" applyFont="1" applyFill="1" applyAlignment="1">
      <alignment vertical="center"/>
    </xf>
    <xf numFmtId="0" fontId="45" fillId="6" borderId="11" xfId="0" applyFont="1" applyFill="1" applyBorder="1"/>
    <xf numFmtId="0" fontId="29" fillId="6" borderId="11" xfId="0" applyFont="1" applyFill="1" applyBorder="1"/>
    <xf numFmtId="0" fontId="45" fillId="6" borderId="14" xfId="0" applyFont="1" applyFill="1" applyBorder="1"/>
    <xf numFmtId="0" fontId="45" fillId="6" borderId="0" xfId="0" applyFont="1" applyFill="1"/>
    <xf numFmtId="0" fontId="29" fillId="6" borderId="14" xfId="0" applyFont="1" applyFill="1" applyBorder="1"/>
    <xf numFmtId="0" fontId="25" fillId="0" borderId="14" xfId="3" applyFont="1" applyBorder="1"/>
    <xf numFmtId="164" fontId="0" fillId="7" borderId="20" xfId="2" applyFont="1" applyFill="1" applyBorder="1"/>
    <xf numFmtId="3" fontId="0" fillId="6" borderId="15" xfId="0" applyNumberFormat="1" applyFill="1" applyBorder="1"/>
    <xf numFmtId="0" fontId="0" fillId="6" borderId="14" xfId="0" applyFill="1" applyBorder="1"/>
    <xf numFmtId="0" fontId="29" fillId="6" borderId="16" xfId="0" applyFont="1" applyFill="1" applyBorder="1"/>
    <xf numFmtId="0" fontId="7" fillId="6" borderId="11" xfId="0" applyFont="1" applyFill="1" applyBorder="1"/>
    <xf numFmtId="169" fontId="0" fillId="7" borderId="20" xfId="2" applyNumberFormat="1" applyFont="1" applyFill="1" applyBorder="1"/>
    <xf numFmtId="0" fontId="0" fillId="6" borderId="15" xfId="0" applyFill="1" applyBorder="1"/>
    <xf numFmtId="0" fontId="0" fillId="6" borderId="12" xfId="0" applyFill="1" applyBorder="1"/>
    <xf numFmtId="0" fontId="0" fillId="6" borderId="13" xfId="0" applyFill="1" applyBorder="1"/>
    <xf numFmtId="0" fontId="0" fillId="0" borderId="14" xfId="3" applyFont="1" applyBorder="1"/>
    <xf numFmtId="3" fontId="0" fillId="6" borderId="0" xfId="0" applyNumberFormat="1" applyFill="1"/>
    <xf numFmtId="0" fontId="35" fillId="6" borderId="15" xfId="0" applyFont="1" applyFill="1" applyBorder="1"/>
    <xf numFmtId="164" fontId="0" fillId="4" borderId="19" xfId="2" applyFont="1" applyFill="1" applyBorder="1"/>
    <xf numFmtId="164" fontId="0" fillId="0" borderId="0" xfId="2" applyFont="1" applyFill="1" applyBorder="1"/>
    <xf numFmtId="0" fontId="0" fillId="6" borderId="16" xfId="0" applyFill="1" applyBorder="1"/>
    <xf numFmtId="0" fontId="0" fillId="6" borderId="17" xfId="0" applyFill="1" applyBorder="1"/>
    <xf numFmtId="0" fontId="0" fillId="6" borderId="18" xfId="0" applyFill="1" applyBorder="1"/>
    <xf numFmtId="0" fontId="0" fillId="6" borderId="14" xfId="0" applyFill="1" applyBorder="1" applyAlignment="1">
      <alignment horizontal="right"/>
    </xf>
    <xf numFmtId="0" fontId="0" fillId="6" borderId="0" xfId="0" applyFill="1" applyAlignment="1">
      <alignment horizontal="right"/>
    </xf>
    <xf numFmtId="3" fontId="0" fillId="6" borderId="0" xfId="0" applyNumberFormat="1" applyFill="1" applyAlignment="1">
      <alignment horizontal="right"/>
    </xf>
    <xf numFmtId="0" fontId="0" fillId="12" borderId="20" xfId="0" applyFill="1" applyBorder="1"/>
    <xf numFmtId="170" fontId="0" fillId="12" borderId="20" xfId="0" applyNumberFormat="1" applyFill="1" applyBorder="1"/>
    <xf numFmtId="167" fontId="18" fillId="12" borderId="47" xfId="2" applyNumberFormat="1" applyFont="1" applyFill="1" applyBorder="1"/>
    <xf numFmtId="167" fontId="18" fillId="12" borderId="47" xfId="2" applyNumberFormat="1" applyFont="1" applyFill="1" applyBorder="1" applyAlignment="1">
      <alignment horizontal="left"/>
    </xf>
    <xf numFmtId="0" fontId="25" fillId="6" borderId="14" xfId="3" applyFont="1" applyFill="1" applyBorder="1"/>
    <xf numFmtId="164" fontId="0" fillId="6" borderId="0" xfId="2" applyFont="1" applyFill="1" applyBorder="1"/>
    <xf numFmtId="0" fontId="47" fillId="0" borderId="0" xfId="0" applyFont="1"/>
    <xf numFmtId="169" fontId="48" fillId="0" borderId="43" xfId="2" applyNumberFormat="1" applyFont="1" applyFill="1" applyBorder="1"/>
    <xf numFmtId="0" fontId="11" fillId="2" borderId="0" xfId="0" applyFont="1" applyFill="1"/>
    <xf numFmtId="0" fontId="49" fillId="6" borderId="14" xfId="0" applyFont="1" applyFill="1" applyBorder="1"/>
    <xf numFmtId="15" fontId="0" fillId="0" borderId="0" xfId="0" applyNumberFormat="1"/>
    <xf numFmtId="0" fontId="0" fillId="0" borderId="6" xfId="0" applyBorder="1" applyAlignment="1">
      <alignment horizontal="left" vertical="top" wrapText="1"/>
    </xf>
    <xf numFmtId="0" fontId="0" fillId="0" borderId="6" xfId="0" applyBorder="1" applyAlignment="1">
      <alignment vertical="top" wrapText="1"/>
    </xf>
    <xf numFmtId="0" fontId="30" fillId="2" borderId="0" xfId="0" applyFont="1" applyFill="1"/>
    <xf numFmtId="167" fontId="22" fillId="4" borderId="48" xfId="2" applyNumberFormat="1" applyFont="1" applyFill="1" applyBorder="1"/>
    <xf numFmtId="0" fontId="24" fillId="0" borderId="5" xfId="0" applyFont="1" applyBorder="1" applyAlignment="1">
      <alignment horizontal="left" vertical="top" wrapText="1"/>
    </xf>
    <xf numFmtId="0" fontId="23" fillId="0" borderId="5" xfId="0" applyFont="1" applyBorder="1" applyAlignment="1">
      <alignment horizontal="left"/>
    </xf>
    <xf numFmtId="0" fontId="0" fillId="4" borderId="10" xfId="0" applyFill="1" applyBorder="1" applyAlignment="1">
      <alignment vertical="center"/>
    </xf>
    <xf numFmtId="0" fontId="36" fillId="6" borderId="0" xfId="0" applyFont="1" applyFill="1" applyAlignment="1">
      <alignment horizontal="right" vertical="top" wrapText="1"/>
    </xf>
    <xf numFmtId="0" fontId="8" fillId="6" borderId="0" xfId="0" applyFont="1" applyFill="1"/>
    <xf numFmtId="0" fontId="8" fillId="6" borderId="29" xfId="0" applyFont="1" applyFill="1" applyBorder="1" applyAlignment="1">
      <alignment horizontal="center"/>
    </xf>
    <xf numFmtId="3" fontId="2" fillId="0" borderId="0" xfId="0" applyNumberFormat="1" applyFont="1"/>
    <xf numFmtId="0" fontId="44" fillId="5" borderId="0" xfId="0" applyFont="1" applyFill="1" applyAlignment="1">
      <alignment vertical="center"/>
    </xf>
    <xf numFmtId="0" fontId="8" fillId="13" borderId="0" xfId="0" applyFont="1" applyFill="1"/>
    <xf numFmtId="0" fontId="10" fillId="2" borderId="0" xfId="0" applyFont="1" applyFill="1" applyAlignment="1">
      <alignment horizontal="center" vertical="center"/>
    </xf>
    <xf numFmtId="0" fontId="11" fillId="2" borderId="0" xfId="0" applyFont="1" applyFill="1" applyAlignment="1">
      <alignment horizontal="center" vertical="center"/>
    </xf>
    <xf numFmtId="0" fontId="0" fillId="14" borderId="0" xfId="0" applyFill="1" applyAlignment="1">
      <alignment horizontal="center" wrapText="1"/>
    </xf>
    <xf numFmtId="0" fontId="1"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0" fillId="0" borderId="0" xfId="0" applyAlignment="1">
      <alignment horizontal="left"/>
    </xf>
    <xf numFmtId="0" fontId="0" fillId="0" borderId="6" xfId="0" applyBorder="1" applyAlignment="1">
      <alignment horizontal="left"/>
    </xf>
    <xf numFmtId="0" fontId="0" fillId="0" borderId="0" xfId="0" applyAlignment="1">
      <alignment horizontal="left" wrapText="1"/>
    </xf>
    <xf numFmtId="0" fontId="0" fillId="0" borderId="6" xfId="0" applyBorder="1" applyAlignment="1">
      <alignment horizontal="left" wrapText="1"/>
    </xf>
    <xf numFmtId="0" fontId="0" fillId="0" borderId="5" xfId="0" applyBorder="1" applyAlignment="1">
      <alignment horizontal="left" vertical="center"/>
    </xf>
    <xf numFmtId="0" fontId="0" fillId="0" borderId="0" xfId="0" applyAlignment="1">
      <alignment horizontal="left" vertical="center"/>
    </xf>
    <xf numFmtId="0" fontId="0" fillId="0" borderId="5" xfId="0" applyBorder="1" applyAlignment="1">
      <alignment horizontal="left" wrapText="1"/>
    </xf>
    <xf numFmtId="0" fontId="30" fillId="2" borderId="0" xfId="0" applyFont="1" applyFill="1" applyAlignment="1">
      <alignment horizontal="left"/>
    </xf>
    <xf numFmtId="0" fontId="8" fillId="0" borderId="5" xfId="0" applyFont="1" applyBorder="1" applyAlignment="1">
      <alignment horizontal="left"/>
    </xf>
    <xf numFmtId="0" fontId="8" fillId="0" borderId="0" xfId="0" applyFont="1" applyAlignment="1">
      <alignment horizontal="left"/>
    </xf>
    <xf numFmtId="0" fontId="8" fillId="0" borderId="5" xfId="0" applyFont="1" applyBorder="1" applyAlignment="1">
      <alignment horizontal="left" vertical="top"/>
    </xf>
    <xf numFmtId="0" fontId="8" fillId="0" borderId="0" xfId="0" applyFont="1" applyAlignment="1">
      <alignment horizontal="left" vertical="top"/>
    </xf>
    <xf numFmtId="0" fontId="0" fillId="0" borderId="0" xfId="0" applyAlignment="1">
      <alignment horizontal="left" vertical="top" wrapText="1"/>
    </xf>
    <xf numFmtId="0" fontId="0" fillId="0" borderId="6" xfId="0" applyBorder="1" applyAlignment="1">
      <alignment horizontal="left" vertical="top" wrapText="1"/>
    </xf>
    <xf numFmtId="0" fontId="18" fillId="15" borderId="7" xfId="0" applyFont="1" applyFill="1" applyBorder="1" applyAlignment="1">
      <alignment horizontal="left" vertical="center" wrapText="1"/>
    </xf>
    <xf numFmtId="0" fontId="18" fillId="15" borderId="8" xfId="0" applyFont="1" applyFill="1" applyBorder="1" applyAlignment="1">
      <alignment horizontal="left" vertical="center" wrapText="1"/>
    </xf>
    <xf numFmtId="0" fontId="18" fillId="15" borderId="9" xfId="0" applyFont="1" applyFill="1" applyBorder="1" applyAlignment="1">
      <alignment horizontal="left" vertical="center" wrapText="1"/>
    </xf>
    <xf numFmtId="0" fontId="18" fillId="0" borderId="0" xfId="0" applyFont="1" applyAlignment="1">
      <alignment horizontal="left" vertical="center" wrapText="1"/>
    </xf>
    <xf numFmtId="0" fontId="18" fillId="0" borderId="6" xfId="0" applyFont="1" applyBorder="1" applyAlignment="1">
      <alignment horizontal="left" vertical="center" wrapText="1"/>
    </xf>
    <xf numFmtId="0" fontId="19" fillId="2" borderId="3" xfId="0" applyFont="1" applyFill="1" applyBorder="1" applyAlignment="1">
      <alignment horizontal="left" vertical="center" wrapText="1"/>
    </xf>
    <xf numFmtId="0" fontId="19" fillId="2" borderId="4" xfId="0" applyFont="1" applyFill="1" applyBorder="1" applyAlignment="1">
      <alignment horizontal="left" vertical="center" wrapText="1"/>
    </xf>
    <xf numFmtId="0" fontId="18" fillId="0" borderId="0" xfId="0" applyFont="1" applyAlignment="1">
      <alignment horizontal="left" vertical="top" wrapText="1"/>
    </xf>
    <xf numFmtId="0" fontId="18" fillId="0" borderId="6" xfId="0" applyFont="1" applyBorder="1" applyAlignment="1">
      <alignment horizontal="left" vertical="top" wrapText="1"/>
    </xf>
    <xf numFmtId="0" fontId="19" fillId="2" borderId="31" xfId="0" applyFont="1" applyFill="1" applyBorder="1" applyAlignment="1">
      <alignment horizontal="left" vertical="center" wrapText="1"/>
    </xf>
    <xf numFmtId="0" fontId="19" fillId="2" borderId="32" xfId="0" applyFont="1" applyFill="1" applyBorder="1" applyAlignment="1">
      <alignment horizontal="left" vertical="center" wrapText="1"/>
    </xf>
    <xf numFmtId="0" fontId="18" fillId="0" borderId="34" xfId="0" applyFont="1" applyBorder="1" applyAlignment="1">
      <alignment horizontal="left" vertical="center" wrapText="1"/>
    </xf>
    <xf numFmtId="0" fontId="18" fillId="15" borderId="35" xfId="0" applyFont="1" applyFill="1" applyBorder="1" applyAlignment="1">
      <alignment horizontal="left" vertical="center" wrapText="1"/>
    </xf>
    <xf numFmtId="0" fontId="18" fillId="15" borderId="36" xfId="0" applyFont="1" applyFill="1" applyBorder="1" applyAlignment="1">
      <alignment horizontal="left" vertical="center" wrapText="1"/>
    </xf>
    <xf numFmtId="0" fontId="18" fillId="15" borderId="37" xfId="0" applyFont="1" applyFill="1" applyBorder="1" applyAlignment="1">
      <alignment horizontal="left" vertical="center" wrapText="1"/>
    </xf>
    <xf numFmtId="0" fontId="18" fillId="0" borderId="5" xfId="0" applyFont="1" applyBorder="1" applyAlignment="1">
      <alignment horizontal="left" vertical="top" wrapText="1"/>
    </xf>
    <xf numFmtId="0" fontId="39" fillId="6" borderId="41" xfId="0" applyFont="1" applyFill="1" applyBorder="1" applyAlignment="1">
      <alignment horizontal="left" vertical="top" wrapText="1"/>
    </xf>
    <xf numFmtId="0" fontId="39" fillId="6" borderId="0" xfId="0" applyFont="1" applyFill="1" applyAlignment="1">
      <alignment horizontal="left" vertical="top" wrapText="1"/>
    </xf>
    <xf numFmtId="0" fontId="39" fillId="6" borderId="42" xfId="0" applyFont="1" applyFill="1" applyBorder="1" applyAlignment="1">
      <alignment horizontal="left" vertical="top" wrapText="1"/>
    </xf>
    <xf numFmtId="0" fontId="36" fillId="6" borderId="26" xfId="0" applyFont="1" applyFill="1" applyBorder="1" applyAlignment="1">
      <alignment horizontal="left" vertical="top" wrapText="1"/>
    </xf>
    <xf numFmtId="0" fontId="36" fillId="6" borderId="27" xfId="0" applyFont="1" applyFill="1" applyBorder="1" applyAlignment="1">
      <alignment horizontal="left" vertical="top" wrapText="1"/>
    </xf>
    <xf numFmtId="0" fontId="36" fillId="6" borderId="28" xfId="0" applyFont="1" applyFill="1" applyBorder="1" applyAlignment="1">
      <alignment horizontal="left" vertical="top" wrapText="1"/>
    </xf>
    <xf numFmtId="167" fontId="22" fillId="4" borderId="10" xfId="2" applyNumberFormat="1" applyFont="1" applyFill="1" applyBorder="1" applyAlignment="1"/>
    <xf numFmtId="167" fontId="18" fillId="4" borderId="10" xfId="2" applyNumberFormat="1" applyFont="1" applyFill="1" applyBorder="1" applyAlignment="1"/>
    <xf numFmtId="164" fontId="22" fillId="4" borderId="10" xfId="2" applyFont="1" applyFill="1" applyBorder="1" applyAlignment="1"/>
    <xf numFmtId="167" fontId="18" fillId="12" borderId="10" xfId="2" applyNumberFormat="1" applyFont="1" applyFill="1" applyBorder="1" applyAlignment="1"/>
    <xf numFmtId="167" fontId="18" fillId="12" borderId="10" xfId="2" applyNumberFormat="1" applyFont="1" applyFill="1" applyBorder="1" applyAlignment="1">
      <alignment horizontal="left"/>
    </xf>
  </cellXfs>
  <cellStyles count="5">
    <cellStyle name="Comma" xfId="2" builtinId="3"/>
    <cellStyle name="Hyperlink" xfId="4" builtinId="8"/>
    <cellStyle name="Normal" xfId="0" builtinId="0"/>
    <cellStyle name="Normal_Copy of WorksheetESRD" xfId="1"/>
    <cellStyle name="Normal_Workbook_cholecystectomy" xfId="3"/>
  </cellStyles>
  <dxfs count="0"/>
  <tableStyles count="0" defaultTableStyle="TableStyleMedium2" defaultPivotStyle="PivotStyleMedium9"/>
  <colors>
    <mruColors>
      <color rgb="FFFFFFCC"/>
      <color rgb="FFFF6D51"/>
      <color rgb="FF94F0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Survival curve of HD and PD first </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smoothMarker"/>
        <c:varyColors val="0"/>
        <c:ser>
          <c:idx val="0"/>
          <c:order val="0"/>
          <c:tx>
            <c:strRef>
              <c:f>Survivaldata!$C$1</c:f>
              <c:strCache>
                <c:ptCount val="1"/>
                <c:pt idx="0">
                  <c:v>Prob survival HD first</c:v>
                </c:pt>
              </c:strCache>
            </c:strRef>
          </c:tx>
          <c:spPr>
            <a:ln w="9525" cap="rnd">
              <a:solidFill>
                <a:schemeClr val="accent1"/>
              </a:solidFill>
              <a:round/>
            </a:ln>
            <a:effectLst/>
          </c:spPr>
          <c:marker>
            <c:symbol val="none"/>
          </c:marker>
          <c:yVal>
            <c:numRef>
              <c:f>Survivaldata!$C$2:$C$52</c:f>
              <c:numCache>
                <c:formatCode>General</c:formatCode>
                <c:ptCount val="51"/>
                <c:pt idx="0">
                  <c:v>1</c:v>
                </c:pt>
                <c:pt idx="1">
                  <c:v>0.95544837953396533</c:v>
                </c:pt>
                <c:pt idx="2">
                  <c:v>0.90846045738651449</c:v>
                </c:pt>
                <c:pt idx="3">
                  <c:v>0.86204808580288894</c:v>
                </c:pt>
                <c:pt idx="4">
                  <c:v>0.81690320627007307</c:v>
                </c:pt>
                <c:pt idx="5">
                  <c:v>0.77332808724693847</c:v>
                </c:pt>
                <c:pt idx="6">
                  <c:v>0.73146822731881755</c:v>
                </c:pt>
                <c:pt idx="7">
                  <c:v>0.69138877352489714</c:v>
                </c:pt>
                <c:pt idx="8">
                  <c:v>0.65310823796895745</c:v>
                </c:pt>
                <c:pt idx="9">
                  <c:v>0.61661605785260543</c:v>
                </c:pt>
                <c:pt idx="10">
                  <c:v>0.58188277853986259</c:v>
                </c:pt>
                <c:pt idx="11">
                  <c:v>0.54886641711451101</c:v>
                </c:pt>
                <c:pt idx="12">
                  <c:v>0.51751666012301989</c:v>
                </c:pt>
                <c:pt idx="13">
                  <c:v>0.48777774554459108</c:v>
                </c:pt>
                <c:pt idx="14">
                  <c:v>0.45959050108772315</c:v>
                </c:pt>
                <c:pt idx="15">
                  <c:v>0.43289381768178192</c:v>
                </c:pt>
                <c:pt idx="16">
                  <c:v>0.40762573139835345</c:v>
                </c:pt>
                <c:pt idx="17">
                  <c:v>0.38372422602312006</c:v>
                </c:pt>
                <c:pt idx="18">
                  <c:v>0.36112783159235518</c:v>
                </c:pt>
                <c:pt idx="19">
                  <c:v>0.33977607098803952</c:v>
                </c:pt>
                <c:pt idx="20">
                  <c:v>0.31960979157184</c:v>
                </c:pt>
                <c:pt idx="21">
                  <c:v>0.30057140870496701</c:v>
                </c:pt>
                <c:pt idx="22">
                  <c:v>0.28260508102763582</c:v>
                </c:pt>
                <c:pt idx="23">
                  <c:v>0.26565683246096439</c:v>
                </c:pt>
                <c:pt idx="24">
                  <c:v>0.24967463236395715</c:v>
                </c:pt>
                <c:pt idx="25">
                  <c:v>0.23460844269338155</c:v>
                </c:pt>
                <c:pt idx="26">
                  <c:v>0.22041023909035506</c:v>
                </c:pt>
                <c:pt idx="27">
                  <c:v>0.2070340113639082</c:v>
                </c:pt>
                <c:pt idx="28">
                  <c:v>0.19443574772891303</c:v>
                </c:pt>
                <c:pt idx="29">
                  <c:v>0.182573406293558</c:v>
                </c:pt>
                <c:pt idx="30">
                  <c:v>0.17140687661610965</c:v>
                </c:pt>
                <c:pt idx="31">
                  <c:v>0.16089793361657889</c:v>
                </c:pt>
                <c:pt idx="32">
                  <c:v>0.15101018570278346</c:v>
                </c:pt>
                <c:pt idx="33">
                  <c:v>0.14170901862763086</c:v>
                </c:pt>
                <c:pt idx="34">
                  <c:v>0.13296153631707619</c:v>
                </c:pt>
                <c:pt idx="35">
                  <c:v>0.1247364996822089</c:v>
                </c:pt>
                <c:pt idx="36">
                  <c:v>0.11700426424385502</c:v>
                </c:pt>
                <c:pt idx="37">
                  <c:v>0.10973671724575107</c:v>
                </c:pt>
                <c:pt idx="38">
                  <c:v>0.10290721480651022</c:v>
                </c:pt>
                <c:pt idx="39">
                  <c:v>9.6490519556242993E-2</c:v>
                </c:pt>
                <c:pt idx="40">
                  <c:v>9.0462739116933366E-2</c:v>
                </c:pt>
                <c:pt idx="41">
                  <c:v>8.4801265713358664E-2</c:v>
                </c:pt>
                <c:pt idx="42">
                  <c:v>7.9484717140974048E-2</c:v>
                </c:pt>
                <c:pt idx="43">
                  <c:v>7.4492879266737755E-2</c:v>
                </c:pt>
                <c:pt idx="44">
                  <c:v>6.9806650196666875E-2</c:v>
                </c:pt>
                <c:pt idx="45">
                  <c:v>6.5407986208637081E-2</c:v>
                </c:pt>
                <c:pt idx="46">
                  <c:v>6.1279849519488061E-2</c:v>
                </c:pt>
                <c:pt idx="47">
                  <c:v>5.7406157930894208E-2</c:v>
                </c:pt>
                <c:pt idx="48">
                  <c:v>5.3771736378018131E-2</c:v>
                </c:pt>
                <c:pt idx="49">
                  <c:v>5.0362270387971253E-2</c:v>
                </c:pt>
                <c:pt idx="50">
                  <c:v>4.716426144109287E-2</c:v>
                </c:pt>
              </c:numCache>
            </c:numRef>
          </c:yVal>
          <c:smooth val="1"/>
          <c:extLst>
            <c:ext xmlns:c16="http://schemas.microsoft.com/office/drawing/2014/chart" uri="{C3380CC4-5D6E-409C-BE32-E72D297353CC}">
              <c16:uniqueId val="{00000000-1370-E14B-807A-EC020F4055F9}"/>
            </c:ext>
          </c:extLst>
        </c:ser>
        <c:ser>
          <c:idx val="1"/>
          <c:order val="1"/>
          <c:tx>
            <c:strRef>
              <c:f>Survivaldata!$F$1</c:f>
              <c:strCache>
                <c:ptCount val="1"/>
                <c:pt idx="0">
                  <c:v>Prob survival PD first</c:v>
                </c:pt>
              </c:strCache>
            </c:strRef>
          </c:tx>
          <c:spPr>
            <a:ln w="9525" cap="rnd">
              <a:solidFill>
                <a:schemeClr val="accent2"/>
              </a:solidFill>
              <a:round/>
            </a:ln>
            <a:effectLst/>
          </c:spPr>
          <c:marker>
            <c:symbol val="none"/>
          </c:marker>
          <c:xVal>
            <c:numRef>
              <c:f>Survivaldata!$A$2:$A$52</c:f>
              <c:numCache>
                <c:formatCode>General</c:formatCode>
                <c:ptCount val="5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numCache>
            </c:numRef>
          </c:xVal>
          <c:yVal>
            <c:numRef>
              <c:f>Survivaldata!$F$2:$F$52</c:f>
              <c:numCache>
                <c:formatCode>General</c:formatCode>
                <c:ptCount val="51"/>
                <c:pt idx="0">
                  <c:v>1</c:v>
                </c:pt>
                <c:pt idx="1">
                  <c:v>0.95544837953396533</c:v>
                </c:pt>
                <c:pt idx="2">
                  <c:v>0.90846045738651449</c:v>
                </c:pt>
                <c:pt idx="3">
                  <c:v>0.86204808580288894</c:v>
                </c:pt>
                <c:pt idx="4">
                  <c:v>0.81690320627007307</c:v>
                </c:pt>
                <c:pt idx="5">
                  <c:v>0.77332808724693847</c:v>
                </c:pt>
                <c:pt idx="6">
                  <c:v>0.73146822731881755</c:v>
                </c:pt>
                <c:pt idx="7">
                  <c:v>0.69138877352489725</c:v>
                </c:pt>
                <c:pt idx="8">
                  <c:v>0.65310823796895756</c:v>
                </c:pt>
                <c:pt idx="9">
                  <c:v>0.61661605785260554</c:v>
                </c:pt>
                <c:pt idx="10">
                  <c:v>0.58188277853986281</c:v>
                </c:pt>
                <c:pt idx="11">
                  <c:v>0.54886641711451112</c:v>
                </c:pt>
                <c:pt idx="12">
                  <c:v>0.51751666012302011</c:v>
                </c:pt>
                <c:pt idx="13">
                  <c:v>0.48777774554459119</c:v>
                </c:pt>
                <c:pt idx="14">
                  <c:v>0.45959050108772326</c:v>
                </c:pt>
                <c:pt idx="15">
                  <c:v>0.43289381768178203</c:v>
                </c:pt>
                <c:pt idx="16">
                  <c:v>0.40762573139835367</c:v>
                </c:pt>
                <c:pt idx="17">
                  <c:v>0.38372422602312029</c:v>
                </c:pt>
                <c:pt idx="18">
                  <c:v>0.3611278315923554</c:v>
                </c:pt>
                <c:pt idx="19">
                  <c:v>0.33977607098803975</c:v>
                </c:pt>
                <c:pt idx="20">
                  <c:v>0.31960979157184033</c:v>
                </c:pt>
                <c:pt idx="21">
                  <c:v>0.30057140870496735</c:v>
                </c:pt>
                <c:pt idx="22">
                  <c:v>0.28260508102763615</c:v>
                </c:pt>
                <c:pt idx="23">
                  <c:v>0.26565683246096472</c:v>
                </c:pt>
                <c:pt idx="24">
                  <c:v>0.24967463236395748</c:v>
                </c:pt>
                <c:pt idx="25">
                  <c:v>0.23460844269338177</c:v>
                </c:pt>
                <c:pt idx="26">
                  <c:v>0.2204102390903554</c:v>
                </c:pt>
                <c:pt idx="27">
                  <c:v>0.20703401136390864</c:v>
                </c:pt>
                <c:pt idx="28">
                  <c:v>0.19443574772891348</c:v>
                </c:pt>
                <c:pt idx="29">
                  <c:v>0.18257340629355856</c:v>
                </c:pt>
                <c:pt idx="30">
                  <c:v>0.17140687661611009</c:v>
                </c:pt>
                <c:pt idx="31">
                  <c:v>0.16089793361657934</c:v>
                </c:pt>
                <c:pt idx="32">
                  <c:v>0.15101018570278391</c:v>
                </c:pt>
                <c:pt idx="33">
                  <c:v>0.1417090186276313</c:v>
                </c:pt>
                <c:pt idx="34">
                  <c:v>0.13296153631707652</c:v>
                </c:pt>
                <c:pt idx="35">
                  <c:v>0.12473649968220935</c:v>
                </c:pt>
                <c:pt idx="36">
                  <c:v>0.11700426424385546</c:v>
                </c:pt>
                <c:pt idx="37">
                  <c:v>0.10973671724575151</c:v>
                </c:pt>
                <c:pt idx="38">
                  <c:v>0.10290721480651077</c:v>
                </c:pt>
                <c:pt idx="39">
                  <c:v>9.6490519556243659E-2</c:v>
                </c:pt>
                <c:pt idx="40">
                  <c:v>9.0462739116934032E-2</c:v>
                </c:pt>
                <c:pt idx="41">
                  <c:v>8.4801265713359442E-2</c:v>
                </c:pt>
                <c:pt idx="42">
                  <c:v>7.9484717140974825E-2</c:v>
                </c:pt>
                <c:pt idx="43">
                  <c:v>7.4492879266738643E-2</c:v>
                </c:pt>
                <c:pt idx="44">
                  <c:v>6.9806650196667763E-2</c:v>
                </c:pt>
                <c:pt idx="45">
                  <c:v>6.5407986208637969E-2</c:v>
                </c:pt>
                <c:pt idx="46">
                  <c:v>6.1279849519488949E-2</c:v>
                </c:pt>
                <c:pt idx="47">
                  <c:v>5.7406157930895207E-2</c:v>
                </c:pt>
                <c:pt idx="48">
                  <c:v>5.377173637801913E-2</c:v>
                </c:pt>
                <c:pt idx="49">
                  <c:v>5.0362270387972363E-2</c:v>
                </c:pt>
                <c:pt idx="50">
                  <c:v>4.716426144109398E-2</c:v>
                </c:pt>
              </c:numCache>
            </c:numRef>
          </c:yVal>
          <c:smooth val="1"/>
          <c:extLst>
            <c:ext xmlns:c16="http://schemas.microsoft.com/office/drawing/2014/chart" uri="{C3380CC4-5D6E-409C-BE32-E72D297353CC}">
              <c16:uniqueId val="{00000001-1370-E14B-807A-EC020F4055F9}"/>
            </c:ext>
          </c:extLst>
        </c:ser>
        <c:dLbls>
          <c:showLegendKey val="0"/>
          <c:showVal val="0"/>
          <c:showCatName val="0"/>
          <c:showSerName val="0"/>
          <c:showPercent val="0"/>
          <c:showBubbleSize val="0"/>
        </c:dLbls>
        <c:axId val="1985225744"/>
        <c:axId val="577495872"/>
      </c:scatterChart>
      <c:valAx>
        <c:axId val="1985225744"/>
        <c:scaling>
          <c:orientation val="minMax"/>
          <c:max val="50"/>
        </c:scaling>
        <c:delete val="0"/>
        <c:axPos val="b"/>
        <c:majorGridlines>
          <c:spPr>
            <a:ln w="9525" cap="flat" cmpd="sng" algn="ctr">
              <a:solidFill>
                <a:schemeClr val="tx2">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Years</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77495872"/>
        <c:crosses val="autoZero"/>
        <c:crossBetween val="midCat"/>
      </c:valAx>
      <c:valAx>
        <c:axId val="577495872"/>
        <c:scaling>
          <c:orientation val="minMax"/>
          <c:max val="1"/>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Probability of survive</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98522574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span"/>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Survival curve of palliative care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lineChart>
        <c:grouping val="standard"/>
        <c:varyColors val="0"/>
        <c:ser>
          <c:idx val="1"/>
          <c:order val="0"/>
          <c:tx>
            <c:strRef>
              <c:f>Appendix_11.PolicyOption1Model!$C$4</c:f>
              <c:strCache>
                <c:ptCount val="1"/>
                <c:pt idx="0">
                  <c:v>Survival </c:v>
                </c:pt>
              </c:strCache>
            </c:strRef>
          </c:tx>
          <c:spPr>
            <a:ln w="31750" cap="rnd">
              <a:solidFill>
                <a:schemeClr val="accent2"/>
              </a:solidFill>
              <a:round/>
            </a:ln>
            <a:effectLst/>
          </c:spPr>
          <c:marker>
            <c:symbol val="none"/>
          </c:marker>
          <c:cat>
            <c:numRef>
              <c:f>Appendix_11.PolicyOption1Model!$A$5:$A$29</c:f>
              <c:numCache>
                <c:formatCode>General</c:formatCode>
                <c:ptCount val="2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numCache>
            </c:numRef>
          </c:cat>
          <c:val>
            <c:numRef>
              <c:f>Appendix_11.PolicyOption1Model!$C$5:$C$29</c:f>
              <c:numCache>
                <c:formatCode>0.00</c:formatCode>
                <c:ptCount val="25"/>
                <c:pt idx="0">
                  <c:v>1</c:v>
                </c:pt>
                <c:pt idx="1">
                  <c:v>0.66700000000000004</c:v>
                </c:pt>
                <c:pt idx="2">
                  <c:v>0.44488899999999998</c:v>
                </c:pt>
                <c:pt idx="3">
                  <c:v>0.29674096299999997</c:v>
                </c:pt>
                <c:pt idx="4">
                  <c:v>0.19792622232099999</c:v>
                </c:pt>
                <c:pt idx="5">
                  <c:v>0.13201679028810698</c:v>
                </c:pt>
                <c:pt idx="6">
                  <c:v>8.805519912216736E-2</c:v>
                </c:pt>
                <c:pt idx="7">
                  <c:v>5.8732817814485624E-2</c:v>
                </c:pt>
                <c:pt idx="8">
                  <c:v>3.9174789482261912E-2</c:v>
                </c:pt>
                <c:pt idx="9">
                  <c:v>2.6129584584668693E-2</c:v>
                </c:pt>
                <c:pt idx="10">
                  <c:v>1.7428432917974017E-2</c:v>
                </c:pt>
                <c:pt idx="11">
                  <c:v>1.162476475628867E-2</c:v>
                </c:pt>
                <c:pt idx="12">
                  <c:v>7.7537180924445431E-3</c:v>
                </c:pt>
                <c:pt idx="13">
                  <c:v>5.1717299676605107E-3</c:v>
                </c:pt>
                <c:pt idx="14">
                  <c:v>3.4495438884295606E-3</c:v>
                </c:pt>
                <c:pt idx="15">
                  <c:v>2.3008457735825168E-3</c:v>
                </c:pt>
                <c:pt idx="16">
                  <c:v>1.5346641309795387E-3</c:v>
                </c:pt>
                <c:pt idx="17">
                  <c:v>1.0236209753633524E-3</c:v>
                </c:pt>
                <c:pt idx="18">
                  <c:v>6.8275519056735612E-4</c:v>
                </c:pt>
                <c:pt idx="19">
                  <c:v>4.5539771210842655E-4</c:v>
                </c:pt>
                <c:pt idx="20">
                  <c:v>3.0375027397632051E-4</c:v>
                </c:pt>
                <c:pt idx="21">
                  <c:v>2.0260143274220579E-4</c:v>
                </c:pt>
                <c:pt idx="22">
                  <c:v>1.3513515563905127E-4</c:v>
                </c:pt>
                <c:pt idx="23">
                  <c:v>9.0135148811247196E-5</c:v>
                </c:pt>
                <c:pt idx="24">
                  <c:v>6.0120144257101877E-5</c:v>
                </c:pt>
              </c:numCache>
            </c:numRef>
          </c:val>
          <c:smooth val="0"/>
          <c:extLst>
            <c:ext xmlns:c16="http://schemas.microsoft.com/office/drawing/2014/chart" uri="{C3380CC4-5D6E-409C-BE32-E72D297353CC}">
              <c16:uniqueId val="{00000000-141D-3442-85DA-4F5C422D3857}"/>
            </c:ext>
          </c:extLst>
        </c:ser>
        <c:dLbls>
          <c:showLegendKey val="0"/>
          <c:showVal val="0"/>
          <c:showCatName val="0"/>
          <c:showSerName val="0"/>
          <c:showPercent val="0"/>
          <c:showBubbleSize val="0"/>
        </c:dLbls>
        <c:smooth val="0"/>
        <c:axId val="1805746032"/>
        <c:axId val="1658714608"/>
      </c:lineChart>
      <c:catAx>
        <c:axId val="1805746032"/>
        <c:scaling>
          <c:orientation val="minMax"/>
        </c:scaling>
        <c:delete val="0"/>
        <c:axPos val="b"/>
        <c:majorGridlines>
          <c:spPr>
            <a:ln w="9525" cap="flat" cmpd="sng" algn="ctr">
              <a:solidFill>
                <a:schemeClr val="tx2">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months</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58714608"/>
        <c:crosses val="autoZero"/>
        <c:auto val="1"/>
        <c:lblAlgn val="ctr"/>
        <c:lblOffset val="100"/>
        <c:noMultiLvlLbl val="0"/>
      </c:catAx>
      <c:valAx>
        <c:axId val="1658714608"/>
        <c:scaling>
          <c:orientation val="minMax"/>
          <c:max val="1"/>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US"/>
                  <a:t>Probability of survival</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8057460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Life time cost</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barChart>
        <c:barDir val="col"/>
        <c:grouping val="clustered"/>
        <c:varyColors val="0"/>
        <c:ser>
          <c:idx val="0"/>
          <c:order val="0"/>
          <c:spPr>
            <a:pattFill prst="ltUpDiag">
              <a:fgClr>
                <a:schemeClr val="accent1"/>
              </a:fgClr>
              <a:bgClr>
                <a:schemeClr val="lt1"/>
              </a:bgClr>
            </a:pattFill>
            <a:ln>
              <a:noFill/>
            </a:ln>
            <a:effectLst/>
          </c:spPr>
          <c:invertIfNegative val="0"/>
          <c:dLbls>
            <c:delete val="1"/>
          </c:dLbls>
          <c:cat>
            <c:strRef>
              <c:f>'9.TotalCost&amp;Outcome'!$B$6:$B$10</c:f>
              <c:strCache>
                <c:ptCount val="5"/>
                <c:pt idx="0">
                  <c:v>Life time cost of HD first </c:v>
                </c:pt>
                <c:pt idx="2">
                  <c:v>Life time cost of PD first </c:v>
                </c:pt>
                <c:pt idx="4">
                  <c:v>Life time cost of palliative care</c:v>
                </c:pt>
              </c:strCache>
            </c:strRef>
          </c:cat>
          <c:val>
            <c:numRef>
              <c:f>'9.TotalCost&amp;Outcome'!$C$6:$C$10</c:f>
              <c:numCache>
                <c:formatCode>General</c:formatCode>
                <c:ptCount val="5"/>
                <c:pt idx="0" formatCode="_-* #,##0.00_-;\-* #,##0.00_-;_-* &quot;-&quot;??_-;_-@_-">
                  <c:v>564587.88033020112</c:v>
                </c:pt>
                <c:pt idx="2" formatCode="_-* #,##0.00_-;\-* #,##0.00_-;_-* &quot;-&quot;??_-;_-@_-">
                  <c:v>500185.60808103433</c:v>
                </c:pt>
                <c:pt idx="4" formatCode="_-* #,##0.00_-;\-* #,##0.00_-;_-* &quot;-&quot;??_-;_-@_-">
                  <c:v>14904.640163608816</c:v>
                </c:pt>
              </c:numCache>
            </c:numRef>
          </c:val>
          <c:extLst>
            <c:ext xmlns:c16="http://schemas.microsoft.com/office/drawing/2014/chart" uri="{C3380CC4-5D6E-409C-BE32-E72D297353CC}">
              <c16:uniqueId val="{00000000-3540-4F4F-B827-5AF242B8F20E}"/>
            </c:ext>
          </c:extLst>
        </c:ser>
        <c:dLbls>
          <c:dLblPos val="outEnd"/>
          <c:showLegendKey val="0"/>
          <c:showVal val="1"/>
          <c:showCatName val="0"/>
          <c:showSerName val="0"/>
          <c:showPercent val="0"/>
          <c:showBubbleSize val="0"/>
        </c:dLbls>
        <c:gapWidth val="269"/>
        <c:overlap val="-20"/>
        <c:axId val="1759661088"/>
        <c:axId val="1668701712"/>
      </c:barChart>
      <c:catAx>
        <c:axId val="1759661088"/>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3175" cap="flat" cmpd="sng" algn="ctr">
            <a:solidFill>
              <a:schemeClr val="accent1">
                <a:lumMod val="60000"/>
                <a:lumOff val="40000"/>
              </a:schemeClr>
            </a:solidFill>
            <a:round/>
          </a:ln>
          <a:effectLst/>
        </c:spPr>
        <c:txPr>
          <a:bodyPr rot="-60000000" spcFirstLastPara="1" vertOverflow="ellipsis" vert="horz" wrap="square" anchor="ctr" anchorCtr="1"/>
          <a:lstStyle/>
          <a:p>
            <a:pPr>
              <a:defRPr sz="700" b="0" i="0" u="none" strike="noStrike" kern="1200" cap="all" spc="150" normalizeH="0" baseline="0">
                <a:solidFill>
                  <a:schemeClr val="lt1"/>
                </a:solidFill>
                <a:latin typeface="+mn-lt"/>
                <a:ea typeface="+mn-ea"/>
                <a:cs typeface="+mn-cs"/>
              </a:defRPr>
            </a:pPr>
            <a:endParaRPr lang="en-US"/>
          </a:p>
        </c:txPr>
        <c:crossAx val="1668701712"/>
        <c:crosses val="autoZero"/>
        <c:auto val="1"/>
        <c:lblAlgn val="ctr"/>
        <c:lblOffset val="100"/>
        <c:noMultiLvlLbl val="0"/>
      </c:catAx>
      <c:valAx>
        <c:axId val="1668701712"/>
        <c:scaling>
          <c:orientation val="minMax"/>
        </c:scaling>
        <c:delete val="0"/>
        <c:axPos val="l"/>
        <c:title>
          <c:tx>
            <c:rich>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US"/>
                  <a:t>International</a:t>
                </a:r>
                <a:r>
                  <a:rPr lang="en-US" baseline="0"/>
                  <a:t> dollar</a:t>
                </a:r>
                <a:endParaRPr lang="en-US"/>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_-* #,##0.00_-;\-* #,##0.0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59661088"/>
        <c:crosses val="autoZero"/>
        <c:crossBetween val="between"/>
      </c:valAx>
      <c:spPr>
        <a:noFill/>
        <a:ln>
          <a:noFill/>
        </a:ln>
        <a:effectLst>
          <a:outerShdw blurRad="50800" dir="5400000" algn="ctr" rotWithShape="0">
            <a:srgbClr val="000000">
              <a:alpha val="43137"/>
            </a:srgbClr>
          </a:outerShdw>
        </a:effectLst>
      </c:spPr>
    </c:plotArea>
    <c:plotVisOnly val="1"/>
    <c:dispBlanksAs val="gap"/>
    <c:showDLblsOverMax val="0"/>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Life Year</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barChart>
        <c:barDir val="col"/>
        <c:grouping val="clustered"/>
        <c:varyColors val="0"/>
        <c:ser>
          <c:idx val="0"/>
          <c:order val="0"/>
          <c:spPr>
            <a:pattFill prst="ltUpDiag">
              <a:fgClr>
                <a:schemeClr val="accent1"/>
              </a:fgClr>
              <a:bgClr>
                <a:schemeClr val="lt1"/>
              </a:bgClr>
            </a:pattFill>
            <a:ln>
              <a:solidFill>
                <a:schemeClr val="accent2"/>
              </a:solidFill>
            </a:ln>
            <a:effectLst/>
          </c:spPr>
          <c:invertIfNegative val="0"/>
          <c:dLbls>
            <c:delete val="1"/>
          </c:dLbls>
          <c:cat>
            <c:strRef>
              <c:f>'9.TotalCost&amp;Outcome'!$B$24:$B$28</c:f>
              <c:strCache>
                <c:ptCount val="5"/>
                <c:pt idx="0">
                  <c:v>Life years of HD first </c:v>
                </c:pt>
                <c:pt idx="2">
                  <c:v>Life years of PD first </c:v>
                </c:pt>
                <c:pt idx="4">
                  <c:v>Life years of palliative care</c:v>
                </c:pt>
              </c:strCache>
            </c:strRef>
          </c:cat>
          <c:val>
            <c:numRef>
              <c:f>'9.TotalCost&amp;Outcome'!$C$24:$C$28</c:f>
              <c:numCache>
                <c:formatCode>General</c:formatCode>
                <c:ptCount val="5"/>
                <c:pt idx="0" formatCode="_-* #,##0.000_-;\-* #,##0.000_-;_-* &quot;-&quot;??_-;_-@_-">
                  <c:v>12.126073026247155</c:v>
                </c:pt>
                <c:pt idx="2" formatCode="_-* #,##0.000_-;\-* #,##0.000_-;_-* &quot;-&quot;??_-;_-@_-">
                  <c:v>12.126073026247134</c:v>
                </c:pt>
                <c:pt idx="4" formatCode="_-* #,##0.00_-;\-* #,##0.00_-;_-* &quot;-&quot;??_-;_-@_-">
                  <c:v>0.23169377975192965</c:v>
                </c:pt>
              </c:numCache>
            </c:numRef>
          </c:val>
          <c:extLst>
            <c:ext xmlns:c16="http://schemas.microsoft.com/office/drawing/2014/chart" uri="{C3380CC4-5D6E-409C-BE32-E72D297353CC}">
              <c16:uniqueId val="{00000000-4896-D248-BB88-BC1193E6AE1C}"/>
            </c:ext>
          </c:extLst>
        </c:ser>
        <c:dLbls>
          <c:dLblPos val="outEnd"/>
          <c:showLegendKey val="0"/>
          <c:showVal val="1"/>
          <c:showCatName val="0"/>
          <c:showSerName val="0"/>
          <c:showPercent val="0"/>
          <c:showBubbleSize val="0"/>
        </c:dLbls>
        <c:gapWidth val="269"/>
        <c:overlap val="-20"/>
        <c:axId val="1759661088"/>
        <c:axId val="1668701712"/>
      </c:barChart>
      <c:catAx>
        <c:axId val="1759661088"/>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3175" cap="flat" cmpd="sng" algn="ctr">
            <a:solidFill>
              <a:schemeClr val="accent1">
                <a:lumMod val="60000"/>
                <a:lumOff val="40000"/>
              </a:schemeClr>
            </a:solidFill>
            <a:round/>
          </a:ln>
          <a:effectLst/>
        </c:spPr>
        <c:txPr>
          <a:bodyPr rot="-60000000" spcFirstLastPara="1" vertOverflow="ellipsis" vert="horz" wrap="square" anchor="ctr" anchorCtr="1"/>
          <a:lstStyle/>
          <a:p>
            <a:pPr>
              <a:defRPr sz="800" b="0" i="0" u="none" strike="noStrike" kern="1200" cap="all" spc="150" normalizeH="0" baseline="0">
                <a:solidFill>
                  <a:schemeClr val="lt1"/>
                </a:solidFill>
                <a:latin typeface="+mn-lt"/>
                <a:ea typeface="+mn-ea"/>
                <a:cs typeface="+mn-cs"/>
              </a:defRPr>
            </a:pPr>
            <a:endParaRPr lang="en-US"/>
          </a:p>
        </c:txPr>
        <c:crossAx val="1668701712"/>
        <c:crosses val="autoZero"/>
        <c:auto val="1"/>
        <c:lblAlgn val="ctr"/>
        <c:lblOffset val="100"/>
        <c:noMultiLvlLbl val="0"/>
      </c:catAx>
      <c:valAx>
        <c:axId val="1668701712"/>
        <c:scaling>
          <c:orientation val="minMax"/>
        </c:scaling>
        <c:delete val="0"/>
        <c:axPos val="l"/>
        <c:title>
          <c:tx>
            <c:rich>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US"/>
                  <a:t>Life</a:t>
                </a:r>
                <a:r>
                  <a:rPr lang="en-US" baseline="0"/>
                  <a:t> Year</a:t>
                </a:r>
                <a:endParaRPr lang="en-US"/>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_-* #,##0.000_-;\-* #,##0.00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59661088"/>
        <c:crosses val="autoZero"/>
        <c:crossBetween val="between"/>
      </c:valAx>
      <c:spPr>
        <a:noFill/>
        <a:ln>
          <a:noFill/>
        </a:ln>
        <a:effectLst>
          <a:outerShdw blurRad="50800" dir="5400000" algn="ctr" rotWithShape="0">
            <a:srgbClr val="000000">
              <a:alpha val="43137"/>
            </a:srgbClr>
          </a:outerShdw>
        </a:effectLst>
      </c:spPr>
    </c:plotArea>
    <c:plotVisOnly val="1"/>
    <c:dispBlanksAs val="gap"/>
    <c:showDLblsOverMax val="0"/>
  </c:chart>
  <c:spPr>
    <a:solidFill>
      <a:schemeClr val="accent2"/>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QALY</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barChart>
        <c:barDir val="col"/>
        <c:grouping val="clustered"/>
        <c:varyColors val="0"/>
        <c:ser>
          <c:idx val="0"/>
          <c:order val="0"/>
          <c:spPr>
            <a:pattFill prst="ltUpDiag">
              <a:fgClr>
                <a:schemeClr val="accent1"/>
              </a:fgClr>
              <a:bgClr>
                <a:schemeClr val="lt1"/>
              </a:bgClr>
            </a:pattFill>
            <a:ln>
              <a:noFill/>
            </a:ln>
            <a:effectLst/>
          </c:spPr>
          <c:invertIfNegative val="0"/>
          <c:dLbls>
            <c:delete val="1"/>
          </c:dLbls>
          <c:cat>
            <c:strRef>
              <c:f>'9.TotalCost&amp;Outcome'!$B$41:$B$45</c:f>
              <c:strCache>
                <c:ptCount val="5"/>
                <c:pt idx="0">
                  <c:v>QALYs of HD first </c:v>
                </c:pt>
                <c:pt idx="2">
                  <c:v>QALYs of PD first </c:v>
                </c:pt>
                <c:pt idx="4">
                  <c:v>QALYs of palliative care</c:v>
                </c:pt>
              </c:strCache>
            </c:strRef>
          </c:cat>
          <c:val>
            <c:numRef>
              <c:f>'9.TotalCost&amp;Outcome'!$C$41:$C$45</c:f>
              <c:numCache>
                <c:formatCode>General</c:formatCode>
                <c:ptCount val="5"/>
                <c:pt idx="0" formatCode="_-* #,##0.00_-;\-* #,##0.00_-;_-* &quot;-&quot;??_-;_-@_-">
                  <c:v>8.1499607700034371</c:v>
                </c:pt>
                <c:pt idx="2" formatCode="_-* #,##0.00_-;\-* #,##0.00_-;_-* &quot;-&quot;??_-;_-@_-">
                  <c:v>8.5019681384351724</c:v>
                </c:pt>
                <c:pt idx="4" formatCode="_-* #,##0.00_-;\-* #,##0.00_-;_-* &quot;-&quot;??_-;_-@_-">
                  <c:v>0.13898303047118166</c:v>
                </c:pt>
              </c:numCache>
            </c:numRef>
          </c:val>
          <c:extLst>
            <c:ext xmlns:c16="http://schemas.microsoft.com/office/drawing/2014/chart" uri="{C3380CC4-5D6E-409C-BE32-E72D297353CC}">
              <c16:uniqueId val="{00000000-1B5F-0F40-BAC8-A8C47F081600}"/>
            </c:ext>
          </c:extLst>
        </c:ser>
        <c:dLbls>
          <c:dLblPos val="outEnd"/>
          <c:showLegendKey val="0"/>
          <c:showVal val="1"/>
          <c:showCatName val="0"/>
          <c:showSerName val="0"/>
          <c:showPercent val="0"/>
          <c:showBubbleSize val="0"/>
        </c:dLbls>
        <c:gapWidth val="269"/>
        <c:overlap val="-20"/>
        <c:axId val="1759661088"/>
        <c:axId val="1668701712"/>
      </c:barChart>
      <c:catAx>
        <c:axId val="1759661088"/>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3175" cap="flat" cmpd="sng" algn="ctr">
            <a:solidFill>
              <a:schemeClr val="accent1">
                <a:lumMod val="60000"/>
                <a:lumOff val="40000"/>
              </a:schemeClr>
            </a:solidFill>
            <a:round/>
          </a:ln>
          <a:effectLst/>
        </c:spPr>
        <c:txPr>
          <a:bodyPr rot="-60000000" spcFirstLastPara="1" vertOverflow="ellipsis" vert="horz" wrap="square" anchor="ctr" anchorCtr="1"/>
          <a:lstStyle/>
          <a:p>
            <a:pPr>
              <a:defRPr sz="800" b="0" i="0" u="none" strike="noStrike" kern="1200" cap="all" spc="150" normalizeH="0" baseline="0">
                <a:solidFill>
                  <a:schemeClr val="lt1"/>
                </a:solidFill>
                <a:latin typeface="+mn-lt"/>
                <a:ea typeface="+mn-ea"/>
                <a:cs typeface="+mn-cs"/>
              </a:defRPr>
            </a:pPr>
            <a:endParaRPr lang="en-US"/>
          </a:p>
        </c:txPr>
        <c:crossAx val="1668701712"/>
        <c:crosses val="autoZero"/>
        <c:auto val="1"/>
        <c:lblAlgn val="ctr"/>
        <c:lblOffset val="100"/>
        <c:noMultiLvlLbl val="0"/>
      </c:catAx>
      <c:valAx>
        <c:axId val="1668701712"/>
        <c:scaling>
          <c:orientation val="minMax"/>
        </c:scaling>
        <c:delete val="0"/>
        <c:axPos val="l"/>
        <c:title>
          <c:tx>
            <c:rich>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US"/>
                  <a:t>Years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_-* #,##0.00_-;\-* #,##0.0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59661088"/>
        <c:crosses val="autoZero"/>
        <c:crossBetween val="between"/>
      </c:valAx>
      <c:spPr>
        <a:noFill/>
        <a:ln>
          <a:noFill/>
        </a:ln>
        <a:effectLst>
          <a:outerShdw blurRad="50800" dir="5400000" algn="ctr" rotWithShape="0">
            <a:srgbClr val="000000">
              <a:alpha val="43137"/>
            </a:srgbClr>
          </a:outerShdw>
        </a:effectLst>
      </c:spPr>
    </c:plotArea>
    <c:plotVisOnly val="1"/>
    <c:dispBlanksAs val="gap"/>
    <c:showDLblsOverMax val="0"/>
  </c:chart>
  <c:spPr>
    <a:solidFill>
      <a:schemeClr val="accent6"/>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5331129389756567E-2"/>
          <c:y val="1.8400164584064169E-2"/>
          <c:w val="0.90196825846131812"/>
          <c:h val="0.9203429818922223"/>
        </c:manualLayout>
      </c:layout>
      <c:scatterChart>
        <c:scatterStyle val="lineMarker"/>
        <c:varyColors val="0"/>
        <c:ser>
          <c:idx val="0"/>
          <c:order val="0"/>
          <c:tx>
            <c:v>HD first compare with palliative</c:v>
          </c:tx>
          <c:spPr>
            <a:ln w="25400" cap="rnd">
              <a:noFill/>
              <a:round/>
            </a:ln>
            <a:effectLst>
              <a:softEdge rad="0"/>
            </a:effectLst>
          </c:spPr>
          <c:marker>
            <c:symbol val="triangle"/>
            <c:size val="10"/>
            <c:spPr>
              <a:solidFill>
                <a:schemeClr val="tx1">
                  <a:lumMod val="65000"/>
                  <a:lumOff val="35000"/>
                </a:schemeClr>
              </a:solidFill>
              <a:ln w="9525">
                <a:solidFill>
                  <a:schemeClr val="accent1"/>
                </a:solidFill>
              </a:ln>
              <a:effectLst>
                <a:softEdge rad="0"/>
              </a:effectLst>
            </c:spPr>
          </c:marker>
          <c:dPt>
            <c:idx val="0"/>
            <c:marker>
              <c:symbol val="triangle"/>
              <c:size val="10"/>
              <c:spPr>
                <a:solidFill>
                  <a:schemeClr val="tx1">
                    <a:lumMod val="65000"/>
                    <a:lumOff val="35000"/>
                  </a:schemeClr>
                </a:solidFill>
                <a:ln w="9525">
                  <a:solidFill>
                    <a:schemeClr val="accent1"/>
                  </a:solidFill>
                </a:ln>
                <a:effectLst>
                  <a:softEdge rad="0"/>
                </a:effectLst>
              </c:spPr>
            </c:marker>
            <c:bubble3D val="0"/>
            <c:spPr>
              <a:ln w="76200" cap="rnd">
                <a:noFill/>
                <a:round/>
              </a:ln>
              <a:effectLst>
                <a:softEdge rad="0"/>
              </a:effectLst>
            </c:spPr>
            <c:extLst>
              <c:ext xmlns:c16="http://schemas.microsoft.com/office/drawing/2014/chart" uri="{C3380CC4-5D6E-409C-BE32-E72D297353CC}">
                <c16:uniqueId val="{00000002-4BE9-B54B-8E01-F057D86606DD}"/>
              </c:ext>
            </c:extLst>
          </c:dPt>
          <c:xVal>
            <c:numRef>
              <c:f>'10.FinalResults'!$C$25</c:f>
              <c:numCache>
                <c:formatCode>_-* #,##0.00_-;\-* #,##0.00_-;_-* "-"??_-;_-@_-</c:formatCode>
                <c:ptCount val="1"/>
                <c:pt idx="0">
                  <c:v>8.0109777395322546</c:v>
                </c:pt>
              </c:numCache>
            </c:numRef>
          </c:xVal>
          <c:yVal>
            <c:numRef>
              <c:f>'10.FinalResults'!$C$19</c:f>
              <c:numCache>
                <c:formatCode>_-* #,##0.00_-;\-* #,##0.00_-;_-* "-"??_-;_-@_-</c:formatCode>
                <c:ptCount val="1"/>
                <c:pt idx="0">
                  <c:v>549683.2401665923</c:v>
                </c:pt>
              </c:numCache>
            </c:numRef>
          </c:yVal>
          <c:smooth val="0"/>
          <c:extLst>
            <c:ext xmlns:c16="http://schemas.microsoft.com/office/drawing/2014/chart" uri="{C3380CC4-5D6E-409C-BE32-E72D297353CC}">
              <c16:uniqueId val="{00000000-4BE9-B54B-8E01-F057D86606DD}"/>
            </c:ext>
          </c:extLst>
        </c:ser>
        <c:ser>
          <c:idx val="1"/>
          <c:order val="1"/>
          <c:tx>
            <c:v>PD first compare with palliative</c:v>
          </c:tx>
          <c:spPr>
            <a:ln w="25400" cap="rnd">
              <a:noFill/>
              <a:round/>
            </a:ln>
            <a:effectLst/>
          </c:spPr>
          <c:marker>
            <c:symbol val="circle"/>
            <c:size val="10"/>
            <c:spPr>
              <a:solidFill>
                <a:schemeClr val="accent2"/>
              </a:solidFill>
              <a:ln w="9525">
                <a:solidFill>
                  <a:schemeClr val="accent2"/>
                </a:solidFill>
              </a:ln>
              <a:effectLst/>
            </c:spPr>
          </c:marker>
          <c:xVal>
            <c:numRef>
              <c:f>'10.FinalResults'!$C$27</c:f>
              <c:numCache>
                <c:formatCode>_-* #,##0.00_-;\-* #,##0.00_-;_-* "-"??_-;_-@_-</c:formatCode>
                <c:ptCount val="1"/>
                <c:pt idx="0">
                  <c:v>8.3629851079639899</c:v>
                </c:pt>
              </c:numCache>
            </c:numRef>
          </c:xVal>
          <c:yVal>
            <c:numRef>
              <c:f>'10.FinalResults'!$C$21</c:f>
              <c:numCache>
                <c:formatCode>_-* #,##0.00_-;\-* #,##0.00_-;_-* "-"??_-;_-@_-</c:formatCode>
                <c:ptCount val="1"/>
                <c:pt idx="0">
                  <c:v>485280.9679174255</c:v>
                </c:pt>
              </c:numCache>
            </c:numRef>
          </c:yVal>
          <c:smooth val="0"/>
          <c:extLst>
            <c:ext xmlns:c16="http://schemas.microsoft.com/office/drawing/2014/chart" uri="{C3380CC4-5D6E-409C-BE32-E72D297353CC}">
              <c16:uniqueId val="{00000001-4BE9-B54B-8E01-F057D86606DD}"/>
            </c:ext>
          </c:extLst>
        </c:ser>
        <c:ser>
          <c:idx val="2"/>
          <c:order val="3"/>
          <c:tx>
            <c:v>Cost effectiveness threshold</c:v>
          </c:tx>
          <c:spPr>
            <a:ln w="19050" cap="rnd">
              <a:solidFill>
                <a:srgbClr val="FF0000"/>
              </a:solidFill>
              <a:round/>
            </a:ln>
            <a:effectLst/>
          </c:spPr>
          <c:marker>
            <c:symbol val="circle"/>
            <c:size val="5"/>
            <c:spPr>
              <a:solidFill>
                <a:schemeClr val="bg1"/>
              </a:solidFill>
              <a:ln w="9525">
                <a:solidFill>
                  <a:schemeClr val="accent3"/>
                </a:solidFill>
              </a:ln>
              <a:effectLst/>
            </c:spPr>
          </c:marker>
          <c:dPt>
            <c:idx val="0"/>
            <c:marker>
              <c:symbol val="none"/>
            </c:marker>
            <c:bubble3D val="0"/>
            <c:extLst>
              <c:ext xmlns:c16="http://schemas.microsoft.com/office/drawing/2014/chart" uri="{C3380CC4-5D6E-409C-BE32-E72D297353CC}">
                <c16:uniqueId val="{0000000D-4BE9-B54B-8E01-F057D86606DD}"/>
              </c:ext>
            </c:extLst>
          </c:dPt>
          <c:dPt>
            <c:idx val="1"/>
            <c:marker>
              <c:symbol val="none"/>
            </c:marker>
            <c:bubble3D val="0"/>
            <c:spPr>
              <a:ln w="19050" cap="rnd">
                <a:solidFill>
                  <a:srgbClr val="FF0000"/>
                </a:solidFill>
                <a:round/>
              </a:ln>
              <a:effectLst/>
            </c:spPr>
            <c:extLst>
              <c:ext xmlns:c16="http://schemas.microsoft.com/office/drawing/2014/chart" uri="{C3380CC4-5D6E-409C-BE32-E72D297353CC}">
                <c16:uniqueId val="{00000005-4BE9-B54B-8E01-F057D86606DD}"/>
              </c:ext>
            </c:extLst>
          </c:dPt>
          <c:dPt>
            <c:idx val="2"/>
            <c:marker>
              <c:symbol val="none"/>
            </c:marker>
            <c:bubble3D val="0"/>
            <c:spPr>
              <a:ln w="19050" cap="rnd">
                <a:solidFill>
                  <a:srgbClr val="FF0000"/>
                </a:solidFill>
                <a:round/>
              </a:ln>
              <a:effectLst/>
            </c:spPr>
            <c:extLst>
              <c:ext xmlns:c16="http://schemas.microsoft.com/office/drawing/2014/chart" uri="{C3380CC4-5D6E-409C-BE32-E72D297353CC}">
                <c16:uniqueId val="{00000006-4BE9-B54B-8E01-F057D86606DD}"/>
              </c:ext>
            </c:extLst>
          </c:dPt>
          <c:dPt>
            <c:idx val="3"/>
            <c:marker>
              <c:symbol val="none"/>
            </c:marker>
            <c:bubble3D val="0"/>
            <c:spPr>
              <a:ln w="19050" cap="rnd">
                <a:solidFill>
                  <a:srgbClr val="FF0000"/>
                </a:solidFill>
                <a:round/>
              </a:ln>
              <a:effectLst/>
            </c:spPr>
            <c:extLst>
              <c:ext xmlns:c16="http://schemas.microsoft.com/office/drawing/2014/chart" uri="{C3380CC4-5D6E-409C-BE32-E72D297353CC}">
                <c16:uniqueId val="{00000004-4BE9-B54B-8E01-F057D86606DD}"/>
              </c:ext>
            </c:extLst>
          </c:dPt>
          <c:dPt>
            <c:idx val="4"/>
            <c:marker>
              <c:symbol val="none"/>
            </c:marker>
            <c:bubble3D val="0"/>
            <c:spPr>
              <a:ln w="19050" cap="rnd">
                <a:solidFill>
                  <a:srgbClr val="FF0000"/>
                </a:solidFill>
                <a:round/>
              </a:ln>
              <a:effectLst/>
            </c:spPr>
            <c:extLst>
              <c:ext xmlns:c16="http://schemas.microsoft.com/office/drawing/2014/chart" uri="{C3380CC4-5D6E-409C-BE32-E72D297353CC}">
                <c16:uniqueId val="{00000007-4BE9-B54B-8E01-F057D86606DD}"/>
              </c:ext>
            </c:extLst>
          </c:dPt>
          <c:dPt>
            <c:idx val="5"/>
            <c:marker>
              <c:symbol val="none"/>
            </c:marker>
            <c:bubble3D val="0"/>
            <c:spPr>
              <a:ln w="19050" cap="rnd">
                <a:solidFill>
                  <a:srgbClr val="FF0000"/>
                </a:solidFill>
                <a:round/>
              </a:ln>
              <a:effectLst/>
            </c:spPr>
            <c:extLst>
              <c:ext xmlns:c16="http://schemas.microsoft.com/office/drawing/2014/chart" uri="{C3380CC4-5D6E-409C-BE32-E72D297353CC}">
                <c16:uniqueId val="{00000008-4BE9-B54B-8E01-F057D86606DD}"/>
              </c:ext>
            </c:extLst>
          </c:dPt>
          <c:dPt>
            <c:idx val="6"/>
            <c:marker>
              <c:symbol val="none"/>
            </c:marker>
            <c:bubble3D val="0"/>
            <c:spPr>
              <a:ln w="19050" cap="rnd">
                <a:solidFill>
                  <a:srgbClr val="FF0000"/>
                </a:solidFill>
                <a:round/>
              </a:ln>
              <a:effectLst/>
            </c:spPr>
            <c:extLst>
              <c:ext xmlns:c16="http://schemas.microsoft.com/office/drawing/2014/chart" uri="{C3380CC4-5D6E-409C-BE32-E72D297353CC}">
                <c16:uniqueId val="{00000009-4BE9-B54B-8E01-F057D86606DD}"/>
              </c:ext>
            </c:extLst>
          </c:dPt>
          <c:dPt>
            <c:idx val="7"/>
            <c:marker>
              <c:symbol val="none"/>
            </c:marker>
            <c:bubble3D val="0"/>
            <c:spPr>
              <a:ln w="19050" cap="rnd">
                <a:solidFill>
                  <a:srgbClr val="FF0000"/>
                </a:solidFill>
                <a:round/>
              </a:ln>
              <a:effectLst/>
            </c:spPr>
            <c:extLst>
              <c:ext xmlns:c16="http://schemas.microsoft.com/office/drawing/2014/chart" uri="{C3380CC4-5D6E-409C-BE32-E72D297353CC}">
                <c16:uniqueId val="{0000000A-4BE9-B54B-8E01-F057D86606DD}"/>
              </c:ext>
            </c:extLst>
          </c:dPt>
          <c:dPt>
            <c:idx val="8"/>
            <c:marker>
              <c:symbol val="none"/>
            </c:marker>
            <c:bubble3D val="0"/>
            <c:spPr>
              <a:ln w="19050" cap="rnd">
                <a:solidFill>
                  <a:srgbClr val="FF0000"/>
                </a:solidFill>
                <a:round/>
              </a:ln>
              <a:effectLst/>
            </c:spPr>
            <c:extLst>
              <c:ext xmlns:c16="http://schemas.microsoft.com/office/drawing/2014/chart" uri="{C3380CC4-5D6E-409C-BE32-E72D297353CC}">
                <c16:uniqueId val="{0000000B-4BE9-B54B-8E01-F057D86606DD}"/>
              </c:ext>
            </c:extLst>
          </c:dPt>
          <c:dPt>
            <c:idx val="9"/>
            <c:marker>
              <c:symbol val="none"/>
            </c:marker>
            <c:bubble3D val="0"/>
            <c:spPr>
              <a:ln w="19050" cap="rnd">
                <a:solidFill>
                  <a:srgbClr val="FF0000"/>
                </a:solidFill>
                <a:round/>
              </a:ln>
              <a:effectLst/>
            </c:spPr>
            <c:extLst>
              <c:ext xmlns:c16="http://schemas.microsoft.com/office/drawing/2014/chart" uri="{C3380CC4-5D6E-409C-BE32-E72D297353CC}">
                <c16:uniqueId val="{0000000C-4BE9-B54B-8E01-F057D86606DD}"/>
              </c:ext>
            </c:extLst>
          </c:dPt>
          <c:xVal>
            <c:numRef>
              <c:f>'10.FinalResults'!$B$31:$B$40</c:f>
              <c:numCache>
                <c:formatCode>General</c:formatCode>
                <c:ptCount val="10"/>
                <c:pt idx="0">
                  <c:v>0</c:v>
                </c:pt>
                <c:pt idx="1">
                  <c:v>1</c:v>
                </c:pt>
                <c:pt idx="2">
                  <c:v>2</c:v>
                </c:pt>
                <c:pt idx="3">
                  <c:v>3</c:v>
                </c:pt>
                <c:pt idx="4">
                  <c:v>4</c:v>
                </c:pt>
                <c:pt idx="5">
                  <c:v>5</c:v>
                </c:pt>
                <c:pt idx="6">
                  <c:v>6</c:v>
                </c:pt>
                <c:pt idx="7">
                  <c:v>7</c:v>
                </c:pt>
                <c:pt idx="8">
                  <c:v>8</c:v>
                </c:pt>
                <c:pt idx="9">
                  <c:v>9</c:v>
                </c:pt>
              </c:numCache>
            </c:numRef>
          </c:xVal>
          <c:yVal>
            <c:numRef>
              <c:f>'10.FinalResults'!$C$31:$C$40</c:f>
              <c:numCache>
                <c:formatCode>General</c:formatCode>
                <c:ptCount val="10"/>
                <c:pt idx="0">
                  <c:v>0</c:v>
                </c:pt>
                <c:pt idx="1">
                  <c:v>15023</c:v>
                </c:pt>
                <c:pt idx="2">
                  <c:v>30046</c:v>
                </c:pt>
                <c:pt idx="3">
                  <c:v>45069</c:v>
                </c:pt>
                <c:pt idx="4">
                  <c:v>60092</c:v>
                </c:pt>
                <c:pt idx="5">
                  <c:v>75115</c:v>
                </c:pt>
                <c:pt idx="6">
                  <c:v>90138</c:v>
                </c:pt>
                <c:pt idx="7">
                  <c:v>105161</c:v>
                </c:pt>
                <c:pt idx="8">
                  <c:v>120184</c:v>
                </c:pt>
                <c:pt idx="9">
                  <c:v>135207</c:v>
                </c:pt>
              </c:numCache>
            </c:numRef>
          </c:yVal>
          <c:smooth val="0"/>
          <c:extLst>
            <c:ext xmlns:c16="http://schemas.microsoft.com/office/drawing/2014/chart" uri="{C3380CC4-5D6E-409C-BE32-E72D297353CC}">
              <c16:uniqueId val="{00000003-4BE9-B54B-8E01-F057D86606DD}"/>
            </c:ext>
          </c:extLst>
        </c:ser>
        <c:dLbls>
          <c:showLegendKey val="0"/>
          <c:showVal val="0"/>
          <c:showCatName val="0"/>
          <c:showSerName val="0"/>
          <c:showPercent val="0"/>
          <c:showBubbleSize val="0"/>
        </c:dLbls>
        <c:axId val="1402732656"/>
        <c:axId val="1247447024"/>
        <c:extLst>
          <c:ext xmlns:c15="http://schemas.microsoft.com/office/drawing/2012/chart" uri="{02D57815-91ED-43cb-92C2-25804820EDAC}">
            <c15:filteredScatterSeries>
              <c15:ser>
                <c:idx val="3"/>
                <c:order val="2"/>
                <c:tx>
                  <c:v>PD first compare with HD first</c:v>
                </c:tx>
                <c:spPr>
                  <a:ln w="25400" cap="rnd">
                    <a:noFill/>
                    <a:round/>
                  </a:ln>
                  <a:effectLst/>
                </c:spPr>
                <c:marker>
                  <c:symbol val="circle"/>
                  <c:size val="5"/>
                  <c:spPr>
                    <a:solidFill>
                      <a:schemeClr val="accent4"/>
                    </a:solidFill>
                    <a:ln w="9525">
                      <a:solidFill>
                        <a:schemeClr val="accent4"/>
                      </a:solidFill>
                    </a:ln>
                    <a:effectLst/>
                  </c:spPr>
                </c:marker>
                <c:dPt>
                  <c:idx val="0"/>
                  <c:marker>
                    <c:symbol val="square"/>
                    <c:size val="10"/>
                    <c:spPr>
                      <a:solidFill>
                        <a:schemeClr val="accent4"/>
                      </a:solidFill>
                      <a:ln w="9525">
                        <a:solidFill>
                          <a:schemeClr val="accent4"/>
                        </a:solidFill>
                      </a:ln>
                      <a:effectLst/>
                    </c:spPr>
                  </c:marker>
                  <c:bubble3D val="0"/>
                  <c:extLst>
                    <c:ext xmlns:c16="http://schemas.microsoft.com/office/drawing/2014/chart" uri="{C3380CC4-5D6E-409C-BE32-E72D297353CC}">
                      <c16:uniqueId val="{00000016-5FBC-1C46-BBC9-55D22DCB0D6E}"/>
                    </c:ext>
                  </c:extLst>
                </c:dPt>
                <c:xVal>
                  <c:numRef>
                    <c:extLst>
                      <c:ext uri="{02D57815-91ED-43cb-92C2-25804820EDAC}">
                        <c15:formulaRef>
                          <c15:sqref>'10.FinalResults'!$C$29</c15:sqref>
                        </c15:formulaRef>
                      </c:ext>
                    </c:extLst>
                    <c:numCache>
                      <c:formatCode>_-* #,##0.00_-;\-* #,##0.00_-;_-* "-"??_-;_-@_-</c:formatCode>
                      <c:ptCount val="1"/>
                      <c:pt idx="0">
                        <c:v>0.3520073684317353</c:v>
                      </c:pt>
                    </c:numCache>
                  </c:numRef>
                </c:xVal>
                <c:yVal>
                  <c:numRef>
                    <c:extLst>
                      <c:ext uri="{02D57815-91ED-43cb-92C2-25804820EDAC}">
                        <c15:formulaRef>
                          <c15:sqref>'10.FinalResults'!$C$23</c15:sqref>
                        </c15:formulaRef>
                      </c:ext>
                    </c:extLst>
                    <c:numCache>
                      <c:formatCode>_-* #,##0.00_-;\-* #,##0.00_-;_-* "-"??_-;_-@_-</c:formatCode>
                      <c:ptCount val="1"/>
                      <c:pt idx="0">
                        <c:v>-64402.272249166796</c:v>
                      </c:pt>
                    </c:numCache>
                  </c:numRef>
                </c:yVal>
                <c:smooth val="0"/>
                <c:extLst>
                  <c:ext xmlns:c16="http://schemas.microsoft.com/office/drawing/2014/chart" uri="{C3380CC4-5D6E-409C-BE32-E72D297353CC}">
                    <c16:uniqueId val="{00000015-5FBC-1C46-BBC9-55D22DCB0D6E}"/>
                  </c:ext>
                </c:extLst>
              </c15:ser>
            </c15:filteredScatterSeries>
          </c:ext>
        </c:extLst>
      </c:scatterChart>
      <c:valAx>
        <c:axId val="1402732656"/>
        <c:scaling>
          <c:orientation val="minMax"/>
          <c:max val="9"/>
          <c:min val="-9"/>
        </c:scaling>
        <c:delete val="0"/>
        <c:axPos val="b"/>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US" sz="1400"/>
                  <a:t>Incremental QALYs</a:t>
                </a:r>
              </a:p>
            </c:rich>
          </c:tx>
          <c:layout>
            <c:manualLayout>
              <c:xMode val="edge"/>
              <c:yMode val="edge"/>
              <c:x val="0.43801479790687264"/>
              <c:y val="0.95912358343927417"/>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_-* #,##0.00_-;\-* #,##0.00_-;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crossAx val="1247447024"/>
        <c:crosses val="autoZero"/>
        <c:crossBetween val="midCat"/>
      </c:valAx>
      <c:valAx>
        <c:axId val="1247447024"/>
        <c:scaling>
          <c:orientation val="minMax"/>
          <c:max val="700000"/>
          <c:min val="-700000"/>
        </c:scaling>
        <c:delete val="0"/>
        <c:axPos val="l"/>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US" sz="1400"/>
                  <a:t>Incremental Cost</a:t>
                </a:r>
              </a:p>
            </c:rich>
          </c:tx>
          <c:layout>
            <c:manualLayout>
              <c:xMode val="edge"/>
              <c:yMode val="edge"/>
              <c:x val="5.5374626074890995E-5"/>
              <c:y val="0.48387736261953973"/>
            </c:manualLayout>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_-* #,##0.00_-;\-* #,##0.00_-;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crossAx val="1402732656"/>
        <c:crosses val="autoZero"/>
        <c:crossBetween val="midCat"/>
      </c:valAx>
      <c:spPr>
        <a:solidFill>
          <a:schemeClr val="bg1">
            <a:lumMod val="95000"/>
          </a:schemeClr>
        </a:solidFill>
        <a:ln>
          <a:noFill/>
        </a:ln>
        <a:effectLst/>
      </c:spPr>
    </c:plotArea>
    <c:legend>
      <c:legendPos val="r"/>
      <c:layout>
        <c:manualLayout>
          <c:xMode val="edge"/>
          <c:yMode val="edge"/>
          <c:x val="0.51084086778043403"/>
          <c:y val="0.73704151637812643"/>
          <c:w val="0.48753394610893752"/>
          <c:h val="0.2629584568070592"/>
        </c:manualLayout>
      </c:layou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19050" cap="flat" cmpd="sng" algn="ctr">
      <a:solidFill>
        <a:srgbClr val="002060"/>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31">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14">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3175" cap="flat" cmpd="sng" algn="ctr">
        <a:solidFill>
          <a:schemeClr val="phClr">
            <a:lumMod val="60000"/>
            <a:lumOff val="40000"/>
          </a:schemeClr>
        </a:solidFill>
        <a:round/>
      </a:ln>
    </cs:spPr>
    <cs:defRPr sz="800" kern="1200" cap="all" spc="150" normalizeH="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styleClr val="auto"/>
    </cs:fillRef>
    <cs:effectRef idx="0"/>
    <cs:fontRef idx="minor">
      <a:schemeClr val="lt1"/>
    </cs:fontRef>
    <cs:spPr>
      <a:solidFill>
        <a:schemeClr val="phClr">
          <a:alpha val="70000"/>
        </a:schemeClr>
      </a:solidFill>
    </cs:spPr>
    <cs:defRPr sz="900"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34925" cap="rnd">
        <a:solidFill>
          <a:schemeClr val="lt1"/>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a:solidFill>
          <a:schemeClr val="phClr">
            <a:lumMod val="60000"/>
            <a:lumOff val="40000"/>
          </a:schemeClr>
        </a:solidFill>
        <a:prstDash val="dash"/>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14">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3175" cap="flat" cmpd="sng" algn="ctr">
        <a:solidFill>
          <a:schemeClr val="phClr">
            <a:lumMod val="60000"/>
            <a:lumOff val="40000"/>
          </a:schemeClr>
        </a:solidFill>
        <a:round/>
      </a:ln>
    </cs:spPr>
    <cs:defRPr sz="800" kern="1200" cap="all" spc="150" normalizeH="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styleClr val="auto"/>
    </cs:fillRef>
    <cs:effectRef idx="0"/>
    <cs:fontRef idx="minor">
      <a:schemeClr val="lt1"/>
    </cs:fontRef>
    <cs:spPr>
      <a:solidFill>
        <a:schemeClr val="phClr">
          <a:alpha val="70000"/>
        </a:schemeClr>
      </a:solidFill>
    </cs:spPr>
    <cs:defRPr sz="900"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34925" cap="rnd">
        <a:solidFill>
          <a:schemeClr val="lt1"/>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a:solidFill>
          <a:schemeClr val="phClr">
            <a:lumMod val="60000"/>
            <a:lumOff val="40000"/>
          </a:schemeClr>
        </a:solidFill>
        <a:prstDash val="dash"/>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14">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3175" cap="flat" cmpd="sng" algn="ctr">
        <a:solidFill>
          <a:schemeClr val="phClr">
            <a:lumMod val="60000"/>
            <a:lumOff val="40000"/>
          </a:schemeClr>
        </a:solidFill>
        <a:round/>
      </a:ln>
    </cs:spPr>
    <cs:defRPr sz="800" kern="1200" cap="all" spc="150" normalizeH="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styleClr val="auto"/>
    </cs:fillRef>
    <cs:effectRef idx="0"/>
    <cs:fontRef idx="minor">
      <a:schemeClr val="lt1"/>
    </cs:fontRef>
    <cs:spPr>
      <a:solidFill>
        <a:schemeClr val="phClr">
          <a:alpha val="70000"/>
        </a:schemeClr>
      </a:solidFill>
    </cs:spPr>
    <cs:defRPr sz="900"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34925" cap="rnd">
        <a:solidFill>
          <a:schemeClr val="lt1"/>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a:solidFill>
          <a:schemeClr val="phClr">
            <a:lumMod val="60000"/>
            <a:lumOff val="40000"/>
          </a:schemeClr>
        </a:solidFill>
        <a:prstDash val="dash"/>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Overview!A1"/></Relationships>
</file>

<file path=xl/drawings/_rels/drawing3.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hyperlink" Target="#'2.Questions'!A1"/><Relationship Id="rId5" Type="http://schemas.openxmlformats.org/officeDocument/2006/relationships/image" Target="../media/image5.svg"/><Relationship Id="rId4"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1.Introduction'!A1"/><Relationship Id="rId1" Type="http://schemas.openxmlformats.org/officeDocument/2006/relationships/hyperlink" Target="#'3.Model structure'!A1"/><Relationship Id="rId4" Type="http://schemas.openxmlformats.org/officeDocument/2006/relationships/image" Target="../media/image5.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2.Questions'!A1"/><Relationship Id="rId1" Type="http://schemas.openxmlformats.org/officeDocument/2006/relationships/hyperlink" Target="#'4.Epidemiology'!A1"/><Relationship Id="rId4" Type="http://schemas.openxmlformats.org/officeDocument/2006/relationships/image" Target="../media/image5.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3.Model structure'!A1"/><Relationship Id="rId1" Type="http://schemas.openxmlformats.org/officeDocument/2006/relationships/hyperlink" Target="#'5.Survival'!A1"/><Relationship Id="rId4" Type="http://schemas.openxmlformats.org/officeDocument/2006/relationships/image" Target="../media/image5.svg"/></Relationships>
</file>

<file path=xl/drawings/_rels/drawing7.xml.rels><?xml version="1.0" encoding="UTF-8" standalone="yes"?>
<Relationships xmlns="http://schemas.openxmlformats.org/package/2006/relationships"><Relationship Id="rId8" Type="http://schemas.openxmlformats.org/officeDocument/2006/relationships/chart" Target="../charts/chart2.xml"/><Relationship Id="rId3" Type="http://schemas.openxmlformats.org/officeDocument/2006/relationships/hyperlink" Target="#'6.1.CostComponent'!A1"/><Relationship Id="rId7" Type="http://schemas.openxmlformats.org/officeDocument/2006/relationships/image" Target="../media/image5.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5" Type="http://schemas.openxmlformats.org/officeDocument/2006/relationships/chart" Target="../charts/chart1.xml"/><Relationship Id="rId4" Type="http://schemas.openxmlformats.org/officeDocument/2006/relationships/hyperlink" Target="#'4.Epidemiology'!A1"/></Relationships>
</file>

<file path=xl/drawings/_rels/drawing8.xml.rels><?xml version="1.0" encoding="UTF-8" standalone="yes"?>
<Relationships xmlns="http://schemas.openxmlformats.org/package/2006/relationships"><Relationship Id="rId2" Type="http://schemas.openxmlformats.org/officeDocument/2006/relationships/hyperlink" Target="#'5.Survival'!A1"/><Relationship Id="rId1" Type="http://schemas.openxmlformats.org/officeDocument/2006/relationships/hyperlink" Target="#'6.2.TotalCost'!A1"/></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6.1.CostComponent'!A1"/><Relationship Id="rId1" Type="http://schemas.openxmlformats.org/officeDocument/2006/relationships/hyperlink" Target="#'7.Outcome'!A1"/><Relationship Id="rId4" Type="http://schemas.openxmlformats.org/officeDocument/2006/relationships/image" Target="../media/image5.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6.2.TotalCost'!A1"/><Relationship Id="rId1" Type="http://schemas.openxmlformats.org/officeDocument/2006/relationships/hyperlink" Target="#'8.Discounting'!A1"/><Relationship Id="rId4" Type="http://schemas.openxmlformats.org/officeDocument/2006/relationships/image" Target="../media/image5.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7.Outcome'!A1"/><Relationship Id="rId1" Type="http://schemas.openxmlformats.org/officeDocument/2006/relationships/hyperlink" Target="#'9.TotalCost&amp;Outcome'!A1"/><Relationship Id="rId4" Type="http://schemas.openxmlformats.org/officeDocument/2006/relationships/image" Target="../media/image5.svg"/></Relationships>
</file>

<file path=xl/drawings/_rels/drawing12.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5" Type="http://schemas.openxmlformats.org/officeDocument/2006/relationships/hyperlink" Target="#'8.Discounting'!A1"/><Relationship Id="rId4" Type="http://schemas.openxmlformats.org/officeDocument/2006/relationships/hyperlink" Target="#'10.FinalResults'!A1"/></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9.TotalCost&amp;Outcome'!A1"/><Relationship Id="rId1" Type="http://schemas.openxmlformats.org/officeDocument/2006/relationships/chart" Target="../charts/chart6.xml"/><Relationship Id="rId4" Type="http://schemas.openxmlformats.org/officeDocument/2006/relationships/image" Target="../media/image5.svg"/></Relationships>
</file>

<file path=xl/drawings/drawing1.xml><?xml version="1.0" encoding="utf-8"?>
<xdr:wsDr xmlns:xdr="http://schemas.openxmlformats.org/drawingml/2006/spreadsheetDrawing" xmlns:a="http://schemas.openxmlformats.org/drawingml/2006/main">
  <xdr:twoCellAnchor>
    <xdr:from>
      <xdr:col>7</xdr:col>
      <xdr:colOff>228600</xdr:colOff>
      <xdr:row>14</xdr:row>
      <xdr:rowOff>101600</xdr:rowOff>
    </xdr:from>
    <xdr:to>
      <xdr:col>9</xdr:col>
      <xdr:colOff>412750</xdr:colOff>
      <xdr:row>17</xdr:row>
      <xdr:rowOff>57150</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0451D8AC-A09B-8239-3674-1172C9603AB2}"/>
            </a:ext>
          </a:extLst>
        </xdr:cNvPr>
        <xdr:cNvSpPr/>
      </xdr:nvSpPr>
      <xdr:spPr>
        <a:xfrm>
          <a:off x="3530600" y="3016250"/>
          <a:ext cx="1504950" cy="488950"/>
        </a:xfrm>
        <a:prstGeom prst="roundRect">
          <a:avLst/>
        </a:prstGeom>
        <a:solidFill>
          <a:schemeClr val="bg2">
            <a:lumMod val="2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000" b="1" kern="1200"/>
            <a:t>START</a:t>
          </a:r>
        </a:p>
        <a:p>
          <a:pPr algn="ctr"/>
          <a:endParaRPr lang="th-TH" sz="2000" b="1" kern="1200"/>
        </a:p>
      </xdr:txBody>
    </xdr:sp>
    <xdr:clientData/>
  </xdr:twoCellAnchor>
  <xdr:twoCellAnchor editAs="oneCell">
    <xdr:from>
      <xdr:col>6</xdr:col>
      <xdr:colOff>578486</xdr:colOff>
      <xdr:row>18</xdr:row>
      <xdr:rowOff>92710</xdr:rowOff>
    </xdr:from>
    <xdr:to>
      <xdr:col>9</xdr:col>
      <xdr:colOff>579741</xdr:colOff>
      <xdr:row>25</xdr:row>
      <xdr:rowOff>54610</xdr:rowOff>
    </xdr:to>
    <xdr:pic>
      <xdr:nvPicPr>
        <xdr:cNvPr id="4" name="Picture 3">
          <a:extLst>
            <a:ext uri="{FF2B5EF4-FFF2-40B4-BE49-F238E27FC236}">
              <a16:creationId xmlns:a16="http://schemas.microsoft.com/office/drawing/2014/main" id="{8CB0C3A0-0ED9-FB14-D902-0D3556CF66A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78936" y="3807460"/>
          <a:ext cx="1980550" cy="1232535"/>
        </a:xfrm>
        <a:prstGeom prst="rect">
          <a:avLst/>
        </a:prstGeom>
      </xdr:spPr>
    </xdr:pic>
    <xdr:clientData/>
  </xdr:twoCellAnchor>
  <xdr:twoCellAnchor>
    <xdr:from>
      <xdr:col>0</xdr:col>
      <xdr:colOff>560070</xdr:colOff>
      <xdr:row>26</xdr:row>
      <xdr:rowOff>133350</xdr:rowOff>
    </xdr:from>
    <xdr:to>
      <xdr:col>16</xdr:col>
      <xdr:colOff>28576</xdr:colOff>
      <xdr:row>29</xdr:row>
      <xdr:rowOff>97790</xdr:rowOff>
    </xdr:to>
    <xdr:sp macro="" textlink="">
      <xdr:nvSpPr>
        <xdr:cNvPr id="5" name="Rectangle 4">
          <a:extLst>
            <a:ext uri="{FF2B5EF4-FFF2-40B4-BE49-F238E27FC236}">
              <a16:creationId xmlns:a16="http://schemas.microsoft.com/office/drawing/2014/main" id="{A899BD7E-C067-5854-2D0B-CC46F3E29B4F}"/>
            </a:ext>
          </a:extLst>
        </xdr:cNvPr>
        <xdr:cNvSpPr/>
      </xdr:nvSpPr>
      <xdr:spPr>
        <a:xfrm>
          <a:off x="560070" y="5295900"/>
          <a:ext cx="9107806" cy="507365"/>
        </a:xfrm>
        <a:prstGeom prst="rect">
          <a:avLst/>
        </a:prstGeom>
        <a:solidFill>
          <a:srgbClr val="FFFFCC"/>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a:solidFill>
                <a:sysClr val="windowText" lastClr="000000"/>
              </a:solidFill>
            </a:rPr>
            <a:t>This template has been adapted from the published study by Teerawattananon Y et al., (2007), which was conducted to generate evidence on the value for money of dialysis for kidney failure patients compared with palliative care in Thailand.</a:t>
          </a:r>
          <a:endParaRPr lang="en-US" sz="1100" b="1" kern="1200" cap="none" spc="0">
            <a:ln w="22225">
              <a:solidFill>
                <a:schemeClr val="accent2"/>
              </a:solidFill>
              <a:prstDash val="solid"/>
            </a:ln>
            <a:solidFill>
              <a:sysClr val="windowText" lastClr="000000"/>
            </a:solidFill>
            <a:effectLst/>
          </a:endParaRPr>
        </a:p>
        <a:p>
          <a:pPr algn="ctr"/>
          <a:endParaRPr lang="th-TH" sz="1100" b="1" kern="1200"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1219199</xdr:colOff>
      <xdr:row>7</xdr:row>
      <xdr:rowOff>0</xdr:rowOff>
    </xdr:from>
    <xdr:to>
      <xdr:col>4</xdr:col>
      <xdr:colOff>1362074</xdr:colOff>
      <xdr:row>8</xdr:row>
      <xdr:rowOff>158750</xdr:rowOff>
    </xdr:to>
    <xdr:sp macro="" textlink="">
      <xdr:nvSpPr>
        <xdr:cNvPr id="2" name="Arrow: Down 1">
          <a:extLst>
            <a:ext uri="{FF2B5EF4-FFF2-40B4-BE49-F238E27FC236}">
              <a16:creationId xmlns:a16="http://schemas.microsoft.com/office/drawing/2014/main" id="{72B071D9-DB19-BA79-D301-E3ED960973A1}"/>
            </a:ext>
          </a:extLst>
        </xdr:cNvPr>
        <xdr:cNvSpPr/>
      </xdr:nvSpPr>
      <xdr:spPr>
        <a:xfrm>
          <a:off x="9448799" y="1447800"/>
          <a:ext cx="142875" cy="70167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kern="1200"/>
        </a:p>
      </xdr:txBody>
    </xdr:sp>
    <xdr:clientData/>
  </xdr:twoCellAnchor>
  <xdr:twoCellAnchor>
    <xdr:from>
      <xdr:col>4</xdr:col>
      <xdr:colOff>1228724</xdr:colOff>
      <xdr:row>10</xdr:row>
      <xdr:rowOff>9525</xdr:rowOff>
    </xdr:from>
    <xdr:to>
      <xdr:col>4</xdr:col>
      <xdr:colOff>1374774</xdr:colOff>
      <xdr:row>11</xdr:row>
      <xdr:rowOff>171450</xdr:rowOff>
    </xdr:to>
    <xdr:sp macro="" textlink="">
      <xdr:nvSpPr>
        <xdr:cNvPr id="3" name="Arrow: Down 2">
          <a:extLst>
            <a:ext uri="{FF2B5EF4-FFF2-40B4-BE49-F238E27FC236}">
              <a16:creationId xmlns:a16="http://schemas.microsoft.com/office/drawing/2014/main" id="{4BC85C90-2A71-44A7-85FD-DAECED051335}"/>
            </a:ext>
          </a:extLst>
        </xdr:cNvPr>
        <xdr:cNvSpPr/>
      </xdr:nvSpPr>
      <xdr:spPr>
        <a:xfrm>
          <a:off x="9458324" y="2171700"/>
          <a:ext cx="146050" cy="342900"/>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kern="1200"/>
        </a:p>
      </xdr:txBody>
    </xdr:sp>
    <xdr:clientData/>
  </xdr:twoCellAnchor>
  <xdr:twoCellAnchor>
    <xdr:from>
      <xdr:col>4</xdr:col>
      <xdr:colOff>1222374</xdr:colOff>
      <xdr:row>13</xdr:row>
      <xdr:rowOff>6350</xdr:rowOff>
    </xdr:from>
    <xdr:to>
      <xdr:col>4</xdr:col>
      <xdr:colOff>1365249</xdr:colOff>
      <xdr:row>14</xdr:row>
      <xdr:rowOff>171450</xdr:rowOff>
    </xdr:to>
    <xdr:sp macro="" textlink="">
      <xdr:nvSpPr>
        <xdr:cNvPr id="4" name="Arrow: Down 3">
          <a:extLst>
            <a:ext uri="{FF2B5EF4-FFF2-40B4-BE49-F238E27FC236}">
              <a16:creationId xmlns:a16="http://schemas.microsoft.com/office/drawing/2014/main" id="{38562B7F-7BA2-4E7A-A7FE-D91DE1E61F0A}"/>
            </a:ext>
          </a:extLst>
        </xdr:cNvPr>
        <xdr:cNvSpPr/>
      </xdr:nvSpPr>
      <xdr:spPr>
        <a:xfrm>
          <a:off x="9451974" y="2882900"/>
          <a:ext cx="142875" cy="34607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kern="1200"/>
        </a:p>
      </xdr:txBody>
    </xdr:sp>
    <xdr:clientData/>
  </xdr:twoCellAnchor>
  <xdr:twoCellAnchor>
    <xdr:from>
      <xdr:col>4</xdr:col>
      <xdr:colOff>1222374</xdr:colOff>
      <xdr:row>16</xdr:row>
      <xdr:rowOff>9525</xdr:rowOff>
    </xdr:from>
    <xdr:to>
      <xdr:col>4</xdr:col>
      <xdr:colOff>1362074</xdr:colOff>
      <xdr:row>17</xdr:row>
      <xdr:rowOff>171450</xdr:rowOff>
    </xdr:to>
    <xdr:sp macro="" textlink="">
      <xdr:nvSpPr>
        <xdr:cNvPr id="5" name="Arrow: Down 4">
          <a:extLst>
            <a:ext uri="{FF2B5EF4-FFF2-40B4-BE49-F238E27FC236}">
              <a16:creationId xmlns:a16="http://schemas.microsoft.com/office/drawing/2014/main" id="{CCA69F14-9B07-4592-BD48-BFD698FB0675}"/>
            </a:ext>
          </a:extLst>
        </xdr:cNvPr>
        <xdr:cNvSpPr/>
      </xdr:nvSpPr>
      <xdr:spPr>
        <a:xfrm>
          <a:off x="9451974" y="3600450"/>
          <a:ext cx="139700" cy="342900"/>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kern="1200"/>
        </a:p>
      </xdr:txBody>
    </xdr:sp>
    <xdr:clientData/>
  </xdr:twoCellAnchor>
  <xdr:twoCellAnchor>
    <xdr:from>
      <xdr:col>4</xdr:col>
      <xdr:colOff>1203324</xdr:colOff>
      <xdr:row>22</xdr:row>
      <xdr:rowOff>15875</xdr:rowOff>
    </xdr:from>
    <xdr:to>
      <xdr:col>4</xdr:col>
      <xdr:colOff>1346199</xdr:colOff>
      <xdr:row>24</xdr:row>
      <xdr:rowOff>0</xdr:rowOff>
    </xdr:to>
    <xdr:sp macro="" textlink="">
      <xdr:nvSpPr>
        <xdr:cNvPr id="6" name="Arrow: Down 5">
          <a:extLst>
            <a:ext uri="{FF2B5EF4-FFF2-40B4-BE49-F238E27FC236}">
              <a16:creationId xmlns:a16="http://schemas.microsoft.com/office/drawing/2014/main" id="{1CA3A73F-4816-494F-AB88-8279B63BF294}"/>
            </a:ext>
          </a:extLst>
        </xdr:cNvPr>
        <xdr:cNvSpPr/>
      </xdr:nvSpPr>
      <xdr:spPr>
        <a:xfrm>
          <a:off x="9432924" y="4321175"/>
          <a:ext cx="142875" cy="34607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kern="1200"/>
        </a:p>
      </xdr:txBody>
    </xdr:sp>
    <xdr:clientData/>
  </xdr:twoCellAnchor>
  <xdr:twoCellAnchor>
    <xdr:from>
      <xdr:col>4</xdr:col>
      <xdr:colOff>1212849</xdr:colOff>
      <xdr:row>25</xdr:row>
      <xdr:rowOff>15875</xdr:rowOff>
    </xdr:from>
    <xdr:to>
      <xdr:col>4</xdr:col>
      <xdr:colOff>1352549</xdr:colOff>
      <xdr:row>26</xdr:row>
      <xdr:rowOff>177800</xdr:rowOff>
    </xdr:to>
    <xdr:sp macro="" textlink="">
      <xdr:nvSpPr>
        <xdr:cNvPr id="7" name="Arrow: Down 6">
          <a:extLst>
            <a:ext uri="{FF2B5EF4-FFF2-40B4-BE49-F238E27FC236}">
              <a16:creationId xmlns:a16="http://schemas.microsoft.com/office/drawing/2014/main" id="{F31F284D-E8A9-479E-ADE8-768AEB8AA994}"/>
            </a:ext>
          </a:extLst>
        </xdr:cNvPr>
        <xdr:cNvSpPr/>
      </xdr:nvSpPr>
      <xdr:spPr>
        <a:xfrm>
          <a:off x="9442449" y="5207000"/>
          <a:ext cx="139700" cy="342900"/>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kern="1200"/>
        </a:p>
      </xdr:txBody>
    </xdr:sp>
    <xdr:clientData/>
  </xdr:twoCellAnchor>
  <xdr:twoCellAnchor>
    <xdr:from>
      <xdr:col>4</xdr:col>
      <xdr:colOff>1209674</xdr:colOff>
      <xdr:row>27</xdr:row>
      <xdr:rowOff>177800</xdr:rowOff>
    </xdr:from>
    <xdr:to>
      <xdr:col>4</xdr:col>
      <xdr:colOff>1352549</xdr:colOff>
      <xdr:row>29</xdr:row>
      <xdr:rowOff>161925</xdr:rowOff>
    </xdr:to>
    <xdr:sp macro="" textlink="">
      <xdr:nvSpPr>
        <xdr:cNvPr id="8" name="Arrow: Down 7">
          <a:extLst>
            <a:ext uri="{FF2B5EF4-FFF2-40B4-BE49-F238E27FC236}">
              <a16:creationId xmlns:a16="http://schemas.microsoft.com/office/drawing/2014/main" id="{EF068754-499C-4161-BE24-E7431452D2C0}"/>
            </a:ext>
          </a:extLst>
        </xdr:cNvPr>
        <xdr:cNvSpPr/>
      </xdr:nvSpPr>
      <xdr:spPr>
        <a:xfrm>
          <a:off x="9439274" y="5730875"/>
          <a:ext cx="142875" cy="34607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kern="1200"/>
        </a:p>
      </xdr:txBody>
    </xdr:sp>
    <xdr:clientData/>
  </xdr:twoCellAnchor>
  <xdr:twoCellAnchor>
    <xdr:from>
      <xdr:col>4</xdr:col>
      <xdr:colOff>1203324</xdr:colOff>
      <xdr:row>31</xdr:row>
      <xdr:rowOff>19050</xdr:rowOff>
    </xdr:from>
    <xdr:to>
      <xdr:col>4</xdr:col>
      <xdr:colOff>1346199</xdr:colOff>
      <xdr:row>33</xdr:row>
      <xdr:rowOff>0</xdr:rowOff>
    </xdr:to>
    <xdr:sp macro="" textlink="">
      <xdr:nvSpPr>
        <xdr:cNvPr id="10" name="Arrow: Down 9">
          <a:extLst>
            <a:ext uri="{FF2B5EF4-FFF2-40B4-BE49-F238E27FC236}">
              <a16:creationId xmlns:a16="http://schemas.microsoft.com/office/drawing/2014/main" id="{A32E9228-776E-49D7-A978-54CD73708437}"/>
            </a:ext>
          </a:extLst>
        </xdr:cNvPr>
        <xdr:cNvSpPr/>
      </xdr:nvSpPr>
      <xdr:spPr>
        <a:xfrm>
          <a:off x="9432924" y="7191375"/>
          <a:ext cx="142875" cy="342900"/>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kern="1200"/>
        </a:p>
      </xdr:txBody>
    </xdr:sp>
    <xdr:clientData/>
  </xdr:twoCellAnchor>
  <xdr:twoCellAnchor>
    <xdr:from>
      <xdr:col>4</xdr:col>
      <xdr:colOff>1209674</xdr:colOff>
      <xdr:row>19</xdr:row>
      <xdr:rowOff>6350</xdr:rowOff>
    </xdr:from>
    <xdr:to>
      <xdr:col>4</xdr:col>
      <xdr:colOff>1349374</xdr:colOff>
      <xdr:row>20</xdr:row>
      <xdr:rowOff>168275</xdr:rowOff>
    </xdr:to>
    <xdr:sp macro="" textlink="">
      <xdr:nvSpPr>
        <xdr:cNvPr id="11" name="Arrow: Down 10">
          <a:extLst>
            <a:ext uri="{FF2B5EF4-FFF2-40B4-BE49-F238E27FC236}">
              <a16:creationId xmlns:a16="http://schemas.microsoft.com/office/drawing/2014/main" id="{1989D742-A3EE-4E35-89C2-C7D74DC24740}"/>
            </a:ext>
          </a:extLst>
        </xdr:cNvPr>
        <xdr:cNvSpPr/>
      </xdr:nvSpPr>
      <xdr:spPr>
        <a:xfrm>
          <a:off x="9464674" y="4108450"/>
          <a:ext cx="139700" cy="33972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kern="1200"/>
        </a:p>
      </xdr:txBody>
    </xdr:sp>
    <xdr:clientData/>
  </xdr:twoCellAnchor>
  <xdr:twoCellAnchor>
    <xdr:from>
      <xdr:col>4</xdr:col>
      <xdr:colOff>1219201</xdr:colOff>
      <xdr:row>34</xdr:row>
      <xdr:rowOff>12700</xdr:rowOff>
    </xdr:from>
    <xdr:to>
      <xdr:col>4</xdr:col>
      <xdr:colOff>1339851</xdr:colOff>
      <xdr:row>35</xdr:row>
      <xdr:rowOff>0</xdr:rowOff>
    </xdr:to>
    <xdr:sp macro="" textlink="">
      <xdr:nvSpPr>
        <xdr:cNvPr id="12" name="Arrow: Down 11">
          <a:extLst>
            <a:ext uri="{FF2B5EF4-FFF2-40B4-BE49-F238E27FC236}">
              <a16:creationId xmlns:a16="http://schemas.microsoft.com/office/drawing/2014/main" id="{F02F46FB-A089-484E-AC14-8A2A462A2BFE}"/>
            </a:ext>
          </a:extLst>
        </xdr:cNvPr>
        <xdr:cNvSpPr/>
      </xdr:nvSpPr>
      <xdr:spPr>
        <a:xfrm>
          <a:off x="9474201" y="8178800"/>
          <a:ext cx="120650" cy="330200"/>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th-TH"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260902</xdr:colOff>
      <xdr:row>0</xdr:row>
      <xdr:rowOff>25400</xdr:rowOff>
    </xdr:from>
    <xdr:to>
      <xdr:col>10</xdr:col>
      <xdr:colOff>253998</xdr:colOff>
      <xdr:row>0</xdr:row>
      <xdr:rowOff>469900</xdr:rowOff>
    </xdr:to>
    <xdr:sp macro="" textlink="">
      <xdr:nvSpPr>
        <xdr:cNvPr id="2" name="Arrow: Right 1">
          <a:hlinkClick xmlns:r="http://schemas.openxmlformats.org/officeDocument/2006/relationships" r:id="rId1"/>
          <a:extLst>
            <a:ext uri="{FF2B5EF4-FFF2-40B4-BE49-F238E27FC236}">
              <a16:creationId xmlns:a16="http://schemas.microsoft.com/office/drawing/2014/main" id="{8E78C0AC-791B-D427-680E-69C09D57F3F1}"/>
            </a:ext>
          </a:extLst>
        </xdr:cNvPr>
        <xdr:cNvSpPr/>
      </xdr:nvSpPr>
      <xdr:spPr>
        <a:xfrm>
          <a:off x="6312078" y="25400"/>
          <a:ext cx="665449" cy="444500"/>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Next</a:t>
          </a:r>
          <a:endParaRPr lang="th-TH" sz="1100" b="1" kern="1200"/>
        </a:p>
      </xdr:txBody>
    </xdr:sp>
    <xdr:clientData/>
  </xdr:twoCellAnchor>
  <xdr:twoCellAnchor>
    <xdr:from>
      <xdr:col>1</xdr:col>
      <xdr:colOff>95250</xdr:colOff>
      <xdr:row>9</xdr:row>
      <xdr:rowOff>88900</xdr:rowOff>
    </xdr:from>
    <xdr:to>
      <xdr:col>3</xdr:col>
      <xdr:colOff>431800</xdr:colOff>
      <xdr:row>11</xdr:row>
      <xdr:rowOff>158750</xdr:rowOff>
    </xdr:to>
    <xdr:sp macro="" textlink="">
      <xdr:nvSpPr>
        <xdr:cNvPr id="6" name="Rectangle 5">
          <a:extLst>
            <a:ext uri="{FF2B5EF4-FFF2-40B4-BE49-F238E27FC236}">
              <a16:creationId xmlns:a16="http://schemas.microsoft.com/office/drawing/2014/main" id="{1FC1E37B-88AB-3ECD-D7A6-C924EB21CCF0}"/>
            </a:ext>
          </a:extLst>
        </xdr:cNvPr>
        <xdr:cNvSpPr/>
      </xdr:nvSpPr>
      <xdr:spPr>
        <a:xfrm>
          <a:off x="755650" y="1784350"/>
          <a:ext cx="1657350" cy="425450"/>
        </a:xfrm>
        <a:prstGeom prst="rect">
          <a:avLst/>
        </a:prstGeom>
        <a:solidFill>
          <a:srgbClr val="FFFFCC"/>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kern="1200">
              <a:solidFill>
                <a:sysClr val="windowText" lastClr="000000"/>
              </a:solidFill>
            </a:rPr>
            <a:t>User Input</a:t>
          </a:r>
          <a:endParaRPr lang="th-TH" sz="1400" kern="1200">
            <a:solidFill>
              <a:sysClr val="windowText" lastClr="000000"/>
            </a:solidFill>
          </a:endParaRPr>
        </a:p>
      </xdr:txBody>
    </xdr:sp>
    <xdr:clientData/>
  </xdr:twoCellAnchor>
  <xdr:twoCellAnchor>
    <xdr:from>
      <xdr:col>1</xdr:col>
      <xdr:colOff>82550</xdr:colOff>
      <xdr:row>12</xdr:row>
      <xdr:rowOff>114300</xdr:rowOff>
    </xdr:from>
    <xdr:to>
      <xdr:col>3</xdr:col>
      <xdr:colOff>419100</xdr:colOff>
      <xdr:row>15</xdr:row>
      <xdr:rowOff>127000</xdr:rowOff>
    </xdr:to>
    <xdr:sp macro="" textlink="">
      <xdr:nvSpPr>
        <xdr:cNvPr id="7" name="Rectangle 6">
          <a:extLst>
            <a:ext uri="{FF2B5EF4-FFF2-40B4-BE49-F238E27FC236}">
              <a16:creationId xmlns:a16="http://schemas.microsoft.com/office/drawing/2014/main" id="{4D1FC7F7-F9C1-4FC1-A18E-D7DC0C824366}"/>
            </a:ext>
          </a:extLst>
        </xdr:cNvPr>
        <xdr:cNvSpPr/>
      </xdr:nvSpPr>
      <xdr:spPr>
        <a:xfrm>
          <a:off x="742950" y="2343150"/>
          <a:ext cx="1657350" cy="546100"/>
        </a:xfrm>
        <a:prstGeom prst="rect">
          <a:avLst/>
        </a:prstGeom>
        <a:solidFill>
          <a:schemeClr val="bg2">
            <a:lumMod val="9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kern="1200">
              <a:solidFill>
                <a:sysClr val="windowText" lastClr="000000"/>
              </a:solidFill>
            </a:rPr>
            <a:t>Calculated or linked cell</a:t>
          </a:r>
        </a:p>
        <a:p>
          <a:pPr algn="ctr"/>
          <a:endParaRPr lang="th-TH" sz="1400" kern="1200">
            <a:solidFill>
              <a:sysClr val="windowText" lastClr="000000"/>
            </a:solidFill>
          </a:endParaRPr>
        </a:p>
      </xdr:txBody>
    </xdr:sp>
    <xdr:clientData/>
  </xdr:twoCellAnchor>
  <xdr:twoCellAnchor>
    <xdr:from>
      <xdr:col>1</xdr:col>
      <xdr:colOff>88900</xdr:colOff>
      <xdr:row>16</xdr:row>
      <xdr:rowOff>69850</xdr:rowOff>
    </xdr:from>
    <xdr:to>
      <xdr:col>3</xdr:col>
      <xdr:colOff>419100</xdr:colOff>
      <xdr:row>18</xdr:row>
      <xdr:rowOff>139700</xdr:rowOff>
    </xdr:to>
    <xdr:sp macro="" textlink="">
      <xdr:nvSpPr>
        <xdr:cNvPr id="8" name="Rectangle 7">
          <a:extLst>
            <a:ext uri="{FF2B5EF4-FFF2-40B4-BE49-F238E27FC236}">
              <a16:creationId xmlns:a16="http://schemas.microsoft.com/office/drawing/2014/main" id="{02BF6380-C259-405A-BFD5-29DC7BEBAB59}"/>
            </a:ext>
          </a:extLst>
        </xdr:cNvPr>
        <xdr:cNvSpPr/>
      </xdr:nvSpPr>
      <xdr:spPr>
        <a:xfrm>
          <a:off x="749300" y="3009900"/>
          <a:ext cx="1651000" cy="425450"/>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kern="1200">
              <a:solidFill>
                <a:sysClr val="windowText" lastClr="000000"/>
              </a:solidFill>
            </a:rPr>
            <a:t>Link to other</a:t>
          </a:r>
          <a:r>
            <a:rPr lang="en-US" sz="1400" kern="1200" baseline="0">
              <a:solidFill>
                <a:sysClr val="windowText" lastClr="000000"/>
              </a:solidFill>
            </a:rPr>
            <a:t> pages</a:t>
          </a:r>
        </a:p>
      </xdr:txBody>
    </xdr:sp>
    <xdr:clientData/>
  </xdr:twoCellAnchor>
  <xdr:twoCellAnchor>
    <xdr:from>
      <xdr:col>2</xdr:col>
      <xdr:colOff>323850</xdr:colOff>
      <xdr:row>20</xdr:row>
      <xdr:rowOff>76200</xdr:rowOff>
    </xdr:from>
    <xdr:to>
      <xdr:col>2</xdr:col>
      <xdr:colOff>620257</xdr:colOff>
      <xdr:row>21</xdr:row>
      <xdr:rowOff>167569</xdr:rowOff>
    </xdr:to>
    <xdr:sp macro="" textlink="">
      <xdr:nvSpPr>
        <xdr:cNvPr id="9" name="Arrow: Right 8">
          <a:extLst>
            <a:ext uri="{FF2B5EF4-FFF2-40B4-BE49-F238E27FC236}">
              <a16:creationId xmlns:a16="http://schemas.microsoft.com/office/drawing/2014/main" id="{89E2521C-81DE-406A-B68A-A7CE31F02941}"/>
            </a:ext>
          </a:extLst>
        </xdr:cNvPr>
        <xdr:cNvSpPr/>
      </xdr:nvSpPr>
      <xdr:spPr>
        <a:xfrm>
          <a:off x="1644650" y="3581400"/>
          <a:ext cx="296407" cy="269169"/>
        </a:xfrm>
        <a:prstGeom prst="rightArrow">
          <a:avLst/>
        </a:prstGeom>
        <a:solidFill>
          <a:sysClr val="window" lastClr="FFFFFF"/>
        </a:solidFill>
        <a:ln>
          <a:solidFill>
            <a:schemeClr val="tx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b="1">
            <a:solidFill>
              <a:sysClr val="windowText" lastClr="000000"/>
            </a:solidFill>
          </a:endParaRPr>
        </a:p>
      </xdr:txBody>
    </xdr:sp>
    <xdr:clientData/>
  </xdr:twoCellAnchor>
  <xdr:twoCellAnchor>
    <xdr:from>
      <xdr:col>1</xdr:col>
      <xdr:colOff>577850</xdr:colOff>
      <xdr:row>20</xdr:row>
      <xdr:rowOff>76200</xdr:rowOff>
    </xdr:from>
    <xdr:to>
      <xdr:col>2</xdr:col>
      <xdr:colOff>213857</xdr:colOff>
      <xdr:row>21</xdr:row>
      <xdr:rowOff>167569</xdr:rowOff>
    </xdr:to>
    <xdr:sp macro="" textlink="">
      <xdr:nvSpPr>
        <xdr:cNvPr id="10" name="Arrow: Left 9">
          <a:extLst>
            <a:ext uri="{FF2B5EF4-FFF2-40B4-BE49-F238E27FC236}">
              <a16:creationId xmlns:a16="http://schemas.microsoft.com/office/drawing/2014/main" id="{79DF7232-290A-4809-B068-ACD11D42D9B5}"/>
            </a:ext>
          </a:extLst>
        </xdr:cNvPr>
        <xdr:cNvSpPr/>
      </xdr:nvSpPr>
      <xdr:spPr>
        <a:xfrm>
          <a:off x="1238250" y="3581400"/>
          <a:ext cx="296407" cy="269169"/>
        </a:xfrm>
        <a:prstGeom prst="leftArrow">
          <a:avLst/>
        </a:prstGeom>
        <a:solidFill>
          <a:sysClr val="window" lastClr="FFFFFF"/>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b="1">
            <a:solidFill>
              <a:sysClr val="windowText" lastClr="000000"/>
            </a:solidFill>
          </a:endParaRPr>
        </a:p>
      </xdr:txBody>
    </xdr:sp>
    <xdr:clientData/>
  </xdr:twoCellAnchor>
  <xdr:twoCellAnchor editAs="oneCell">
    <xdr:from>
      <xdr:col>1</xdr:col>
      <xdr:colOff>400050</xdr:colOff>
      <xdr:row>23</xdr:row>
      <xdr:rowOff>107950</xdr:rowOff>
    </xdr:from>
    <xdr:to>
      <xdr:col>2</xdr:col>
      <xdr:colOff>212090</xdr:colOff>
      <xdr:row>26</xdr:row>
      <xdr:rowOff>53341</xdr:rowOff>
    </xdr:to>
    <xdr:pic>
      <xdr:nvPicPr>
        <xdr:cNvPr id="12" name="Graphic 11" descr="Help with solid fill">
          <a:extLst>
            <a:ext uri="{FF2B5EF4-FFF2-40B4-BE49-F238E27FC236}">
              <a16:creationId xmlns:a16="http://schemas.microsoft.com/office/drawing/2014/main" id="{F37646D5-00C3-486F-0AD9-5FF53C6A3480}"/>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1060450" y="4191000"/>
          <a:ext cx="482600" cy="482600"/>
        </a:xfrm>
        <a:prstGeom prst="rect">
          <a:avLst/>
        </a:prstGeom>
      </xdr:spPr>
    </xdr:pic>
    <xdr:clientData/>
  </xdr:twoCellAnchor>
  <xdr:twoCellAnchor editAs="oneCell">
    <xdr:from>
      <xdr:col>2</xdr:col>
      <xdr:colOff>254000</xdr:colOff>
      <xdr:row>23</xdr:row>
      <xdr:rowOff>95250</xdr:rowOff>
    </xdr:from>
    <xdr:to>
      <xdr:col>3</xdr:col>
      <xdr:colOff>76200</xdr:colOff>
      <xdr:row>26</xdr:row>
      <xdr:rowOff>57786</xdr:rowOff>
    </xdr:to>
    <xdr:pic>
      <xdr:nvPicPr>
        <xdr:cNvPr id="14" name="Graphic 13" descr="Megaphone with solid fill">
          <a:extLst>
            <a:ext uri="{FF2B5EF4-FFF2-40B4-BE49-F238E27FC236}">
              <a16:creationId xmlns:a16="http://schemas.microsoft.com/office/drawing/2014/main" id="{27863ECB-AE7A-A500-4E64-FB6E77544457}"/>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1574800" y="4178300"/>
          <a:ext cx="482600" cy="4826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9</xdr:col>
      <xdr:colOff>57738</xdr:colOff>
      <xdr:row>0</xdr:row>
      <xdr:rowOff>0</xdr:rowOff>
    </xdr:from>
    <xdr:to>
      <xdr:col>10</xdr:col>
      <xdr:colOff>50800</xdr:colOff>
      <xdr:row>0</xdr:row>
      <xdr:rowOff>444500</xdr:rowOff>
    </xdr:to>
    <xdr:sp macro="" textlink="">
      <xdr:nvSpPr>
        <xdr:cNvPr id="3" name="Arrow: Right 2">
          <a:hlinkClick xmlns:r="http://schemas.openxmlformats.org/officeDocument/2006/relationships" r:id="rId1"/>
          <a:extLst>
            <a:ext uri="{FF2B5EF4-FFF2-40B4-BE49-F238E27FC236}">
              <a16:creationId xmlns:a16="http://schemas.microsoft.com/office/drawing/2014/main" id="{A519A132-3B6B-65E5-DC68-825B42A69BD0}"/>
            </a:ext>
          </a:extLst>
        </xdr:cNvPr>
        <xdr:cNvSpPr/>
      </xdr:nvSpPr>
      <xdr:spPr>
        <a:xfrm>
          <a:off x="6115638" y="0"/>
          <a:ext cx="666162" cy="444500"/>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Next</a:t>
          </a:r>
          <a:endParaRPr lang="th-TH" sz="1100" b="1" kern="1200"/>
        </a:p>
      </xdr:txBody>
    </xdr:sp>
    <xdr:clientData/>
  </xdr:twoCellAnchor>
  <xdr:twoCellAnchor>
    <xdr:from>
      <xdr:col>8</xdr:col>
      <xdr:colOff>0</xdr:colOff>
      <xdr:row>0</xdr:row>
      <xdr:rowOff>6350</xdr:rowOff>
    </xdr:from>
    <xdr:to>
      <xdr:col>8</xdr:col>
      <xdr:colOff>614421</xdr:colOff>
      <xdr:row>0</xdr:row>
      <xdr:rowOff>444500</xdr:rowOff>
    </xdr:to>
    <xdr:sp macro="" textlink="">
      <xdr:nvSpPr>
        <xdr:cNvPr id="4" name="Arrow: Right 3">
          <a:hlinkClick xmlns:r="http://schemas.openxmlformats.org/officeDocument/2006/relationships" r:id="rId2"/>
          <a:extLst>
            <a:ext uri="{FF2B5EF4-FFF2-40B4-BE49-F238E27FC236}">
              <a16:creationId xmlns:a16="http://schemas.microsoft.com/office/drawing/2014/main" id="{05F368E4-6FEC-1F31-7314-A91BC35F5D84}"/>
            </a:ext>
          </a:extLst>
        </xdr:cNvPr>
        <xdr:cNvSpPr/>
      </xdr:nvSpPr>
      <xdr:spPr>
        <a:xfrm flipH="1">
          <a:off x="5384800" y="6350"/>
          <a:ext cx="614421" cy="438150"/>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Prev</a:t>
          </a:r>
          <a:endParaRPr lang="th-TH" sz="1100" b="1" kern="1200"/>
        </a:p>
      </xdr:txBody>
    </xdr:sp>
    <xdr:clientData/>
  </xdr:twoCellAnchor>
  <xdr:twoCellAnchor editAs="oneCell">
    <xdr:from>
      <xdr:col>16</xdr:col>
      <xdr:colOff>222250</xdr:colOff>
      <xdr:row>1</xdr:row>
      <xdr:rowOff>139700</xdr:rowOff>
    </xdr:from>
    <xdr:to>
      <xdr:col>17</xdr:col>
      <xdr:colOff>41627</xdr:colOff>
      <xdr:row>4</xdr:row>
      <xdr:rowOff>78316</xdr:rowOff>
    </xdr:to>
    <xdr:pic macro="[0]!Questions_info">
      <xdr:nvPicPr>
        <xdr:cNvPr id="6" name="Graphic 5" descr="Megaphone with solid fill">
          <a:extLst>
            <a:ext uri="{FF2B5EF4-FFF2-40B4-BE49-F238E27FC236}">
              <a16:creationId xmlns:a16="http://schemas.microsoft.com/office/drawing/2014/main" id="{A1D6F6CB-2C2D-421A-9165-3A8D24956973}"/>
            </a:ext>
          </a:extLst>
        </xdr:cNvPr>
        <xdr:cNvPicPr>
          <a:picLocks noChangeAspect="1"/>
        </xdr:cNvPicPr>
      </xdr:nvPicPr>
      <xdr:blipFill>
        <a:blip xmlns:r="http://schemas.openxmlformats.org/officeDocument/2006/relationships" r:embed="rId3">
          <a:extLst>
            <a:ext uri="{96DAC541-7B7A-43D3-8B79-37D633B846F1}">
              <asvg:svgBlip xmlns="" xmlns:asvg="http://schemas.microsoft.com/office/drawing/2016/SVG/main" r:embed="rId4"/>
            </a:ext>
          </a:extLst>
        </a:blip>
        <a:stretch>
          <a:fillRect/>
        </a:stretch>
      </xdr:blipFill>
      <xdr:spPr>
        <a:xfrm>
          <a:off x="10991850" y="609600"/>
          <a:ext cx="492477" cy="4783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12700</xdr:colOff>
      <xdr:row>5</xdr:row>
      <xdr:rowOff>82550</xdr:rowOff>
    </xdr:from>
    <xdr:to>
      <xdr:col>10</xdr:col>
      <xdr:colOff>12700</xdr:colOff>
      <xdr:row>9</xdr:row>
      <xdr:rowOff>0</xdr:rowOff>
    </xdr:to>
    <xdr:sp macro="" textlink="">
      <xdr:nvSpPr>
        <xdr:cNvPr id="3" name="Oval 72">
          <a:extLst>
            <a:ext uri="{FF2B5EF4-FFF2-40B4-BE49-F238E27FC236}">
              <a16:creationId xmlns:a16="http://schemas.microsoft.com/office/drawing/2014/main" id="{1CB15362-C8E2-4D62-B17A-A70806D788CB}"/>
            </a:ext>
          </a:extLst>
        </xdr:cNvPr>
        <xdr:cNvSpPr>
          <a:spLocks noChangeArrowheads="1"/>
        </xdr:cNvSpPr>
      </xdr:nvSpPr>
      <xdr:spPr bwMode="auto">
        <a:xfrm>
          <a:off x="3505200" y="7248525"/>
          <a:ext cx="1933575" cy="676275"/>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2</xdr:col>
      <xdr:colOff>0</xdr:colOff>
      <xdr:row>12</xdr:row>
      <xdr:rowOff>6350</xdr:rowOff>
    </xdr:from>
    <xdr:to>
      <xdr:col>5</xdr:col>
      <xdr:colOff>0</xdr:colOff>
      <xdr:row>16</xdr:row>
      <xdr:rowOff>101600</xdr:rowOff>
    </xdr:to>
    <xdr:sp macro="" textlink="">
      <xdr:nvSpPr>
        <xdr:cNvPr id="4" name="Oval 73">
          <a:extLst>
            <a:ext uri="{FF2B5EF4-FFF2-40B4-BE49-F238E27FC236}">
              <a16:creationId xmlns:a16="http://schemas.microsoft.com/office/drawing/2014/main" id="{4D092D63-D2BA-47BC-9A0E-8A11FA0A8007}"/>
            </a:ext>
          </a:extLst>
        </xdr:cNvPr>
        <xdr:cNvSpPr>
          <a:spLocks noChangeArrowheads="1"/>
        </xdr:cNvSpPr>
      </xdr:nvSpPr>
      <xdr:spPr bwMode="auto">
        <a:xfrm>
          <a:off x="742950" y="8420100"/>
          <a:ext cx="1914525" cy="742950"/>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5</xdr:col>
      <xdr:colOff>0</xdr:colOff>
      <xdr:row>7</xdr:row>
      <xdr:rowOff>95250</xdr:rowOff>
    </xdr:from>
    <xdr:to>
      <xdr:col>7</xdr:col>
      <xdr:colOff>19050</xdr:colOff>
      <xdr:row>14</xdr:row>
      <xdr:rowOff>9525</xdr:rowOff>
    </xdr:to>
    <xdr:sp macro="" textlink="">
      <xdr:nvSpPr>
        <xdr:cNvPr id="5" name="Line 74">
          <a:extLst>
            <a:ext uri="{FF2B5EF4-FFF2-40B4-BE49-F238E27FC236}">
              <a16:creationId xmlns:a16="http://schemas.microsoft.com/office/drawing/2014/main" id="{F20CE2B7-E52E-4271-8F22-7E35D265903E}"/>
            </a:ext>
          </a:extLst>
        </xdr:cNvPr>
        <xdr:cNvSpPr>
          <a:spLocks noChangeShapeType="1"/>
        </xdr:cNvSpPr>
      </xdr:nvSpPr>
      <xdr:spPr bwMode="auto">
        <a:xfrm flipV="1">
          <a:off x="2657475" y="7639050"/>
          <a:ext cx="857250" cy="1101725"/>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8</xdr:col>
      <xdr:colOff>330200</xdr:colOff>
      <xdr:row>9</xdr:row>
      <xdr:rowOff>0</xdr:rowOff>
    </xdr:from>
    <xdr:to>
      <xdr:col>8</xdr:col>
      <xdr:colOff>330200</xdr:colOff>
      <xdr:row>11</xdr:row>
      <xdr:rowOff>120650</xdr:rowOff>
    </xdr:to>
    <xdr:sp macro="" textlink="">
      <xdr:nvSpPr>
        <xdr:cNvPr id="6" name="Line 75">
          <a:extLst>
            <a:ext uri="{FF2B5EF4-FFF2-40B4-BE49-F238E27FC236}">
              <a16:creationId xmlns:a16="http://schemas.microsoft.com/office/drawing/2014/main" id="{885747C8-AE32-4541-9AA2-8034ACF54EF1}"/>
            </a:ext>
          </a:extLst>
        </xdr:cNvPr>
        <xdr:cNvSpPr>
          <a:spLocks noChangeShapeType="1"/>
        </xdr:cNvSpPr>
      </xdr:nvSpPr>
      <xdr:spPr bwMode="auto">
        <a:xfrm flipV="1">
          <a:off x="4486275" y="7924800"/>
          <a:ext cx="0" cy="447675"/>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3</xdr:col>
      <xdr:colOff>295274</xdr:colOff>
      <xdr:row>8</xdr:row>
      <xdr:rowOff>133350</xdr:rowOff>
    </xdr:from>
    <xdr:to>
      <xdr:col>3</xdr:col>
      <xdr:colOff>304799</xdr:colOff>
      <xdr:row>12</xdr:row>
      <xdr:rowOff>0</xdr:rowOff>
    </xdr:to>
    <xdr:sp macro="" textlink="">
      <xdr:nvSpPr>
        <xdr:cNvPr id="7" name="Line 76">
          <a:extLst>
            <a:ext uri="{FF2B5EF4-FFF2-40B4-BE49-F238E27FC236}">
              <a16:creationId xmlns:a16="http://schemas.microsoft.com/office/drawing/2014/main" id="{1587DAD0-9EE1-480C-94D1-37C15547C5CB}"/>
            </a:ext>
          </a:extLst>
        </xdr:cNvPr>
        <xdr:cNvSpPr>
          <a:spLocks noChangeShapeType="1"/>
        </xdr:cNvSpPr>
      </xdr:nvSpPr>
      <xdr:spPr bwMode="auto">
        <a:xfrm flipH="1">
          <a:off x="1679574" y="7867650"/>
          <a:ext cx="6350" cy="542925"/>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7</xdr:col>
      <xdr:colOff>342900</xdr:colOff>
      <xdr:row>6</xdr:row>
      <xdr:rowOff>117475</xdr:rowOff>
    </xdr:from>
    <xdr:to>
      <xdr:col>9</xdr:col>
      <xdr:colOff>323850</xdr:colOff>
      <xdr:row>8</xdr:row>
      <xdr:rowOff>22225</xdr:rowOff>
    </xdr:to>
    <xdr:sp macro="" textlink="">
      <xdr:nvSpPr>
        <xdr:cNvPr id="8" name="Text 34">
          <a:extLst>
            <a:ext uri="{FF2B5EF4-FFF2-40B4-BE49-F238E27FC236}">
              <a16:creationId xmlns:a16="http://schemas.microsoft.com/office/drawing/2014/main" id="{CDCD54DA-729F-42EA-BF8A-1313EEE87293}"/>
            </a:ext>
          </a:extLst>
        </xdr:cNvPr>
        <xdr:cNvSpPr txBox="1">
          <a:spLocks noChangeArrowheads="1"/>
        </xdr:cNvSpPr>
      </xdr:nvSpPr>
      <xdr:spPr bwMode="auto">
        <a:xfrm>
          <a:off x="3838575" y="7473950"/>
          <a:ext cx="1276350" cy="285750"/>
        </a:xfrm>
        <a:prstGeom prst="rect">
          <a:avLst/>
        </a:prstGeom>
        <a:noFill/>
        <a:ln w="1">
          <a:noFill/>
          <a:miter lim="800000"/>
          <a:headEnd/>
          <a:tailEnd/>
        </a:ln>
      </xdr:spPr>
      <xdr:txBody>
        <a:bodyPr vertOverflow="clip" wrap="square" lIns="36576" tIns="22860" rIns="36576" bIns="0" anchor="t" upright="1"/>
        <a:lstStyle/>
        <a:p>
          <a:pPr algn="ctr" rtl="0">
            <a:defRPr sz="1000"/>
          </a:pPr>
          <a:r>
            <a:rPr lang="en-US" sz="1000" b="0" i="0" strike="noStrike">
              <a:solidFill>
                <a:srgbClr val="000080"/>
              </a:solidFill>
              <a:latin typeface="Arial Rounded MT Bold"/>
            </a:rPr>
            <a:t>Death</a:t>
          </a:r>
        </a:p>
      </xdr:txBody>
    </xdr:sp>
    <xdr:clientData/>
  </xdr:twoCellAnchor>
  <xdr:twoCellAnchor>
    <xdr:from>
      <xdr:col>0</xdr:col>
      <xdr:colOff>355600</xdr:colOff>
      <xdr:row>13</xdr:row>
      <xdr:rowOff>12700</xdr:rowOff>
    </xdr:from>
    <xdr:to>
      <xdr:col>1</xdr:col>
      <xdr:colOff>641350</xdr:colOff>
      <xdr:row>15</xdr:row>
      <xdr:rowOff>57150</xdr:rowOff>
    </xdr:to>
    <xdr:sp macro="" textlink="">
      <xdr:nvSpPr>
        <xdr:cNvPr id="9" name="Oval 78">
          <a:extLst>
            <a:ext uri="{FF2B5EF4-FFF2-40B4-BE49-F238E27FC236}">
              <a16:creationId xmlns:a16="http://schemas.microsoft.com/office/drawing/2014/main" id="{6C4D93EA-7285-44CA-A655-A5EA3AE15333}"/>
            </a:ext>
          </a:extLst>
        </xdr:cNvPr>
        <xdr:cNvSpPr>
          <a:spLocks noChangeArrowheads="1"/>
        </xdr:cNvSpPr>
      </xdr:nvSpPr>
      <xdr:spPr bwMode="auto">
        <a:xfrm>
          <a:off x="355600" y="2400300"/>
          <a:ext cx="946150" cy="400050"/>
        </a:xfrm>
        <a:prstGeom prst="ellipse">
          <a:avLst/>
        </a:prstGeom>
        <a:noFill/>
        <a:ln w="24765">
          <a:solidFill>
            <a:srgbClr val="8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584200</xdr:colOff>
      <xdr:row>13</xdr:row>
      <xdr:rowOff>139700</xdr:rowOff>
    </xdr:from>
    <xdr:to>
      <xdr:col>1</xdr:col>
      <xdr:colOff>622300</xdr:colOff>
      <xdr:row>14</xdr:row>
      <xdr:rowOff>19050</xdr:rowOff>
    </xdr:to>
    <xdr:sp macro="" textlink="">
      <xdr:nvSpPr>
        <xdr:cNvPr id="10" name="Line 79">
          <a:extLst>
            <a:ext uri="{FF2B5EF4-FFF2-40B4-BE49-F238E27FC236}">
              <a16:creationId xmlns:a16="http://schemas.microsoft.com/office/drawing/2014/main" id="{A9342718-20C5-4DB1-8322-5C2692C0A339}"/>
            </a:ext>
          </a:extLst>
        </xdr:cNvPr>
        <xdr:cNvSpPr>
          <a:spLocks noChangeShapeType="1"/>
        </xdr:cNvSpPr>
      </xdr:nvSpPr>
      <xdr:spPr bwMode="auto">
        <a:xfrm>
          <a:off x="685800" y="8715375"/>
          <a:ext cx="38100" cy="38100"/>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2</xdr:col>
      <xdr:colOff>95885</xdr:colOff>
      <xdr:row>13</xdr:row>
      <xdr:rowOff>3175</xdr:rowOff>
    </xdr:from>
    <xdr:to>
      <xdr:col>3</xdr:col>
      <xdr:colOff>203173</xdr:colOff>
      <xdr:row>15</xdr:row>
      <xdr:rowOff>161925</xdr:rowOff>
    </xdr:to>
    <xdr:sp macro="" textlink="">
      <xdr:nvSpPr>
        <xdr:cNvPr id="11" name="Text 32">
          <a:extLst>
            <a:ext uri="{FF2B5EF4-FFF2-40B4-BE49-F238E27FC236}">
              <a16:creationId xmlns:a16="http://schemas.microsoft.com/office/drawing/2014/main" id="{3E5031CE-24FC-40B5-9827-CD28CFAC64CA}"/>
            </a:ext>
          </a:extLst>
        </xdr:cNvPr>
        <xdr:cNvSpPr txBox="1">
          <a:spLocks noChangeArrowheads="1"/>
        </xdr:cNvSpPr>
      </xdr:nvSpPr>
      <xdr:spPr bwMode="auto">
        <a:xfrm>
          <a:off x="1286510" y="2813050"/>
          <a:ext cx="707363" cy="539750"/>
        </a:xfrm>
        <a:prstGeom prst="rect">
          <a:avLst/>
        </a:prstGeom>
        <a:noFill/>
        <a:ln w="1">
          <a:noFill/>
          <a:miter lim="800000"/>
          <a:headEnd/>
          <a:tailEnd/>
        </a:ln>
      </xdr:spPr>
      <xdr:txBody>
        <a:bodyPr vertOverflow="clip" wrap="square" lIns="27432" tIns="22860" rIns="27432" bIns="0" anchor="t" upright="1"/>
        <a:lstStyle/>
        <a:p>
          <a:pPr algn="ctr" rtl="0">
            <a:defRPr sz="1000"/>
          </a:pPr>
          <a:r>
            <a:rPr lang="en-US" sz="1000" b="0" i="0" strike="noStrike">
              <a:solidFill>
                <a:srgbClr val="000080"/>
              </a:solidFill>
              <a:latin typeface="Arial Rounded MT Bold"/>
            </a:rPr>
            <a:t>Initial mode of dialysis</a:t>
          </a:r>
        </a:p>
      </xdr:txBody>
    </xdr:sp>
    <xdr:clientData/>
  </xdr:twoCellAnchor>
  <xdr:twoCellAnchor>
    <xdr:from>
      <xdr:col>7</xdr:col>
      <xdr:colOff>0</xdr:colOff>
      <xdr:row>11</xdr:row>
      <xdr:rowOff>139700</xdr:rowOff>
    </xdr:from>
    <xdr:to>
      <xdr:col>10</xdr:col>
      <xdr:colOff>50800</xdr:colOff>
      <xdr:row>16</xdr:row>
      <xdr:rowOff>82550</xdr:rowOff>
    </xdr:to>
    <xdr:sp macro="" textlink="">
      <xdr:nvSpPr>
        <xdr:cNvPr id="12" name="Oval 81">
          <a:extLst>
            <a:ext uri="{FF2B5EF4-FFF2-40B4-BE49-F238E27FC236}">
              <a16:creationId xmlns:a16="http://schemas.microsoft.com/office/drawing/2014/main" id="{B947588E-8751-4BE6-B405-44E0D92B7CFA}"/>
            </a:ext>
          </a:extLst>
        </xdr:cNvPr>
        <xdr:cNvSpPr>
          <a:spLocks noChangeArrowheads="1"/>
        </xdr:cNvSpPr>
      </xdr:nvSpPr>
      <xdr:spPr bwMode="auto">
        <a:xfrm>
          <a:off x="3495675" y="8391525"/>
          <a:ext cx="1981200" cy="752475"/>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10</xdr:col>
      <xdr:colOff>57150</xdr:colOff>
      <xdr:row>13</xdr:row>
      <xdr:rowOff>19050</xdr:rowOff>
    </xdr:from>
    <xdr:to>
      <xdr:col>11</xdr:col>
      <xdr:colOff>19050</xdr:colOff>
      <xdr:row>14</xdr:row>
      <xdr:rowOff>114300</xdr:rowOff>
    </xdr:to>
    <xdr:sp macro="" textlink="">
      <xdr:nvSpPr>
        <xdr:cNvPr id="13" name="Oval 82">
          <a:extLst>
            <a:ext uri="{FF2B5EF4-FFF2-40B4-BE49-F238E27FC236}">
              <a16:creationId xmlns:a16="http://schemas.microsoft.com/office/drawing/2014/main" id="{110DF5DE-63FD-4267-A020-3AB3BBDA3D79}"/>
            </a:ext>
          </a:extLst>
        </xdr:cNvPr>
        <xdr:cNvSpPr>
          <a:spLocks noChangeArrowheads="1"/>
        </xdr:cNvSpPr>
      </xdr:nvSpPr>
      <xdr:spPr bwMode="auto">
        <a:xfrm rot="-10585420">
          <a:off x="5486400" y="8591550"/>
          <a:ext cx="600075" cy="257175"/>
        </a:xfrm>
        <a:prstGeom prst="ellipse">
          <a:avLst/>
        </a:prstGeom>
        <a:noFill/>
        <a:ln w="24765">
          <a:solidFill>
            <a:srgbClr val="8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101600</xdr:colOff>
      <xdr:row>13</xdr:row>
      <xdr:rowOff>6350</xdr:rowOff>
    </xdr:from>
    <xdr:to>
      <xdr:col>10</xdr:col>
      <xdr:colOff>101600</xdr:colOff>
      <xdr:row>13</xdr:row>
      <xdr:rowOff>146050</xdr:rowOff>
    </xdr:to>
    <xdr:sp macro="" textlink="">
      <xdr:nvSpPr>
        <xdr:cNvPr id="14" name="Line 83">
          <a:extLst>
            <a:ext uri="{FF2B5EF4-FFF2-40B4-BE49-F238E27FC236}">
              <a16:creationId xmlns:a16="http://schemas.microsoft.com/office/drawing/2014/main" id="{67186F37-72FF-455E-ACF3-D394050A9FB3}"/>
            </a:ext>
          </a:extLst>
        </xdr:cNvPr>
        <xdr:cNvSpPr>
          <a:spLocks noChangeShapeType="1"/>
        </xdr:cNvSpPr>
      </xdr:nvSpPr>
      <xdr:spPr bwMode="auto">
        <a:xfrm rot="13500000" flipV="1">
          <a:off x="5534025" y="8582025"/>
          <a:ext cx="0" cy="133350"/>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8</xdr:col>
      <xdr:colOff>294640</xdr:colOff>
      <xdr:row>12</xdr:row>
      <xdr:rowOff>146050</xdr:rowOff>
    </xdr:from>
    <xdr:to>
      <xdr:col>10</xdr:col>
      <xdr:colOff>64770</xdr:colOff>
      <xdr:row>15</xdr:row>
      <xdr:rowOff>85775</xdr:rowOff>
    </xdr:to>
    <xdr:sp macro="" textlink="">
      <xdr:nvSpPr>
        <xdr:cNvPr id="15" name="Text 32">
          <a:extLst>
            <a:ext uri="{FF2B5EF4-FFF2-40B4-BE49-F238E27FC236}">
              <a16:creationId xmlns:a16="http://schemas.microsoft.com/office/drawing/2014/main" id="{127F1D7B-9EE6-4194-9360-8726167D0C66}"/>
            </a:ext>
          </a:extLst>
        </xdr:cNvPr>
        <xdr:cNvSpPr txBox="1">
          <a:spLocks noChangeArrowheads="1"/>
        </xdr:cNvSpPr>
      </xdr:nvSpPr>
      <xdr:spPr bwMode="auto">
        <a:xfrm>
          <a:off x="5085715" y="2774950"/>
          <a:ext cx="970280" cy="501700"/>
        </a:xfrm>
        <a:prstGeom prst="rect">
          <a:avLst/>
        </a:prstGeom>
        <a:noFill/>
        <a:ln w="1">
          <a:noFill/>
          <a:miter lim="800000"/>
          <a:headEnd/>
          <a:tailEnd/>
        </a:ln>
      </xdr:spPr>
      <xdr:txBody>
        <a:bodyPr vertOverflow="clip" wrap="square" lIns="27432" tIns="18288" rIns="27432" bIns="0" anchor="t" upright="1"/>
        <a:lstStyle/>
        <a:p>
          <a:pPr algn="ctr" rtl="0">
            <a:defRPr sz="1000"/>
          </a:pPr>
          <a:r>
            <a:rPr lang="en-US" sz="1000" b="0" i="0" strike="noStrike">
              <a:solidFill>
                <a:srgbClr val="000080"/>
              </a:solidFill>
              <a:latin typeface="Arial Rounded MT Bold"/>
            </a:rPr>
            <a:t>Switching to another mode of dialysis</a:t>
          </a:r>
        </a:p>
      </xdr:txBody>
    </xdr:sp>
    <xdr:clientData/>
  </xdr:twoCellAnchor>
  <xdr:twoCellAnchor>
    <xdr:from>
      <xdr:col>2</xdr:col>
      <xdr:colOff>298450</xdr:colOff>
      <xdr:row>7</xdr:row>
      <xdr:rowOff>113393</xdr:rowOff>
    </xdr:from>
    <xdr:to>
      <xdr:col>4</xdr:col>
      <xdr:colOff>279400</xdr:colOff>
      <xdr:row>8</xdr:row>
      <xdr:rowOff>3175</xdr:rowOff>
    </xdr:to>
    <xdr:sp macro="" textlink="">
      <xdr:nvSpPr>
        <xdr:cNvPr id="16" name="Text 34">
          <a:extLst>
            <a:ext uri="{FF2B5EF4-FFF2-40B4-BE49-F238E27FC236}">
              <a16:creationId xmlns:a16="http://schemas.microsoft.com/office/drawing/2014/main" id="{7FFD1CED-D02F-46D8-8382-2FCDCCF319E3}"/>
            </a:ext>
          </a:extLst>
        </xdr:cNvPr>
        <xdr:cNvSpPr txBox="1">
          <a:spLocks noChangeArrowheads="1"/>
        </xdr:cNvSpPr>
      </xdr:nvSpPr>
      <xdr:spPr bwMode="auto">
        <a:xfrm>
          <a:off x="1545771" y="1655536"/>
          <a:ext cx="1239611" cy="252639"/>
        </a:xfrm>
        <a:prstGeom prst="rect">
          <a:avLst/>
        </a:prstGeom>
        <a:noFill/>
        <a:ln w="1">
          <a:noFill/>
          <a:miter lim="800000"/>
          <a:headEnd/>
          <a:tailEnd/>
        </a:ln>
      </xdr:spPr>
      <xdr:txBody>
        <a:bodyPr vertOverflow="clip" wrap="square" lIns="36576" tIns="22860" rIns="36576" bIns="0" anchor="t" upright="1"/>
        <a:lstStyle/>
        <a:p>
          <a:pPr algn="ctr" rtl="0">
            <a:defRPr sz="1000"/>
          </a:pPr>
          <a:r>
            <a:rPr lang="en-US" sz="1000" b="0" i="0" strike="noStrike">
              <a:solidFill>
                <a:srgbClr val="000080"/>
              </a:solidFill>
              <a:latin typeface="Arial Rounded MT Bold"/>
            </a:rPr>
            <a:t>ESRD patients</a:t>
          </a:r>
        </a:p>
      </xdr:txBody>
    </xdr:sp>
    <xdr:clientData/>
  </xdr:twoCellAnchor>
  <xdr:twoCellAnchor>
    <xdr:from>
      <xdr:col>4</xdr:col>
      <xdr:colOff>628650</xdr:colOff>
      <xdr:row>14</xdr:row>
      <xdr:rowOff>63500</xdr:rowOff>
    </xdr:from>
    <xdr:to>
      <xdr:col>6</xdr:col>
      <xdr:colOff>596900</xdr:colOff>
      <xdr:row>14</xdr:row>
      <xdr:rowOff>63500</xdr:rowOff>
    </xdr:to>
    <xdr:sp macro="" textlink="">
      <xdr:nvSpPr>
        <xdr:cNvPr id="17" name="Line 105">
          <a:extLst>
            <a:ext uri="{FF2B5EF4-FFF2-40B4-BE49-F238E27FC236}">
              <a16:creationId xmlns:a16="http://schemas.microsoft.com/office/drawing/2014/main" id="{89490ACC-A026-42F5-926F-853420D75801}"/>
            </a:ext>
          </a:extLst>
        </xdr:cNvPr>
        <xdr:cNvSpPr>
          <a:spLocks noChangeShapeType="1"/>
        </xdr:cNvSpPr>
      </xdr:nvSpPr>
      <xdr:spPr bwMode="auto">
        <a:xfrm>
          <a:off x="2647950" y="8801100"/>
          <a:ext cx="847725" cy="0"/>
        </a:xfrm>
        <a:prstGeom prst="line">
          <a:avLst/>
        </a:prstGeom>
        <a:noFill/>
        <a:ln w="28575">
          <a:solidFill>
            <a:srgbClr val="808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311150</xdr:colOff>
      <xdr:row>12</xdr:row>
      <xdr:rowOff>101600</xdr:rowOff>
    </xdr:from>
    <xdr:to>
      <xdr:col>5</xdr:col>
      <xdr:colOff>0</xdr:colOff>
      <xdr:row>16</xdr:row>
      <xdr:rowOff>0</xdr:rowOff>
    </xdr:to>
    <xdr:sp macro="" textlink="">
      <xdr:nvSpPr>
        <xdr:cNvPr id="18" name="Oval 106">
          <a:extLst>
            <a:ext uri="{FF2B5EF4-FFF2-40B4-BE49-F238E27FC236}">
              <a16:creationId xmlns:a16="http://schemas.microsoft.com/office/drawing/2014/main" id="{4129DF55-324E-4AF7-9DF6-CE844AA1503D}"/>
            </a:ext>
          </a:extLst>
        </xdr:cNvPr>
        <xdr:cNvSpPr>
          <a:spLocks noChangeArrowheads="1"/>
        </xdr:cNvSpPr>
      </xdr:nvSpPr>
      <xdr:spPr bwMode="auto">
        <a:xfrm>
          <a:off x="1695450" y="8515350"/>
          <a:ext cx="962025" cy="542925"/>
        </a:xfrm>
        <a:prstGeom prst="ellipse">
          <a:avLst/>
        </a:prstGeom>
        <a:pattFill prst="pct25">
          <a:fgClr>
            <a:srgbClr val="FFFFCC"/>
          </a:fgClr>
          <a:bgClr>
            <a:srgbClr val="FFFFCC"/>
          </a:bgClr>
        </a:pattFill>
        <a:ln w="24765">
          <a:solidFill>
            <a:srgbClr val="808000"/>
          </a:solidFill>
          <a:prstDash val="sysDot"/>
          <a:round/>
          <a:headEnd/>
          <a:tailEnd/>
        </a:ln>
      </xdr:spPr>
    </xdr:sp>
    <xdr:clientData/>
  </xdr:twoCellAnchor>
  <xdr:twoCellAnchor>
    <xdr:from>
      <xdr:col>3</xdr:col>
      <xdr:colOff>292735</xdr:colOff>
      <xdr:row>13</xdr:row>
      <xdr:rowOff>146050</xdr:rowOff>
    </xdr:from>
    <xdr:to>
      <xdr:col>5</xdr:col>
      <xdr:colOff>55245</xdr:colOff>
      <xdr:row>14</xdr:row>
      <xdr:rowOff>158115</xdr:rowOff>
    </xdr:to>
    <xdr:sp macro="" textlink="">
      <xdr:nvSpPr>
        <xdr:cNvPr id="19" name="Text 32">
          <a:extLst>
            <a:ext uri="{FF2B5EF4-FFF2-40B4-BE49-F238E27FC236}">
              <a16:creationId xmlns:a16="http://schemas.microsoft.com/office/drawing/2014/main" id="{C6D12245-9696-4CA9-BE23-FDBC84957BFE}"/>
            </a:ext>
          </a:extLst>
        </xdr:cNvPr>
        <xdr:cNvSpPr txBox="1">
          <a:spLocks noChangeArrowheads="1"/>
        </xdr:cNvSpPr>
      </xdr:nvSpPr>
      <xdr:spPr bwMode="auto">
        <a:xfrm>
          <a:off x="2083435" y="2955925"/>
          <a:ext cx="962660" cy="193040"/>
        </a:xfrm>
        <a:prstGeom prst="rect">
          <a:avLst/>
        </a:prstGeom>
        <a:noFill/>
        <a:ln w="1">
          <a:noFill/>
          <a:miter lim="800000"/>
          <a:headEnd/>
          <a:tailEnd/>
        </a:ln>
      </xdr:spPr>
      <xdr:txBody>
        <a:bodyPr vertOverflow="clip" wrap="square" lIns="27432" tIns="18288" rIns="27432" bIns="0" anchor="t" upright="1"/>
        <a:lstStyle/>
        <a:p>
          <a:pPr algn="ctr" rtl="0">
            <a:defRPr sz="1000"/>
          </a:pPr>
          <a:r>
            <a:rPr lang="en-US" sz="900" b="0" i="0" strike="noStrike">
              <a:solidFill>
                <a:srgbClr val="000080"/>
              </a:solidFill>
              <a:latin typeface="Arial Rounded MT Bold"/>
            </a:rPr>
            <a:t>complications</a:t>
          </a:r>
        </a:p>
      </xdr:txBody>
    </xdr:sp>
    <xdr:clientData/>
  </xdr:twoCellAnchor>
  <xdr:twoCellAnchor>
    <xdr:from>
      <xdr:col>7</xdr:col>
      <xdr:colOff>0</xdr:colOff>
      <xdr:row>12</xdr:row>
      <xdr:rowOff>114300</xdr:rowOff>
    </xdr:from>
    <xdr:to>
      <xdr:col>8</xdr:col>
      <xdr:colOff>279400</xdr:colOff>
      <xdr:row>15</xdr:row>
      <xdr:rowOff>82550</xdr:rowOff>
    </xdr:to>
    <xdr:sp macro="" textlink="">
      <xdr:nvSpPr>
        <xdr:cNvPr id="20" name="Oval 108">
          <a:extLst>
            <a:ext uri="{FF2B5EF4-FFF2-40B4-BE49-F238E27FC236}">
              <a16:creationId xmlns:a16="http://schemas.microsoft.com/office/drawing/2014/main" id="{E523D9A0-8DFD-4925-8A88-D6DB3C22709C}"/>
            </a:ext>
          </a:extLst>
        </xdr:cNvPr>
        <xdr:cNvSpPr>
          <a:spLocks noChangeArrowheads="1"/>
        </xdr:cNvSpPr>
      </xdr:nvSpPr>
      <xdr:spPr bwMode="auto">
        <a:xfrm>
          <a:off x="3495675" y="8524875"/>
          <a:ext cx="933450" cy="457200"/>
        </a:xfrm>
        <a:prstGeom prst="ellipse">
          <a:avLst/>
        </a:prstGeom>
        <a:pattFill prst="pct25">
          <a:fgClr>
            <a:srgbClr val="FFFFCC"/>
          </a:fgClr>
          <a:bgClr>
            <a:srgbClr val="FFFFCC"/>
          </a:bgClr>
        </a:pattFill>
        <a:ln w="24765">
          <a:solidFill>
            <a:srgbClr val="808000"/>
          </a:solidFill>
          <a:prstDash val="sysDot"/>
          <a:round/>
          <a:headEnd/>
          <a:tailEnd/>
        </a:ln>
      </xdr:spPr>
    </xdr:sp>
    <xdr:clientData/>
  </xdr:twoCellAnchor>
  <xdr:twoCellAnchor>
    <xdr:from>
      <xdr:col>6</xdr:col>
      <xdr:colOff>558165</xdr:colOff>
      <xdr:row>13</xdr:row>
      <xdr:rowOff>107950</xdr:rowOff>
    </xdr:from>
    <xdr:to>
      <xdr:col>8</xdr:col>
      <xdr:colOff>335280</xdr:colOff>
      <xdr:row>14</xdr:row>
      <xdr:rowOff>123825</xdr:rowOff>
    </xdr:to>
    <xdr:sp macro="" textlink="">
      <xdr:nvSpPr>
        <xdr:cNvPr id="21" name="Text 32">
          <a:extLst>
            <a:ext uri="{FF2B5EF4-FFF2-40B4-BE49-F238E27FC236}">
              <a16:creationId xmlns:a16="http://schemas.microsoft.com/office/drawing/2014/main" id="{89FABEE4-2746-4B5D-8113-B630F3ED65C1}"/>
            </a:ext>
          </a:extLst>
        </xdr:cNvPr>
        <xdr:cNvSpPr txBox="1">
          <a:spLocks noChangeArrowheads="1"/>
        </xdr:cNvSpPr>
      </xdr:nvSpPr>
      <xdr:spPr bwMode="auto">
        <a:xfrm>
          <a:off x="4149090" y="2917825"/>
          <a:ext cx="977265" cy="196850"/>
        </a:xfrm>
        <a:prstGeom prst="rect">
          <a:avLst/>
        </a:prstGeom>
        <a:noFill/>
        <a:ln w="1">
          <a:noFill/>
          <a:miter lim="800000"/>
          <a:headEnd/>
          <a:tailEnd/>
        </a:ln>
      </xdr:spPr>
      <xdr:txBody>
        <a:bodyPr vertOverflow="clip" wrap="square" lIns="27432" tIns="18288" rIns="27432" bIns="0" anchor="t" upright="1"/>
        <a:lstStyle/>
        <a:p>
          <a:pPr algn="ctr" rtl="0">
            <a:defRPr sz="1000"/>
          </a:pPr>
          <a:r>
            <a:rPr lang="en-US" sz="900" b="0" i="0" strike="noStrike">
              <a:solidFill>
                <a:srgbClr val="000080"/>
              </a:solidFill>
              <a:latin typeface="Arial Rounded MT Bold"/>
            </a:rPr>
            <a:t>complications</a:t>
          </a:r>
        </a:p>
      </xdr:txBody>
    </xdr:sp>
    <xdr:clientData/>
  </xdr:twoCellAnchor>
  <xdr:twoCellAnchor>
    <xdr:from>
      <xdr:col>3</xdr:col>
      <xdr:colOff>203200</xdr:colOff>
      <xdr:row>14</xdr:row>
      <xdr:rowOff>139700</xdr:rowOff>
    </xdr:from>
    <xdr:to>
      <xdr:col>3</xdr:col>
      <xdr:colOff>495300</xdr:colOff>
      <xdr:row>14</xdr:row>
      <xdr:rowOff>146050</xdr:rowOff>
    </xdr:to>
    <xdr:sp macro="" textlink="">
      <xdr:nvSpPr>
        <xdr:cNvPr id="22" name="Line 110">
          <a:extLst>
            <a:ext uri="{FF2B5EF4-FFF2-40B4-BE49-F238E27FC236}">
              <a16:creationId xmlns:a16="http://schemas.microsoft.com/office/drawing/2014/main" id="{1792231C-3F3F-4648-BDB3-0F199B9A5944}"/>
            </a:ext>
          </a:extLst>
        </xdr:cNvPr>
        <xdr:cNvSpPr>
          <a:spLocks noChangeShapeType="1"/>
        </xdr:cNvSpPr>
      </xdr:nvSpPr>
      <xdr:spPr bwMode="auto">
        <a:xfrm flipV="1">
          <a:off x="1581150" y="8877300"/>
          <a:ext cx="295275" cy="0"/>
        </a:xfrm>
        <a:prstGeom prst="line">
          <a:avLst/>
        </a:prstGeom>
        <a:noFill/>
        <a:ln w="28575">
          <a:solidFill>
            <a:srgbClr val="808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69850</xdr:colOff>
      <xdr:row>14</xdr:row>
      <xdr:rowOff>114300</xdr:rowOff>
    </xdr:from>
    <xdr:to>
      <xdr:col>8</xdr:col>
      <xdr:colOff>368300</xdr:colOff>
      <xdr:row>14</xdr:row>
      <xdr:rowOff>120650</xdr:rowOff>
    </xdr:to>
    <xdr:sp macro="" textlink="">
      <xdr:nvSpPr>
        <xdr:cNvPr id="23" name="Line 111">
          <a:extLst>
            <a:ext uri="{FF2B5EF4-FFF2-40B4-BE49-F238E27FC236}">
              <a16:creationId xmlns:a16="http://schemas.microsoft.com/office/drawing/2014/main" id="{0029CA5A-0AE2-4023-BE02-D562B0C1BB2E}"/>
            </a:ext>
          </a:extLst>
        </xdr:cNvPr>
        <xdr:cNvSpPr>
          <a:spLocks noChangeShapeType="1"/>
        </xdr:cNvSpPr>
      </xdr:nvSpPr>
      <xdr:spPr bwMode="auto">
        <a:xfrm flipV="1">
          <a:off x="4219575" y="8848725"/>
          <a:ext cx="304800" cy="9525"/>
        </a:xfrm>
        <a:prstGeom prst="line">
          <a:avLst/>
        </a:prstGeom>
        <a:noFill/>
        <a:ln w="28575">
          <a:solidFill>
            <a:srgbClr val="808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502138</xdr:colOff>
      <xdr:row>0</xdr:row>
      <xdr:rowOff>0</xdr:rowOff>
    </xdr:from>
    <xdr:to>
      <xdr:col>13</xdr:col>
      <xdr:colOff>495300</xdr:colOff>
      <xdr:row>0</xdr:row>
      <xdr:rowOff>444500</xdr:rowOff>
    </xdr:to>
    <xdr:sp macro="" textlink="">
      <xdr:nvSpPr>
        <xdr:cNvPr id="27" name="Arrow: Right 26">
          <a:hlinkClick xmlns:r="http://schemas.openxmlformats.org/officeDocument/2006/relationships" r:id="rId1"/>
          <a:extLst>
            <a:ext uri="{FF2B5EF4-FFF2-40B4-BE49-F238E27FC236}">
              <a16:creationId xmlns:a16="http://schemas.microsoft.com/office/drawing/2014/main" id="{C6CE9706-1840-1E3C-CA3E-6AD8BDABAB0E}"/>
            </a:ext>
          </a:extLst>
        </xdr:cNvPr>
        <xdr:cNvSpPr/>
      </xdr:nvSpPr>
      <xdr:spPr>
        <a:xfrm>
          <a:off x="8541478" y="0"/>
          <a:ext cx="664105" cy="444500"/>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Next</a:t>
          </a:r>
          <a:endParaRPr lang="th-TH" sz="1100" b="1" kern="1200"/>
        </a:p>
      </xdr:txBody>
    </xdr:sp>
    <xdr:clientData/>
  </xdr:twoCellAnchor>
  <xdr:twoCellAnchor>
    <xdr:from>
      <xdr:col>11</xdr:col>
      <xdr:colOff>444500</xdr:colOff>
      <xdr:row>0</xdr:row>
      <xdr:rowOff>6350</xdr:rowOff>
    </xdr:from>
    <xdr:to>
      <xdr:col>12</xdr:col>
      <xdr:colOff>386080</xdr:colOff>
      <xdr:row>0</xdr:row>
      <xdr:rowOff>444500</xdr:rowOff>
    </xdr:to>
    <xdr:sp macro="" textlink="">
      <xdr:nvSpPr>
        <xdr:cNvPr id="28" name="Arrow: Right 27">
          <a:hlinkClick xmlns:r="http://schemas.openxmlformats.org/officeDocument/2006/relationships" r:id="rId2"/>
          <a:extLst>
            <a:ext uri="{FF2B5EF4-FFF2-40B4-BE49-F238E27FC236}">
              <a16:creationId xmlns:a16="http://schemas.microsoft.com/office/drawing/2014/main" id="{F036AE69-F29C-DBA0-D3B7-6D3C302D9ED9}"/>
            </a:ext>
          </a:extLst>
        </xdr:cNvPr>
        <xdr:cNvSpPr/>
      </xdr:nvSpPr>
      <xdr:spPr>
        <a:xfrm flipH="1">
          <a:off x="7812896" y="6350"/>
          <a:ext cx="612524" cy="438150"/>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Prev</a:t>
          </a:r>
          <a:endParaRPr lang="th-TH" sz="1100" b="1" kern="1200"/>
        </a:p>
      </xdr:txBody>
    </xdr:sp>
    <xdr:clientData/>
  </xdr:twoCellAnchor>
  <xdr:twoCellAnchor editAs="oneCell">
    <xdr:from>
      <xdr:col>12</xdr:col>
      <xdr:colOff>655968</xdr:colOff>
      <xdr:row>2</xdr:row>
      <xdr:rowOff>152760</xdr:rowOff>
    </xdr:from>
    <xdr:to>
      <xdr:col>13</xdr:col>
      <xdr:colOff>479586</xdr:colOff>
      <xdr:row>5</xdr:row>
      <xdr:rowOff>94515</xdr:rowOff>
    </xdr:to>
    <xdr:pic macro="[0]!Modelstructure_info">
      <xdr:nvPicPr>
        <xdr:cNvPr id="24" name="Graphic 23" descr="Megaphone with solid fill">
          <a:extLst>
            <a:ext uri="{FF2B5EF4-FFF2-40B4-BE49-F238E27FC236}">
              <a16:creationId xmlns:a16="http://schemas.microsoft.com/office/drawing/2014/main" id="{D3A3494B-B971-4319-BE44-FB5F16DBBFA4}"/>
            </a:ext>
          </a:extLst>
        </xdr:cNvPr>
        <xdr:cNvPicPr>
          <a:picLocks noChangeAspect="1"/>
        </xdr:cNvPicPr>
      </xdr:nvPicPr>
      <xdr:blipFill>
        <a:blip xmlns:r="http://schemas.openxmlformats.org/officeDocument/2006/relationships" r:embed="rId3">
          <a:extLst>
            <a:ext uri="{96DAC541-7B7A-43D3-8B79-37D633B846F1}">
              <asvg:svgBlip xmlns="" xmlns:asvg="http://schemas.microsoft.com/office/drawing/2016/SVG/main" r:embed="rId4"/>
            </a:ext>
          </a:extLst>
        </a:blip>
        <a:stretch>
          <a:fillRect/>
        </a:stretch>
      </xdr:blipFill>
      <xdr:spPr>
        <a:xfrm>
          <a:off x="8725260" y="781769"/>
          <a:ext cx="505177" cy="484716"/>
        </a:xfrm>
        <a:prstGeom prst="rect">
          <a:avLst/>
        </a:prstGeom>
      </xdr:spPr>
    </xdr:pic>
    <xdr:clientData/>
  </xdr:twoCellAnchor>
  <xdr:twoCellAnchor>
    <xdr:from>
      <xdr:col>7</xdr:col>
      <xdr:colOff>12700</xdr:colOff>
      <xdr:row>26</xdr:row>
      <xdr:rowOff>82550</xdr:rowOff>
    </xdr:from>
    <xdr:to>
      <xdr:col>10</xdr:col>
      <xdr:colOff>12700</xdr:colOff>
      <xdr:row>30</xdr:row>
      <xdr:rowOff>0</xdr:rowOff>
    </xdr:to>
    <xdr:sp macro="" textlink="">
      <xdr:nvSpPr>
        <xdr:cNvPr id="29" name="Oval 72">
          <a:extLst>
            <a:ext uri="{FF2B5EF4-FFF2-40B4-BE49-F238E27FC236}">
              <a16:creationId xmlns:a16="http://schemas.microsoft.com/office/drawing/2014/main" id="{76BC19A4-F9AC-489D-81EF-0CA6AE0E18D5}"/>
            </a:ext>
          </a:extLst>
        </xdr:cNvPr>
        <xdr:cNvSpPr>
          <a:spLocks noChangeArrowheads="1"/>
        </xdr:cNvSpPr>
      </xdr:nvSpPr>
      <xdr:spPr bwMode="auto">
        <a:xfrm>
          <a:off x="4697323" y="1250710"/>
          <a:ext cx="2012830" cy="816035"/>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2</xdr:col>
      <xdr:colOff>0</xdr:colOff>
      <xdr:row>33</xdr:row>
      <xdr:rowOff>6350</xdr:rowOff>
    </xdr:from>
    <xdr:to>
      <xdr:col>5</xdr:col>
      <xdr:colOff>0</xdr:colOff>
      <xdr:row>37</xdr:row>
      <xdr:rowOff>101600</xdr:rowOff>
    </xdr:to>
    <xdr:sp macro="" textlink="">
      <xdr:nvSpPr>
        <xdr:cNvPr id="30" name="Oval 73">
          <a:extLst>
            <a:ext uri="{FF2B5EF4-FFF2-40B4-BE49-F238E27FC236}">
              <a16:creationId xmlns:a16="http://schemas.microsoft.com/office/drawing/2014/main" id="{1FB305CF-4D7B-4530-B0AD-FD6B55DE7CAD}"/>
            </a:ext>
          </a:extLst>
        </xdr:cNvPr>
        <xdr:cNvSpPr>
          <a:spLocks noChangeArrowheads="1"/>
        </xdr:cNvSpPr>
      </xdr:nvSpPr>
      <xdr:spPr bwMode="auto">
        <a:xfrm>
          <a:off x="1329906" y="2612246"/>
          <a:ext cx="2012830" cy="820109"/>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5</xdr:col>
      <xdr:colOff>0</xdr:colOff>
      <xdr:row>28</xdr:row>
      <xdr:rowOff>95250</xdr:rowOff>
    </xdr:from>
    <xdr:to>
      <xdr:col>7</xdr:col>
      <xdr:colOff>19050</xdr:colOff>
      <xdr:row>35</xdr:row>
      <xdr:rowOff>9525</xdr:rowOff>
    </xdr:to>
    <xdr:sp macro="" textlink="">
      <xdr:nvSpPr>
        <xdr:cNvPr id="31" name="Line 74">
          <a:extLst>
            <a:ext uri="{FF2B5EF4-FFF2-40B4-BE49-F238E27FC236}">
              <a16:creationId xmlns:a16="http://schemas.microsoft.com/office/drawing/2014/main" id="{34D3C73F-86EA-4775-8656-51105BED5C86}"/>
            </a:ext>
          </a:extLst>
        </xdr:cNvPr>
        <xdr:cNvSpPr>
          <a:spLocks noChangeShapeType="1"/>
        </xdr:cNvSpPr>
      </xdr:nvSpPr>
      <xdr:spPr bwMode="auto">
        <a:xfrm flipV="1">
          <a:off x="3342736" y="1628835"/>
          <a:ext cx="1360937" cy="1346020"/>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8</xdr:col>
      <xdr:colOff>330200</xdr:colOff>
      <xdr:row>30</xdr:row>
      <xdr:rowOff>0</xdr:rowOff>
    </xdr:from>
    <xdr:to>
      <xdr:col>8</xdr:col>
      <xdr:colOff>330200</xdr:colOff>
      <xdr:row>32</xdr:row>
      <xdr:rowOff>120650</xdr:rowOff>
    </xdr:to>
    <xdr:sp macro="" textlink="">
      <xdr:nvSpPr>
        <xdr:cNvPr id="32" name="Line 75">
          <a:extLst>
            <a:ext uri="{FF2B5EF4-FFF2-40B4-BE49-F238E27FC236}">
              <a16:creationId xmlns:a16="http://schemas.microsoft.com/office/drawing/2014/main" id="{EF763A90-F2E5-4153-89AF-C4ED7823A538}"/>
            </a:ext>
          </a:extLst>
        </xdr:cNvPr>
        <xdr:cNvSpPr>
          <a:spLocks noChangeShapeType="1"/>
        </xdr:cNvSpPr>
      </xdr:nvSpPr>
      <xdr:spPr bwMode="auto">
        <a:xfrm flipV="1">
          <a:off x="5685766" y="2066745"/>
          <a:ext cx="0" cy="480084"/>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3</xdr:col>
      <xdr:colOff>295274</xdr:colOff>
      <xdr:row>29</xdr:row>
      <xdr:rowOff>133350</xdr:rowOff>
    </xdr:from>
    <xdr:to>
      <xdr:col>3</xdr:col>
      <xdr:colOff>304799</xdr:colOff>
      <xdr:row>33</xdr:row>
      <xdr:rowOff>0</xdr:rowOff>
    </xdr:to>
    <xdr:sp macro="" textlink="">
      <xdr:nvSpPr>
        <xdr:cNvPr id="33" name="Line 76">
          <a:extLst>
            <a:ext uri="{FF2B5EF4-FFF2-40B4-BE49-F238E27FC236}">
              <a16:creationId xmlns:a16="http://schemas.microsoft.com/office/drawing/2014/main" id="{D839ADA9-1D88-475F-B973-6B7BFA9F1873}"/>
            </a:ext>
          </a:extLst>
        </xdr:cNvPr>
        <xdr:cNvSpPr>
          <a:spLocks noChangeShapeType="1"/>
        </xdr:cNvSpPr>
      </xdr:nvSpPr>
      <xdr:spPr bwMode="auto">
        <a:xfrm flipH="1">
          <a:off x="2296123" y="2020378"/>
          <a:ext cx="9525" cy="585518"/>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7</xdr:col>
      <xdr:colOff>342900</xdr:colOff>
      <xdr:row>27</xdr:row>
      <xdr:rowOff>117475</xdr:rowOff>
    </xdr:from>
    <xdr:to>
      <xdr:col>9</xdr:col>
      <xdr:colOff>323850</xdr:colOff>
      <xdr:row>29</xdr:row>
      <xdr:rowOff>22225</xdr:rowOff>
    </xdr:to>
    <xdr:sp macro="" textlink="">
      <xdr:nvSpPr>
        <xdr:cNvPr id="34" name="Text 34">
          <a:extLst>
            <a:ext uri="{FF2B5EF4-FFF2-40B4-BE49-F238E27FC236}">
              <a16:creationId xmlns:a16="http://schemas.microsoft.com/office/drawing/2014/main" id="{C612B195-A2B3-418A-B723-58E6C0CEF444}"/>
            </a:ext>
          </a:extLst>
        </xdr:cNvPr>
        <xdr:cNvSpPr txBox="1">
          <a:spLocks noChangeArrowheads="1"/>
        </xdr:cNvSpPr>
      </xdr:nvSpPr>
      <xdr:spPr bwMode="auto">
        <a:xfrm>
          <a:off x="5027523" y="1465352"/>
          <a:ext cx="1322836" cy="443901"/>
        </a:xfrm>
        <a:prstGeom prst="rect">
          <a:avLst/>
        </a:prstGeom>
        <a:solidFill>
          <a:srgbClr val="FFFFCC"/>
        </a:solidFill>
        <a:ln w="1">
          <a:noFill/>
          <a:miter lim="800000"/>
          <a:headEnd/>
          <a:tailEnd/>
        </a:ln>
      </xdr:spPr>
      <xdr:txBody>
        <a:bodyPr vertOverflow="clip" wrap="square" lIns="36576" tIns="22860" rIns="36576" bIns="0" anchor="t" upright="1"/>
        <a:lstStyle/>
        <a:p>
          <a:pPr algn="ctr" rtl="0">
            <a:defRPr sz="1000"/>
          </a:pPr>
          <a:r>
            <a:rPr lang="en-US" sz="1000" b="0" i="0" strike="noStrike">
              <a:solidFill>
                <a:srgbClr val="000080"/>
              </a:solidFill>
              <a:latin typeface="Arial Rounded MT Bold"/>
            </a:rPr>
            <a:t>Death</a:t>
          </a:r>
        </a:p>
      </xdr:txBody>
    </xdr:sp>
    <xdr:clientData/>
  </xdr:twoCellAnchor>
  <xdr:twoCellAnchor>
    <xdr:from>
      <xdr:col>0</xdr:col>
      <xdr:colOff>355600</xdr:colOff>
      <xdr:row>34</xdr:row>
      <xdr:rowOff>12700</xdr:rowOff>
    </xdr:from>
    <xdr:to>
      <xdr:col>1</xdr:col>
      <xdr:colOff>641350</xdr:colOff>
      <xdr:row>36</xdr:row>
      <xdr:rowOff>57150</xdr:rowOff>
    </xdr:to>
    <xdr:sp macro="" textlink="">
      <xdr:nvSpPr>
        <xdr:cNvPr id="35" name="Oval 78">
          <a:extLst>
            <a:ext uri="{FF2B5EF4-FFF2-40B4-BE49-F238E27FC236}">
              <a16:creationId xmlns:a16="http://schemas.microsoft.com/office/drawing/2014/main" id="{B9805027-B19E-49A0-81A5-7ED14418B2ED}"/>
            </a:ext>
          </a:extLst>
        </xdr:cNvPr>
        <xdr:cNvSpPr>
          <a:spLocks noChangeArrowheads="1"/>
        </xdr:cNvSpPr>
      </xdr:nvSpPr>
      <xdr:spPr bwMode="auto">
        <a:xfrm>
          <a:off x="355600" y="2798313"/>
          <a:ext cx="944712" cy="409875"/>
        </a:xfrm>
        <a:prstGeom prst="ellipse">
          <a:avLst/>
        </a:prstGeom>
        <a:noFill/>
        <a:ln w="24765">
          <a:solidFill>
            <a:srgbClr val="8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584200</xdr:colOff>
      <xdr:row>34</xdr:row>
      <xdr:rowOff>139700</xdr:rowOff>
    </xdr:from>
    <xdr:to>
      <xdr:col>1</xdr:col>
      <xdr:colOff>622300</xdr:colOff>
      <xdr:row>35</xdr:row>
      <xdr:rowOff>19050</xdr:rowOff>
    </xdr:to>
    <xdr:sp macro="" textlink="">
      <xdr:nvSpPr>
        <xdr:cNvPr id="36" name="Line 79">
          <a:extLst>
            <a:ext uri="{FF2B5EF4-FFF2-40B4-BE49-F238E27FC236}">
              <a16:creationId xmlns:a16="http://schemas.microsoft.com/office/drawing/2014/main" id="{8D17CEC8-638D-4A55-8D28-495A50601806}"/>
            </a:ext>
          </a:extLst>
        </xdr:cNvPr>
        <xdr:cNvSpPr>
          <a:spLocks noChangeShapeType="1"/>
        </xdr:cNvSpPr>
      </xdr:nvSpPr>
      <xdr:spPr bwMode="auto">
        <a:xfrm>
          <a:off x="1243162" y="2925313"/>
          <a:ext cx="38100" cy="59067"/>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xdr:col>
      <xdr:colOff>579120</xdr:colOff>
      <xdr:row>34</xdr:row>
      <xdr:rowOff>91860</xdr:rowOff>
    </xdr:from>
    <xdr:to>
      <xdr:col>3</xdr:col>
      <xdr:colOff>373380</xdr:colOff>
      <xdr:row>36</xdr:row>
      <xdr:rowOff>104774</xdr:rowOff>
    </xdr:to>
    <xdr:sp macro="" textlink="">
      <xdr:nvSpPr>
        <xdr:cNvPr id="37" name="Text 32">
          <a:extLst>
            <a:ext uri="{FF2B5EF4-FFF2-40B4-BE49-F238E27FC236}">
              <a16:creationId xmlns:a16="http://schemas.microsoft.com/office/drawing/2014/main" id="{9E838F4D-AE9E-48DA-BCA8-EFEB23BFE681}"/>
            </a:ext>
          </a:extLst>
        </xdr:cNvPr>
        <xdr:cNvSpPr txBox="1">
          <a:spLocks noChangeArrowheads="1"/>
        </xdr:cNvSpPr>
      </xdr:nvSpPr>
      <xdr:spPr bwMode="auto">
        <a:xfrm>
          <a:off x="1169670" y="7197510"/>
          <a:ext cx="994410" cy="374864"/>
        </a:xfrm>
        <a:prstGeom prst="rect">
          <a:avLst/>
        </a:prstGeom>
        <a:noFill/>
        <a:ln w="1">
          <a:noFill/>
          <a:miter lim="800000"/>
          <a:headEnd/>
          <a:tailEnd/>
        </a:ln>
      </xdr:spPr>
      <xdr:txBody>
        <a:bodyPr vertOverflow="clip" wrap="square" lIns="27432" tIns="22860" rIns="27432" bIns="0" anchor="t" upright="1"/>
        <a:lstStyle/>
        <a:p>
          <a:pPr algn="ctr" rtl="0">
            <a:defRPr sz="1000"/>
          </a:pPr>
          <a:r>
            <a:rPr lang="en-US" sz="1000" b="0" i="0" strike="noStrike">
              <a:solidFill>
                <a:srgbClr val="000080"/>
              </a:solidFill>
              <a:latin typeface="Arial Rounded MT Bold"/>
            </a:rPr>
            <a:t>Haemodialysis</a:t>
          </a:r>
        </a:p>
        <a:p>
          <a:pPr algn="ctr" rtl="0">
            <a:defRPr sz="1000"/>
          </a:pPr>
          <a:r>
            <a:rPr lang="en-US" sz="1000" b="0" i="0" strike="noStrike">
              <a:solidFill>
                <a:srgbClr val="000080"/>
              </a:solidFill>
              <a:latin typeface="Arial Rounded MT Bold"/>
            </a:rPr>
            <a:t>(HD)</a:t>
          </a:r>
        </a:p>
      </xdr:txBody>
    </xdr:sp>
    <xdr:clientData/>
  </xdr:twoCellAnchor>
  <xdr:twoCellAnchor>
    <xdr:from>
      <xdr:col>7</xdr:col>
      <xdr:colOff>0</xdr:colOff>
      <xdr:row>32</xdr:row>
      <xdr:rowOff>139700</xdr:rowOff>
    </xdr:from>
    <xdr:to>
      <xdr:col>10</xdr:col>
      <xdr:colOff>50800</xdr:colOff>
      <xdr:row>37</xdr:row>
      <xdr:rowOff>82550</xdr:rowOff>
    </xdr:to>
    <xdr:sp macro="" textlink="">
      <xdr:nvSpPr>
        <xdr:cNvPr id="38" name="Oval 81">
          <a:extLst>
            <a:ext uri="{FF2B5EF4-FFF2-40B4-BE49-F238E27FC236}">
              <a16:creationId xmlns:a16="http://schemas.microsoft.com/office/drawing/2014/main" id="{077EAE7A-238A-4587-95E4-513556C4F59A}"/>
            </a:ext>
          </a:extLst>
        </xdr:cNvPr>
        <xdr:cNvSpPr>
          <a:spLocks noChangeArrowheads="1"/>
        </xdr:cNvSpPr>
      </xdr:nvSpPr>
      <xdr:spPr bwMode="auto">
        <a:xfrm>
          <a:off x="4684623" y="2565879"/>
          <a:ext cx="2063630" cy="847426"/>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10</xdr:col>
      <xdr:colOff>57150</xdr:colOff>
      <xdr:row>34</xdr:row>
      <xdr:rowOff>19050</xdr:rowOff>
    </xdr:from>
    <xdr:to>
      <xdr:col>11</xdr:col>
      <xdr:colOff>19050</xdr:colOff>
      <xdr:row>35</xdr:row>
      <xdr:rowOff>114300</xdr:rowOff>
    </xdr:to>
    <xdr:sp macro="" textlink="">
      <xdr:nvSpPr>
        <xdr:cNvPr id="39" name="Oval 82">
          <a:extLst>
            <a:ext uri="{FF2B5EF4-FFF2-40B4-BE49-F238E27FC236}">
              <a16:creationId xmlns:a16="http://schemas.microsoft.com/office/drawing/2014/main" id="{8CC42895-CEA7-438C-A124-227101E43396}"/>
            </a:ext>
          </a:extLst>
        </xdr:cNvPr>
        <xdr:cNvSpPr>
          <a:spLocks noChangeArrowheads="1"/>
        </xdr:cNvSpPr>
      </xdr:nvSpPr>
      <xdr:spPr bwMode="auto">
        <a:xfrm rot="-10585420">
          <a:off x="6754603" y="2804663"/>
          <a:ext cx="632843" cy="274967"/>
        </a:xfrm>
        <a:prstGeom prst="ellipse">
          <a:avLst/>
        </a:prstGeom>
        <a:noFill/>
        <a:ln w="24765">
          <a:solidFill>
            <a:srgbClr val="8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101600</xdr:colOff>
      <xdr:row>34</xdr:row>
      <xdr:rowOff>6350</xdr:rowOff>
    </xdr:from>
    <xdr:to>
      <xdr:col>10</xdr:col>
      <xdr:colOff>101600</xdr:colOff>
      <xdr:row>34</xdr:row>
      <xdr:rowOff>146050</xdr:rowOff>
    </xdr:to>
    <xdr:sp macro="" textlink="">
      <xdr:nvSpPr>
        <xdr:cNvPr id="40" name="Line 83">
          <a:extLst>
            <a:ext uri="{FF2B5EF4-FFF2-40B4-BE49-F238E27FC236}">
              <a16:creationId xmlns:a16="http://schemas.microsoft.com/office/drawing/2014/main" id="{40356350-DF31-4EB3-BBC9-C6C94345BE7E}"/>
            </a:ext>
          </a:extLst>
        </xdr:cNvPr>
        <xdr:cNvSpPr>
          <a:spLocks noChangeShapeType="1"/>
        </xdr:cNvSpPr>
      </xdr:nvSpPr>
      <xdr:spPr bwMode="auto">
        <a:xfrm rot="13500000" flipV="1">
          <a:off x="6799053" y="2791963"/>
          <a:ext cx="0" cy="139700"/>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8</xdr:col>
      <xdr:colOff>336550</xdr:colOff>
      <xdr:row>33</xdr:row>
      <xdr:rowOff>174625</xdr:rowOff>
    </xdr:from>
    <xdr:to>
      <xdr:col>9</xdr:col>
      <xdr:colOff>581025</xdr:colOff>
      <xdr:row>36</xdr:row>
      <xdr:rowOff>140970</xdr:rowOff>
    </xdr:to>
    <xdr:sp macro="" textlink="">
      <xdr:nvSpPr>
        <xdr:cNvPr id="41" name="Text 32">
          <a:extLst>
            <a:ext uri="{FF2B5EF4-FFF2-40B4-BE49-F238E27FC236}">
              <a16:creationId xmlns:a16="http://schemas.microsoft.com/office/drawing/2014/main" id="{E3D2826A-A6EB-49BC-8188-43F8D919CB0A}"/>
            </a:ext>
          </a:extLst>
        </xdr:cNvPr>
        <xdr:cNvSpPr txBox="1">
          <a:spLocks noChangeArrowheads="1"/>
        </xdr:cNvSpPr>
      </xdr:nvSpPr>
      <xdr:spPr bwMode="auto">
        <a:xfrm>
          <a:off x="5127625" y="7099300"/>
          <a:ext cx="844550" cy="509270"/>
        </a:xfrm>
        <a:prstGeom prst="rect">
          <a:avLst/>
        </a:prstGeom>
        <a:noFill/>
        <a:ln w="1">
          <a:noFill/>
          <a:miter lim="800000"/>
          <a:headEnd/>
          <a:tailEnd/>
        </a:ln>
      </xdr:spPr>
      <xdr:txBody>
        <a:bodyPr vertOverflow="clip" wrap="square" lIns="27432" tIns="18288" rIns="27432" bIns="0" anchor="t" upright="1"/>
        <a:lstStyle/>
        <a:p>
          <a:pPr algn="ctr" rtl="0">
            <a:defRPr sz="1000"/>
          </a:pPr>
          <a:r>
            <a:rPr lang="en-US" sz="1000" b="0" i="0" strike="noStrike">
              <a:solidFill>
                <a:srgbClr val="000080"/>
              </a:solidFill>
              <a:latin typeface="Arial Rounded MT Bold"/>
            </a:rPr>
            <a:t>Peritoneal dialysis (CAPD)</a:t>
          </a:r>
        </a:p>
      </xdr:txBody>
    </xdr:sp>
    <xdr:clientData/>
  </xdr:twoCellAnchor>
  <xdr:twoCellAnchor>
    <xdr:from>
      <xdr:col>2</xdr:col>
      <xdr:colOff>298450</xdr:colOff>
      <xdr:row>27</xdr:row>
      <xdr:rowOff>98425</xdr:rowOff>
    </xdr:from>
    <xdr:to>
      <xdr:col>4</xdr:col>
      <xdr:colOff>279400</xdr:colOff>
      <xdr:row>29</xdr:row>
      <xdr:rowOff>3175</xdr:rowOff>
    </xdr:to>
    <xdr:sp macro="" textlink="">
      <xdr:nvSpPr>
        <xdr:cNvPr id="42" name="Text 34">
          <a:extLst>
            <a:ext uri="{FF2B5EF4-FFF2-40B4-BE49-F238E27FC236}">
              <a16:creationId xmlns:a16="http://schemas.microsoft.com/office/drawing/2014/main" id="{39CAFEFF-10C7-4668-A5FF-FCC384201446}"/>
            </a:ext>
          </a:extLst>
        </xdr:cNvPr>
        <xdr:cNvSpPr txBox="1">
          <a:spLocks noChangeArrowheads="1"/>
        </xdr:cNvSpPr>
      </xdr:nvSpPr>
      <xdr:spPr bwMode="auto">
        <a:xfrm>
          <a:off x="1628356" y="1446302"/>
          <a:ext cx="1322836" cy="443901"/>
        </a:xfrm>
        <a:prstGeom prst="rect">
          <a:avLst/>
        </a:prstGeom>
        <a:solidFill>
          <a:srgbClr val="FFFFCC"/>
        </a:solidFill>
        <a:ln w="1">
          <a:noFill/>
          <a:miter lim="800000"/>
          <a:headEnd/>
          <a:tailEnd/>
        </a:ln>
      </xdr:spPr>
      <xdr:txBody>
        <a:bodyPr vertOverflow="clip" wrap="square" lIns="36576" tIns="22860" rIns="36576" bIns="0" anchor="t" upright="1"/>
        <a:lstStyle/>
        <a:p>
          <a:pPr algn="ctr" rtl="0">
            <a:defRPr sz="1000"/>
          </a:pPr>
          <a:r>
            <a:rPr lang="en-US" sz="1000" b="0" i="0" strike="noStrike">
              <a:solidFill>
                <a:srgbClr val="000080"/>
              </a:solidFill>
              <a:latin typeface="Arial Rounded MT Bold"/>
            </a:rPr>
            <a:t>ESRD patients</a:t>
          </a:r>
        </a:p>
      </xdr:txBody>
    </xdr:sp>
    <xdr:clientData/>
  </xdr:twoCellAnchor>
  <xdr:twoCellAnchor>
    <xdr:from>
      <xdr:col>4</xdr:col>
      <xdr:colOff>628650</xdr:colOff>
      <xdr:row>35</xdr:row>
      <xdr:rowOff>63500</xdr:rowOff>
    </xdr:from>
    <xdr:to>
      <xdr:col>6</xdr:col>
      <xdr:colOff>596900</xdr:colOff>
      <xdr:row>35</xdr:row>
      <xdr:rowOff>63500</xdr:rowOff>
    </xdr:to>
    <xdr:sp macro="" textlink="">
      <xdr:nvSpPr>
        <xdr:cNvPr id="43" name="Line 105">
          <a:extLst>
            <a:ext uri="{FF2B5EF4-FFF2-40B4-BE49-F238E27FC236}">
              <a16:creationId xmlns:a16="http://schemas.microsoft.com/office/drawing/2014/main" id="{9FE5D9EA-738B-4E5D-BCFC-5806D417B7F2}"/>
            </a:ext>
          </a:extLst>
        </xdr:cNvPr>
        <xdr:cNvSpPr>
          <a:spLocks noChangeShapeType="1"/>
        </xdr:cNvSpPr>
      </xdr:nvSpPr>
      <xdr:spPr bwMode="auto">
        <a:xfrm>
          <a:off x="3300442" y="3028830"/>
          <a:ext cx="1310137" cy="0"/>
        </a:xfrm>
        <a:prstGeom prst="line">
          <a:avLst/>
        </a:prstGeom>
        <a:noFill/>
        <a:ln w="28575">
          <a:solidFill>
            <a:srgbClr val="808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311150</xdr:colOff>
      <xdr:row>33</xdr:row>
      <xdr:rowOff>101600</xdr:rowOff>
    </xdr:from>
    <xdr:to>
      <xdr:col>5</xdr:col>
      <xdr:colOff>0</xdr:colOff>
      <xdr:row>37</xdr:row>
      <xdr:rowOff>0</xdr:rowOff>
    </xdr:to>
    <xdr:sp macro="" textlink="">
      <xdr:nvSpPr>
        <xdr:cNvPr id="44" name="Oval 106">
          <a:extLst>
            <a:ext uri="{FF2B5EF4-FFF2-40B4-BE49-F238E27FC236}">
              <a16:creationId xmlns:a16="http://schemas.microsoft.com/office/drawing/2014/main" id="{9AC30952-B04A-44BA-AD8F-28D7D49BD23E}"/>
            </a:ext>
          </a:extLst>
        </xdr:cNvPr>
        <xdr:cNvSpPr>
          <a:spLocks noChangeArrowheads="1"/>
        </xdr:cNvSpPr>
      </xdr:nvSpPr>
      <xdr:spPr bwMode="auto">
        <a:xfrm>
          <a:off x="2311999" y="2707496"/>
          <a:ext cx="1030737" cy="623259"/>
        </a:xfrm>
        <a:prstGeom prst="ellipse">
          <a:avLst/>
        </a:prstGeom>
        <a:pattFill prst="pct25">
          <a:fgClr>
            <a:srgbClr val="FFFFCC"/>
          </a:fgClr>
          <a:bgClr>
            <a:srgbClr val="FFFFCC"/>
          </a:bgClr>
        </a:pattFill>
        <a:ln w="24765">
          <a:solidFill>
            <a:srgbClr val="808000"/>
          </a:solidFill>
          <a:prstDash val="sysDot"/>
          <a:round/>
          <a:headEnd/>
          <a:tailEnd/>
        </a:ln>
      </xdr:spPr>
    </xdr:sp>
    <xdr:clientData/>
  </xdr:twoCellAnchor>
  <xdr:twoCellAnchor>
    <xdr:from>
      <xdr:col>3</xdr:col>
      <xdr:colOff>323215</xdr:colOff>
      <xdr:row>34</xdr:row>
      <xdr:rowOff>140335</xdr:rowOff>
    </xdr:from>
    <xdr:to>
      <xdr:col>4</xdr:col>
      <xdr:colOff>586740</xdr:colOff>
      <xdr:row>35</xdr:row>
      <xdr:rowOff>150495</xdr:rowOff>
    </xdr:to>
    <xdr:sp macro="" textlink="">
      <xdr:nvSpPr>
        <xdr:cNvPr id="45" name="Text 32">
          <a:extLst>
            <a:ext uri="{FF2B5EF4-FFF2-40B4-BE49-F238E27FC236}">
              <a16:creationId xmlns:a16="http://schemas.microsoft.com/office/drawing/2014/main" id="{F1101D1C-8706-4C23-B19A-506A712949F4}"/>
            </a:ext>
          </a:extLst>
        </xdr:cNvPr>
        <xdr:cNvSpPr txBox="1">
          <a:spLocks noChangeArrowheads="1"/>
        </xdr:cNvSpPr>
      </xdr:nvSpPr>
      <xdr:spPr bwMode="auto">
        <a:xfrm>
          <a:off x="2113915" y="7245985"/>
          <a:ext cx="863600" cy="191135"/>
        </a:xfrm>
        <a:prstGeom prst="rect">
          <a:avLst/>
        </a:prstGeom>
        <a:noFill/>
        <a:ln w="1">
          <a:noFill/>
          <a:miter lim="800000"/>
          <a:headEnd/>
          <a:tailEnd/>
        </a:ln>
      </xdr:spPr>
      <xdr:txBody>
        <a:bodyPr vertOverflow="clip" wrap="square" lIns="27432" tIns="18288" rIns="27432" bIns="0" anchor="t" upright="1"/>
        <a:lstStyle/>
        <a:p>
          <a:pPr algn="ctr" rtl="0">
            <a:defRPr sz="1000"/>
          </a:pPr>
          <a:r>
            <a:rPr lang="en-US" sz="900" b="0" i="0" strike="noStrike">
              <a:solidFill>
                <a:srgbClr val="000080"/>
              </a:solidFill>
              <a:latin typeface="Arial Rounded MT Bold"/>
            </a:rPr>
            <a:t>complications</a:t>
          </a:r>
        </a:p>
      </xdr:txBody>
    </xdr:sp>
    <xdr:clientData/>
  </xdr:twoCellAnchor>
  <xdr:twoCellAnchor>
    <xdr:from>
      <xdr:col>7</xdr:col>
      <xdr:colOff>0</xdr:colOff>
      <xdr:row>33</xdr:row>
      <xdr:rowOff>114300</xdr:rowOff>
    </xdr:from>
    <xdr:to>
      <xdr:col>8</xdr:col>
      <xdr:colOff>279400</xdr:colOff>
      <xdr:row>36</xdr:row>
      <xdr:rowOff>82550</xdr:rowOff>
    </xdr:to>
    <xdr:sp macro="" textlink="">
      <xdr:nvSpPr>
        <xdr:cNvPr id="46" name="Oval 108">
          <a:extLst>
            <a:ext uri="{FF2B5EF4-FFF2-40B4-BE49-F238E27FC236}">
              <a16:creationId xmlns:a16="http://schemas.microsoft.com/office/drawing/2014/main" id="{F37AC87C-C408-4E0E-B0C3-1973FFB7EA9E}"/>
            </a:ext>
          </a:extLst>
        </xdr:cNvPr>
        <xdr:cNvSpPr>
          <a:spLocks noChangeArrowheads="1"/>
        </xdr:cNvSpPr>
      </xdr:nvSpPr>
      <xdr:spPr bwMode="auto">
        <a:xfrm>
          <a:off x="4684623" y="2720196"/>
          <a:ext cx="950343" cy="513392"/>
        </a:xfrm>
        <a:prstGeom prst="ellipse">
          <a:avLst/>
        </a:prstGeom>
        <a:pattFill prst="pct25">
          <a:fgClr>
            <a:srgbClr val="FFFFCC"/>
          </a:fgClr>
          <a:bgClr>
            <a:srgbClr val="FFFFCC"/>
          </a:bgClr>
        </a:pattFill>
        <a:ln w="24765">
          <a:solidFill>
            <a:srgbClr val="808000"/>
          </a:solidFill>
          <a:prstDash val="sysDot"/>
          <a:round/>
          <a:headEnd/>
          <a:tailEnd/>
        </a:ln>
      </xdr:spPr>
    </xdr:sp>
    <xdr:clientData/>
  </xdr:twoCellAnchor>
  <xdr:twoCellAnchor>
    <xdr:from>
      <xdr:col>6</xdr:col>
      <xdr:colOff>598170</xdr:colOff>
      <xdr:row>34</xdr:row>
      <xdr:rowOff>107950</xdr:rowOff>
    </xdr:from>
    <xdr:to>
      <xdr:col>8</xdr:col>
      <xdr:colOff>256589</xdr:colOff>
      <xdr:row>35</xdr:row>
      <xdr:rowOff>85725</xdr:rowOff>
    </xdr:to>
    <xdr:sp macro="" textlink="">
      <xdr:nvSpPr>
        <xdr:cNvPr id="47" name="Text 32">
          <a:extLst>
            <a:ext uri="{FF2B5EF4-FFF2-40B4-BE49-F238E27FC236}">
              <a16:creationId xmlns:a16="http://schemas.microsoft.com/office/drawing/2014/main" id="{567FAA87-B6FF-4E0F-BA45-902D71415060}"/>
            </a:ext>
          </a:extLst>
        </xdr:cNvPr>
        <xdr:cNvSpPr txBox="1">
          <a:spLocks noChangeArrowheads="1"/>
        </xdr:cNvSpPr>
      </xdr:nvSpPr>
      <xdr:spPr bwMode="auto">
        <a:xfrm>
          <a:off x="4189095" y="7213600"/>
          <a:ext cx="858569" cy="158750"/>
        </a:xfrm>
        <a:prstGeom prst="rect">
          <a:avLst/>
        </a:prstGeom>
        <a:noFill/>
        <a:ln w="1">
          <a:noFill/>
          <a:miter lim="800000"/>
          <a:headEnd/>
          <a:tailEnd/>
        </a:ln>
      </xdr:spPr>
      <xdr:txBody>
        <a:bodyPr vertOverflow="clip" wrap="square" lIns="27432" tIns="18288" rIns="27432" bIns="0" anchor="t" upright="1"/>
        <a:lstStyle/>
        <a:p>
          <a:pPr algn="ctr" rtl="0">
            <a:defRPr sz="1000"/>
          </a:pPr>
          <a:r>
            <a:rPr lang="en-US" sz="900" b="0" i="0" strike="noStrike">
              <a:solidFill>
                <a:srgbClr val="000080"/>
              </a:solidFill>
              <a:latin typeface="Arial Rounded MT Bold"/>
            </a:rPr>
            <a:t>complications</a:t>
          </a:r>
        </a:p>
      </xdr:txBody>
    </xdr:sp>
    <xdr:clientData/>
  </xdr:twoCellAnchor>
  <xdr:twoCellAnchor>
    <xdr:from>
      <xdr:col>3</xdr:col>
      <xdr:colOff>203200</xdr:colOff>
      <xdr:row>35</xdr:row>
      <xdr:rowOff>139700</xdr:rowOff>
    </xdr:from>
    <xdr:to>
      <xdr:col>3</xdr:col>
      <xdr:colOff>495300</xdr:colOff>
      <xdr:row>35</xdr:row>
      <xdr:rowOff>146050</xdr:rowOff>
    </xdr:to>
    <xdr:sp macro="" textlink="">
      <xdr:nvSpPr>
        <xdr:cNvPr id="48" name="Line 110">
          <a:extLst>
            <a:ext uri="{FF2B5EF4-FFF2-40B4-BE49-F238E27FC236}">
              <a16:creationId xmlns:a16="http://schemas.microsoft.com/office/drawing/2014/main" id="{8B8F76D6-79FC-4877-BC8D-5DEB8BD03946}"/>
            </a:ext>
          </a:extLst>
        </xdr:cNvPr>
        <xdr:cNvSpPr>
          <a:spLocks noChangeShapeType="1"/>
        </xdr:cNvSpPr>
      </xdr:nvSpPr>
      <xdr:spPr bwMode="auto">
        <a:xfrm flipV="1">
          <a:off x="2204049" y="3105030"/>
          <a:ext cx="292100" cy="6350"/>
        </a:xfrm>
        <a:prstGeom prst="line">
          <a:avLst/>
        </a:prstGeom>
        <a:noFill/>
        <a:ln w="28575">
          <a:solidFill>
            <a:srgbClr val="808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69850</xdr:colOff>
      <xdr:row>35</xdr:row>
      <xdr:rowOff>114300</xdr:rowOff>
    </xdr:from>
    <xdr:to>
      <xdr:col>8</xdr:col>
      <xdr:colOff>368300</xdr:colOff>
      <xdr:row>35</xdr:row>
      <xdr:rowOff>120650</xdr:rowOff>
    </xdr:to>
    <xdr:sp macro="" textlink="">
      <xdr:nvSpPr>
        <xdr:cNvPr id="49" name="Line 111">
          <a:extLst>
            <a:ext uri="{FF2B5EF4-FFF2-40B4-BE49-F238E27FC236}">
              <a16:creationId xmlns:a16="http://schemas.microsoft.com/office/drawing/2014/main" id="{E1190D58-DA5E-4280-8F00-3986C72AC51E}"/>
            </a:ext>
          </a:extLst>
        </xdr:cNvPr>
        <xdr:cNvSpPr>
          <a:spLocks noChangeShapeType="1"/>
        </xdr:cNvSpPr>
      </xdr:nvSpPr>
      <xdr:spPr bwMode="auto">
        <a:xfrm flipV="1">
          <a:off x="5425416" y="3079630"/>
          <a:ext cx="298450" cy="6350"/>
        </a:xfrm>
        <a:prstGeom prst="line">
          <a:avLst/>
        </a:prstGeom>
        <a:noFill/>
        <a:ln w="28575">
          <a:solidFill>
            <a:srgbClr val="808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12700</xdr:colOff>
      <xdr:row>44</xdr:row>
      <xdr:rowOff>82550</xdr:rowOff>
    </xdr:from>
    <xdr:to>
      <xdr:col>10</xdr:col>
      <xdr:colOff>12700</xdr:colOff>
      <xdr:row>48</xdr:row>
      <xdr:rowOff>0</xdr:rowOff>
    </xdr:to>
    <xdr:sp macro="" textlink="">
      <xdr:nvSpPr>
        <xdr:cNvPr id="51" name="Oval 72">
          <a:extLst>
            <a:ext uri="{FF2B5EF4-FFF2-40B4-BE49-F238E27FC236}">
              <a16:creationId xmlns:a16="http://schemas.microsoft.com/office/drawing/2014/main" id="{E8985A74-5148-465C-A0C9-804C70449027}"/>
            </a:ext>
          </a:extLst>
        </xdr:cNvPr>
        <xdr:cNvSpPr>
          <a:spLocks noChangeArrowheads="1"/>
        </xdr:cNvSpPr>
      </xdr:nvSpPr>
      <xdr:spPr bwMode="auto">
        <a:xfrm>
          <a:off x="4697323" y="4671324"/>
          <a:ext cx="2012830" cy="642308"/>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2</xdr:col>
      <xdr:colOff>0</xdr:colOff>
      <xdr:row>51</xdr:row>
      <xdr:rowOff>6350</xdr:rowOff>
    </xdr:from>
    <xdr:to>
      <xdr:col>5</xdr:col>
      <xdr:colOff>0</xdr:colOff>
      <xdr:row>55</xdr:row>
      <xdr:rowOff>101600</xdr:rowOff>
    </xdr:to>
    <xdr:sp macro="" textlink="">
      <xdr:nvSpPr>
        <xdr:cNvPr id="52" name="Oval 73">
          <a:extLst>
            <a:ext uri="{FF2B5EF4-FFF2-40B4-BE49-F238E27FC236}">
              <a16:creationId xmlns:a16="http://schemas.microsoft.com/office/drawing/2014/main" id="{3762E554-46AC-4749-849C-BE2FAC52CFC2}"/>
            </a:ext>
          </a:extLst>
        </xdr:cNvPr>
        <xdr:cNvSpPr>
          <a:spLocks noChangeArrowheads="1"/>
        </xdr:cNvSpPr>
      </xdr:nvSpPr>
      <xdr:spPr bwMode="auto">
        <a:xfrm>
          <a:off x="1329906" y="5859133"/>
          <a:ext cx="2012830" cy="814118"/>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5</xdr:col>
      <xdr:colOff>0</xdr:colOff>
      <xdr:row>46</xdr:row>
      <xdr:rowOff>95250</xdr:rowOff>
    </xdr:from>
    <xdr:to>
      <xdr:col>7</xdr:col>
      <xdr:colOff>19050</xdr:colOff>
      <xdr:row>53</xdr:row>
      <xdr:rowOff>9525</xdr:rowOff>
    </xdr:to>
    <xdr:sp macro="" textlink="">
      <xdr:nvSpPr>
        <xdr:cNvPr id="53" name="Line 74">
          <a:extLst>
            <a:ext uri="{FF2B5EF4-FFF2-40B4-BE49-F238E27FC236}">
              <a16:creationId xmlns:a16="http://schemas.microsoft.com/office/drawing/2014/main" id="{728AE6AA-A04C-4BF5-B9DB-0FF988A13CFF}"/>
            </a:ext>
          </a:extLst>
        </xdr:cNvPr>
        <xdr:cNvSpPr>
          <a:spLocks noChangeShapeType="1"/>
        </xdr:cNvSpPr>
      </xdr:nvSpPr>
      <xdr:spPr bwMode="auto">
        <a:xfrm flipV="1">
          <a:off x="3342736" y="5043458"/>
          <a:ext cx="1360937" cy="1178284"/>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8</xdr:col>
      <xdr:colOff>330200</xdr:colOff>
      <xdr:row>48</xdr:row>
      <xdr:rowOff>0</xdr:rowOff>
    </xdr:from>
    <xdr:to>
      <xdr:col>8</xdr:col>
      <xdr:colOff>330200</xdr:colOff>
      <xdr:row>50</xdr:row>
      <xdr:rowOff>120650</xdr:rowOff>
    </xdr:to>
    <xdr:sp macro="" textlink="">
      <xdr:nvSpPr>
        <xdr:cNvPr id="54" name="Line 75">
          <a:extLst>
            <a:ext uri="{FF2B5EF4-FFF2-40B4-BE49-F238E27FC236}">
              <a16:creationId xmlns:a16="http://schemas.microsoft.com/office/drawing/2014/main" id="{EB130E21-3D9C-4F3A-AE84-494C7D7F7ADF}"/>
            </a:ext>
          </a:extLst>
        </xdr:cNvPr>
        <xdr:cNvSpPr>
          <a:spLocks noChangeShapeType="1"/>
        </xdr:cNvSpPr>
      </xdr:nvSpPr>
      <xdr:spPr bwMode="auto">
        <a:xfrm flipV="1">
          <a:off x="5685766" y="5313632"/>
          <a:ext cx="0" cy="480084"/>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3</xdr:col>
      <xdr:colOff>295274</xdr:colOff>
      <xdr:row>47</xdr:row>
      <xdr:rowOff>133350</xdr:rowOff>
    </xdr:from>
    <xdr:to>
      <xdr:col>3</xdr:col>
      <xdr:colOff>304799</xdr:colOff>
      <xdr:row>51</xdr:row>
      <xdr:rowOff>0</xdr:rowOff>
    </xdr:to>
    <xdr:sp macro="" textlink="">
      <xdr:nvSpPr>
        <xdr:cNvPr id="55" name="Line 76">
          <a:extLst>
            <a:ext uri="{FF2B5EF4-FFF2-40B4-BE49-F238E27FC236}">
              <a16:creationId xmlns:a16="http://schemas.microsoft.com/office/drawing/2014/main" id="{07CC4C2A-ED08-439D-9161-F0CED0B2C328}"/>
            </a:ext>
          </a:extLst>
        </xdr:cNvPr>
        <xdr:cNvSpPr>
          <a:spLocks noChangeShapeType="1"/>
        </xdr:cNvSpPr>
      </xdr:nvSpPr>
      <xdr:spPr bwMode="auto">
        <a:xfrm flipH="1">
          <a:off x="2296123" y="5261275"/>
          <a:ext cx="9525" cy="591508"/>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7</xdr:col>
      <xdr:colOff>342900</xdr:colOff>
      <xdr:row>45</xdr:row>
      <xdr:rowOff>117475</xdr:rowOff>
    </xdr:from>
    <xdr:to>
      <xdr:col>9</xdr:col>
      <xdr:colOff>323850</xdr:colOff>
      <xdr:row>47</xdr:row>
      <xdr:rowOff>22225</xdr:rowOff>
    </xdr:to>
    <xdr:sp macro="" textlink="">
      <xdr:nvSpPr>
        <xdr:cNvPr id="56" name="Text 34">
          <a:extLst>
            <a:ext uri="{FF2B5EF4-FFF2-40B4-BE49-F238E27FC236}">
              <a16:creationId xmlns:a16="http://schemas.microsoft.com/office/drawing/2014/main" id="{583B456E-6091-4AFB-A531-C555FECA9E42}"/>
            </a:ext>
          </a:extLst>
        </xdr:cNvPr>
        <xdr:cNvSpPr txBox="1">
          <a:spLocks noChangeArrowheads="1"/>
        </xdr:cNvSpPr>
      </xdr:nvSpPr>
      <xdr:spPr bwMode="auto">
        <a:xfrm>
          <a:off x="5027523" y="4885966"/>
          <a:ext cx="1322836" cy="264184"/>
        </a:xfrm>
        <a:prstGeom prst="rect">
          <a:avLst/>
        </a:prstGeom>
        <a:solidFill>
          <a:srgbClr val="FFFFCC"/>
        </a:solidFill>
        <a:ln w="1">
          <a:noFill/>
          <a:miter lim="800000"/>
          <a:headEnd/>
          <a:tailEnd/>
        </a:ln>
      </xdr:spPr>
      <xdr:txBody>
        <a:bodyPr vertOverflow="clip" wrap="square" lIns="36576" tIns="22860" rIns="36576" bIns="0" anchor="t" upright="1"/>
        <a:lstStyle/>
        <a:p>
          <a:pPr algn="ctr" rtl="0">
            <a:defRPr sz="1000"/>
          </a:pPr>
          <a:r>
            <a:rPr lang="en-US" sz="1000" b="0" i="0" strike="noStrike">
              <a:solidFill>
                <a:srgbClr val="000080"/>
              </a:solidFill>
              <a:latin typeface="Arial Rounded MT Bold"/>
            </a:rPr>
            <a:t>Death</a:t>
          </a:r>
        </a:p>
      </xdr:txBody>
    </xdr:sp>
    <xdr:clientData/>
  </xdr:twoCellAnchor>
  <xdr:twoCellAnchor>
    <xdr:from>
      <xdr:col>0</xdr:col>
      <xdr:colOff>355600</xdr:colOff>
      <xdr:row>52</xdr:row>
      <xdr:rowOff>12700</xdr:rowOff>
    </xdr:from>
    <xdr:to>
      <xdr:col>1</xdr:col>
      <xdr:colOff>641350</xdr:colOff>
      <xdr:row>54</xdr:row>
      <xdr:rowOff>57150</xdr:rowOff>
    </xdr:to>
    <xdr:sp macro="" textlink="">
      <xdr:nvSpPr>
        <xdr:cNvPr id="57" name="Oval 78">
          <a:extLst>
            <a:ext uri="{FF2B5EF4-FFF2-40B4-BE49-F238E27FC236}">
              <a16:creationId xmlns:a16="http://schemas.microsoft.com/office/drawing/2014/main" id="{DC9ADEEC-59D2-4012-8304-70F1A91ACE61}"/>
            </a:ext>
          </a:extLst>
        </xdr:cNvPr>
        <xdr:cNvSpPr>
          <a:spLocks noChangeArrowheads="1"/>
        </xdr:cNvSpPr>
      </xdr:nvSpPr>
      <xdr:spPr bwMode="auto">
        <a:xfrm>
          <a:off x="355600" y="6045200"/>
          <a:ext cx="944712" cy="403884"/>
        </a:xfrm>
        <a:prstGeom prst="ellipse">
          <a:avLst/>
        </a:prstGeom>
        <a:noFill/>
        <a:ln w="24765">
          <a:solidFill>
            <a:srgbClr val="8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584200</xdr:colOff>
      <xdr:row>52</xdr:row>
      <xdr:rowOff>139700</xdr:rowOff>
    </xdr:from>
    <xdr:to>
      <xdr:col>1</xdr:col>
      <xdr:colOff>622300</xdr:colOff>
      <xdr:row>53</xdr:row>
      <xdr:rowOff>19050</xdr:rowOff>
    </xdr:to>
    <xdr:sp macro="" textlink="">
      <xdr:nvSpPr>
        <xdr:cNvPr id="58" name="Line 79">
          <a:extLst>
            <a:ext uri="{FF2B5EF4-FFF2-40B4-BE49-F238E27FC236}">
              <a16:creationId xmlns:a16="http://schemas.microsoft.com/office/drawing/2014/main" id="{A214C2E9-B563-427C-AE5B-9D6C31ADFAA6}"/>
            </a:ext>
          </a:extLst>
        </xdr:cNvPr>
        <xdr:cNvSpPr>
          <a:spLocks noChangeShapeType="1"/>
        </xdr:cNvSpPr>
      </xdr:nvSpPr>
      <xdr:spPr bwMode="auto">
        <a:xfrm>
          <a:off x="1243162" y="6172200"/>
          <a:ext cx="38100" cy="59067"/>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7</xdr:col>
      <xdr:colOff>0</xdr:colOff>
      <xdr:row>50</xdr:row>
      <xdr:rowOff>139700</xdr:rowOff>
    </xdr:from>
    <xdr:to>
      <xdr:col>10</xdr:col>
      <xdr:colOff>50800</xdr:colOff>
      <xdr:row>55</xdr:row>
      <xdr:rowOff>82550</xdr:rowOff>
    </xdr:to>
    <xdr:sp macro="" textlink="">
      <xdr:nvSpPr>
        <xdr:cNvPr id="60" name="Oval 81">
          <a:extLst>
            <a:ext uri="{FF2B5EF4-FFF2-40B4-BE49-F238E27FC236}">
              <a16:creationId xmlns:a16="http://schemas.microsoft.com/office/drawing/2014/main" id="{2BFE122F-9512-444C-B870-C85743CC0FA2}"/>
            </a:ext>
          </a:extLst>
        </xdr:cNvPr>
        <xdr:cNvSpPr>
          <a:spLocks noChangeArrowheads="1"/>
        </xdr:cNvSpPr>
      </xdr:nvSpPr>
      <xdr:spPr bwMode="auto">
        <a:xfrm>
          <a:off x="4684623" y="5812766"/>
          <a:ext cx="2063630" cy="841435"/>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10</xdr:col>
      <xdr:colOff>57150</xdr:colOff>
      <xdr:row>52</xdr:row>
      <xdr:rowOff>19050</xdr:rowOff>
    </xdr:from>
    <xdr:to>
      <xdr:col>11</xdr:col>
      <xdr:colOff>19050</xdr:colOff>
      <xdr:row>53</xdr:row>
      <xdr:rowOff>114300</xdr:rowOff>
    </xdr:to>
    <xdr:sp macro="" textlink="">
      <xdr:nvSpPr>
        <xdr:cNvPr id="61" name="Oval 82">
          <a:extLst>
            <a:ext uri="{FF2B5EF4-FFF2-40B4-BE49-F238E27FC236}">
              <a16:creationId xmlns:a16="http://schemas.microsoft.com/office/drawing/2014/main" id="{38F80306-1640-48B0-9554-E949A88EBB6B}"/>
            </a:ext>
          </a:extLst>
        </xdr:cNvPr>
        <xdr:cNvSpPr>
          <a:spLocks noChangeArrowheads="1"/>
        </xdr:cNvSpPr>
      </xdr:nvSpPr>
      <xdr:spPr bwMode="auto">
        <a:xfrm rot="-10585420">
          <a:off x="6754603" y="6051550"/>
          <a:ext cx="632843" cy="274967"/>
        </a:xfrm>
        <a:prstGeom prst="ellipse">
          <a:avLst/>
        </a:prstGeom>
        <a:noFill/>
        <a:ln w="24765">
          <a:solidFill>
            <a:srgbClr val="8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101600</xdr:colOff>
      <xdr:row>52</xdr:row>
      <xdr:rowOff>6350</xdr:rowOff>
    </xdr:from>
    <xdr:to>
      <xdr:col>10</xdr:col>
      <xdr:colOff>101600</xdr:colOff>
      <xdr:row>52</xdr:row>
      <xdr:rowOff>146050</xdr:rowOff>
    </xdr:to>
    <xdr:sp macro="" textlink="">
      <xdr:nvSpPr>
        <xdr:cNvPr id="62" name="Line 83">
          <a:extLst>
            <a:ext uri="{FF2B5EF4-FFF2-40B4-BE49-F238E27FC236}">
              <a16:creationId xmlns:a16="http://schemas.microsoft.com/office/drawing/2014/main" id="{0314966A-FE6F-4F3F-BABA-49088102321A}"/>
            </a:ext>
          </a:extLst>
        </xdr:cNvPr>
        <xdr:cNvSpPr>
          <a:spLocks noChangeShapeType="1"/>
        </xdr:cNvSpPr>
      </xdr:nvSpPr>
      <xdr:spPr bwMode="auto">
        <a:xfrm rot="13500000" flipV="1">
          <a:off x="6799053" y="6038850"/>
          <a:ext cx="0" cy="139700"/>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8</xdr:col>
      <xdr:colOff>245133</xdr:colOff>
      <xdr:row>52</xdr:row>
      <xdr:rowOff>48343</xdr:rowOff>
    </xdr:from>
    <xdr:to>
      <xdr:col>10</xdr:col>
      <xdr:colOff>70484</xdr:colOff>
      <xdr:row>54</xdr:row>
      <xdr:rowOff>43815</xdr:rowOff>
    </xdr:to>
    <xdr:sp macro="" textlink="">
      <xdr:nvSpPr>
        <xdr:cNvPr id="63" name="Text 32">
          <a:extLst>
            <a:ext uri="{FF2B5EF4-FFF2-40B4-BE49-F238E27FC236}">
              <a16:creationId xmlns:a16="http://schemas.microsoft.com/office/drawing/2014/main" id="{87F4809B-A89E-4324-BF9B-7C2687822C6C}"/>
            </a:ext>
          </a:extLst>
        </xdr:cNvPr>
        <xdr:cNvSpPr txBox="1">
          <a:spLocks noChangeArrowheads="1"/>
        </xdr:cNvSpPr>
      </xdr:nvSpPr>
      <xdr:spPr bwMode="auto">
        <a:xfrm>
          <a:off x="5036208" y="10411543"/>
          <a:ext cx="1025501" cy="357422"/>
        </a:xfrm>
        <a:prstGeom prst="rect">
          <a:avLst/>
        </a:prstGeom>
        <a:noFill/>
        <a:ln w="1">
          <a:noFill/>
          <a:miter lim="800000"/>
          <a:headEnd/>
          <a:tailEnd/>
        </a:ln>
      </xdr:spPr>
      <xdr:txBody>
        <a:bodyPr vertOverflow="clip" wrap="square" lIns="27432" tIns="18288" rIns="27432" bIns="0" anchor="t" upright="1"/>
        <a:lstStyle/>
        <a:p>
          <a:pPr algn="ctr" rtl="0">
            <a:defRPr sz="1000"/>
          </a:pPr>
          <a:r>
            <a:rPr lang="en-US" sz="1000" b="0" i="0" strike="noStrike">
              <a:solidFill>
                <a:srgbClr val="000080"/>
              </a:solidFill>
              <a:latin typeface="Arial Rounded MT Bold"/>
            </a:rPr>
            <a:t>Haemodialysis</a:t>
          </a:r>
        </a:p>
        <a:p>
          <a:pPr algn="ctr" rtl="0">
            <a:defRPr sz="1000"/>
          </a:pPr>
          <a:r>
            <a:rPr lang="en-US" sz="1000" b="0" i="0" strike="noStrike">
              <a:solidFill>
                <a:srgbClr val="000080"/>
              </a:solidFill>
              <a:latin typeface="Arial Rounded MT Bold"/>
            </a:rPr>
            <a:t>(HD)</a:t>
          </a:r>
        </a:p>
      </xdr:txBody>
    </xdr:sp>
    <xdr:clientData/>
  </xdr:twoCellAnchor>
  <xdr:twoCellAnchor>
    <xdr:from>
      <xdr:col>2</xdr:col>
      <xdr:colOff>298450</xdr:colOff>
      <xdr:row>45</xdr:row>
      <xdr:rowOff>98425</xdr:rowOff>
    </xdr:from>
    <xdr:to>
      <xdr:col>4</xdr:col>
      <xdr:colOff>279400</xdr:colOff>
      <xdr:row>47</xdr:row>
      <xdr:rowOff>3175</xdr:rowOff>
    </xdr:to>
    <xdr:sp macro="" textlink="">
      <xdr:nvSpPr>
        <xdr:cNvPr id="64" name="Text 34">
          <a:extLst>
            <a:ext uri="{FF2B5EF4-FFF2-40B4-BE49-F238E27FC236}">
              <a16:creationId xmlns:a16="http://schemas.microsoft.com/office/drawing/2014/main" id="{17EFFB75-896D-425B-9FD4-353A0573E0DE}"/>
            </a:ext>
          </a:extLst>
        </xdr:cNvPr>
        <xdr:cNvSpPr txBox="1">
          <a:spLocks noChangeArrowheads="1"/>
        </xdr:cNvSpPr>
      </xdr:nvSpPr>
      <xdr:spPr bwMode="auto">
        <a:xfrm>
          <a:off x="1628356" y="4866916"/>
          <a:ext cx="1322836" cy="264184"/>
        </a:xfrm>
        <a:prstGeom prst="rect">
          <a:avLst/>
        </a:prstGeom>
        <a:solidFill>
          <a:srgbClr val="FFFFCC"/>
        </a:solidFill>
        <a:ln w="1">
          <a:noFill/>
          <a:miter lim="800000"/>
          <a:headEnd/>
          <a:tailEnd/>
        </a:ln>
      </xdr:spPr>
      <xdr:txBody>
        <a:bodyPr vertOverflow="clip" wrap="square" lIns="36576" tIns="22860" rIns="36576" bIns="0" anchor="t" upright="1"/>
        <a:lstStyle/>
        <a:p>
          <a:pPr algn="ctr" rtl="0">
            <a:defRPr sz="1000"/>
          </a:pPr>
          <a:r>
            <a:rPr lang="en-US" sz="1000" b="0" i="0" strike="noStrike">
              <a:solidFill>
                <a:srgbClr val="000080"/>
              </a:solidFill>
              <a:latin typeface="Arial Rounded MT Bold"/>
            </a:rPr>
            <a:t>ESRD patients</a:t>
          </a:r>
        </a:p>
      </xdr:txBody>
    </xdr:sp>
    <xdr:clientData/>
  </xdr:twoCellAnchor>
  <xdr:twoCellAnchor>
    <xdr:from>
      <xdr:col>4</xdr:col>
      <xdr:colOff>628650</xdr:colOff>
      <xdr:row>53</xdr:row>
      <xdr:rowOff>63500</xdr:rowOff>
    </xdr:from>
    <xdr:to>
      <xdr:col>6</xdr:col>
      <xdr:colOff>596900</xdr:colOff>
      <xdr:row>53</xdr:row>
      <xdr:rowOff>63500</xdr:rowOff>
    </xdr:to>
    <xdr:sp macro="" textlink="">
      <xdr:nvSpPr>
        <xdr:cNvPr id="65" name="Line 105">
          <a:extLst>
            <a:ext uri="{FF2B5EF4-FFF2-40B4-BE49-F238E27FC236}">
              <a16:creationId xmlns:a16="http://schemas.microsoft.com/office/drawing/2014/main" id="{564EC4E5-E570-4294-919E-9CECD8A61237}"/>
            </a:ext>
          </a:extLst>
        </xdr:cNvPr>
        <xdr:cNvSpPr>
          <a:spLocks noChangeShapeType="1"/>
        </xdr:cNvSpPr>
      </xdr:nvSpPr>
      <xdr:spPr bwMode="auto">
        <a:xfrm>
          <a:off x="3300442" y="6275717"/>
          <a:ext cx="1310137" cy="0"/>
        </a:xfrm>
        <a:prstGeom prst="line">
          <a:avLst/>
        </a:prstGeom>
        <a:noFill/>
        <a:ln w="28575">
          <a:solidFill>
            <a:srgbClr val="808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311150</xdr:colOff>
      <xdr:row>51</xdr:row>
      <xdr:rowOff>101600</xdr:rowOff>
    </xdr:from>
    <xdr:to>
      <xdr:col>5</xdr:col>
      <xdr:colOff>0</xdr:colOff>
      <xdr:row>55</xdr:row>
      <xdr:rowOff>0</xdr:rowOff>
    </xdr:to>
    <xdr:sp macro="" textlink="">
      <xdr:nvSpPr>
        <xdr:cNvPr id="66" name="Oval 106">
          <a:extLst>
            <a:ext uri="{FF2B5EF4-FFF2-40B4-BE49-F238E27FC236}">
              <a16:creationId xmlns:a16="http://schemas.microsoft.com/office/drawing/2014/main" id="{0F270CE4-4E9F-4799-84EF-21E9388367EC}"/>
            </a:ext>
          </a:extLst>
        </xdr:cNvPr>
        <xdr:cNvSpPr>
          <a:spLocks noChangeArrowheads="1"/>
        </xdr:cNvSpPr>
      </xdr:nvSpPr>
      <xdr:spPr bwMode="auto">
        <a:xfrm>
          <a:off x="2311999" y="5954383"/>
          <a:ext cx="1030737" cy="617268"/>
        </a:xfrm>
        <a:prstGeom prst="ellipse">
          <a:avLst/>
        </a:prstGeom>
        <a:pattFill prst="pct25">
          <a:fgClr>
            <a:srgbClr val="FFFFCC"/>
          </a:fgClr>
          <a:bgClr>
            <a:srgbClr val="FFFFCC"/>
          </a:bgClr>
        </a:pattFill>
        <a:ln w="24765">
          <a:solidFill>
            <a:srgbClr val="808000"/>
          </a:solidFill>
          <a:prstDash val="sysDot"/>
          <a:round/>
          <a:headEnd/>
          <a:tailEnd/>
        </a:ln>
      </xdr:spPr>
    </xdr:sp>
    <xdr:clientData/>
  </xdr:twoCellAnchor>
  <xdr:twoCellAnchor>
    <xdr:from>
      <xdr:col>3</xdr:col>
      <xdr:colOff>327025</xdr:colOff>
      <xdr:row>52</xdr:row>
      <xdr:rowOff>136525</xdr:rowOff>
    </xdr:from>
    <xdr:to>
      <xdr:col>5</xdr:col>
      <xdr:colOff>11430</xdr:colOff>
      <xdr:row>54</xdr:row>
      <xdr:rowOff>49530</xdr:rowOff>
    </xdr:to>
    <xdr:sp macro="" textlink="">
      <xdr:nvSpPr>
        <xdr:cNvPr id="67" name="Text 32">
          <a:extLst>
            <a:ext uri="{FF2B5EF4-FFF2-40B4-BE49-F238E27FC236}">
              <a16:creationId xmlns:a16="http://schemas.microsoft.com/office/drawing/2014/main" id="{2665681D-1A27-4712-9107-FEC595BD0204}"/>
            </a:ext>
          </a:extLst>
        </xdr:cNvPr>
        <xdr:cNvSpPr txBox="1">
          <a:spLocks noChangeArrowheads="1"/>
        </xdr:cNvSpPr>
      </xdr:nvSpPr>
      <xdr:spPr bwMode="auto">
        <a:xfrm>
          <a:off x="2117725" y="10499725"/>
          <a:ext cx="884555" cy="274955"/>
        </a:xfrm>
        <a:prstGeom prst="rect">
          <a:avLst/>
        </a:prstGeom>
        <a:noFill/>
        <a:ln w="1">
          <a:noFill/>
          <a:miter lim="800000"/>
          <a:headEnd/>
          <a:tailEnd/>
        </a:ln>
      </xdr:spPr>
      <xdr:txBody>
        <a:bodyPr vertOverflow="clip" wrap="square" lIns="27432" tIns="18288" rIns="27432" bIns="0" anchor="t" upright="1"/>
        <a:lstStyle/>
        <a:p>
          <a:pPr algn="ctr" rtl="0">
            <a:defRPr sz="1000"/>
          </a:pPr>
          <a:r>
            <a:rPr lang="en-US" sz="900" b="0" i="0" strike="noStrike">
              <a:solidFill>
                <a:srgbClr val="000080"/>
              </a:solidFill>
              <a:latin typeface="Arial Rounded MT Bold"/>
            </a:rPr>
            <a:t>complications</a:t>
          </a:r>
        </a:p>
      </xdr:txBody>
    </xdr:sp>
    <xdr:clientData/>
  </xdr:twoCellAnchor>
  <xdr:twoCellAnchor>
    <xdr:from>
      <xdr:col>7</xdr:col>
      <xdr:colOff>0</xdr:colOff>
      <xdr:row>51</xdr:row>
      <xdr:rowOff>114300</xdr:rowOff>
    </xdr:from>
    <xdr:to>
      <xdr:col>8</xdr:col>
      <xdr:colOff>279400</xdr:colOff>
      <xdr:row>54</xdr:row>
      <xdr:rowOff>82550</xdr:rowOff>
    </xdr:to>
    <xdr:sp macro="" textlink="">
      <xdr:nvSpPr>
        <xdr:cNvPr id="68" name="Oval 108">
          <a:extLst>
            <a:ext uri="{FF2B5EF4-FFF2-40B4-BE49-F238E27FC236}">
              <a16:creationId xmlns:a16="http://schemas.microsoft.com/office/drawing/2014/main" id="{70B5960C-4CEC-4C89-B0C9-A35C76329214}"/>
            </a:ext>
          </a:extLst>
        </xdr:cNvPr>
        <xdr:cNvSpPr>
          <a:spLocks noChangeArrowheads="1"/>
        </xdr:cNvSpPr>
      </xdr:nvSpPr>
      <xdr:spPr bwMode="auto">
        <a:xfrm>
          <a:off x="4684623" y="5967083"/>
          <a:ext cx="950343" cy="507401"/>
        </a:xfrm>
        <a:prstGeom prst="ellipse">
          <a:avLst/>
        </a:prstGeom>
        <a:pattFill prst="pct25">
          <a:fgClr>
            <a:srgbClr val="FFFFCC"/>
          </a:fgClr>
          <a:bgClr>
            <a:srgbClr val="FFFFCC"/>
          </a:bgClr>
        </a:pattFill>
        <a:ln w="24765">
          <a:solidFill>
            <a:srgbClr val="808000"/>
          </a:solidFill>
          <a:prstDash val="sysDot"/>
          <a:round/>
          <a:headEnd/>
          <a:tailEnd/>
        </a:ln>
      </xdr:spPr>
    </xdr:sp>
    <xdr:clientData/>
  </xdr:twoCellAnchor>
  <xdr:twoCellAnchor>
    <xdr:from>
      <xdr:col>6</xdr:col>
      <xdr:colOff>567690</xdr:colOff>
      <xdr:row>52</xdr:row>
      <xdr:rowOff>98424</xdr:rowOff>
    </xdr:from>
    <xdr:to>
      <xdr:col>8</xdr:col>
      <xdr:colOff>295275</xdr:colOff>
      <xdr:row>53</xdr:row>
      <xdr:rowOff>125729</xdr:rowOff>
    </xdr:to>
    <xdr:sp macro="" textlink="">
      <xdr:nvSpPr>
        <xdr:cNvPr id="69" name="Text 32">
          <a:extLst>
            <a:ext uri="{FF2B5EF4-FFF2-40B4-BE49-F238E27FC236}">
              <a16:creationId xmlns:a16="http://schemas.microsoft.com/office/drawing/2014/main" id="{5FB93C48-3212-492D-86C9-92EFE2804640}"/>
            </a:ext>
          </a:extLst>
        </xdr:cNvPr>
        <xdr:cNvSpPr txBox="1">
          <a:spLocks noChangeArrowheads="1"/>
        </xdr:cNvSpPr>
      </xdr:nvSpPr>
      <xdr:spPr bwMode="auto">
        <a:xfrm>
          <a:off x="4158615" y="10461624"/>
          <a:ext cx="927735" cy="208280"/>
        </a:xfrm>
        <a:prstGeom prst="rect">
          <a:avLst/>
        </a:prstGeom>
        <a:noFill/>
        <a:ln w="1">
          <a:noFill/>
          <a:miter lim="800000"/>
          <a:headEnd/>
          <a:tailEnd/>
        </a:ln>
      </xdr:spPr>
      <xdr:txBody>
        <a:bodyPr vertOverflow="clip" wrap="square" lIns="27432" tIns="18288" rIns="27432" bIns="0" anchor="t" upright="1"/>
        <a:lstStyle/>
        <a:p>
          <a:pPr algn="ctr" rtl="0">
            <a:defRPr sz="1000"/>
          </a:pPr>
          <a:r>
            <a:rPr lang="en-US" sz="900" b="0" i="0" strike="noStrike">
              <a:solidFill>
                <a:srgbClr val="000080"/>
              </a:solidFill>
              <a:latin typeface="Arial Rounded MT Bold"/>
            </a:rPr>
            <a:t>complications</a:t>
          </a:r>
        </a:p>
      </xdr:txBody>
    </xdr:sp>
    <xdr:clientData/>
  </xdr:twoCellAnchor>
  <xdr:twoCellAnchor>
    <xdr:from>
      <xdr:col>3</xdr:col>
      <xdr:colOff>203200</xdr:colOff>
      <xdr:row>53</xdr:row>
      <xdr:rowOff>139700</xdr:rowOff>
    </xdr:from>
    <xdr:to>
      <xdr:col>3</xdr:col>
      <xdr:colOff>495300</xdr:colOff>
      <xdr:row>53</xdr:row>
      <xdr:rowOff>146050</xdr:rowOff>
    </xdr:to>
    <xdr:sp macro="" textlink="">
      <xdr:nvSpPr>
        <xdr:cNvPr id="70" name="Line 110">
          <a:extLst>
            <a:ext uri="{FF2B5EF4-FFF2-40B4-BE49-F238E27FC236}">
              <a16:creationId xmlns:a16="http://schemas.microsoft.com/office/drawing/2014/main" id="{C93F536B-9AAF-4DB6-B8FD-E289B91FB21B}"/>
            </a:ext>
          </a:extLst>
        </xdr:cNvPr>
        <xdr:cNvSpPr>
          <a:spLocks noChangeShapeType="1"/>
        </xdr:cNvSpPr>
      </xdr:nvSpPr>
      <xdr:spPr bwMode="auto">
        <a:xfrm flipV="1">
          <a:off x="2204049" y="6351917"/>
          <a:ext cx="292100" cy="6350"/>
        </a:xfrm>
        <a:prstGeom prst="line">
          <a:avLst/>
        </a:prstGeom>
        <a:noFill/>
        <a:ln w="28575">
          <a:solidFill>
            <a:srgbClr val="808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69850</xdr:colOff>
      <xdr:row>53</xdr:row>
      <xdr:rowOff>114300</xdr:rowOff>
    </xdr:from>
    <xdr:to>
      <xdr:col>8</xdr:col>
      <xdr:colOff>368300</xdr:colOff>
      <xdr:row>53</xdr:row>
      <xdr:rowOff>120650</xdr:rowOff>
    </xdr:to>
    <xdr:sp macro="" textlink="">
      <xdr:nvSpPr>
        <xdr:cNvPr id="71" name="Line 111">
          <a:extLst>
            <a:ext uri="{FF2B5EF4-FFF2-40B4-BE49-F238E27FC236}">
              <a16:creationId xmlns:a16="http://schemas.microsoft.com/office/drawing/2014/main" id="{7E4089D1-2D30-45B6-89DD-C71715E8ED66}"/>
            </a:ext>
          </a:extLst>
        </xdr:cNvPr>
        <xdr:cNvSpPr>
          <a:spLocks noChangeShapeType="1"/>
        </xdr:cNvSpPr>
      </xdr:nvSpPr>
      <xdr:spPr bwMode="auto">
        <a:xfrm flipV="1">
          <a:off x="5425416" y="6326517"/>
          <a:ext cx="298450" cy="6350"/>
        </a:xfrm>
        <a:prstGeom prst="line">
          <a:avLst/>
        </a:prstGeom>
        <a:noFill/>
        <a:ln w="28575">
          <a:solidFill>
            <a:srgbClr val="808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12700</xdr:colOff>
      <xdr:row>63</xdr:row>
      <xdr:rowOff>82550</xdr:rowOff>
    </xdr:from>
    <xdr:to>
      <xdr:col>10</xdr:col>
      <xdr:colOff>12700</xdr:colOff>
      <xdr:row>67</xdr:row>
      <xdr:rowOff>0</xdr:rowOff>
    </xdr:to>
    <xdr:sp macro="" textlink="">
      <xdr:nvSpPr>
        <xdr:cNvPr id="73" name="Oval 72">
          <a:extLst>
            <a:ext uri="{FF2B5EF4-FFF2-40B4-BE49-F238E27FC236}">
              <a16:creationId xmlns:a16="http://schemas.microsoft.com/office/drawing/2014/main" id="{7891BFFE-2EB0-43AE-94DF-03A81E9D4185}"/>
            </a:ext>
          </a:extLst>
        </xdr:cNvPr>
        <xdr:cNvSpPr>
          <a:spLocks noChangeArrowheads="1"/>
        </xdr:cNvSpPr>
      </xdr:nvSpPr>
      <xdr:spPr bwMode="auto">
        <a:xfrm>
          <a:off x="4697323" y="7912220"/>
          <a:ext cx="2012830" cy="636318"/>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2</xdr:col>
      <xdr:colOff>0</xdr:colOff>
      <xdr:row>70</xdr:row>
      <xdr:rowOff>6350</xdr:rowOff>
    </xdr:from>
    <xdr:to>
      <xdr:col>5</xdr:col>
      <xdr:colOff>0</xdr:colOff>
      <xdr:row>74</xdr:row>
      <xdr:rowOff>101600</xdr:rowOff>
    </xdr:to>
    <xdr:sp macro="" textlink="">
      <xdr:nvSpPr>
        <xdr:cNvPr id="74" name="Oval 73">
          <a:extLst>
            <a:ext uri="{FF2B5EF4-FFF2-40B4-BE49-F238E27FC236}">
              <a16:creationId xmlns:a16="http://schemas.microsoft.com/office/drawing/2014/main" id="{C095DC56-CBEA-4724-AFD3-920B21F5F839}"/>
            </a:ext>
          </a:extLst>
        </xdr:cNvPr>
        <xdr:cNvSpPr>
          <a:spLocks noChangeArrowheads="1"/>
        </xdr:cNvSpPr>
      </xdr:nvSpPr>
      <xdr:spPr bwMode="auto">
        <a:xfrm>
          <a:off x="1329906" y="9094039"/>
          <a:ext cx="2012830" cy="814118"/>
        </a:xfrm>
        <a:prstGeom prst="ellipse">
          <a:avLst/>
        </a:prstGeom>
        <a:pattFill prst="pct25">
          <a:fgClr>
            <a:srgbClr val="FFFFCC"/>
          </a:fgClr>
          <a:bgClr>
            <a:srgbClr val="FFFFCC"/>
          </a:bgClr>
        </a:pattFill>
        <a:ln w="24765">
          <a:solidFill>
            <a:srgbClr val="808000"/>
          </a:solidFill>
          <a:round/>
          <a:headEnd/>
          <a:tailEnd/>
        </a:ln>
      </xdr:spPr>
    </xdr:sp>
    <xdr:clientData/>
  </xdr:twoCellAnchor>
  <xdr:twoCellAnchor>
    <xdr:from>
      <xdr:col>5</xdr:col>
      <xdr:colOff>0</xdr:colOff>
      <xdr:row>65</xdr:row>
      <xdr:rowOff>95250</xdr:rowOff>
    </xdr:from>
    <xdr:to>
      <xdr:col>7</xdr:col>
      <xdr:colOff>19050</xdr:colOff>
      <xdr:row>72</xdr:row>
      <xdr:rowOff>9525</xdr:rowOff>
    </xdr:to>
    <xdr:sp macro="" textlink="">
      <xdr:nvSpPr>
        <xdr:cNvPr id="75" name="Line 74">
          <a:extLst>
            <a:ext uri="{FF2B5EF4-FFF2-40B4-BE49-F238E27FC236}">
              <a16:creationId xmlns:a16="http://schemas.microsoft.com/office/drawing/2014/main" id="{8E969D08-CB61-44EB-864E-E60B7C1AE516}"/>
            </a:ext>
          </a:extLst>
        </xdr:cNvPr>
        <xdr:cNvSpPr>
          <a:spLocks noChangeShapeType="1"/>
        </xdr:cNvSpPr>
      </xdr:nvSpPr>
      <xdr:spPr bwMode="auto">
        <a:xfrm flipV="1">
          <a:off x="3342736" y="8284354"/>
          <a:ext cx="1360937" cy="1172294"/>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3</xdr:col>
      <xdr:colOff>295274</xdr:colOff>
      <xdr:row>66</xdr:row>
      <xdr:rowOff>133350</xdr:rowOff>
    </xdr:from>
    <xdr:to>
      <xdr:col>3</xdr:col>
      <xdr:colOff>304799</xdr:colOff>
      <xdr:row>70</xdr:row>
      <xdr:rowOff>0</xdr:rowOff>
    </xdr:to>
    <xdr:sp macro="" textlink="">
      <xdr:nvSpPr>
        <xdr:cNvPr id="77" name="Line 76">
          <a:extLst>
            <a:ext uri="{FF2B5EF4-FFF2-40B4-BE49-F238E27FC236}">
              <a16:creationId xmlns:a16="http://schemas.microsoft.com/office/drawing/2014/main" id="{F536F258-26D3-47D9-AB92-B2D9D59414C9}"/>
            </a:ext>
          </a:extLst>
        </xdr:cNvPr>
        <xdr:cNvSpPr>
          <a:spLocks noChangeShapeType="1"/>
        </xdr:cNvSpPr>
      </xdr:nvSpPr>
      <xdr:spPr bwMode="auto">
        <a:xfrm flipH="1">
          <a:off x="2296123" y="8502171"/>
          <a:ext cx="9525" cy="585518"/>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7</xdr:col>
      <xdr:colOff>342900</xdr:colOff>
      <xdr:row>64</xdr:row>
      <xdr:rowOff>117475</xdr:rowOff>
    </xdr:from>
    <xdr:to>
      <xdr:col>9</xdr:col>
      <xdr:colOff>323850</xdr:colOff>
      <xdr:row>66</xdr:row>
      <xdr:rowOff>22225</xdr:rowOff>
    </xdr:to>
    <xdr:sp macro="" textlink="">
      <xdr:nvSpPr>
        <xdr:cNvPr id="78" name="Text 34">
          <a:extLst>
            <a:ext uri="{FF2B5EF4-FFF2-40B4-BE49-F238E27FC236}">
              <a16:creationId xmlns:a16="http://schemas.microsoft.com/office/drawing/2014/main" id="{23CE084B-E392-4C6D-AE49-E39249E0B5C1}"/>
            </a:ext>
          </a:extLst>
        </xdr:cNvPr>
        <xdr:cNvSpPr txBox="1">
          <a:spLocks noChangeArrowheads="1"/>
        </xdr:cNvSpPr>
      </xdr:nvSpPr>
      <xdr:spPr bwMode="auto">
        <a:xfrm>
          <a:off x="5027523" y="8126862"/>
          <a:ext cx="1322836" cy="264184"/>
        </a:xfrm>
        <a:prstGeom prst="rect">
          <a:avLst/>
        </a:prstGeom>
        <a:solidFill>
          <a:srgbClr val="FFFFCC"/>
        </a:solidFill>
        <a:ln w="1">
          <a:noFill/>
          <a:miter lim="800000"/>
          <a:headEnd/>
          <a:tailEnd/>
        </a:ln>
      </xdr:spPr>
      <xdr:txBody>
        <a:bodyPr vertOverflow="clip" wrap="square" lIns="36576" tIns="22860" rIns="36576" bIns="0" anchor="t" upright="1"/>
        <a:lstStyle/>
        <a:p>
          <a:pPr algn="ctr" rtl="0">
            <a:defRPr sz="1000"/>
          </a:pPr>
          <a:r>
            <a:rPr lang="en-US" sz="1000" b="0" i="0" strike="noStrike">
              <a:solidFill>
                <a:srgbClr val="000080"/>
              </a:solidFill>
              <a:latin typeface="Arial Rounded MT Bold"/>
            </a:rPr>
            <a:t>Death</a:t>
          </a:r>
        </a:p>
      </xdr:txBody>
    </xdr:sp>
    <xdr:clientData/>
  </xdr:twoCellAnchor>
  <xdr:twoCellAnchor>
    <xdr:from>
      <xdr:col>0</xdr:col>
      <xdr:colOff>355600</xdr:colOff>
      <xdr:row>71</xdr:row>
      <xdr:rowOff>12700</xdr:rowOff>
    </xdr:from>
    <xdr:to>
      <xdr:col>1</xdr:col>
      <xdr:colOff>641350</xdr:colOff>
      <xdr:row>73</xdr:row>
      <xdr:rowOff>57150</xdr:rowOff>
    </xdr:to>
    <xdr:sp macro="" textlink="">
      <xdr:nvSpPr>
        <xdr:cNvPr id="79" name="Oval 78">
          <a:extLst>
            <a:ext uri="{FF2B5EF4-FFF2-40B4-BE49-F238E27FC236}">
              <a16:creationId xmlns:a16="http://schemas.microsoft.com/office/drawing/2014/main" id="{D8A37E91-1659-4B17-91CA-B11BF246E9AB}"/>
            </a:ext>
          </a:extLst>
        </xdr:cNvPr>
        <xdr:cNvSpPr>
          <a:spLocks noChangeArrowheads="1"/>
        </xdr:cNvSpPr>
      </xdr:nvSpPr>
      <xdr:spPr bwMode="auto">
        <a:xfrm>
          <a:off x="355600" y="9280106"/>
          <a:ext cx="944712" cy="403884"/>
        </a:xfrm>
        <a:prstGeom prst="ellipse">
          <a:avLst/>
        </a:prstGeom>
        <a:noFill/>
        <a:ln w="24765">
          <a:solidFill>
            <a:srgbClr val="8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584200</xdr:colOff>
      <xdr:row>71</xdr:row>
      <xdr:rowOff>139700</xdr:rowOff>
    </xdr:from>
    <xdr:to>
      <xdr:col>1</xdr:col>
      <xdr:colOff>622300</xdr:colOff>
      <xdr:row>72</xdr:row>
      <xdr:rowOff>19050</xdr:rowOff>
    </xdr:to>
    <xdr:sp macro="" textlink="">
      <xdr:nvSpPr>
        <xdr:cNvPr id="80" name="Line 79">
          <a:extLst>
            <a:ext uri="{FF2B5EF4-FFF2-40B4-BE49-F238E27FC236}">
              <a16:creationId xmlns:a16="http://schemas.microsoft.com/office/drawing/2014/main" id="{CFFFBB84-50E9-4CA0-9C58-EFAE81103C4B}"/>
            </a:ext>
          </a:extLst>
        </xdr:cNvPr>
        <xdr:cNvSpPr>
          <a:spLocks noChangeShapeType="1"/>
        </xdr:cNvSpPr>
      </xdr:nvSpPr>
      <xdr:spPr bwMode="auto">
        <a:xfrm>
          <a:off x="1243162" y="9407106"/>
          <a:ext cx="38100" cy="59067"/>
        </a:xfrm>
        <a:prstGeom prst="line">
          <a:avLst/>
        </a:prstGeom>
        <a:noFill/>
        <a:ln w="24765">
          <a:solidFill>
            <a:srgbClr val="808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2</xdr:col>
      <xdr:colOff>59976</xdr:colOff>
      <xdr:row>71</xdr:row>
      <xdr:rowOff>85093</xdr:rowOff>
    </xdr:from>
    <xdr:to>
      <xdr:col>3</xdr:col>
      <xdr:colOff>287618</xdr:colOff>
      <xdr:row>73</xdr:row>
      <xdr:rowOff>114350</xdr:rowOff>
    </xdr:to>
    <xdr:sp macro="" textlink="">
      <xdr:nvSpPr>
        <xdr:cNvPr id="81" name="Text 32">
          <a:extLst>
            <a:ext uri="{FF2B5EF4-FFF2-40B4-BE49-F238E27FC236}">
              <a16:creationId xmlns:a16="http://schemas.microsoft.com/office/drawing/2014/main" id="{46CAA40B-3A82-4E3D-A3DF-CAB08CC34AF1}"/>
            </a:ext>
          </a:extLst>
        </xdr:cNvPr>
        <xdr:cNvSpPr txBox="1">
          <a:spLocks noChangeArrowheads="1"/>
        </xdr:cNvSpPr>
      </xdr:nvSpPr>
      <xdr:spPr bwMode="auto">
        <a:xfrm>
          <a:off x="1250601" y="14277343"/>
          <a:ext cx="827717" cy="391207"/>
        </a:xfrm>
        <a:prstGeom prst="rect">
          <a:avLst/>
        </a:prstGeom>
        <a:noFill/>
        <a:ln w="1">
          <a:noFill/>
          <a:miter lim="800000"/>
          <a:headEnd/>
          <a:tailEnd/>
        </a:ln>
      </xdr:spPr>
      <xdr:txBody>
        <a:bodyPr vertOverflow="clip" wrap="square" lIns="27432" tIns="18288" rIns="27432" bIns="0" anchor="t" upright="1"/>
        <a:lstStyle/>
        <a:p>
          <a:pPr marL="0" indent="0" algn="ctr" rtl="0">
            <a:defRPr sz="1000"/>
          </a:pPr>
          <a:r>
            <a:rPr lang="en-US" sz="1000" b="0" i="0" strike="noStrike">
              <a:solidFill>
                <a:srgbClr val="000080"/>
              </a:solidFill>
              <a:latin typeface="Arial Rounded MT Bold"/>
              <a:ea typeface="+mn-ea"/>
              <a:cs typeface="+mn-cs"/>
            </a:rPr>
            <a:t>Palliative </a:t>
          </a:r>
        </a:p>
        <a:p>
          <a:pPr marL="0" indent="0" algn="ctr" rtl="0">
            <a:defRPr sz="1000"/>
          </a:pPr>
          <a:r>
            <a:rPr lang="en-US" sz="1000" b="0" i="0" strike="noStrike">
              <a:solidFill>
                <a:srgbClr val="000080"/>
              </a:solidFill>
              <a:latin typeface="Arial Rounded MT Bold"/>
              <a:ea typeface="+mn-ea"/>
              <a:cs typeface="+mn-cs"/>
            </a:rPr>
            <a:t>care</a:t>
          </a:r>
        </a:p>
        <a:p>
          <a:pPr marL="0" indent="0" algn="ctr" rtl="0">
            <a:defRPr sz="1000"/>
          </a:pPr>
          <a:endParaRPr lang="en-US" sz="1000" b="0" i="0" strike="noStrike">
            <a:solidFill>
              <a:srgbClr val="000080"/>
            </a:solidFill>
            <a:latin typeface="Arial Rounded MT Bold"/>
            <a:ea typeface="+mn-ea"/>
            <a:cs typeface="+mn-cs"/>
          </a:endParaRPr>
        </a:p>
      </xdr:txBody>
    </xdr:sp>
    <xdr:clientData/>
  </xdr:twoCellAnchor>
  <xdr:twoCellAnchor>
    <xdr:from>
      <xdr:col>2</xdr:col>
      <xdr:colOff>298450</xdr:colOff>
      <xdr:row>64</xdr:row>
      <xdr:rowOff>98425</xdr:rowOff>
    </xdr:from>
    <xdr:to>
      <xdr:col>4</xdr:col>
      <xdr:colOff>279400</xdr:colOff>
      <xdr:row>66</xdr:row>
      <xdr:rowOff>3175</xdr:rowOff>
    </xdr:to>
    <xdr:sp macro="" textlink="">
      <xdr:nvSpPr>
        <xdr:cNvPr id="86" name="Text 34">
          <a:extLst>
            <a:ext uri="{FF2B5EF4-FFF2-40B4-BE49-F238E27FC236}">
              <a16:creationId xmlns:a16="http://schemas.microsoft.com/office/drawing/2014/main" id="{4AC0644F-C1F2-4514-85CD-0FF0BCC46EC2}"/>
            </a:ext>
          </a:extLst>
        </xdr:cNvPr>
        <xdr:cNvSpPr txBox="1">
          <a:spLocks noChangeArrowheads="1"/>
        </xdr:cNvSpPr>
      </xdr:nvSpPr>
      <xdr:spPr bwMode="auto">
        <a:xfrm>
          <a:off x="1628356" y="8107812"/>
          <a:ext cx="1322836" cy="264184"/>
        </a:xfrm>
        <a:prstGeom prst="rect">
          <a:avLst/>
        </a:prstGeom>
        <a:solidFill>
          <a:srgbClr val="FFFFCC"/>
        </a:solidFill>
        <a:ln w="1">
          <a:noFill/>
          <a:miter lim="800000"/>
          <a:headEnd/>
          <a:tailEnd/>
        </a:ln>
      </xdr:spPr>
      <xdr:txBody>
        <a:bodyPr vertOverflow="clip" wrap="square" lIns="36576" tIns="22860" rIns="36576" bIns="0" anchor="t" upright="1"/>
        <a:lstStyle/>
        <a:p>
          <a:pPr algn="ctr" rtl="0">
            <a:defRPr sz="1000"/>
          </a:pPr>
          <a:r>
            <a:rPr lang="en-US" sz="1000" b="0" i="0" strike="noStrike">
              <a:solidFill>
                <a:srgbClr val="000080"/>
              </a:solidFill>
              <a:latin typeface="Arial Rounded MT Bold"/>
            </a:rPr>
            <a:t>ESRD patients</a:t>
          </a:r>
        </a:p>
      </xdr:txBody>
    </xdr:sp>
    <xdr:clientData/>
  </xdr:twoCellAnchor>
  <xdr:twoCellAnchor>
    <xdr:from>
      <xdr:col>3</xdr:col>
      <xdr:colOff>311150</xdr:colOff>
      <xdr:row>70</xdr:row>
      <xdr:rowOff>101600</xdr:rowOff>
    </xdr:from>
    <xdr:to>
      <xdr:col>5</xdr:col>
      <xdr:colOff>0</xdr:colOff>
      <xdr:row>74</xdr:row>
      <xdr:rowOff>0</xdr:rowOff>
    </xdr:to>
    <xdr:sp macro="" textlink="">
      <xdr:nvSpPr>
        <xdr:cNvPr id="88" name="Oval 106">
          <a:extLst>
            <a:ext uri="{FF2B5EF4-FFF2-40B4-BE49-F238E27FC236}">
              <a16:creationId xmlns:a16="http://schemas.microsoft.com/office/drawing/2014/main" id="{0AA98161-6BF8-4B9B-B476-0AB3777E10BD}"/>
            </a:ext>
          </a:extLst>
        </xdr:cNvPr>
        <xdr:cNvSpPr>
          <a:spLocks noChangeArrowheads="1"/>
        </xdr:cNvSpPr>
      </xdr:nvSpPr>
      <xdr:spPr bwMode="auto">
        <a:xfrm>
          <a:off x="2311999" y="9189289"/>
          <a:ext cx="1030737" cy="617268"/>
        </a:xfrm>
        <a:prstGeom prst="ellipse">
          <a:avLst/>
        </a:prstGeom>
        <a:pattFill prst="pct25">
          <a:fgClr>
            <a:srgbClr val="FFFFCC"/>
          </a:fgClr>
          <a:bgClr>
            <a:srgbClr val="FFFFCC"/>
          </a:bgClr>
        </a:pattFill>
        <a:ln w="24765">
          <a:solidFill>
            <a:srgbClr val="808000"/>
          </a:solidFill>
          <a:prstDash val="sysDot"/>
          <a:round/>
          <a:headEnd/>
          <a:tailEnd/>
        </a:ln>
      </xdr:spPr>
    </xdr:sp>
    <xdr:clientData/>
  </xdr:twoCellAnchor>
  <xdr:twoCellAnchor>
    <xdr:from>
      <xdr:col>3</xdr:col>
      <xdr:colOff>298450</xdr:colOff>
      <xdr:row>71</xdr:row>
      <xdr:rowOff>136525</xdr:rowOff>
    </xdr:from>
    <xdr:to>
      <xdr:col>4</xdr:col>
      <xdr:colOff>598170</xdr:colOff>
      <xdr:row>72</xdr:row>
      <xdr:rowOff>129540</xdr:rowOff>
    </xdr:to>
    <xdr:sp macro="" textlink="">
      <xdr:nvSpPr>
        <xdr:cNvPr id="89" name="Text 32">
          <a:extLst>
            <a:ext uri="{FF2B5EF4-FFF2-40B4-BE49-F238E27FC236}">
              <a16:creationId xmlns:a16="http://schemas.microsoft.com/office/drawing/2014/main" id="{7383DA74-FAC4-4D50-9375-51191CA333F4}"/>
            </a:ext>
          </a:extLst>
        </xdr:cNvPr>
        <xdr:cNvSpPr txBox="1">
          <a:spLocks noChangeArrowheads="1"/>
        </xdr:cNvSpPr>
      </xdr:nvSpPr>
      <xdr:spPr bwMode="auto">
        <a:xfrm>
          <a:off x="2089150" y="14328775"/>
          <a:ext cx="899795" cy="173990"/>
        </a:xfrm>
        <a:prstGeom prst="rect">
          <a:avLst/>
        </a:prstGeom>
        <a:noFill/>
        <a:ln w="1">
          <a:noFill/>
          <a:miter lim="800000"/>
          <a:headEnd/>
          <a:tailEnd/>
        </a:ln>
      </xdr:spPr>
      <xdr:txBody>
        <a:bodyPr vertOverflow="clip" wrap="square" lIns="27432" tIns="18288" rIns="27432" bIns="0" anchor="t" upright="1"/>
        <a:lstStyle/>
        <a:p>
          <a:pPr marL="0" indent="0" algn="ctr" rtl="0">
            <a:defRPr sz="1000"/>
          </a:pPr>
          <a:r>
            <a:rPr lang="en-US" sz="900" b="0" i="0" strike="noStrike">
              <a:solidFill>
                <a:srgbClr val="000080"/>
              </a:solidFill>
              <a:latin typeface="Arial Rounded MT Bold"/>
              <a:ea typeface="+mn-ea"/>
              <a:cs typeface="+mn-cs"/>
            </a:rPr>
            <a:t>complications</a:t>
          </a:r>
        </a:p>
      </xdr:txBody>
    </xdr:sp>
    <xdr:clientData/>
  </xdr:twoCellAnchor>
  <xdr:twoCellAnchor>
    <xdr:from>
      <xdr:col>3</xdr:col>
      <xdr:colOff>203200</xdr:colOff>
      <xdr:row>72</xdr:row>
      <xdr:rowOff>139700</xdr:rowOff>
    </xdr:from>
    <xdr:to>
      <xdr:col>3</xdr:col>
      <xdr:colOff>495300</xdr:colOff>
      <xdr:row>72</xdr:row>
      <xdr:rowOff>146050</xdr:rowOff>
    </xdr:to>
    <xdr:sp macro="" textlink="">
      <xdr:nvSpPr>
        <xdr:cNvPr id="92" name="Line 110">
          <a:extLst>
            <a:ext uri="{FF2B5EF4-FFF2-40B4-BE49-F238E27FC236}">
              <a16:creationId xmlns:a16="http://schemas.microsoft.com/office/drawing/2014/main" id="{BF800E1B-4333-44A0-AFF2-115E33F8385D}"/>
            </a:ext>
          </a:extLst>
        </xdr:cNvPr>
        <xdr:cNvSpPr>
          <a:spLocks noChangeShapeType="1"/>
        </xdr:cNvSpPr>
      </xdr:nvSpPr>
      <xdr:spPr bwMode="auto">
        <a:xfrm flipV="1">
          <a:off x="2204049" y="9586823"/>
          <a:ext cx="292100" cy="6350"/>
        </a:xfrm>
        <a:prstGeom prst="line">
          <a:avLst/>
        </a:prstGeom>
        <a:noFill/>
        <a:ln w="28575">
          <a:solidFill>
            <a:srgbClr val="808000"/>
          </a:solidFill>
          <a:round/>
          <a:headEnd type="triangle" w="med" len="me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66675</xdr:colOff>
      <xdr:row>51</xdr:row>
      <xdr:rowOff>177165</xdr:rowOff>
    </xdr:from>
    <xdr:to>
      <xdr:col>3</xdr:col>
      <xdr:colOff>307340</xdr:colOff>
      <xdr:row>54</xdr:row>
      <xdr:rowOff>153035</xdr:rowOff>
    </xdr:to>
    <xdr:sp macro="" textlink="">
      <xdr:nvSpPr>
        <xdr:cNvPr id="2" name="Text 32">
          <a:extLst>
            <a:ext uri="{FF2B5EF4-FFF2-40B4-BE49-F238E27FC236}">
              <a16:creationId xmlns:a16="http://schemas.microsoft.com/office/drawing/2014/main" id="{F358B71A-1580-4D7D-9DCF-11738908D266}"/>
            </a:ext>
          </a:extLst>
        </xdr:cNvPr>
        <xdr:cNvSpPr txBox="1">
          <a:spLocks noChangeArrowheads="1"/>
        </xdr:cNvSpPr>
      </xdr:nvSpPr>
      <xdr:spPr bwMode="auto">
        <a:xfrm>
          <a:off x="1257300" y="10359390"/>
          <a:ext cx="840740" cy="518795"/>
        </a:xfrm>
        <a:prstGeom prst="rect">
          <a:avLst/>
        </a:prstGeom>
        <a:noFill/>
        <a:ln w="1">
          <a:noFill/>
          <a:miter lim="800000"/>
          <a:headEnd/>
          <a:tailEnd/>
        </a:ln>
      </xdr:spPr>
      <xdr:txBody>
        <a:bodyPr vertOverflow="clip" wrap="square" lIns="27432" tIns="18288" rIns="27432" bIns="0" anchor="t" upright="1"/>
        <a:lstStyle/>
        <a:p>
          <a:pPr algn="ctr" rtl="0">
            <a:defRPr sz="1000"/>
          </a:pPr>
          <a:r>
            <a:rPr lang="en-US" sz="1000" b="0" i="0" strike="noStrike">
              <a:solidFill>
                <a:srgbClr val="000080"/>
              </a:solidFill>
              <a:latin typeface="Arial Rounded MT Bold"/>
            </a:rPr>
            <a:t>Peritoneal dialysis (CAPD)</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717550</xdr:colOff>
      <xdr:row>0</xdr:row>
      <xdr:rowOff>0</xdr:rowOff>
    </xdr:from>
    <xdr:to>
      <xdr:col>3</xdr:col>
      <xdr:colOff>1371600</xdr:colOff>
      <xdr:row>1</xdr:row>
      <xdr:rowOff>0</xdr:rowOff>
    </xdr:to>
    <xdr:sp macro="" textlink="">
      <xdr:nvSpPr>
        <xdr:cNvPr id="9" name="Arrow: Right 8">
          <a:hlinkClick xmlns:r="http://schemas.openxmlformats.org/officeDocument/2006/relationships" r:id="rId1"/>
          <a:extLst>
            <a:ext uri="{FF2B5EF4-FFF2-40B4-BE49-F238E27FC236}">
              <a16:creationId xmlns:a16="http://schemas.microsoft.com/office/drawing/2014/main" id="{6B33DB00-A844-0EE9-C71A-2ADD459DE5E0}"/>
            </a:ext>
          </a:extLst>
        </xdr:cNvPr>
        <xdr:cNvSpPr/>
      </xdr:nvSpPr>
      <xdr:spPr>
        <a:xfrm>
          <a:off x="7499350" y="0"/>
          <a:ext cx="654050" cy="488950"/>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Next</a:t>
          </a:r>
          <a:endParaRPr lang="th-TH" sz="1100" b="1" kern="1200"/>
        </a:p>
      </xdr:txBody>
    </xdr:sp>
    <xdr:clientData/>
  </xdr:twoCellAnchor>
  <xdr:twoCellAnchor>
    <xdr:from>
      <xdr:col>3</xdr:col>
      <xdr:colOff>0</xdr:colOff>
      <xdr:row>0</xdr:row>
      <xdr:rowOff>6985</xdr:rowOff>
    </xdr:from>
    <xdr:to>
      <xdr:col>3</xdr:col>
      <xdr:colOff>603250</xdr:colOff>
      <xdr:row>1</xdr:row>
      <xdr:rowOff>0</xdr:rowOff>
    </xdr:to>
    <xdr:sp macro="" textlink="">
      <xdr:nvSpPr>
        <xdr:cNvPr id="10" name="Arrow: Right 9">
          <a:hlinkClick xmlns:r="http://schemas.openxmlformats.org/officeDocument/2006/relationships" r:id="rId2"/>
          <a:extLst>
            <a:ext uri="{FF2B5EF4-FFF2-40B4-BE49-F238E27FC236}">
              <a16:creationId xmlns:a16="http://schemas.microsoft.com/office/drawing/2014/main" id="{C21D8E3F-86C0-DB7F-53C2-B9B6A0440296}"/>
            </a:ext>
          </a:extLst>
        </xdr:cNvPr>
        <xdr:cNvSpPr/>
      </xdr:nvSpPr>
      <xdr:spPr>
        <a:xfrm flipH="1">
          <a:off x="6781800" y="6985"/>
          <a:ext cx="603250" cy="481965"/>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Prev</a:t>
          </a:r>
          <a:endParaRPr lang="th-TH" sz="1100" b="1" kern="1200"/>
        </a:p>
      </xdr:txBody>
    </xdr:sp>
    <xdr:clientData/>
  </xdr:twoCellAnchor>
  <xdr:twoCellAnchor editAs="oneCell">
    <xdr:from>
      <xdr:col>5</xdr:col>
      <xdr:colOff>314325</xdr:colOff>
      <xdr:row>1</xdr:row>
      <xdr:rowOff>142875</xdr:rowOff>
    </xdr:from>
    <xdr:to>
      <xdr:col>6</xdr:col>
      <xdr:colOff>132432</xdr:colOff>
      <xdr:row>4</xdr:row>
      <xdr:rowOff>95461</xdr:rowOff>
    </xdr:to>
    <xdr:pic macro="[0]!Epidemiology_info">
      <xdr:nvPicPr>
        <xdr:cNvPr id="2" name="Graphic 1" descr="Megaphone with solid fill">
          <a:extLst>
            <a:ext uri="{FF2B5EF4-FFF2-40B4-BE49-F238E27FC236}">
              <a16:creationId xmlns:a16="http://schemas.microsoft.com/office/drawing/2014/main" id="{7C4479E9-D116-4A04-BE19-038E2263AFDB}"/>
            </a:ext>
          </a:extLst>
        </xdr:cNvPr>
        <xdr:cNvPicPr>
          <a:picLocks noChangeAspect="1"/>
        </xdr:cNvPicPr>
      </xdr:nvPicPr>
      <xdr:blipFill>
        <a:blip xmlns:r="http://schemas.openxmlformats.org/officeDocument/2006/relationships" r:embed="rId3">
          <a:extLst>
            <a:ext uri="{96DAC541-7B7A-43D3-8B79-37D633B846F1}">
              <asvg:svgBlip xmlns="" xmlns:asvg="http://schemas.microsoft.com/office/drawing/2016/SVG/main" r:embed="rId4"/>
            </a:ext>
          </a:extLst>
        </a:blip>
        <a:stretch>
          <a:fillRect/>
        </a:stretch>
      </xdr:blipFill>
      <xdr:spPr>
        <a:xfrm>
          <a:off x="11125200" y="628650"/>
          <a:ext cx="502002" cy="487891"/>
        </a:xfrm>
        <a:prstGeom prst="rect">
          <a:avLst/>
        </a:prstGeom>
      </xdr:spPr>
    </xdr:pic>
    <xdr:clientData/>
  </xdr:twoCellAnchor>
  <xdr:twoCellAnchor>
    <xdr:from>
      <xdr:col>5</xdr:col>
      <xdr:colOff>234950</xdr:colOff>
      <xdr:row>5</xdr:row>
      <xdr:rowOff>6350</xdr:rowOff>
    </xdr:from>
    <xdr:to>
      <xdr:col>6</xdr:col>
      <xdr:colOff>336550</xdr:colOff>
      <xdr:row>8</xdr:row>
      <xdr:rowOff>50800</xdr:rowOff>
    </xdr:to>
    <xdr:sp macro="[0]!Epidermiology_reset" textlink="">
      <xdr:nvSpPr>
        <xdr:cNvPr id="3" name="Rectangle 2">
          <a:extLst>
            <a:ext uri="{FF2B5EF4-FFF2-40B4-BE49-F238E27FC236}">
              <a16:creationId xmlns:a16="http://schemas.microsoft.com/office/drawing/2014/main" id="{C2C1FBB3-4D72-FE5E-F170-801EF5652F45}"/>
            </a:ext>
          </a:extLst>
        </xdr:cNvPr>
        <xdr:cNvSpPr/>
      </xdr:nvSpPr>
      <xdr:spPr>
        <a:xfrm>
          <a:off x="11042650" y="1212850"/>
          <a:ext cx="774700" cy="400050"/>
        </a:xfrm>
        <a:prstGeom prst="rect">
          <a:avLst/>
        </a:prstGeom>
        <a:solidFill>
          <a:schemeClr val="accent1">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kern="1200"/>
            <a:t>Reset</a:t>
          </a:r>
          <a:endParaRPr lang="th-TH" sz="1400" b="1" kern="12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623637</xdr:colOff>
      <xdr:row>1</xdr:row>
      <xdr:rowOff>185169</xdr:rowOff>
    </xdr:from>
    <xdr:to>
      <xdr:col>3</xdr:col>
      <xdr:colOff>1124441</xdr:colOff>
      <xdr:row>3</xdr:row>
      <xdr:rowOff>136839</xdr:rowOff>
    </xdr:to>
    <xdr:pic macro="[0]!Survivalparameter_info">
      <xdr:nvPicPr>
        <xdr:cNvPr id="4" name="Graphic 3" descr="Help with solid fill">
          <a:extLst>
            <a:ext uri="{FF2B5EF4-FFF2-40B4-BE49-F238E27FC236}">
              <a16:creationId xmlns:a16="http://schemas.microsoft.com/office/drawing/2014/main" id="{507BDE39-C4E6-A34C-9DCA-CF0915DABA6A}"/>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8055489" y="812329"/>
          <a:ext cx="493184" cy="537509"/>
        </a:xfrm>
        <a:prstGeom prst="rect">
          <a:avLst/>
        </a:prstGeom>
      </xdr:spPr>
    </xdr:pic>
    <xdr:clientData/>
  </xdr:twoCellAnchor>
  <xdr:twoCellAnchor>
    <xdr:from>
      <xdr:col>5</xdr:col>
      <xdr:colOff>471658</xdr:colOff>
      <xdr:row>0</xdr:row>
      <xdr:rowOff>98521</xdr:rowOff>
    </xdr:from>
    <xdr:to>
      <xdr:col>6</xdr:col>
      <xdr:colOff>297873</xdr:colOff>
      <xdr:row>0</xdr:row>
      <xdr:rowOff>581121</xdr:rowOff>
    </xdr:to>
    <xdr:sp macro="" textlink="">
      <xdr:nvSpPr>
        <xdr:cNvPr id="7" name="Arrow: Right 8">
          <a:hlinkClick xmlns:r="http://schemas.openxmlformats.org/officeDocument/2006/relationships" r:id="rId3"/>
          <a:extLst>
            <a:ext uri="{FF2B5EF4-FFF2-40B4-BE49-F238E27FC236}">
              <a16:creationId xmlns:a16="http://schemas.microsoft.com/office/drawing/2014/main" id="{64768624-364C-3C5C-C176-8FEAE8A3915C}"/>
            </a:ext>
          </a:extLst>
        </xdr:cNvPr>
        <xdr:cNvSpPr/>
      </xdr:nvSpPr>
      <xdr:spPr>
        <a:xfrm>
          <a:off x="10910167" y="98521"/>
          <a:ext cx="650601" cy="482600"/>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Next</a:t>
          </a:r>
          <a:endParaRPr lang="th-TH" sz="1100" b="1" kern="1200"/>
        </a:p>
      </xdr:txBody>
    </xdr:sp>
    <xdr:clientData/>
  </xdr:twoCellAnchor>
  <xdr:twoCellAnchor>
    <xdr:from>
      <xdr:col>4</xdr:col>
      <xdr:colOff>582277</xdr:colOff>
      <xdr:row>0</xdr:row>
      <xdr:rowOff>105415</xdr:rowOff>
    </xdr:from>
    <xdr:to>
      <xdr:col>5</xdr:col>
      <xdr:colOff>357960</xdr:colOff>
      <xdr:row>0</xdr:row>
      <xdr:rowOff>581121</xdr:rowOff>
    </xdr:to>
    <xdr:sp macro="" textlink="">
      <xdr:nvSpPr>
        <xdr:cNvPr id="8" name="Arrow: Right 9">
          <a:hlinkClick xmlns:r="http://schemas.openxmlformats.org/officeDocument/2006/relationships" r:id="rId4"/>
          <a:extLst>
            <a:ext uri="{FF2B5EF4-FFF2-40B4-BE49-F238E27FC236}">
              <a16:creationId xmlns:a16="http://schemas.microsoft.com/office/drawing/2014/main" id="{7FC6A65D-025B-9F51-77F7-232D24B36332}"/>
            </a:ext>
          </a:extLst>
        </xdr:cNvPr>
        <xdr:cNvSpPr/>
      </xdr:nvSpPr>
      <xdr:spPr>
        <a:xfrm flipH="1">
          <a:off x="10196400" y="105415"/>
          <a:ext cx="600069" cy="475706"/>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Prev</a:t>
          </a:r>
          <a:endParaRPr lang="th-TH" sz="1100" b="1" kern="1200"/>
        </a:p>
      </xdr:txBody>
    </xdr:sp>
    <xdr:clientData/>
  </xdr:twoCellAnchor>
  <xdr:twoCellAnchor>
    <xdr:from>
      <xdr:col>1</xdr:col>
      <xdr:colOff>1876598</xdr:colOff>
      <xdr:row>29</xdr:row>
      <xdr:rowOff>55684</xdr:rowOff>
    </xdr:from>
    <xdr:to>
      <xdr:col>3</xdr:col>
      <xdr:colOff>1536543</xdr:colOff>
      <xdr:row>50</xdr:row>
      <xdr:rowOff>0</xdr:rowOff>
    </xdr:to>
    <xdr:graphicFrame macro="">
      <xdr:nvGraphicFramePr>
        <xdr:cNvPr id="16" name="Chart 15">
          <a:extLst>
            <a:ext uri="{FF2B5EF4-FFF2-40B4-BE49-F238E27FC236}">
              <a16:creationId xmlns:a16="http://schemas.microsoft.com/office/drawing/2014/main" id="{49DC767E-BFC4-BE4C-A5D1-72D872E001C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3</xdr:col>
      <xdr:colOff>2102164</xdr:colOff>
      <xdr:row>27</xdr:row>
      <xdr:rowOff>178743</xdr:rowOff>
    </xdr:from>
    <xdr:ext cx="939397" cy="934976"/>
    <xdr:pic macro="[0]!Survival2_info">
      <xdr:nvPicPr>
        <xdr:cNvPr id="17" name="Graphic 16" descr="Megaphone with solid fill">
          <a:extLst>
            <a:ext uri="{FF2B5EF4-FFF2-40B4-BE49-F238E27FC236}">
              <a16:creationId xmlns:a16="http://schemas.microsoft.com/office/drawing/2014/main" id="{14F1D517-95BF-DD49-BE96-BF61BA87CE9F}"/>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9531664" y="6994410"/>
          <a:ext cx="939397" cy="934976"/>
        </a:xfrm>
        <a:prstGeom prst="rect">
          <a:avLst/>
        </a:prstGeom>
      </xdr:spPr>
    </xdr:pic>
    <xdr:clientData/>
  </xdr:oneCellAnchor>
  <xdr:twoCellAnchor>
    <xdr:from>
      <xdr:col>6</xdr:col>
      <xdr:colOff>1191605</xdr:colOff>
      <xdr:row>29</xdr:row>
      <xdr:rowOff>7135</xdr:rowOff>
    </xdr:from>
    <xdr:to>
      <xdr:col>11</xdr:col>
      <xdr:colOff>109753</xdr:colOff>
      <xdr:row>50</xdr:row>
      <xdr:rowOff>78395</xdr:rowOff>
    </xdr:to>
    <xdr:graphicFrame macro="">
      <xdr:nvGraphicFramePr>
        <xdr:cNvPr id="18" name="Chart 17">
          <a:extLst>
            <a:ext uri="{FF2B5EF4-FFF2-40B4-BE49-F238E27FC236}">
              <a16:creationId xmlns:a16="http://schemas.microsoft.com/office/drawing/2014/main" id="{3BCA73A4-D135-8D42-BA6C-B70B33ABD61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oneCell">
    <xdr:from>
      <xdr:col>11</xdr:col>
      <xdr:colOff>446852</xdr:colOff>
      <xdr:row>27</xdr:row>
      <xdr:rowOff>167373</xdr:rowOff>
    </xdr:from>
    <xdr:to>
      <xdr:col>12</xdr:col>
      <xdr:colOff>495559</xdr:colOff>
      <xdr:row>31</xdr:row>
      <xdr:rowOff>174758</xdr:rowOff>
    </xdr:to>
    <xdr:pic macro="[0]!Survival1_info">
      <xdr:nvPicPr>
        <xdr:cNvPr id="19" name="Graphic 18" descr="Megaphone with solid fill">
          <a:extLst>
            <a:ext uri="{FF2B5EF4-FFF2-40B4-BE49-F238E27FC236}">
              <a16:creationId xmlns:a16="http://schemas.microsoft.com/office/drawing/2014/main" id="{EB279A7D-82B1-0D47-A832-191EE65BCCA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19507435" y="6983040"/>
          <a:ext cx="874207" cy="814681"/>
        </a:xfrm>
        <a:prstGeom prst="rect">
          <a:avLst/>
        </a:prstGeom>
      </xdr:spPr>
    </xdr:pic>
    <xdr:clientData/>
  </xdr:twoCellAnchor>
  <xdr:twoCellAnchor>
    <xdr:from>
      <xdr:col>3</xdr:col>
      <xdr:colOff>1317037</xdr:colOff>
      <xdr:row>2</xdr:row>
      <xdr:rowOff>31358</xdr:rowOff>
    </xdr:from>
    <xdr:to>
      <xdr:col>3</xdr:col>
      <xdr:colOff>2091737</xdr:colOff>
      <xdr:row>3</xdr:row>
      <xdr:rowOff>64833</xdr:rowOff>
    </xdr:to>
    <xdr:sp macro="[0]!Survival_reset" textlink="">
      <xdr:nvSpPr>
        <xdr:cNvPr id="20" name="Rectangle 19">
          <a:extLst>
            <a:ext uri="{FF2B5EF4-FFF2-40B4-BE49-F238E27FC236}">
              <a16:creationId xmlns:a16="http://schemas.microsoft.com/office/drawing/2014/main" id="{84CD1B71-4F3A-0A40-A4C4-4E08EC1768B7}"/>
            </a:ext>
          </a:extLst>
        </xdr:cNvPr>
        <xdr:cNvSpPr/>
      </xdr:nvSpPr>
      <xdr:spPr>
        <a:xfrm>
          <a:off x="8748889" y="846667"/>
          <a:ext cx="774700" cy="425450"/>
        </a:xfrm>
        <a:prstGeom prst="rect">
          <a:avLst/>
        </a:prstGeom>
        <a:solidFill>
          <a:schemeClr val="accent1">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kern="1200"/>
            <a:t>Reset</a:t>
          </a:r>
          <a:endParaRPr lang="th-TH" sz="1400" b="1" kern="12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1122084</xdr:colOff>
      <xdr:row>0</xdr:row>
      <xdr:rowOff>54610</xdr:rowOff>
    </xdr:from>
    <xdr:to>
      <xdr:col>5</xdr:col>
      <xdr:colOff>1761901</xdr:colOff>
      <xdr:row>1</xdr:row>
      <xdr:rowOff>92710</xdr:rowOff>
    </xdr:to>
    <xdr:sp macro="" textlink="">
      <xdr:nvSpPr>
        <xdr:cNvPr id="3" name="Arrow: Right 8">
          <a:hlinkClick xmlns:r="http://schemas.openxmlformats.org/officeDocument/2006/relationships" r:id="rId1"/>
          <a:extLst>
            <a:ext uri="{FF2B5EF4-FFF2-40B4-BE49-F238E27FC236}">
              <a16:creationId xmlns:a16="http://schemas.microsoft.com/office/drawing/2014/main" id="{3CD51136-C874-3C41-92BE-63F6B6544AF0}"/>
            </a:ext>
          </a:extLst>
        </xdr:cNvPr>
        <xdr:cNvSpPr/>
      </xdr:nvSpPr>
      <xdr:spPr>
        <a:xfrm>
          <a:off x="12647334" y="54610"/>
          <a:ext cx="639817" cy="485775"/>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Next</a:t>
          </a:r>
          <a:endParaRPr lang="th-TH" sz="1100" b="1" kern="1200"/>
        </a:p>
      </xdr:txBody>
    </xdr:sp>
    <xdr:clientData/>
  </xdr:twoCellAnchor>
  <xdr:twoCellAnchor>
    <xdr:from>
      <xdr:col>5</xdr:col>
      <xdr:colOff>388620</xdr:colOff>
      <xdr:row>0</xdr:row>
      <xdr:rowOff>53884</xdr:rowOff>
    </xdr:from>
    <xdr:to>
      <xdr:col>5</xdr:col>
      <xdr:colOff>1008386</xdr:colOff>
      <xdr:row>1</xdr:row>
      <xdr:rowOff>92710</xdr:rowOff>
    </xdr:to>
    <xdr:sp macro="" textlink="">
      <xdr:nvSpPr>
        <xdr:cNvPr id="5" name="Arrow: Right 9">
          <a:hlinkClick xmlns:r="http://schemas.openxmlformats.org/officeDocument/2006/relationships" r:id="rId2"/>
          <a:extLst>
            <a:ext uri="{FF2B5EF4-FFF2-40B4-BE49-F238E27FC236}">
              <a16:creationId xmlns:a16="http://schemas.microsoft.com/office/drawing/2014/main" id="{55A80D71-F98B-6B4D-826B-F4D832DD3D5C}"/>
            </a:ext>
          </a:extLst>
        </xdr:cNvPr>
        <xdr:cNvSpPr/>
      </xdr:nvSpPr>
      <xdr:spPr>
        <a:xfrm flipH="1">
          <a:off x="11913870" y="53884"/>
          <a:ext cx="619766" cy="486501"/>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Prev</a:t>
          </a:r>
          <a:endParaRPr lang="th-TH" sz="1100" b="1" kern="1200"/>
        </a:p>
      </xdr:txBody>
    </xdr:sp>
    <xdr:clientData/>
  </xdr:twoCellAnchor>
  <xdr:twoCellAnchor>
    <xdr:from>
      <xdr:col>6</xdr:col>
      <xdr:colOff>88900</xdr:colOff>
      <xdr:row>5</xdr:row>
      <xdr:rowOff>38100</xdr:rowOff>
    </xdr:from>
    <xdr:to>
      <xdr:col>7</xdr:col>
      <xdr:colOff>190500</xdr:colOff>
      <xdr:row>7</xdr:row>
      <xdr:rowOff>82550</xdr:rowOff>
    </xdr:to>
    <xdr:sp macro="[0]!CostComponent_reset" textlink="">
      <xdr:nvSpPr>
        <xdr:cNvPr id="6" name="Rectangle 5">
          <a:extLst>
            <a:ext uri="{FF2B5EF4-FFF2-40B4-BE49-F238E27FC236}">
              <a16:creationId xmlns:a16="http://schemas.microsoft.com/office/drawing/2014/main" id="{F6EEFCD1-4E4E-0141-B0E7-C8F813423635}"/>
            </a:ext>
          </a:extLst>
        </xdr:cNvPr>
        <xdr:cNvSpPr/>
      </xdr:nvSpPr>
      <xdr:spPr>
        <a:xfrm>
          <a:off x="12319000" y="876300"/>
          <a:ext cx="774700" cy="425450"/>
        </a:xfrm>
        <a:prstGeom prst="rect">
          <a:avLst/>
        </a:prstGeom>
        <a:solidFill>
          <a:schemeClr val="accent1">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kern="1200"/>
            <a:t>Reset</a:t>
          </a:r>
          <a:endParaRPr lang="th-TH" sz="1400" b="1" kern="12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630641</xdr:colOff>
      <xdr:row>0</xdr:row>
      <xdr:rowOff>14654</xdr:rowOff>
    </xdr:from>
    <xdr:to>
      <xdr:col>9</xdr:col>
      <xdr:colOff>622300</xdr:colOff>
      <xdr:row>1</xdr:row>
      <xdr:rowOff>14654</xdr:rowOff>
    </xdr:to>
    <xdr:sp macro="" textlink="">
      <xdr:nvSpPr>
        <xdr:cNvPr id="3" name="Arrow: Right 2">
          <a:hlinkClick xmlns:r="http://schemas.openxmlformats.org/officeDocument/2006/relationships" r:id="rId1"/>
          <a:extLst>
            <a:ext uri="{FF2B5EF4-FFF2-40B4-BE49-F238E27FC236}">
              <a16:creationId xmlns:a16="http://schemas.microsoft.com/office/drawing/2014/main" id="{E4C488EA-145D-F54A-94E0-DD3F317E9153}"/>
            </a:ext>
          </a:extLst>
        </xdr:cNvPr>
        <xdr:cNvSpPr/>
      </xdr:nvSpPr>
      <xdr:spPr>
        <a:xfrm>
          <a:off x="9999333" y="14654"/>
          <a:ext cx="695044" cy="449385"/>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Next</a:t>
          </a:r>
          <a:endParaRPr lang="th-TH" sz="1100" b="1" kern="1200"/>
        </a:p>
      </xdr:txBody>
    </xdr:sp>
    <xdr:clientData/>
  </xdr:twoCellAnchor>
  <xdr:twoCellAnchor>
    <xdr:from>
      <xdr:col>7</xdr:col>
      <xdr:colOff>571500</xdr:colOff>
      <xdr:row>0</xdr:row>
      <xdr:rowOff>21074</xdr:rowOff>
    </xdr:from>
    <xdr:to>
      <xdr:col>8</xdr:col>
      <xdr:colOff>509177</xdr:colOff>
      <xdr:row>1</xdr:row>
      <xdr:rowOff>14654</xdr:rowOff>
    </xdr:to>
    <xdr:sp macro="" textlink="">
      <xdr:nvSpPr>
        <xdr:cNvPr id="4" name="Arrow: Right 3">
          <a:hlinkClick xmlns:r="http://schemas.openxmlformats.org/officeDocument/2006/relationships" r:id="rId2"/>
          <a:extLst>
            <a:ext uri="{FF2B5EF4-FFF2-40B4-BE49-F238E27FC236}">
              <a16:creationId xmlns:a16="http://schemas.microsoft.com/office/drawing/2014/main" id="{2A22A95D-BE5F-D351-CE2A-BF804F5C8A73}"/>
            </a:ext>
          </a:extLst>
        </xdr:cNvPr>
        <xdr:cNvSpPr/>
      </xdr:nvSpPr>
      <xdr:spPr>
        <a:xfrm flipH="1">
          <a:off x="9236808" y="21074"/>
          <a:ext cx="641061" cy="442965"/>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Prev</a:t>
          </a:r>
          <a:endParaRPr lang="th-TH" sz="1100" b="1" kern="1200"/>
        </a:p>
      </xdr:txBody>
    </xdr:sp>
    <xdr:clientData/>
  </xdr:twoCellAnchor>
  <xdr:twoCellAnchor editAs="oneCell">
    <xdr:from>
      <xdr:col>4</xdr:col>
      <xdr:colOff>210770</xdr:colOff>
      <xdr:row>2</xdr:row>
      <xdr:rowOff>27843</xdr:rowOff>
    </xdr:from>
    <xdr:to>
      <xdr:col>5</xdr:col>
      <xdr:colOff>17448</xdr:colOff>
      <xdr:row>3</xdr:row>
      <xdr:rowOff>321668</xdr:rowOff>
    </xdr:to>
    <xdr:pic macro="[0]!Costdata_info">
      <xdr:nvPicPr>
        <xdr:cNvPr id="7" name="Graphic 6" descr="Megaphone with solid fill">
          <a:extLst>
            <a:ext uri="{FF2B5EF4-FFF2-40B4-BE49-F238E27FC236}">
              <a16:creationId xmlns:a16="http://schemas.microsoft.com/office/drawing/2014/main" id="{55FE7292-3FB4-4AF1-91E3-5E19BF90B9E2}"/>
            </a:ext>
          </a:extLst>
        </xdr:cNvPr>
        <xdr:cNvPicPr>
          <a:picLocks noChangeAspect="1"/>
        </xdr:cNvPicPr>
      </xdr:nvPicPr>
      <xdr:blipFill>
        <a:blip xmlns:r="http://schemas.openxmlformats.org/officeDocument/2006/relationships" r:embed="rId3">
          <a:extLst>
            <a:ext uri="{96DAC541-7B7A-43D3-8B79-37D633B846F1}">
              <asvg:svgBlip xmlns="" xmlns:asvg="http://schemas.microsoft.com/office/drawing/2016/SVG/main" r:embed="rId4"/>
            </a:ext>
          </a:extLst>
        </a:blip>
        <a:stretch>
          <a:fillRect/>
        </a:stretch>
      </xdr:blipFill>
      <xdr:spPr>
        <a:xfrm>
          <a:off x="6765924" y="682381"/>
          <a:ext cx="510062" cy="53429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5</xdr:col>
      <xdr:colOff>57738</xdr:colOff>
      <xdr:row>0</xdr:row>
      <xdr:rowOff>0</xdr:rowOff>
    </xdr:from>
    <xdr:to>
      <xdr:col>6</xdr:col>
      <xdr:colOff>50800</xdr:colOff>
      <xdr:row>1</xdr:row>
      <xdr:rowOff>0</xdr:rowOff>
    </xdr:to>
    <xdr:sp macro="" textlink="">
      <xdr:nvSpPr>
        <xdr:cNvPr id="3" name="Arrow: Right 2">
          <a:hlinkClick xmlns:r="http://schemas.openxmlformats.org/officeDocument/2006/relationships" r:id="rId1"/>
          <a:extLst>
            <a:ext uri="{FF2B5EF4-FFF2-40B4-BE49-F238E27FC236}">
              <a16:creationId xmlns:a16="http://schemas.microsoft.com/office/drawing/2014/main" id="{02E1E29A-14A9-2B05-B90C-377B473936A4}"/>
            </a:ext>
          </a:extLst>
        </xdr:cNvPr>
        <xdr:cNvSpPr/>
      </xdr:nvSpPr>
      <xdr:spPr>
        <a:xfrm>
          <a:off x="8693738" y="0"/>
          <a:ext cx="666162" cy="450850"/>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Next</a:t>
          </a:r>
          <a:endParaRPr lang="th-TH" sz="1100" b="1" kern="1200"/>
        </a:p>
      </xdr:txBody>
    </xdr:sp>
    <xdr:clientData/>
  </xdr:twoCellAnchor>
  <xdr:twoCellAnchor>
    <xdr:from>
      <xdr:col>4</xdr:col>
      <xdr:colOff>0</xdr:colOff>
      <xdr:row>0</xdr:row>
      <xdr:rowOff>6441</xdr:rowOff>
    </xdr:from>
    <xdr:to>
      <xdr:col>4</xdr:col>
      <xdr:colOff>614421</xdr:colOff>
      <xdr:row>1</xdr:row>
      <xdr:rowOff>0</xdr:rowOff>
    </xdr:to>
    <xdr:sp macro="" textlink="">
      <xdr:nvSpPr>
        <xdr:cNvPr id="4" name="Arrow: Right 3">
          <a:hlinkClick xmlns:r="http://schemas.openxmlformats.org/officeDocument/2006/relationships" r:id="rId2"/>
          <a:extLst>
            <a:ext uri="{FF2B5EF4-FFF2-40B4-BE49-F238E27FC236}">
              <a16:creationId xmlns:a16="http://schemas.microsoft.com/office/drawing/2014/main" id="{8A7A4E83-2FE3-A09E-E375-814D0CA4EDC9}"/>
            </a:ext>
          </a:extLst>
        </xdr:cNvPr>
        <xdr:cNvSpPr/>
      </xdr:nvSpPr>
      <xdr:spPr>
        <a:xfrm flipH="1">
          <a:off x="7962900" y="6441"/>
          <a:ext cx="614421" cy="444409"/>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Prev</a:t>
          </a:r>
          <a:endParaRPr lang="th-TH" sz="1100" b="1" kern="1200"/>
        </a:p>
      </xdr:txBody>
    </xdr:sp>
    <xdr:clientData/>
  </xdr:twoCellAnchor>
  <xdr:twoCellAnchor editAs="oneCell">
    <xdr:from>
      <xdr:col>7</xdr:col>
      <xdr:colOff>285750</xdr:colOff>
      <xdr:row>1</xdr:row>
      <xdr:rowOff>133350</xdr:rowOff>
    </xdr:from>
    <xdr:to>
      <xdr:col>8</xdr:col>
      <xdr:colOff>111477</xdr:colOff>
      <xdr:row>4</xdr:row>
      <xdr:rowOff>78316</xdr:rowOff>
    </xdr:to>
    <xdr:pic macro="[0]!Outcome_info">
      <xdr:nvPicPr>
        <xdr:cNvPr id="5" name="Graphic 4" descr="Megaphone with solid fill">
          <a:extLst>
            <a:ext uri="{FF2B5EF4-FFF2-40B4-BE49-F238E27FC236}">
              <a16:creationId xmlns:a16="http://schemas.microsoft.com/office/drawing/2014/main" id="{815A149D-09CB-4E64-B109-09202D518C1A}"/>
            </a:ext>
          </a:extLst>
        </xdr:cNvPr>
        <xdr:cNvPicPr>
          <a:picLocks noChangeAspect="1"/>
        </xdr:cNvPicPr>
      </xdr:nvPicPr>
      <xdr:blipFill>
        <a:blip xmlns:r="http://schemas.openxmlformats.org/officeDocument/2006/relationships" r:embed="rId3">
          <a:extLst>
            <a:ext uri="{96DAC541-7B7A-43D3-8B79-37D633B846F1}">
              <asvg:svgBlip xmlns="" xmlns:asvg="http://schemas.microsoft.com/office/drawing/2016/SVG/main" r:embed="rId4"/>
            </a:ext>
          </a:extLst>
        </a:blip>
        <a:stretch>
          <a:fillRect/>
        </a:stretch>
      </xdr:blipFill>
      <xdr:spPr>
        <a:xfrm>
          <a:off x="10277475" y="581025"/>
          <a:ext cx="502002" cy="487891"/>
        </a:xfrm>
        <a:prstGeom prst="rect">
          <a:avLst/>
        </a:prstGeom>
      </xdr:spPr>
    </xdr:pic>
    <xdr:clientData/>
  </xdr:twoCellAnchor>
  <xdr:twoCellAnchor>
    <xdr:from>
      <xdr:col>7</xdr:col>
      <xdr:colOff>152400</xdr:colOff>
      <xdr:row>4</xdr:row>
      <xdr:rowOff>152400</xdr:rowOff>
    </xdr:from>
    <xdr:to>
      <xdr:col>8</xdr:col>
      <xdr:colOff>254000</xdr:colOff>
      <xdr:row>7</xdr:row>
      <xdr:rowOff>6350</xdr:rowOff>
    </xdr:to>
    <xdr:sp macro="[0]!Outcome_reset" textlink="">
      <xdr:nvSpPr>
        <xdr:cNvPr id="7" name="Rectangle 6">
          <a:extLst>
            <a:ext uri="{FF2B5EF4-FFF2-40B4-BE49-F238E27FC236}">
              <a16:creationId xmlns:a16="http://schemas.microsoft.com/office/drawing/2014/main" id="{CF41804D-6C25-F247-A051-08D678ABBBCD}"/>
            </a:ext>
          </a:extLst>
        </xdr:cNvPr>
        <xdr:cNvSpPr/>
      </xdr:nvSpPr>
      <xdr:spPr>
        <a:xfrm>
          <a:off x="10134600" y="1181100"/>
          <a:ext cx="774700" cy="425450"/>
        </a:xfrm>
        <a:prstGeom prst="rect">
          <a:avLst/>
        </a:prstGeom>
        <a:solidFill>
          <a:schemeClr val="accent1">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kern="1200"/>
            <a:t>Reset</a:t>
          </a:r>
          <a:endParaRPr lang="th-TH" sz="1400" b="1" kern="12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57823</xdr:colOff>
      <xdr:row>0</xdr:row>
      <xdr:rowOff>0</xdr:rowOff>
    </xdr:from>
    <xdr:to>
      <xdr:col>6</xdr:col>
      <xdr:colOff>50800</xdr:colOff>
      <xdr:row>1</xdr:row>
      <xdr:rowOff>0</xdr:rowOff>
    </xdr:to>
    <xdr:sp macro="" textlink="">
      <xdr:nvSpPr>
        <xdr:cNvPr id="3" name="Arrow: Right 2">
          <a:hlinkClick xmlns:r="http://schemas.openxmlformats.org/officeDocument/2006/relationships" r:id="rId1"/>
          <a:extLst>
            <a:ext uri="{FF2B5EF4-FFF2-40B4-BE49-F238E27FC236}">
              <a16:creationId xmlns:a16="http://schemas.microsoft.com/office/drawing/2014/main" id="{5428673E-0C90-7E94-9B93-44206E7532E0}"/>
            </a:ext>
          </a:extLst>
        </xdr:cNvPr>
        <xdr:cNvSpPr/>
      </xdr:nvSpPr>
      <xdr:spPr>
        <a:xfrm>
          <a:off x="6232100" y="0"/>
          <a:ext cx="667914" cy="451289"/>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Next</a:t>
          </a:r>
          <a:endParaRPr lang="th-TH" sz="1100" b="1" kern="1200"/>
        </a:p>
      </xdr:txBody>
    </xdr:sp>
    <xdr:clientData/>
  </xdr:twoCellAnchor>
  <xdr:twoCellAnchor>
    <xdr:from>
      <xdr:col>4</xdr:col>
      <xdr:colOff>0</xdr:colOff>
      <xdr:row>0</xdr:row>
      <xdr:rowOff>6447</xdr:rowOff>
    </xdr:from>
    <xdr:to>
      <xdr:col>4</xdr:col>
      <xdr:colOff>616037</xdr:colOff>
      <xdr:row>1</xdr:row>
      <xdr:rowOff>0</xdr:rowOff>
    </xdr:to>
    <xdr:sp macro="" textlink="">
      <xdr:nvSpPr>
        <xdr:cNvPr id="4" name="Arrow: Right 3">
          <a:hlinkClick xmlns:r="http://schemas.openxmlformats.org/officeDocument/2006/relationships" r:id="rId2"/>
          <a:extLst>
            <a:ext uri="{FF2B5EF4-FFF2-40B4-BE49-F238E27FC236}">
              <a16:creationId xmlns:a16="http://schemas.microsoft.com/office/drawing/2014/main" id="{EF5AA9DD-E97C-3026-28F1-9794DC0E739A}"/>
            </a:ext>
          </a:extLst>
        </xdr:cNvPr>
        <xdr:cNvSpPr/>
      </xdr:nvSpPr>
      <xdr:spPr>
        <a:xfrm flipH="1">
          <a:off x="5499340" y="6447"/>
          <a:ext cx="616037" cy="444842"/>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Prev</a:t>
          </a:r>
          <a:endParaRPr lang="th-TH" sz="1100" b="1" kern="1200"/>
        </a:p>
      </xdr:txBody>
    </xdr:sp>
    <xdr:clientData/>
  </xdr:twoCellAnchor>
  <xdr:twoCellAnchor editAs="oneCell">
    <xdr:from>
      <xdr:col>6</xdr:col>
      <xdr:colOff>0</xdr:colOff>
      <xdr:row>2</xdr:row>
      <xdr:rowOff>0</xdr:rowOff>
    </xdr:from>
    <xdr:to>
      <xdr:col>6</xdr:col>
      <xdr:colOff>505177</xdr:colOff>
      <xdr:row>4</xdr:row>
      <xdr:rowOff>122766</xdr:rowOff>
    </xdr:to>
    <xdr:pic macro="[0]!Discount_info">
      <xdr:nvPicPr>
        <xdr:cNvPr id="5" name="Graphic 4" descr="Megaphone with solid fill">
          <a:extLst>
            <a:ext uri="{FF2B5EF4-FFF2-40B4-BE49-F238E27FC236}">
              <a16:creationId xmlns:a16="http://schemas.microsoft.com/office/drawing/2014/main" id="{C8524F28-E962-4B9E-8091-D0D184ACF013}"/>
            </a:ext>
          </a:extLst>
        </xdr:cNvPr>
        <xdr:cNvPicPr>
          <a:picLocks noChangeAspect="1"/>
        </xdr:cNvPicPr>
      </xdr:nvPicPr>
      <xdr:blipFill>
        <a:blip xmlns:r="http://schemas.openxmlformats.org/officeDocument/2006/relationships" r:embed="rId3">
          <a:extLst>
            <a:ext uri="{96DAC541-7B7A-43D3-8B79-37D633B846F1}">
              <asvg:svgBlip xmlns="" xmlns:asvg="http://schemas.microsoft.com/office/drawing/2016/SVG/main" r:embed="rId4"/>
            </a:ext>
          </a:extLst>
        </a:blip>
        <a:stretch>
          <a:fillRect/>
        </a:stretch>
      </xdr:blipFill>
      <xdr:spPr>
        <a:xfrm>
          <a:off x="6858000" y="628650"/>
          <a:ext cx="505177" cy="484716"/>
        </a:xfrm>
        <a:prstGeom prst="rect">
          <a:avLst/>
        </a:prstGeom>
      </xdr:spPr>
    </xdr:pic>
    <xdr:clientData/>
  </xdr:twoCellAnchor>
  <xdr:twoCellAnchor>
    <xdr:from>
      <xdr:col>5</xdr:col>
      <xdr:colOff>212511</xdr:colOff>
      <xdr:row>4</xdr:row>
      <xdr:rowOff>146734</xdr:rowOff>
    </xdr:from>
    <xdr:to>
      <xdr:col>6</xdr:col>
      <xdr:colOff>314262</xdr:colOff>
      <xdr:row>6</xdr:row>
      <xdr:rowOff>187642</xdr:rowOff>
    </xdr:to>
    <xdr:sp macro="[0]!Discounting_reset" textlink="">
      <xdr:nvSpPr>
        <xdr:cNvPr id="2" name="Rectangle 1">
          <a:extLst>
            <a:ext uri="{FF2B5EF4-FFF2-40B4-BE49-F238E27FC236}">
              <a16:creationId xmlns:a16="http://schemas.microsoft.com/office/drawing/2014/main" id="{D4B9B15D-D48A-424E-9AC4-C2861B549722}"/>
            </a:ext>
          </a:extLst>
        </xdr:cNvPr>
        <xdr:cNvSpPr/>
      </xdr:nvSpPr>
      <xdr:spPr>
        <a:xfrm>
          <a:off x="6385419" y="1178925"/>
          <a:ext cx="774700" cy="425450"/>
        </a:xfrm>
        <a:prstGeom prst="rect">
          <a:avLst/>
        </a:prstGeom>
        <a:solidFill>
          <a:schemeClr val="accent1">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kern="1200"/>
            <a:t>Reset</a:t>
          </a:r>
          <a:endParaRPr lang="th-TH" sz="1400" b="1" kern="12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390525</xdr:colOff>
      <xdr:row>3</xdr:row>
      <xdr:rowOff>47625</xdr:rowOff>
    </xdr:from>
    <xdr:to>
      <xdr:col>11</xdr:col>
      <xdr:colOff>238125</xdr:colOff>
      <xdr:row>18</xdr:row>
      <xdr:rowOff>114300</xdr:rowOff>
    </xdr:to>
    <xdr:graphicFrame macro="">
      <xdr:nvGraphicFramePr>
        <xdr:cNvPr id="7" name="Chart 6">
          <a:extLst>
            <a:ext uri="{FF2B5EF4-FFF2-40B4-BE49-F238E27FC236}">
              <a16:creationId xmlns:a16="http://schemas.microsoft.com/office/drawing/2014/main" id="{0F5D2030-D074-C87B-7313-33EBDF0A691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355600</xdr:colOff>
      <xdr:row>21</xdr:row>
      <xdr:rowOff>63500</xdr:rowOff>
    </xdr:from>
    <xdr:to>
      <xdr:col>11</xdr:col>
      <xdr:colOff>203200</xdr:colOff>
      <xdr:row>36</xdr:row>
      <xdr:rowOff>203200</xdr:rowOff>
    </xdr:to>
    <xdr:graphicFrame macro="">
      <xdr:nvGraphicFramePr>
        <xdr:cNvPr id="8" name="Chart 7">
          <a:extLst>
            <a:ext uri="{FF2B5EF4-FFF2-40B4-BE49-F238E27FC236}">
              <a16:creationId xmlns:a16="http://schemas.microsoft.com/office/drawing/2014/main" id="{18EE675F-1D7B-164C-940E-6EE744BA06C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330200</xdr:colOff>
      <xdr:row>38</xdr:row>
      <xdr:rowOff>50800</xdr:rowOff>
    </xdr:from>
    <xdr:to>
      <xdr:col>11</xdr:col>
      <xdr:colOff>177800</xdr:colOff>
      <xdr:row>53</xdr:row>
      <xdr:rowOff>241300</xdr:rowOff>
    </xdr:to>
    <xdr:graphicFrame macro="">
      <xdr:nvGraphicFramePr>
        <xdr:cNvPr id="9" name="Chart 8">
          <a:extLst>
            <a:ext uri="{FF2B5EF4-FFF2-40B4-BE49-F238E27FC236}">
              <a16:creationId xmlns:a16="http://schemas.microsoft.com/office/drawing/2014/main" id="{619C5E94-5808-7045-8975-E3E69EDF23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399152</xdr:colOff>
      <xdr:row>0</xdr:row>
      <xdr:rowOff>177800</xdr:rowOff>
    </xdr:from>
    <xdr:to>
      <xdr:col>5</xdr:col>
      <xdr:colOff>656087</xdr:colOff>
      <xdr:row>0</xdr:row>
      <xdr:rowOff>622300</xdr:rowOff>
    </xdr:to>
    <xdr:sp macro="" textlink="">
      <xdr:nvSpPr>
        <xdr:cNvPr id="3" name="Arrow: Right 26">
          <a:hlinkClick xmlns:r="http://schemas.openxmlformats.org/officeDocument/2006/relationships" r:id="rId4"/>
          <a:extLst>
            <a:ext uri="{FF2B5EF4-FFF2-40B4-BE49-F238E27FC236}">
              <a16:creationId xmlns:a16="http://schemas.microsoft.com/office/drawing/2014/main" id="{5D20F321-6C2B-9383-9A7B-2C130A82B6BC}"/>
            </a:ext>
          </a:extLst>
        </xdr:cNvPr>
        <xdr:cNvSpPr/>
      </xdr:nvSpPr>
      <xdr:spPr>
        <a:xfrm>
          <a:off x="8452107" y="177800"/>
          <a:ext cx="920798" cy="444500"/>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Next</a:t>
          </a:r>
          <a:endParaRPr lang="th-TH" sz="1100" b="1" kern="1200"/>
        </a:p>
      </xdr:txBody>
    </xdr:sp>
    <xdr:clientData/>
  </xdr:twoCellAnchor>
  <xdr:twoCellAnchor>
    <xdr:from>
      <xdr:col>3</xdr:col>
      <xdr:colOff>1041400</xdr:colOff>
      <xdr:row>0</xdr:row>
      <xdr:rowOff>184150</xdr:rowOff>
    </xdr:from>
    <xdr:to>
      <xdr:col>4</xdr:col>
      <xdr:colOff>238236</xdr:colOff>
      <xdr:row>0</xdr:row>
      <xdr:rowOff>622300</xdr:rowOff>
    </xdr:to>
    <xdr:sp macro="" textlink="">
      <xdr:nvSpPr>
        <xdr:cNvPr id="4" name="Arrow: Right 27">
          <a:hlinkClick xmlns:r="http://schemas.openxmlformats.org/officeDocument/2006/relationships" r:id="rId5"/>
          <a:extLst>
            <a:ext uri="{FF2B5EF4-FFF2-40B4-BE49-F238E27FC236}">
              <a16:creationId xmlns:a16="http://schemas.microsoft.com/office/drawing/2014/main" id="{28BE2D5C-F21A-6D72-E7D6-82C64B181F22}"/>
            </a:ext>
          </a:extLst>
        </xdr:cNvPr>
        <xdr:cNvSpPr/>
      </xdr:nvSpPr>
      <xdr:spPr>
        <a:xfrm flipH="1">
          <a:off x="7441911" y="184150"/>
          <a:ext cx="849280" cy="438150"/>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Prev</a:t>
          </a:r>
          <a:endParaRPr lang="th-TH" sz="1100" b="1" kern="12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694266</xdr:colOff>
      <xdr:row>17</xdr:row>
      <xdr:rowOff>0</xdr:rowOff>
    </xdr:from>
    <xdr:to>
      <xdr:col>19</xdr:col>
      <xdr:colOff>152400</xdr:colOff>
      <xdr:row>61</xdr:row>
      <xdr:rowOff>84667</xdr:rowOff>
    </xdr:to>
    <xdr:graphicFrame macro="">
      <xdr:nvGraphicFramePr>
        <xdr:cNvPr id="2" name="Chart 1">
          <a:extLst>
            <a:ext uri="{FF2B5EF4-FFF2-40B4-BE49-F238E27FC236}">
              <a16:creationId xmlns:a16="http://schemas.microsoft.com/office/drawing/2014/main" id="{5A39A50D-3CCC-832A-1155-48246D6059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1094697</xdr:colOff>
      <xdr:row>0</xdr:row>
      <xdr:rowOff>86136</xdr:rowOff>
    </xdr:from>
    <xdr:to>
      <xdr:col>4</xdr:col>
      <xdr:colOff>638330</xdr:colOff>
      <xdr:row>0</xdr:row>
      <xdr:rowOff>660400</xdr:rowOff>
    </xdr:to>
    <xdr:sp macro="" textlink="">
      <xdr:nvSpPr>
        <xdr:cNvPr id="5" name="Arrow: Right 27">
          <a:hlinkClick xmlns:r="http://schemas.openxmlformats.org/officeDocument/2006/relationships" r:id="rId2"/>
          <a:extLst>
            <a:ext uri="{FF2B5EF4-FFF2-40B4-BE49-F238E27FC236}">
              <a16:creationId xmlns:a16="http://schemas.microsoft.com/office/drawing/2014/main" id="{F9C6BCC4-DDFF-FE1C-25D9-1FCDDD29DB2E}"/>
            </a:ext>
          </a:extLst>
        </xdr:cNvPr>
        <xdr:cNvSpPr/>
      </xdr:nvSpPr>
      <xdr:spPr>
        <a:xfrm flipH="1">
          <a:off x="8469164" y="86136"/>
          <a:ext cx="932166" cy="574264"/>
        </a:xfrm>
        <a:prstGeom prst="rightArrow">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US" sz="1100" b="1" kern="1200"/>
            <a:t>Prev</a:t>
          </a:r>
          <a:endParaRPr lang="th-TH" sz="1100" b="1" kern="1200"/>
        </a:p>
      </xdr:txBody>
    </xdr:sp>
    <xdr:clientData/>
  </xdr:twoCellAnchor>
  <xdr:twoCellAnchor editAs="oneCell">
    <xdr:from>
      <xdr:col>6</xdr:col>
      <xdr:colOff>317430</xdr:colOff>
      <xdr:row>2</xdr:row>
      <xdr:rowOff>98408</xdr:rowOff>
    </xdr:from>
    <xdr:to>
      <xdr:col>7</xdr:col>
      <xdr:colOff>363459</xdr:colOff>
      <xdr:row>6</xdr:row>
      <xdr:rowOff>26685</xdr:rowOff>
    </xdr:to>
    <xdr:pic macro="[0]!Incremental_info">
      <xdr:nvPicPr>
        <xdr:cNvPr id="3" name="Graphic 2" descr="Megaphone with solid fill">
          <a:extLst>
            <a:ext uri="{FF2B5EF4-FFF2-40B4-BE49-F238E27FC236}">
              <a16:creationId xmlns:a16="http://schemas.microsoft.com/office/drawing/2014/main" id="{E30E17AB-2ADF-334D-B684-BA66231F996F}"/>
            </a:ext>
          </a:extLst>
        </xdr:cNvPr>
        <xdr:cNvPicPr>
          <a:picLocks noChangeAspect="1"/>
        </xdr:cNvPicPr>
      </xdr:nvPicPr>
      <xdr:blipFill>
        <a:blip xmlns:r="http://schemas.openxmlformats.org/officeDocument/2006/relationships" r:embed="rId3">
          <a:extLst>
            <a:ext uri="{96DAC541-7B7A-43D3-8B79-37D633B846F1}">
              <asvg:svgBlip xmlns="" xmlns:asvg="http://schemas.microsoft.com/office/drawing/2016/SVG/main" r:embed="rId4"/>
            </a:ext>
          </a:extLst>
        </a:blip>
        <a:stretch>
          <a:fillRect/>
        </a:stretch>
      </xdr:blipFill>
      <xdr:spPr>
        <a:xfrm>
          <a:off x="10810545" y="1014474"/>
          <a:ext cx="702733" cy="7180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valueinhealthjournal.com/article/S1098-3015(10)60455-X/pdf?_returnURL=https%3A%2F%2Flinkinghub.elsevier.com%2Fretrieve%2Fpii%2FS109830151060455X%3Fshowall%3Dtrue"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4"/>
  <sheetViews>
    <sheetView showGridLines="0" tabSelected="1" zoomScaleNormal="100" workbookViewId="0">
      <selection activeCell="C3" sqref="C3:O3"/>
    </sheetView>
  </sheetViews>
  <sheetFormatPr defaultColWidth="8.625" defaultRowHeight="14.25"/>
  <cols>
    <col min="9" max="9" width="11" customWidth="1"/>
  </cols>
  <sheetData>
    <row r="1" spans="1:17" ht="42" customHeight="1">
      <c r="A1" s="232" t="s">
        <v>0</v>
      </c>
      <c r="B1" s="232"/>
      <c r="C1" s="233"/>
      <c r="D1" s="233"/>
      <c r="E1" s="233"/>
      <c r="F1" s="233"/>
      <c r="G1" s="233"/>
      <c r="H1" s="233"/>
      <c r="I1" s="233"/>
      <c r="J1" s="233"/>
      <c r="K1" s="233"/>
      <c r="L1" s="233"/>
      <c r="M1" s="233"/>
      <c r="N1" s="233"/>
      <c r="O1" s="233"/>
      <c r="P1" s="233"/>
      <c r="Q1" s="233"/>
    </row>
    <row r="3" spans="1:17" ht="48" customHeight="1">
      <c r="C3" s="237" t="s">
        <v>1</v>
      </c>
      <c r="D3" s="237"/>
      <c r="E3" s="237"/>
      <c r="F3" s="237"/>
      <c r="G3" s="237"/>
      <c r="H3" s="237"/>
      <c r="I3" s="237"/>
      <c r="J3" s="237"/>
      <c r="K3" s="237"/>
      <c r="L3" s="237"/>
      <c r="M3" s="237"/>
      <c r="N3" s="237"/>
      <c r="O3" s="237"/>
    </row>
    <row r="5" spans="1:17" ht="15.75">
      <c r="F5" s="235" t="s">
        <v>2</v>
      </c>
      <c r="G5" s="235"/>
      <c r="H5" s="235"/>
      <c r="I5" s="235"/>
      <c r="J5" s="235"/>
      <c r="K5" s="235"/>
      <c r="L5" s="235"/>
    </row>
    <row r="6" spans="1:17" ht="15">
      <c r="F6" s="236" t="s">
        <v>3</v>
      </c>
      <c r="G6" s="236"/>
      <c r="H6" s="236"/>
      <c r="I6" s="236"/>
      <c r="J6" s="236"/>
      <c r="K6" s="236"/>
      <c r="L6" s="236"/>
    </row>
    <row r="8" spans="1:17" ht="14.65" customHeight="1">
      <c r="E8" s="234" t="s">
        <v>4</v>
      </c>
      <c r="F8" s="234"/>
      <c r="G8" s="234"/>
      <c r="H8" s="234"/>
      <c r="I8" s="234"/>
      <c r="J8" s="234"/>
      <c r="K8" s="234"/>
      <c r="L8" s="234"/>
      <c r="M8" s="234"/>
    </row>
    <row r="9" spans="1:17">
      <c r="E9" s="234"/>
      <c r="F9" s="234"/>
      <c r="G9" s="234"/>
      <c r="H9" s="234"/>
      <c r="I9" s="234"/>
      <c r="J9" s="234"/>
      <c r="K9" s="234"/>
      <c r="L9" s="234"/>
      <c r="M9" s="234"/>
    </row>
    <row r="10" spans="1:17">
      <c r="E10" s="234"/>
      <c r="F10" s="234"/>
      <c r="G10" s="234"/>
      <c r="H10" s="234"/>
      <c r="I10" s="234"/>
      <c r="J10" s="234"/>
      <c r="K10" s="234"/>
      <c r="L10" s="234"/>
      <c r="M10" s="234"/>
    </row>
    <row r="12" spans="1:17" ht="15">
      <c r="I12" s="7" t="s">
        <v>5</v>
      </c>
    </row>
    <row r="13" spans="1:17">
      <c r="I13" s="6" t="s">
        <v>6</v>
      </c>
    </row>
    <row r="14" spans="1:17">
      <c r="I14" s="218">
        <v>45734</v>
      </c>
    </row>
  </sheetData>
  <mergeCells count="5">
    <mergeCell ref="A1:Q1"/>
    <mergeCell ref="E8:M10"/>
    <mergeCell ref="F5:L5"/>
    <mergeCell ref="F6:L6"/>
    <mergeCell ref="C3:O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0"/>
  </sheetPr>
  <dimension ref="A1:P37"/>
  <sheetViews>
    <sheetView showGridLines="0" zoomScaleNormal="100" workbookViewId="0"/>
  </sheetViews>
  <sheetFormatPr defaultColWidth="8.625" defaultRowHeight="14.25"/>
  <cols>
    <col min="3" max="3" width="84.625" customWidth="1"/>
    <col min="4" max="4" width="5.625" customWidth="1"/>
    <col min="5" max="5" width="32.375" customWidth="1"/>
  </cols>
  <sheetData>
    <row r="1" spans="1:16" s="102" customFormat="1" ht="37.9" customHeight="1">
      <c r="A1" s="216" t="s">
        <v>7</v>
      </c>
      <c r="B1" s="103"/>
      <c r="C1" s="103"/>
      <c r="D1" s="103"/>
      <c r="E1" s="103"/>
      <c r="F1" s="103"/>
      <c r="G1" s="103"/>
      <c r="H1" s="103"/>
      <c r="I1" s="103"/>
      <c r="J1" s="103"/>
      <c r="K1" s="103"/>
      <c r="L1" s="103"/>
      <c r="M1" s="103"/>
      <c r="N1" s="103"/>
      <c r="O1" s="103"/>
      <c r="P1" s="103"/>
    </row>
    <row r="2" spans="1:16">
      <c r="A2" t="s">
        <v>8</v>
      </c>
    </row>
    <row r="3" spans="1:16" ht="15" thickBot="1"/>
    <row r="4" spans="1:16">
      <c r="B4" s="26"/>
      <c r="C4" s="27"/>
      <c r="D4" s="27"/>
      <c r="E4" s="27"/>
      <c r="F4" s="28"/>
    </row>
    <row r="5" spans="1:16" ht="15">
      <c r="B5" s="13"/>
      <c r="C5" s="8" t="s">
        <v>9</v>
      </c>
      <c r="E5" s="8" t="s">
        <v>10</v>
      </c>
      <c r="F5" s="14"/>
    </row>
    <row r="6" spans="1:16">
      <c r="B6" s="13"/>
      <c r="F6" s="14"/>
    </row>
    <row r="7" spans="1:16" ht="50.65" customHeight="1">
      <c r="B7" s="13"/>
      <c r="C7" s="109" t="s">
        <v>11</v>
      </c>
      <c r="E7" s="168" t="s">
        <v>12</v>
      </c>
      <c r="F7" s="14"/>
    </row>
    <row r="8" spans="1:16" ht="15">
      <c r="B8" s="13"/>
      <c r="C8" s="9"/>
      <c r="E8" s="121"/>
      <c r="F8" s="14"/>
    </row>
    <row r="9" spans="1:16" ht="15">
      <c r="B9" s="13"/>
      <c r="E9" s="121"/>
      <c r="F9" s="14"/>
    </row>
    <row r="10" spans="1:16" ht="28.5">
      <c r="B10" s="13"/>
      <c r="C10" s="9" t="s">
        <v>13</v>
      </c>
      <c r="E10" s="168" t="s">
        <v>14</v>
      </c>
      <c r="F10" s="14"/>
    </row>
    <row r="11" spans="1:16" ht="15">
      <c r="B11" s="13"/>
      <c r="C11" s="9"/>
      <c r="E11" s="120"/>
      <c r="F11" s="14"/>
    </row>
    <row r="12" spans="1:16" ht="15">
      <c r="B12" s="13"/>
      <c r="E12" s="121"/>
      <c r="F12" s="14"/>
    </row>
    <row r="13" spans="1:16" ht="28.5">
      <c r="B13" s="13"/>
      <c r="C13" s="9" t="s">
        <v>15</v>
      </c>
      <c r="E13" s="168" t="s">
        <v>16</v>
      </c>
      <c r="F13" s="14"/>
    </row>
    <row r="14" spans="1:16" ht="15">
      <c r="B14" s="13"/>
      <c r="C14" s="9"/>
      <c r="E14" s="120"/>
      <c r="F14" s="14"/>
    </row>
    <row r="15" spans="1:16" ht="15">
      <c r="B15" s="13"/>
      <c r="E15" s="121"/>
      <c r="F15" s="14"/>
    </row>
    <row r="16" spans="1:16" ht="28.5">
      <c r="B16" s="13"/>
      <c r="C16" s="9" t="s">
        <v>17</v>
      </c>
      <c r="E16" s="169" t="s">
        <v>18</v>
      </c>
      <c r="F16" s="14"/>
    </row>
    <row r="17" spans="2:6" ht="15">
      <c r="B17" s="13"/>
      <c r="C17" s="9"/>
      <c r="E17" s="120"/>
      <c r="F17" s="14"/>
    </row>
    <row r="18" spans="2:6" ht="15">
      <c r="B18" s="13"/>
      <c r="E18" s="121"/>
      <c r="F18" s="14"/>
    </row>
    <row r="19" spans="2:6" ht="15">
      <c r="B19" s="13"/>
      <c r="C19" t="s">
        <v>19</v>
      </c>
      <c r="E19" s="169" t="s">
        <v>20</v>
      </c>
      <c r="F19" s="14"/>
    </row>
    <row r="20" spans="2:6" ht="15">
      <c r="B20" s="13"/>
      <c r="E20" s="121"/>
      <c r="F20" s="14"/>
    </row>
    <row r="21" spans="2:6" ht="15">
      <c r="B21" s="13"/>
      <c r="E21" s="121"/>
      <c r="F21" s="14"/>
    </row>
    <row r="22" spans="2:6" ht="28.5">
      <c r="B22" s="13"/>
      <c r="C22" s="9" t="s">
        <v>21</v>
      </c>
      <c r="E22" s="169" t="s">
        <v>22</v>
      </c>
      <c r="F22" s="14"/>
    </row>
    <row r="23" spans="2:6" ht="15">
      <c r="B23" s="13"/>
      <c r="C23" s="9"/>
      <c r="E23" s="120"/>
      <c r="F23" s="14"/>
    </row>
    <row r="24" spans="2:6" ht="15">
      <c r="B24" s="13"/>
      <c r="E24" s="121"/>
      <c r="F24" s="14"/>
    </row>
    <row r="25" spans="2:6" ht="40.9" customHeight="1">
      <c r="B25" s="13"/>
      <c r="C25" s="9" t="s">
        <v>23</v>
      </c>
      <c r="E25" s="169" t="s">
        <v>24</v>
      </c>
      <c r="F25" s="14"/>
    </row>
    <row r="26" spans="2:6" ht="15">
      <c r="B26" s="13"/>
      <c r="C26" s="9"/>
      <c r="E26" s="120"/>
      <c r="F26" s="14"/>
    </row>
    <row r="27" spans="2:6" ht="15">
      <c r="B27" s="13"/>
      <c r="E27" s="121"/>
      <c r="F27" s="14"/>
    </row>
    <row r="28" spans="2:6" ht="15">
      <c r="B28" s="13"/>
      <c r="C28" t="s">
        <v>25</v>
      </c>
      <c r="E28" s="169" t="s">
        <v>26</v>
      </c>
      <c r="F28" s="14"/>
    </row>
    <row r="29" spans="2:6" ht="15">
      <c r="B29" s="13"/>
      <c r="C29" s="9"/>
      <c r="E29" s="120"/>
      <c r="F29" s="14"/>
    </row>
    <row r="30" spans="2:6" ht="15">
      <c r="B30" s="13"/>
      <c r="E30" s="121"/>
      <c r="F30" s="14"/>
    </row>
    <row r="31" spans="2:6" ht="42.75">
      <c r="B31" s="13"/>
      <c r="C31" s="9" t="s">
        <v>27</v>
      </c>
      <c r="E31" s="170" t="s">
        <v>28</v>
      </c>
      <c r="F31" s="14"/>
    </row>
    <row r="32" spans="2:6" ht="15">
      <c r="B32" s="13"/>
      <c r="E32" s="121"/>
      <c r="F32" s="14"/>
    </row>
    <row r="33" spans="2:6" ht="15">
      <c r="B33" s="13"/>
      <c r="E33" s="121"/>
      <c r="F33" s="14"/>
    </row>
    <row r="34" spans="2:6" ht="28.5">
      <c r="B34" s="13"/>
      <c r="C34" s="9" t="s">
        <v>29</v>
      </c>
      <c r="E34" s="170" t="s">
        <v>30</v>
      </c>
      <c r="F34" s="14"/>
    </row>
    <row r="35" spans="2:6" ht="27" customHeight="1">
      <c r="B35" s="13"/>
      <c r="C35" s="9"/>
      <c r="E35" s="120"/>
      <c r="F35" s="14"/>
    </row>
    <row r="36" spans="2:6" ht="28.5">
      <c r="B36" s="13"/>
      <c r="C36" s="9" t="s">
        <v>31</v>
      </c>
      <c r="E36" s="171" t="s">
        <v>32</v>
      </c>
      <c r="F36" s="14"/>
    </row>
    <row r="37" spans="2:6" ht="15" thickBot="1">
      <c r="B37" s="23"/>
      <c r="C37" s="24"/>
      <c r="D37" s="24"/>
      <c r="E37" s="24"/>
      <c r="F37" s="25"/>
    </row>
  </sheetData>
  <hyperlinks>
    <hyperlink ref="E7" location="'1.Introduction'!A1" display="1.Introduction"/>
    <hyperlink ref="E10" location="'2.Questions'!A1" display="2.Questions"/>
    <hyperlink ref="E13" location="'3.Model structure'!A1" display="3.Model Structure"/>
    <hyperlink ref="E16" location="'4.Epidemiology'!A1" display="4.Epidemiology"/>
    <hyperlink ref="E22" location="'6.1.CostComponent'!A1" display="6.Cost"/>
    <hyperlink ref="E25" location="'7.Outcome'!A1" display="7.Outcome"/>
    <hyperlink ref="E28" location="'8.Discounting'!A1" display="8.Discounting"/>
    <hyperlink ref="E19" location="'5.Survival'!A1" display="5.Survival"/>
    <hyperlink ref="E31" location="'9.TotalCost&amp;Outcome'!A1" display="9.TotalCostOutcome"/>
    <hyperlink ref="E34" location="'10.FinalResults'!A1" display="10.FinalResults"/>
    <hyperlink ref="E36" location="Appendix_11.PolicyOption1Model!A1" display="Appendix.11.PolicyOptions1-3 Model"/>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P18"/>
  <sheetViews>
    <sheetView showGridLines="0" zoomScaleNormal="100" workbookViewId="0">
      <selection activeCell="E9" sqref="E9"/>
    </sheetView>
  </sheetViews>
  <sheetFormatPr defaultColWidth="8.625" defaultRowHeight="14.25"/>
  <cols>
    <col min="3" max="3" width="14.625" customWidth="1"/>
    <col min="4" max="4" width="26.375" customWidth="1"/>
    <col min="5" max="5" width="66.625" customWidth="1"/>
  </cols>
  <sheetData>
    <row r="1" spans="1:16" s="102" customFormat="1" ht="37.9" customHeight="1">
      <c r="A1" s="216" t="s">
        <v>33</v>
      </c>
      <c r="B1" s="103"/>
      <c r="C1" s="103"/>
      <c r="D1" s="103"/>
      <c r="E1" s="103"/>
      <c r="F1" s="103"/>
      <c r="G1" s="103"/>
      <c r="H1" s="103"/>
      <c r="I1" s="103"/>
      <c r="J1" s="103"/>
      <c r="K1" s="103"/>
      <c r="L1" s="103"/>
      <c r="M1" s="103"/>
      <c r="N1" s="103"/>
      <c r="O1" s="103"/>
      <c r="P1" s="103"/>
    </row>
    <row r="2" spans="1:16" ht="15" thickBot="1"/>
    <row r="3" spans="1:16" ht="15">
      <c r="C3" s="117" t="s">
        <v>34</v>
      </c>
      <c r="D3" s="118" t="s">
        <v>35</v>
      </c>
      <c r="E3" s="119" t="s">
        <v>36</v>
      </c>
    </row>
    <row r="4" spans="1:16">
      <c r="C4" s="13"/>
      <c r="E4" s="14"/>
    </row>
    <row r="5" spans="1:16" ht="41.65" customHeight="1">
      <c r="C5" s="115" t="s">
        <v>37</v>
      </c>
      <c r="D5" s="116" t="s">
        <v>38</v>
      </c>
      <c r="E5" s="114" t="s">
        <v>39</v>
      </c>
    </row>
    <row r="6" spans="1:16">
      <c r="C6" s="115"/>
      <c r="D6" s="116"/>
      <c r="E6" s="114"/>
    </row>
    <row r="7" spans="1:16" ht="47.65" customHeight="1">
      <c r="C7" s="115" t="s">
        <v>283</v>
      </c>
      <c r="D7" s="116" t="s">
        <v>40</v>
      </c>
      <c r="E7" s="219" t="s">
        <v>41</v>
      </c>
    </row>
    <row r="8" spans="1:16">
      <c r="C8" s="115"/>
      <c r="D8" s="116"/>
      <c r="E8" s="114"/>
    </row>
    <row r="9" spans="1:16" ht="70.150000000000006" customHeight="1">
      <c r="C9" s="115" t="s">
        <v>42</v>
      </c>
      <c r="D9" s="116" t="s">
        <v>43</v>
      </c>
      <c r="E9" s="114" t="s">
        <v>44</v>
      </c>
    </row>
    <row r="10" spans="1:16">
      <c r="C10" s="115"/>
      <c r="D10" s="116"/>
      <c r="E10" s="114"/>
    </row>
    <row r="11" spans="1:16" ht="60.75" customHeight="1">
      <c r="C11" s="115" t="s">
        <v>45</v>
      </c>
      <c r="D11" s="116" t="s">
        <v>46</v>
      </c>
      <c r="E11" s="220" t="s">
        <v>47</v>
      </c>
    </row>
    <row r="12" spans="1:16">
      <c r="C12" s="115"/>
      <c r="D12" s="116"/>
      <c r="E12" s="114"/>
    </row>
    <row r="13" spans="1:16" ht="28.5">
      <c r="C13" s="115" t="s">
        <v>48</v>
      </c>
      <c r="D13" s="116" t="s">
        <v>49</v>
      </c>
      <c r="E13" s="114" t="s">
        <v>50</v>
      </c>
    </row>
    <row r="14" spans="1:16">
      <c r="C14" s="115"/>
      <c r="D14" s="116"/>
      <c r="E14" s="114"/>
    </row>
    <row r="15" spans="1:16" ht="36" customHeight="1">
      <c r="C15" s="115" t="s">
        <v>51</v>
      </c>
      <c r="D15" s="116" t="s">
        <v>52</v>
      </c>
      <c r="E15" s="220" t="s">
        <v>53</v>
      </c>
      <c r="F15" s="9"/>
      <c r="G15" s="9"/>
      <c r="H15" s="9"/>
      <c r="I15" s="9"/>
      <c r="J15" s="9"/>
      <c r="K15" s="9"/>
      <c r="L15" s="9"/>
      <c r="M15" s="9"/>
      <c r="N15" s="9"/>
      <c r="O15" s="9"/>
      <c r="P15" s="9"/>
    </row>
    <row r="16" spans="1:16" ht="15" thickBot="1">
      <c r="C16" s="23"/>
      <c r="D16" s="24"/>
      <c r="E16" s="25"/>
    </row>
    <row r="18" spans="3:3">
      <c r="C18" t="s">
        <v>54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3" tint="0.89999084444715716"/>
  </sheetPr>
  <dimension ref="A1:P39"/>
  <sheetViews>
    <sheetView showGridLines="0" zoomScaleNormal="100" workbookViewId="0"/>
  </sheetViews>
  <sheetFormatPr defaultColWidth="8.625" defaultRowHeight="14.25"/>
  <sheetData>
    <row r="1" spans="1:16" s="102" customFormat="1" ht="37.9" customHeight="1">
      <c r="A1" s="216" t="s">
        <v>55</v>
      </c>
      <c r="B1" s="103"/>
      <c r="C1" s="103"/>
      <c r="D1" s="103"/>
      <c r="E1" s="103"/>
      <c r="F1" s="103"/>
      <c r="G1" s="103"/>
      <c r="H1" s="103"/>
      <c r="I1" s="103"/>
      <c r="J1" s="103"/>
      <c r="K1" s="103"/>
      <c r="L1" s="103"/>
      <c r="M1" s="103"/>
      <c r="N1" s="103"/>
      <c r="O1" s="103"/>
      <c r="P1" s="103"/>
    </row>
    <row r="4" spans="1:16" ht="15" thickBot="1"/>
    <row r="5" spans="1:16" ht="18">
      <c r="B5" s="10" t="s">
        <v>56</v>
      </c>
      <c r="C5" s="11"/>
      <c r="D5" s="11"/>
      <c r="E5" s="11"/>
      <c r="F5" s="11"/>
      <c r="G5" s="11"/>
      <c r="H5" s="11"/>
      <c r="I5" s="11"/>
      <c r="J5" s="11"/>
      <c r="K5" s="11"/>
      <c r="L5" s="11"/>
      <c r="M5" s="11"/>
      <c r="N5" s="11"/>
      <c r="O5" s="11"/>
      <c r="P5" s="12"/>
    </row>
    <row r="6" spans="1:16">
      <c r="B6" s="238" t="s">
        <v>57</v>
      </c>
      <c r="C6" s="239"/>
      <c r="D6" s="239"/>
      <c r="E6" s="239"/>
      <c r="F6" s="239"/>
      <c r="G6" s="239"/>
      <c r="H6" s="239"/>
      <c r="I6" s="239"/>
      <c r="J6" s="239"/>
      <c r="K6" s="239"/>
      <c r="L6" s="239"/>
      <c r="M6" s="239"/>
      <c r="N6" s="239"/>
      <c r="O6" s="239"/>
      <c r="P6" s="240"/>
    </row>
    <row r="7" spans="1:16">
      <c r="B7" s="238"/>
      <c r="C7" s="239"/>
      <c r="D7" s="239"/>
      <c r="E7" s="239"/>
      <c r="F7" s="239"/>
      <c r="G7" s="239"/>
      <c r="H7" s="239"/>
      <c r="I7" s="239"/>
      <c r="J7" s="239"/>
      <c r="K7" s="239"/>
      <c r="L7" s="239"/>
      <c r="M7" s="239"/>
      <c r="N7" s="239"/>
      <c r="O7" s="239"/>
      <c r="P7" s="240"/>
    </row>
    <row r="8" spans="1:16" ht="28.9" customHeight="1">
      <c r="B8" s="238"/>
      <c r="C8" s="239"/>
      <c r="D8" s="239"/>
      <c r="E8" s="239"/>
      <c r="F8" s="239"/>
      <c r="G8" s="239"/>
      <c r="H8" s="239"/>
      <c r="I8" s="239"/>
      <c r="J8" s="239"/>
      <c r="K8" s="239"/>
      <c r="L8" s="239"/>
      <c r="M8" s="239"/>
      <c r="N8" s="239"/>
      <c r="O8" s="239"/>
      <c r="P8" s="240"/>
    </row>
    <row r="9" spans="1:16" ht="21.4" customHeight="1">
      <c r="B9" s="15" t="s">
        <v>58</v>
      </c>
      <c r="C9" s="16"/>
      <c r="D9" s="16"/>
      <c r="E9" s="16"/>
      <c r="F9" s="16"/>
      <c r="G9" s="16"/>
      <c r="H9" s="16"/>
      <c r="I9" s="16"/>
      <c r="J9" s="16"/>
      <c r="K9" s="16"/>
      <c r="L9" s="16"/>
      <c r="M9" s="16"/>
      <c r="N9" s="16"/>
      <c r="O9" s="16"/>
      <c r="P9" s="17"/>
    </row>
    <row r="10" spans="1:16">
      <c r="B10" s="13"/>
      <c r="P10" s="14"/>
    </row>
    <row r="11" spans="1:16">
      <c r="B11" s="13"/>
      <c r="E11" s="241" t="s">
        <v>59</v>
      </c>
      <c r="F11" s="241"/>
      <c r="G11" s="241"/>
      <c r="H11" s="241"/>
      <c r="I11" s="241"/>
      <c r="J11" s="241"/>
      <c r="K11" s="241"/>
      <c r="L11" s="241"/>
      <c r="M11" s="241"/>
      <c r="N11" s="241"/>
      <c r="O11" s="241"/>
      <c r="P11" s="242"/>
    </row>
    <row r="12" spans="1:16">
      <c r="B12" s="13"/>
      <c r="P12" s="14"/>
    </row>
    <row r="13" spans="1:16">
      <c r="B13" s="13"/>
      <c r="P13" s="14"/>
    </row>
    <row r="14" spans="1:16">
      <c r="B14" s="13"/>
      <c r="E14" s="241" t="s">
        <v>60</v>
      </c>
      <c r="F14" s="241"/>
      <c r="G14" s="241"/>
      <c r="H14" s="241"/>
      <c r="I14" s="241"/>
      <c r="J14" s="241"/>
      <c r="K14" s="241"/>
      <c r="L14" s="241"/>
      <c r="M14" s="241"/>
      <c r="N14" s="241"/>
      <c r="O14" s="241"/>
      <c r="P14" s="242"/>
    </row>
    <row r="15" spans="1:16">
      <c r="B15" s="13"/>
      <c r="P15" s="14"/>
    </row>
    <row r="16" spans="1:16">
      <c r="B16" s="13"/>
      <c r="P16" s="14"/>
    </row>
    <row r="17" spans="2:16">
      <c r="B17" s="13"/>
      <c r="P17" s="14"/>
    </row>
    <row r="18" spans="2:16">
      <c r="B18" s="13"/>
      <c r="E18" s="241" t="s">
        <v>61</v>
      </c>
      <c r="F18" s="241"/>
      <c r="G18" s="241"/>
      <c r="H18" s="241"/>
      <c r="I18" s="241"/>
      <c r="J18" s="241"/>
      <c r="K18" s="241"/>
      <c r="L18" s="241"/>
      <c r="M18" s="241"/>
      <c r="N18" s="241"/>
      <c r="O18" s="241"/>
      <c r="P18" s="242"/>
    </row>
    <row r="19" spans="2:16">
      <c r="B19" s="13"/>
      <c r="P19" s="14"/>
    </row>
    <row r="20" spans="2:16">
      <c r="B20" s="13"/>
      <c r="P20" s="14"/>
    </row>
    <row r="21" spans="2:16">
      <c r="B21" s="13"/>
      <c r="P21" s="14"/>
    </row>
    <row r="22" spans="2:16">
      <c r="B22" s="13"/>
      <c r="E22" s="241" t="s">
        <v>62</v>
      </c>
      <c r="F22" s="241"/>
      <c r="G22" s="241"/>
      <c r="H22" s="241"/>
      <c r="I22" s="241"/>
      <c r="J22" s="241"/>
      <c r="K22" s="241"/>
      <c r="L22" s="241"/>
      <c r="M22" s="241"/>
      <c r="N22" s="241"/>
      <c r="O22" s="241"/>
      <c r="P22" s="242"/>
    </row>
    <row r="23" spans="2:16">
      <c r="B23" s="13"/>
      <c r="P23" s="14"/>
    </row>
    <row r="24" spans="2:16">
      <c r="B24" s="13"/>
      <c r="P24" s="14"/>
    </row>
    <row r="25" spans="2:16">
      <c r="B25" s="13"/>
      <c r="E25" s="241" t="s">
        <v>63</v>
      </c>
      <c r="F25" s="241"/>
      <c r="G25" s="241"/>
      <c r="H25" s="241"/>
      <c r="I25" s="241"/>
      <c r="J25" s="241"/>
      <c r="K25" s="241"/>
      <c r="L25" s="241"/>
      <c r="M25" s="241"/>
      <c r="N25" s="241"/>
      <c r="O25" s="241"/>
      <c r="P25" s="242"/>
    </row>
    <row r="26" spans="2:16">
      <c r="B26" s="13"/>
      <c r="P26" s="14"/>
    </row>
    <row r="27" spans="2:16">
      <c r="B27" s="13"/>
      <c r="P27" s="14"/>
    </row>
    <row r="28" spans="2:16">
      <c r="B28" s="13"/>
      <c r="P28" s="14"/>
    </row>
    <row r="29" spans="2:16" ht="18">
      <c r="B29" s="15" t="s">
        <v>64</v>
      </c>
      <c r="C29" s="20"/>
      <c r="D29" s="20"/>
      <c r="E29" s="20"/>
      <c r="F29" s="20"/>
      <c r="G29" s="20"/>
      <c r="H29" s="20"/>
      <c r="I29" s="20"/>
      <c r="J29" s="20"/>
      <c r="K29" s="20"/>
      <c r="L29" s="20"/>
      <c r="M29" s="20"/>
      <c r="N29" s="20"/>
      <c r="O29" s="20"/>
      <c r="P29" s="21"/>
    </row>
    <row r="30" spans="2:16">
      <c r="B30" s="247" t="s">
        <v>65</v>
      </c>
      <c r="C30" s="243"/>
      <c r="D30" s="243"/>
      <c r="E30" s="243"/>
      <c r="F30" s="243"/>
      <c r="G30" s="243"/>
      <c r="H30" s="243"/>
      <c r="I30" s="243"/>
      <c r="J30" s="243"/>
      <c r="K30" s="243"/>
      <c r="L30" s="243"/>
      <c r="M30" s="243"/>
      <c r="N30" s="243"/>
      <c r="O30" s="243"/>
      <c r="P30" s="244"/>
    </row>
    <row r="31" spans="2:16">
      <c r="B31" s="247"/>
      <c r="C31" s="243"/>
      <c r="D31" s="243"/>
      <c r="E31" s="243"/>
      <c r="F31" s="243"/>
      <c r="G31" s="243"/>
      <c r="H31" s="243"/>
      <c r="I31" s="243"/>
      <c r="J31" s="243"/>
      <c r="K31" s="243"/>
      <c r="L31" s="243"/>
      <c r="M31" s="243"/>
      <c r="N31" s="243"/>
      <c r="O31" s="243"/>
      <c r="P31" s="244"/>
    </row>
    <row r="32" spans="2:16">
      <c r="B32" s="247"/>
      <c r="C32" s="243"/>
      <c r="D32" s="243"/>
      <c r="E32" s="243"/>
      <c r="F32" s="243"/>
      <c r="G32" s="243"/>
      <c r="H32" s="243"/>
      <c r="I32" s="243"/>
      <c r="J32" s="243"/>
      <c r="K32" s="243"/>
      <c r="L32" s="243"/>
      <c r="M32" s="243"/>
      <c r="N32" s="243"/>
      <c r="O32" s="243"/>
      <c r="P32" s="244"/>
    </row>
    <row r="33" spans="2:16">
      <c r="B33" s="247"/>
      <c r="C33" s="243"/>
      <c r="D33" s="243"/>
      <c r="E33" s="243"/>
      <c r="F33" s="243"/>
      <c r="G33" s="243"/>
      <c r="H33" s="243"/>
      <c r="I33" s="243"/>
      <c r="J33" s="243"/>
      <c r="K33" s="243"/>
      <c r="L33" s="243"/>
      <c r="M33" s="243"/>
      <c r="N33" s="243"/>
      <c r="O33" s="243"/>
      <c r="P33" s="244"/>
    </row>
    <row r="34" spans="2:16">
      <c r="B34" s="247"/>
      <c r="C34" s="243"/>
      <c r="D34" s="243"/>
      <c r="E34" s="243"/>
      <c r="F34" s="243"/>
      <c r="G34" s="243"/>
      <c r="H34" s="243"/>
      <c r="I34" s="243"/>
      <c r="J34" s="243"/>
      <c r="K34" s="243"/>
      <c r="L34" s="243"/>
      <c r="M34" s="243"/>
      <c r="N34" s="243"/>
      <c r="O34" s="243"/>
      <c r="P34" s="244"/>
    </row>
    <row r="35" spans="2:16">
      <c r="B35" s="13"/>
      <c r="P35" s="14"/>
    </row>
    <row r="36" spans="2:16" ht="18">
      <c r="B36" s="15" t="s">
        <v>66</v>
      </c>
      <c r="C36" s="20"/>
      <c r="D36" s="20"/>
      <c r="E36" s="20"/>
      <c r="F36" s="20"/>
      <c r="G36" s="20"/>
      <c r="H36" s="20"/>
      <c r="I36" s="20"/>
      <c r="J36" s="20"/>
      <c r="K36" s="20"/>
      <c r="L36" s="20"/>
      <c r="M36" s="20"/>
      <c r="N36" s="20"/>
      <c r="O36" s="20"/>
      <c r="P36" s="22"/>
    </row>
    <row r="37" spans="2:16" ht="28.5" customHeight="1">
      <c r="B37" s="245" t="s">
        <v>67</v>
      </c>
      <c r="C37" s="246"/>
      <c r="D37" s="246"/>
      <c r="E37" s="243" t="s">
        <v>68</v>
      </c>
      <c r="F37" s="243"/>
      <c r="G37" s="243"/>
      <c r="H37" s="243"/>
      <c r="I37" s="243"/>
      <c r="J37" s="243"/>
      <c r="K37" s="243"/>
      <c r="L37" s="243"/>
      <c r="M37" s="243"/>
      <c r="N37" s="243"/>
      <c r="O37" s="243"/>
      <c r="P37" s="244"/>
    </row>
    <row r="38" spans="2:16" ht="32.65" customHeight="1">
      <c r="B38" s="238" t="s">
        <v>69</v>
      </c>
      <c r="C38" s="239"/>
      <c r="D38" s="239"/>
      <c r="E38" s="243" t="s">
        <v>70</v>
      </c>
      <c r="F38" s="243"/>
      <c r="G38" s="243"/>
      <c r="H38" s="243"/>
      <c r="I38" s="243"/>
      <c r="J38" s="243"/>
      <c r="K38" s="243"/>
      <c r="L38" s="243"/>
      <c r="M38" s="243"/>
      <c r="N38" s="243"/>
      <c r="O38" s="243"/>
      <c r="P38" s="244"/>
    </row>
    <row r="39" spans="2:16" ht="15" thickBot="1">
      <c r="B39" s="23"/>
      <c r="C39" s="24"/>
      <c r="D39" s="24"/>
      <c r="E39" s="24"/>
      <c r="F39" s="24"/>
      <c r="G39" s="24"/>
      <c r="H39" s="24"/>
      <c r="I39" s="24"/>
      <c r="J39" s="24"/>
      <c r="K39" s="24"/>
      <c r="L39" s="24"/>
      <c r="M39" s="24"/>
      <c r="N39" s="24"/>
      <c r="O39" s="24"/>
      <c r="P39" s="25"/>
    </row>
  </sheetData>
  <mergeCells count="11">
    <mergeCell ref="E37:P37"/>
    <mergeCell ref="E38:P38"/>
    <mergeCell ref="B38:D38"/>
    <mergeCell ref="B37:D37"/>
    <mergeCell ref="B30:P34"/>
    <mergeCell ref="B6:P8"/>
    <mergeCell ref="E25:P25"/>
    <mergeCell ref="E11:P11"/>
    <mergeCell ref="E14:P14"/>
    <mergeCell ref="E18:P18"/>
    <mergeCell ref="E22:P2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3" tint="0.89999084444715716"/>
  </sheetPr>
  <dimension ref="A1:Q20"/>
  <sheetViews>
    <sheetView showGridLines="0" workbookViewId="0">
      <selection sqref="A1:Q1"/>
    </sheetView>
  </sheetViews>
  <sheetFormatPr defaultColWidth="8.625" defaultRowHeight="14.25"/>
  <cols>
    <col min="2" max="2" width="8.625" customWidth="1"/>
    <col min="16" max="16" width="11.375" customWidth="1"/>
  </cols>
  <sheetData>
    <row r="1" spans="1:17" ht="37.15" customHeight="1">
      <c r="A1" s="248" t="s">
        <v>71</v>
      </c>
      <c r="B1" s="248"/>
      <c r="C1" s="248"/>
      <c r="D1" s="248"/>
      <c r="E1" s="248"/>
      <c r="F1" s="248"/>
      <c r="G1" s="248"/>
      <c r="H1" s="248"/>
      <c r="I1" s="248"/>
      <c r="J1" s="248"/>
      <c r="K1" s="248"/>
      <c r="L1" s="248"/>
      <c r="M1" s="248"/>
      <c r="N1" s="248"/>
      <c r="O1" s="248"/>
      <c r="P1" s="248"/>
      <c r="Q1" s="248"/>
    </row>
    <row r="2" spans="1:17" ht="15" thickBot="1"/>
    <row r="3" spans="1:17">
      <c r="B3" s="26"/>
      <c r="C3" s="27"/>
      <c r="D3" s="27"/>
      <c r="E3" s="27"/>
      <c r="F3" s="27"/>
      <c r="G3" s="27"/>
      <c r="H3" s="27"/>
      <c r="I3" s="27"/>
      <c r="J3" s="27"/>
      <c r="K3" s="27"/>
      <c r="L3" s="27"/>
      <c r="M3" s="27"/>
      <c r="N3" s="27"/>
      <c r="O3" s="27"/>
      <c r="P3" s="28"/>
    </row>
    <row r="4" spans="1:17" ht="15">
      <c r="B4" s="249" t="s">
        <v>72</v>
      </c>
      <c r="C4" s="250"/>
      <c r="D4" s="241" t="s">
        <v>73</v>
      </c>
      <c r="E4" s="241"/>
      <c r="F4" s="241"/>
      <c r="G4" s="241"/>
      <c r="H4" s="241"/>
      <c r="I4" s="241"/>
      <c r="J4" s="241"/>
      <c r="K4" s="241"/>
      <c r="L4" s="241"/>
      <c r="M4" s="241"/>
      <c r="N4" s="241"/>
      <c r="O4" s="241"/>
      <c r="P4" s="242"/>
    </row>
    <row r="5" spans="1:17">
      <c r="B5" s="13"/>
      <c r="P5" s="14"/>
    </row>
    <row r="6" spans="1:17" ht="13.9" customHeight="1">
      <c r="B6" s="249" t="s">
        <v>74</v>
      </c>
      <c r="C6" s="250"/>
      <c r="D6" s="243" t="s">
        <v>75</v>
      </c>
      <c r="E6" s="243"/>
      <c r="F6" s="243"/>
      <c r="G6" s="243"/>
      <c r="H6" s="243"/>
      <c r="I6" s="243"/>
      <c r="J6" s="243"/>
      <c r="K6" s="243"/>
      <c r="L6" s="243"/>
      <c r="M6" s="243"/>
      <c r="N6" s="243"/>
      <c r="O6" s="243"/>
      <c r="P6" s="244"/>
      <c r="Q6" s="9"/>
    </row>
    <row r="7" spans="1:17">
      <c r="B7" s="13"/>
      <c r="D7" s="243"/>
      <c r="E7" s="243"/>
      <c r="F7" s="243"/>
      <c r="G7" s="243"/>
      <c r="H7" s="243"/>
      <c r="I7" s="243"/>
      <c r="J7" s="243"/>
      <c r="K7" s="243"/>
      <c r="L7" s="243"/>
      <c r="M7" s="243"/>
      <c r="N7" s="243"/>
      <c r="O7" s="243"/>
      <c r="P7" s="244"/>
      <c r="Q7" s="9"/>
    </row>
    <row r="8" spans="1:17">
      <c r="B8" s="13"/>
      <c r="P8" s="14"/>
    </row>
    <row r="9" spans="1:17" ht="15">
      <c r="B9" s="31" t="s">
        <v>76</v>
      </c>
      <c r="D9" s="241" t="s">
        <v>77</v>
      </c>
      <c r="E9" s="241"/>
      <c r="F9" s="241"/>
      <c r="G9" s="241"/>
      <c r="H9" s="241"/>
      <c r="I9" s="241"/>
      <c r="J9" s="241"/>
      <c r="K9" s="241"/>
      <c r="L9" s="241"/>
      <c r="M9" s="241"/>
      <c r="N9" s="241"/>
      <c r="O9" s="241"/>
      <c r="P9" s="242"/>
    </row>
    <row r="10" spans="1:17" ht="15">
      <c r="B10" s="31"/>
      <c r="D10" s="18"/>
      <c r="E10" s="18"/>
      <c r="F10" s="18"/>
      <c r="G10" s="18"/>
      <c r="H10" s="18"/>
      <c r="I10" s="18"/>
      <c r="J10" s="18"/>
      <c r="K10" s="18"/>
      <c r="L10" s="18"/>
      <c r="M10" s="18"/>
      <c r="N10" s="18"/>
      <c r="O10" s="18"/>
      <c r="P10" s="19"/>
    </row>
    <row r="11" spans="1:17" ht="15">
      <c r="B11" s="249" t="s">
        <v>78</v>
      </c>
      <c r="C11" s="250"/>
      <c r="D11" s="241" t="s">
        <v>79</v>
      </c>
      <c r="E11" s="241"/>
      <c r="F11" s="241"/>
      <c r="G11" s="241"/>
      <c r="H11" s="241"/>
      <c r="I11" s="241"/>
      <c r="J11" s="241"/>
      <c r="K11" s="241"/>
      <c r="L11" s="241"/>
      <c r="M11" s="241"/>
      <c r="N11" s="241"/>
      <c r="O11" s="241"/>
      <c r="P11" s="242"/>
    </row>
    <row r="12" spans="1:17" ht="15">
      <c r="B12" s="29"/>
      <c r="C12" s="30"/>
      <c r="D12" s="18"/>
      <c r="E12" s="18"/>
      <c r="F12" s="18"/>
      <c r="G12" s="18"/>
      <c r="H12" s="18"/>
      <c r="I12" s="18"/>
      <c r="J12" s="18"/>
      <c r="K12" s="18"/>
      <c r="L12" s="18"/>
      <c r="M12" s="18"/>
      <c r="N12" s="18"/>
      <c r="O12" s="18"/>
      <c r="P12" s="19"/>
    </row>
    <row r="13" spans="1:17" ht="15">
      <c r="B13" s="249" t="s">
        <v>80</v>
      </c>
      <c r="C13" s="250"/>
      <c r="D13" s="241" t="s">
        <v>81</v>
      </c>
      <c r="E13" s="241"/>
      <c r="F13" s="241"/>
      <c r="G13" s="241"/>
      <c r="H13" s="241"/>
      <c r="I13" s="241"/>
      <c r="J13" s="241"/>
      <c r="K13" s="241"/>
      <c r="L13" s="241"/>
      <c r="M13" s="241"/>
      <c r="N13" s="241"/>
      <c r="O13" s="241"/>
      <c r="P13" s="242"/>
    </row>
    <row r="14" spans="1:17" ht="15">
      <c r="B14" s="29"/>
      <c r="C14" s="30"/>
      <c r="D14" s="18"/>
      <c r="E14" s="18"/>
      <c r="F14" s="18"/>
      <c r="G14" s="18"/>
      <c r="H14" s="18"/>
      <c r="I14" s="18"/>
      <c r="J14" s="18"/>
      <c r="K14" s="18"/>
      <c r="L14" s="18"/>
      <c r="M14" s="18"/>
      <c r="N14" s="18"/>
      <c r="O14" s="18"/>
      <c r="P14" s="19"/>
    </row>
    <row r="15" spans="1:17" ht="31.15" customHeight="1">
      <c r="B15" s="251" t="s">
        <v>82</v>
      </c>
      <c r="C15" s="252"/>
      <c r="D15" s="253" t="s">
        <v>83</v>
      </c>
      <c r="E15" s="253"/>
      <c r="F15" s="253"/>
      <c r="G15" s="253"/>
      <c r="H15" s="253"/>
      <c r="I15" s="253"/>
      <c r="J15" s="253"/>
      <c r="K15" s="253"/>
      <c r="L15" s="253"/>
      <c r="M15" s="253"/>
      <c r="N15" s="253"/>
      <c r="O15" s="253"/>
      <c r="P15" s="254"/>
    </row>
    <row r="16" spans="1:17" ht="15">
      <c r="B16" s="29"/>
      <c r="C16" s="30"/>
      <c r="D16" s="18"/>
      <c r="E16" s="18"/>
      <c r="F16" s="18"/>
      <c r="G16" s="18"/>
      <c r="H16" s="18"/>
      <c r="I16" s="18"/>
      <c r="J16" s="18"/>
      <c r="K16" s="18"/>
      <c r="L16" s="18"/>
      <c r="M16" s="18"/>
      <c r="N16" s="18"/>
      <c r="O16" s="18"/>
      <c r="P16" s="19"/>
    </row>
    <row r="17" spans="2:16" ht="15">
      <c r="B17" s="31" t="s">
        <v>84</v>
      </c>
      <c r="C17" s="32"/>
      <c r="D17" s="241" t="s">
        <v>85</v>
      </c>
      <c r="E17" s="241"/>
      <c r="F17" s="241"/>
      <c r="G17" s="241"/>
      <c r="H17" s="241"/>
      <c r="I17" s="241"/>
      <c r="J17" s="241"/>
      <c r="K17" s="241"/>
      <c r="L17" s="241"/>
      <c r="M17" s="241"/>
      <c r="N17" s="241"/>
      <c r="O17" s="241"/>
      <c r="P17" s="242"/>
    </row>
    <row r="18" spans="2:16" ht="15">
      <c r="B18" s="31"/>
      <c r="C18" s="32"/>
      <c r="D18" s="18"/>
      <c r="E18" s="18"/>
      <c r="F18" s="18"/>
      <c r="G18" s="18"/>
      <c r="H18" s="18"/>
      <c r="I18" s="18"/>
      <c r="J18" s="18"/>
      <c r="K18" s="18"/>
      <c r="L18" s="18"/>
      <c r="M18" s="18"/>
      <c r="N18" s="18"/>
      <c r="O18" s="18"/>
      <c r="P18" s="19"/>
    </row>
    <row r="19" spans="2:16" ht="15">
      <c r="B19" s="31" t="s">
        <v>86</v>
      </c>
      <c r="C19" s="32"/>
      <c r="D19" s="18" t="s">
        <v>87</v>
      </c>
      <c r="E19" s="18"/>
      <c r="F19" s="18"/>
      <c r="G19" s="18"/>
      <c r="H19" s="18"/>
      <c r="I19" s="18"/>
      <c r="J19" s="18"/>
      <c r="K19" s="18"/>
      <c r="L19" s="18"/>
      <c r="M19" s="18"/>
      <c r="N19" s="18"/>
      <c r="O19" s="18"/>
      <c r="P19" s="19"/>
    </row>
    <row r="20" spans="2:16" ht="15" thickBot="1">
      <c r="B20" s="23"/>
      <c r="C20" s="24"/>
      <c r="D20" s="24"/>
      <c r="E20" s="24"/>
      <c r="F20" s="24"/>
      <c r="G20" s="24"/>
      <c r="H20" s="24"/>
      <c r="I20" s="24"/>
      <c r="J20" s="24"/>
      <c r="K20" s="24"/>
      <c r="L20" s="24"/>
      <c r="M20" s="24"/>
      <c r="N20" s="24"/>
      <c r="O20" s="24"/>
      <c r="P20" s="25"/>
    </row>
  </sheetData>
  <mergeCells count="13">
    <mergeCell ref="A1:Q1"/>
    <mergeCell ref="D17:P17"/>
    <mergeCell ref="D4:P4"/>
    <mergeCell ref="D6:P7"/>
    <mergeCell ref="D9:P9"/>
    <mergeCell ref="B4:C4"/>
    <mergeCell ref="B6:C6"/>
    <mergeCell ref="B11:C11"/>
    <mergeCell ref="B13:C13"/>
    <mergeCell ref="B15:C15"/>
    <mergeCell ref="D11:P11"/>
    <mergeCell ref="D13:P13"/>
    <mergeCell ref="D15:P1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3" tint="0.89999084444715716"/>
  </sheetPr>
  <dimension ref="A1:Y75"/>
  <sheetViews>
    <sheetView showGridLines="0" zoomScaleNormal="100" workbookViewId="0">
      <selection sqref="A1:Q1"/>
    </sheetView>
  </sheetViews>
  <sheetFormatPr defaultColWidth="8.625" defaultRowHeight="14.25"/>
  <cols>
    <col min="1" max="1" width="8.625" customWidth="1"/>
    <col min="14" max="14" width="10.625" customWidth="1"/>
  </cols>
  <sheetData>
    <row r="1" spans="1:25" ht="35.65" customHeight="1">
      <c r="A1" s="248" t="s">
        <v>88</v>
      </c>
      <c r="B1" s="248"/>
      <c r="C1" s="248"/>
      <c r="D1" s="248"/>
      <c r="E1" s="248"/>
      <c r="F1" s="248"/>
      <c r="G1" s="248"/>
      <c r="H1" s="248"/>
      <c r="I1" s="248"/>
      <c r="J1" s="248"/>
      <c r="K1" s="248"/>
      <c r="L1" s="248"/>
      <c r="M1" s="248"/>
      <c r="N1" s="248"/>
      <c r="O1" s="248"/>
      <c r="P1" s="248"/>
      <c r="Q1" s="248"/>
    </row>
    <row r="2" spans="1:25">
      <c r="A2" s="37" t="s">
        <v>89</v>
      </c>
    </row>
    <row r="4" spans="1:25">
      <c r="B4" s="33"/>
      <c r="C4" s="33"/>
      <c r="D4" s="33"/>
      <c r="E4" s="33"/>
      <c r="F4" s="33"/>
      <c r="G4" s="33"/>
      <c r="H4" s="33"/>
      <c r="I4" s="33"/>
      <c r="J4" s="33"/>
      <c r="K4" s="33"/>
      <c r="L4" s="33"/>
      <c r="M4" s="33"/>
    </row>
    <row r="5" spans="1:25">
      <c r="B5" s="33"/>
      <c r="C5" s="33"/>
      <c r="D5" s="33"/>
      <c r="E5" s="33"/>
      <c r="F5" s="33"/>
      <c r="G5" s="33"/>
      <c r="H5" s="33"/>
      <c r="I5" s="33"/>
      <c r="J5" s="33"/>
      <c r="K5" s="33"/>
      <c r="L5" s="33"/>
      <c r="M5" s="33"/>
    </row>
    <row r="6" spans="1:25">
      <c r="B6" s="33"/>
      <c r="C6" s="33"/>
      <c r="D6" s="33"/>
      <c r="E6" s="33"/>
      <c r="F6" s="33"/>
      <c r="G6" s="33"/>
      <c r="H6" s="33"/>
      <c r="I6" s="33"/>
      <c r="J6" s="33"/>
      <c r="K6" s="33"/>
      <c r="L6" s="33"/>
      <c r="M6" s="33"/>
    </row>
    <row r="7" spans="1:25" ht="15" thickBot="1">
      <c r="B7" s="33"/>
      <c r="C7" s="33"/>
      <c r="D7" s="33"/>
      <c r="E7" s="33"/>
      <c r="F7" s="33"/>
      <c r="G7" s="33"/>
      <c r="H7" s="33"/>
      <c r="I7" s="33"/>
      <c r="J7" s="33"/>
      <c r="K7" s="33"/>
      <c r="L7" s="33"/>
      <c r="M7" s="33"/>
    </row>
    <row r="8" spans="1:25" ht="30">
      <c r="B8" s="33"/>
      <c r="C8" s="33"/>
      <c r="D8" s="33"/>
      <c r="E8" s="33"/>
      <c r="F8" s="33"/>
      <c r="G8" s="33"/>
      <c r="H8" s="33"/>
      <c r="I8" s="33"/>
      <c r="J8" s="33"/>
      <c r="K8" s="33"/>
      <c r="L8" s="33"/>
      <c r="M8" s="33"/>
      <c r="N8" s="39" t="s">
        <v>90</v>
      </c>
      <c r="O8" s="260" t="s">
        <v>91</v>
      </c>
      <c r="P8" s="260"/>
      <c r="Q8" s="260"/>
      <c r="R8" s="260"/>
      <c r="S8" s="260"/>
      <c r="T8" s="260"/>
      <c r="U8" s="260"/>
      <c r="V8" s="260"/>
      <c r="W8" s="260"/>
      <c r="X8" s="260"/>
      <c r="Y8" s="261"/>
    </row>
    <row r="9" spans="1:25">
      <c r="B9" s="33"/>
      <c r="C9" s="33"/>
      <c r="D9" s="33"/>
      <c r="E9" s="33"/>
      <c r="F9" s="33"/>
      <c r="G9" s="33"/>
      <c r="H9" s="33"/>
      <c r="I9" s="33"/>
      <c r="J9" s="33"/>
      <c r="K9" s="33"/>
      <c r="L9" s="33"/>
      <c r="M9" s="33"/>
      <c r="N9" s="38" t="s">
        <v>92</v>
      </c>
      <c r="O9" s="258" t="s">
        <v>93</v>
      </c>
      <c r="P9" s="258"/>
      <c r="Q9" s="258"/>
      <c r="R9" s="258"/>
      <c r="S9" s="258"/>
      <c r="T9" s="258"/>
      <c r="U9" s="258"/>
      <c r="V9" s="258"/>
      <c r="W9" s="258"/>
      <c r="X9" s="258"/>
      <c r="Y9" s="259"/>
    </row>
    <row r="10" spans="1:25" ht="14.65" customHeight="1">
      <c r="B10" s="33"/>
      <c r="C10" s="33"/>
      <c r="D10" s="33"/>
      <c r="E10" s="33"/>
      <c r="F10" s="33"/>
      <c r="G10" s="33"/>
      <c r="H10" s="34">
        <v>5</v>
      </c>
      <c r="I10" s="33"/>
      <c r="J10" s="33"/>
      <c r="K10" s="33"/>
      <c r="L10" s="33"/>
      <c r="M10" s="33"/>
      <c r="N10" s="38" t="s">
        <v>94</v>
      </c>
      <c r="O10" s="262" t="s">
        <v>95</v>
      </c>
      <c r="P10" s="262"/>
      <c r="Q10" s="262"/>
      <c r="R10" s="262"/>
      <c r="S10" s="262"/>
      <c r="T10" s="262"/>
      <c r="U10" s="262"/>
      <c r="V10" s="262"/>
      <c r="W10" s="262"/>
      <c r="X10" s="262"/>
      <c r="Y10" s="263"/>
    </row>
    <row r="11" spans="1:25">
      <c r="B11" s="33"/>
      <c r="C11" s="33"/>
      <c r="D11" s="34">
        <v>1</v>
      </c>
      <c r="E11" s="33"/>
      <c r="F11" s="33"/>
      <c r="G11" s="33"/>
      <c r="H11" s="33"/>
      <c r="I11" s="33">
        <v>6</v>
      </c>
      <c r="J11" s="33"/>
      <c r="K11" s="33"/>
      <c r="L11" s="33"/>
      <c r="M11" s="33"/>
      <c r="N11" s="38"/>
      <c r="O11" s="262"/>
      <c r="P11" s="262"/>
      <c r="Q11" s="262"/>
      <c r="R11" s="262"/>
      <c r="S11" s="262"/>
      <c r="T11" s="262"/>
      <c r="U11" s="262"/>
      <c r="V11" s="262"/>
      <c r="W11" s="262"/>
      <c r="X11" s="262"/>
      <c r="Y11" s="263"/>
    </row>
    <row r="12" spans="1:25">
      <c r="B12" s="33"/>
      <c r="C12" s="33"/>
      <c r="D12" s="33"/>
      <c r="E12" s="33"/>
      <c r="F12" s="33"/>
      <c r="G12" s="33"/>
      <c r="H12" s="33"/>
      <c r="I12" s="33"/>
      <c r="J12" s="33"/>
      <c r="K12" s="33"/>
      <c r="L12" s="33"/>
      <c r="M12" s="33"/>
      <c r="N12" s="38" t="s">
        <v>96</v>
      </c>
      <c r="O12" s="258" t="s">
        <v>97</v>
      </c>
      <c r="P12" s="258"/>
      <c r="Q12" s="258"/>
      <c r="R12" s="258"/>
      <c r="S12" s="258"/>
      <c r="T12" s="258"/>
      <c r="U12" s="258"/>
      <c r="V12" s="258"/>
      <c r="W12" s="258"/>
      <c r="X12" s="258"/>
      <c r="Y12" s="259"/>
    </row>
    <row r="13" spans="1:25">
      <c r="B13" s="35">
        <v>3</v>
      </c>
      <c r="C13" s="33"/>
      <c r="D13" s="33"/>
      <c r="E13" s="33"/>
      <c r="F13" s="33"/>
      <c r="G13" s="33"/>
      <c r="H13" s="33"/>
      <c r="I13" s="33"/>
      <c r="J13" s="33"/>
      <c r="K13" s="35">
        <v>4</v>
      </c>
      <c r="L13" s="33"/>
      <c r="M13" s="33"/>
      <c r="N13" s="38"/>
      <c r="O13" s="258"/>
      <c r="P13" s="258"/>
      <c r="Q13" s="258"/>
      <c r="R13" s="258"/>
      <c r="S13" s="258"/>
      <c r="T13" s="258"/>
      <c r="U13" s="258"/>
      <c r="V13" s="258"/>
      <c r="W13" s="258"/>
      <c r="X13" s="258"/>
      <c r="Y13" s="259"/>
    </row>
    <row r="14" spans="1:25">
      <c r="B14" s="33"/>
      <c r="C14" s="33"/>
      <c r="D14" s="33"/>
      <c r="E14" s="33"/>
      <c r="F14" s="33"/>
      <c r="G14" s="33"/>
      <c r="H14" s="33"/>
      <c r="I14" s="33"/>
      <c r="J14" s="33"/>
      <c r="K14" s="33"/>
      <c r="L14" s="33"/>
      <c r="M14" s="33"/>
      <c r="N14" s="38" t="s">
        <v>98</v>
      </c>
      <c r="O14" s="258" t="s">
        <v>99</v>
      </c>
      <c r="P14" s="258"/>
      <c r="Q14" s="258"/>
      <c r="R14" s="258"/>
      <c r="S14" s="258"/>
      <c r="T14" s="258"/>
      <c r="U14" s="258"/>
      <c r="V14" s="258"/>
      <c r="W14" s="258"/>
      <c r="X14" s="258"/>
      <c r="Y14" s="259"/>
    </row>
    <row r="15" spans="1:25" ht="16.149999999999999" customHeight="1">
      <c r="B15" s="33"/>
      <c r="C15" s="33"/>
      <c r="D15" s="33"/>
      <c r="E15" s="33"/>
      <c r="F15" s="33"/>
      <c r="G15" s="33"/>
      <c r="H15" s="33"/>
      <c r="I15" s="33"/>
      <c r="J15" s="33"/>
      <c r="K15" s="33"/>
      <c r="L15" s="33"/>
      <c r="M15" s="33"/>
      <c r="N15" s="38" t="s">
        <v>100</v>
      </c>
      <c r="O15" s="258" t="s">
        <v>101</v>
      </c>
      <c r="P15" s="258"/>
      <c r="Q15" s="258"/>
      <c r="R15" s="258"/>
      <c r="S15" s="258"/>
      <c r="T15" s="258"/>
      <c r="U15" s="258"/>
      <c r="V15" s="258"/>
      <c r="W15" s="258"/>
      <c r="X15" s="258"/>
      <c r="Y15" s="259"/>
    </row>
    <row r="16" spans="1:25">
      <c r="B16" s="33"/>
      <c r="C16" s="33"/>
      <c r="D16" s="33"/>
      <c r="E16" s="33"/>
      <c r="F16" s="34">
        <v>2.2000000000000002</v>
      </c>
      <c r="G16" s="36">
        <v>2.1</v>
      </c>
      <c r="H16" s="33"/>
      <c r="I16" s="33"/>
      <c r="J16" s="33"/>
      <c r="K16" s="33"/>
      <c r="L16" s="33"/>
      <c r="M16" s="33"/>
      <c r="N16" s="38">
        <v>5</v>
      </c>
      <c r="O16" s="258" t="s">
        <v>102</v>
      </c>
      <c r="P16" s="258"/>
      <c r="Q16" s="258"/>
      <c r="R16" s="258"/>
      <c r="S16" s="258"/>
      <c r="T16" s="258"/>
      <c r="U16" s="258"/>
      <c r="V16" s="258"/>
      <c r="W16" s="258"/>
      <c r="X16" s="258"/>
      <c r="Y16" s="259"/>
    </row>
    <row r="17" spans="1:25">
      <c r="B17" s="33"/>
      <c r="C17" s="33"/>
      <c r="D17" s="33"/>
      <c r="E17" s="33"/>
      <c r="F17" s="33"/>
      <c r="G17" s="33"/>
      <c r="H17" s="33"/>
      <c r="I17" s="33"/>
      <c r="J17" s="33"/>
      <c r="K17" s="33"/>
      <c r="L17" s="33"/>
      <c r="M17" s="33"/>
      <c r="N17" s="38">
        <v>6</v>
      </c>
      <c r="O17" s="262" t="s">
        <v>103</v>
      </c>
      <c r="P17" s="262"/>
      <c r="Q17" s="262"/>
      <c r="R17" s="262"/>
      <c r="S17" s="262"/>
      <c r="T17" s="262"/>
      <c r="U17" s="262"/>
      <c r="V17" s="262"/>
      <c r="W17" s="262"/>
      <c r="X17" s="262"/>
      <c r="Y17" s="263"/>
    </row>
    <row r="18" spans="1:25">
      <c r="B18" s="33"/>
      <c r="C18" s="33"/>
      <c r="D18" s="33"/>
      <c r="E18" s="33"/>
      <c r="F18" s="33"/>
      <c r="G18" s="33"/>
      <c r="H18" s="33"/>
      <c r="I18" s="33"/>
      <c r="J18" s="33"/>
      <c r="K18" s="33"/>
      <c r="L18" s="33"/>
      <c r="M18" s="33"/>
      <c r="N18" s="38"/>
      <c r="O18" s="262"/>
      <c r="P18" s="262"/>
      <c r="Q18" s="262"/>
      <c r="R18" s="262"/>
      <c r="S18" s="262"/>
      <c r="T18" s="262"/>
      <c r="U18" s="262"/>
      <c r="V18" s="262"/>
      <c r="W18" s="262"/>
      <c r="X18" s="262"/>
      <c r="Y18" s="263"/>
    </row>
    <row r="19" spans="1:25" ht="15" thickBot="1">
      <c r="B19" s="33"/>
      <c r="C19" s="33"/>
      <c r="D19" s="33"/>
      <c r="E19" s="33"/>
      <c r="F19" s="33"/>
      <c r="G19" s="33"/>
      <c r="H19" s="33"/>
      <c r="I19" s="33"/>
      <c r="J19" s="33"/>
      <c r="K19" s="33"/>
      <c r="L19" s="33"/>
      <c r="M19" s="33"/>
      <c r="N19" s="255" t="s">
        <v>104</v>
      </c>
      <c r="O19" s="256"/>
      <c r="P19" s="256"/>
      <c r="Q19" s="256"/>
      <c r="R19" s="256"/>
      <c r="S19" s="256"/>
      <c r="T19" s="256"/>
      <c r="U19" s="256"/>
      <c r="V19" s="256"/>
      <c r="W19" s="256"/>
      <c r="X19" s="256"/>
      <c r="Y19" s="257"/>
    </row>
    <row r="20" spans="1:25" ht="15" customHeight="1">
      <c r="A20" s="253" t="s">
        <v>105</v>
      </c>
      <c r="B20" s="253"/>
      <c r="C20" s="253"/>
      <c r="D20" s="253"/>
      <c r="E20" s="253"/>
      <c r="F20" s="253"/>
      <c r="G20" s="253"/>
      <c r="H20" s="253"/>
      <c r="I20" s="253"/>
      <c r="J20" s="253"/>
      <c r="K20" s="253"/>
      <c r="L20" s="253"/>
      <c r="M20" s="127"/>
    </row>
    <row r="21" spans="1:25" ht="50.65" customHeight="1">
      <c r="A21" s="253"/>
      <c r="B21" s="253"/>
      <c r="C21" s="253"/>
      <c r="D21" s="253"/>
      <c r="E21" s="253"/>
      <c r="F21" s="253"/>
      <c r="G21" s="253"/>
      <c r="H21" s="253"/>
      <c r="I21" s="253"/>
      <c r="J21" s="253"/>
      <c r="K21" s="253"/>
      <c r="L21" s="253"/>
      <c r="M21" s="127"/>
    </row>
    <row r="22" spans="1:25">
      <c r="B22" s="33"/>
      <c r="C22" s="33"/>
      <c r="D22" s="33"/>
      <c r="E22" s="33"/>
      <c r="F22" s="33"/>
      <c r="G22" s="33"/>
      <c r="H22" s="33"/>
      <c r="I22" s="33"/>
      <c r="J22" s="33"/>
      <c r="K22" s="33"/>
      <c r="L22" s="33"/>
      <c r="M22" s="33"/>
    </row>
    <row r="23" spans="1:25" ht="15">
      <c r="A23" s="32" t="s">
        <v>106</v>
      </c>
      <c r="R23" s="18"/>
    </row>
    <row r="24" spans="1:25">
      <c r="N24" s="127"/>
    </row>
    <row r="25" spans="1:25">
      <c r="N25" s="127"/>
    </row>
    <row r="26" spans="1:25">
      <c r="B26" s="33"/>
      <c r="C26" s="33"/>
      <c r="D26" s="33"/>
      <c r="E26" s="33"/>
      <c r="F26" s="33"/>
      <c r="G26" s="33"/>
      <c r="H26" s="33"/>
      <c r="I26" s="33"/>
      <c r="J26" s="33"/>
      <c r="K26" s="33"/>
      <c r="L26" s="33"/>
    </row>
    <row r="27" spans="1:25">
      <c r="B27" s="33"/>
      <c r="C27" s="33"/>
      <c r="D27" s="33"/>
      <c r="E27" s="33"/>
      <c r="F27" s="33"/>
      <c r="G27" s="33"/>
      <c r="H27" s="33"/>
      <c r="I27" s="33"/>
      <c r="J27" s="33"/>
      <c r="K27" s="33"/>
      <c r="L27" s="33"/>
    </row>
    <row r="28" spans="1:25">
      <c r="B28" s="33"/>
      <c r="C28" s="33"/>
      <c r="D28" s="33"/>
      <c r="E28" s="33"/>
      <c r="F28" s="33"/>
      <c r="G28" s="33"/>
      <c r="H28" s="33"/>
      <c r="I28" s="33"/>
      <c r="J28" s="33"/>
      <c r="K28" s="33"/>
      <c r="L28" s="33"/>
    </row>
    <row r="29" spans="1:25">
      <c r="B29" s="33"/>
      <c r="C29" s="33"/>
      <c r="D29" s="33"/>
      <c r="E29" s="33"/>
      <c r="F29" s="33"/>
      <c r="G29" s="33"/>
      <c r="H29" s="33"/>
      <c r="I29" s="33"/>
      <c r="J29" s="33"/>
      <c r="K29" s="33"/>
      <c r="L29" s="33"/>
    </row>
    <row r="30" spans="1:25" ht="14.65" customHeight="1">
      <c r="B30" s="33"/>
      <c r="C30" s="33"/>
      <c r="D30" s="33"/>
      <c r="E30" s="33"/>
      <c r="F30" s="33"/>
      <c r="G30" s="33"/>
      <c r="H30" s="33"/>
      <c r="I30" s="33"/>
      <c r="J30" s="33"/>
      <c r="K30" s="33"/>
      <c r="L30" s="33"/>
    </row>
    <row r="31" spans="1:25">
      <c r="B31" s="33"/>
      <c r="C31" s="33"/>
      <c r="D31" s="33"/>
      <c r="E31" s="33"/>
      <c r="F31" s="33"/>
      <c r="G31" s="33"/>
      <c r="H31" s="34">
        <v>5</v>
      </c>
      <c r="I31" s="33"/>
      <c r="J31" s="33"/>
      <c r="K31" s="33"/>
      <c r="L31" s="33"/>
    </row>
    <row r="32" spans="1:25">
      <c r="B32" s="33"/>
      <c r="C32" s="33"/>
      <c r="D32" s="34">
        <v>1</v>
      </c>
      <c r="E32" s="33"/>
      <c r="F32" s="33"/>
      <c r="G32" s="33"/>
      <c r="H32" s="33"/>
      <c r="I32" s="33">
        <v>6</v>
      </c>
      <c r="J32" s="33"/>
      <c r="K32" s="33"/>
      <c r="L32" s="33"/>
    </row>
    <row r="33" spans="1:12">
      <c r="B33" s="33"/>
      <c r="C33" s="33"/>
      <c r="D33" s="33"/>
      <c r="E33" s="33"/>
      <c r="F33" s="33"/>
      <c r="G33" s="33"/>
      <c r="H33" s="33"/>
      <c r="I33" s="33"/>
      <c r="J33" s="33"/>
      <c r="K33" s="33"/>
      <c r="L33" s="33"/>
    </row>
    <row r="34" spans="1:12">
      <c r="B34" s="35">
        <v>3</v>
      </c>
      <c r="C34" s="33"/>
      <c r="D34" s="33"/>
      <c r="E34" s="33"/>
      <c r="F34" s="33"/>
      <c r="G34" s="33"/>
      <c r="H34" s="33"/>
      <c r="I34" s="33"/>
      <c r="J34" s="33"/>
      <c r="K34" s="35">
        <v>4</v>
      </c>
      <c r="L34" s="33"/>
    </row>
    <row r="35" spans="1:12">
      <c r="B35" s="33"/>
      <c r="C35" s="33"/>
      <c r="D35" s="33"/>
      <c r="E35" s="33"/>
      <c r="F35" s="33"/>
      <c r="G35" s="33"/>
      <c r="H35" s="33"/>
      <c r="I35" s="33"/>
      <c r="J35" s="33"/>
      <c r="K35" s="33"/>
      <c r="L35" s="33"/>
    </row>
    <row r="36" spans="1:12">
      <c r="B36" s="33"/>
      <c r="C36" s="33"/>
      <c r="D36" s="33"/>
      <c r="E36" s="33"/>
      <c r="F36" s="33"/>
      <c r="G36" s="33"/>
      <c r="H36" s="33"/>
      <c r="I36" s="33"/>
      <c r="J36" s="33"/>
      <c r="K36" s="33"/>
      <c r="L36" s="33"/>
    </row>
    <row r="37" spans="1:12">
      <c r="B37" s="33"/>
      <c r="C37" s="33"/>
      <c r="D37" s="33"/>
      <c r="E37" s="33"/>
      <c r="F37" s="34">
        <v>2.2000000000000002</v>
      </c>
      <c r="G37" s="36">
        <v>2.1</v>
      </c>
      <c r="H37" s="33"/>
      <c r="I37" s="33"/>
      <c r="J37" s="33"/>
      <c r="K37" s="33"/>
      <c r="L37" s="33"/>
    </row>
    <row r="38" spans="1:12">
      <c r="B38" s="33"/>
      <c r="C38" s="33"/>
      <c r="D38" s="33"/>
      <c r="E38" s="33"/>
      <c r="F38" s="33"/>
      <c r="G38" s="33"/>
      <c r="H38" s="33"/>
      <c r="I38" s="33"/>
      <c r="J38" s="33"/>
      <c r="K38" s="33"/>
      <c r="L38" s="33"/>
    </row>
    <row r="41" spans="1:12" ht="15">
      <c r="A41" s="32" t="s">
        <v>107</v>
      </c>
    </row>
    <row r="44" spans="1:12">
      <c r="B44" s="33"/>
      <c r="C44" s="33"/>
      <c r="D44" s="33"/>
      <c r="E44" s="33"/>
      <c r="F44" s="33"/>
      <c r="G44" s="33"/>
      <c r="H44" s="33"/>
      <c r="I44" s="33"/>
      <c r="J44" s="33"/>
      <c r="K44" s="33"/>
      <c r="L44" s="33"/>
    </row>
    <row r="45" spans="1:12">
      <c r="B45" s="33"/>
      <c r="C45" s="33"/>
      <c r="D45" s="33"/>
      <c r="E45" s="33"/>
      <c r="F45" s="33"/>
      <c r="G45" s="33"/>
      <c r="H45" s="33"/>
      <c r="I45" s="33"/>
      <c r="J45" s="33"/>
      <c r="K45" s="33"/>
      <c r="L45" s="33"/>
    </row>
    <row r="46" spans="1:12">
      <c r="B46" s="33"/>
      <c r="C46" s="33"/>
      <c r="D46" s="33"/>
      <c r="E46" s="33"/>
      <c r="F46" s="33"/>
      <c r="G46" s="33"/>
      <c r="H46" s="33"/>
      <c r="I46" s="33"/>
      <c r="J46" s="33"/>
      <c r="K46" s="33"/>
      <c r="L46" s="33"/>
    </row>
    <row r="47" spans="1:12">
      <c r="B47" s="33"/>
      <c r="C47" s="33"/>
      <c r="D47" s="33"/>
      <c r="E47" s="33"/>
      <c r="F47" s="33"/>
      <c r="G47" s="33"/>
      <c r="H47" s="33"/>
      <c r="I47" s="33"/>
      <c r="J47" s="33"/>
      <c r="K47" s="33"/>
      <c r="L47" s="33"/>
    </row>
    <row r="48" spans="1:12">
      <c r="B48" s="33"/>
      <c r="C48" s="33"/>
      <c r="D48" s="33"/>
      <c r="E48" s="33"/>
      <c r="F48" s="33"/>
      <c r="G48" s="33"/>
      <c r="H48" s="33"/>
      <c r="I48" s="33"/>
      <c r="J48" s="33"/>
      <c r="K48" s="33"/>
      <c r="L48" s="33"/>
    </row>
    <row r="49" spans="1:25">
      <c r="B49" s="33"/>
      <c r="C49" s="33"/>
      <c r="D49" s="33"/>
      <c r="E49" s="33"/>
      <c r="F49" s="33"/>
      <c r="G49" s="33"/>
      <c r="H49" s="34">
        <v>5</v>
      </c>
      <c r="I49" s="33"/>
      <c r="J49" s="33"/>
      <c r="K49" s="33"/>
      <c r="L49" s="33"/>
    </row>
    <row r="50" spans="1:25">
      <c r="B50" s="33"/>
      <c r="C50" s="33"/>
      <c r="D50" s="34">
        <v>1</v>
      </c>
      <c r="E50" s="33"/>
      <c r="F50" s="33"/>
      <c r="G50" s="33"/>
      <c r="H50" s="33"/>
      <c r="I50" s="33">
        <v>6</v>
      </c>
      <c r="J50" s="33"/>
      <c r="K50" s="33"/>
      <c r="L50" s="33"/>
    </row>
    <row r="51" spans="1:25">
      <c r="B51" s="33"/>
      <c r="C51" s="33"/>
      <c r="D51" s="33"/>
      <c r="E51" s="33"/>
      <c r="F51" s="33"/>
      <c r="G51" s="33"/>
      <c r="H51" s="33"/>
      <c r="I51" s="33"/>
      <c r="J51" s="33"/>
      <c r="K51" s="33"/>
      <c r="L51" s="33"/>
    </row>
    <row r="52" spans="1:25">
      <c r="B52" s="35">
        <v>3</v>
      </c>
      <c r="C52" s="33"/>
      <c r="D52" s="33"/>
      <c r="E52" s="33"/>
      <c r="F52" s="33"/>
      <c r="G52" s="33"/>
      <c r="H52" s="33"/>
      <c r="I52" s="33"/>
      <c r="J52" s="33"/>
      <c r="K52" s="35">
        <v>4</v>
      </c>
      <c r="L52" s="33"/>
    </row>
    <row r="53" spans="1:25">
      <c r="B53" s="33"/>
      <c r="C53" s="33"/>
      <c r="D53" s="33"/>
      <c r="E53" s="33"/>
      <c r="F53" s="33"/>
      <c r="G53" s="33"/>
      <c r="H53" s="33"/>
      <c r="I53" s="33"/>
      <c r="J53" s="33"/>
      <c r="K53" s="33"/>
      <c r="L53" s="33"/>
    </row>
    <row r="54" spans="1:25">
      <c r="B54" s="33"/>
      <c r="C54" s="33"/>
      <c r="D54" s="33"/>
      <c r="E54" s="33"/>
      <c r="F54" s="33"/>
      <c r="G54" s="33"/>
      <c r="H54" s="33"/>
      <c r="I54" s="33"/>
      <c r="J54" s="33"/>
      <c r="K54" s="33"/>
      <c r="L54" s="33"/>
    </row>
    <row r="55" spans="1:25">
      <c r="B55" s="33"/>
      <c r="C55" s="33"/>
      <c r="D55" s="33"/>
      <c r="E55" s="33"/>
      <c r="F55" s="34">
        <v>2.2000000000000002</v>
      </c>
      <c r="G55" s="36">
        <v>2.1</v>
      </c>
      <c r="H55" s="33"/>
      <c r="I55" s="33"/>
      <c r="J55" s="33"/>
      <c r="K55" s="33"/>
      <c r="L55" s="33"/>
    </row>
    <row r="56" spans="1:25">
      <c r="B56" s="33"/>
      <c r="C56" s="33"/>
      <c r="D56" s="33"/>
      <c r="E56" s="33"/>
      <c r="F56" s="33"/>
      <c r="G56" s="33"/>
      <c r="H56" s="33"/>
      <c r="I56" s="33"/>
      <c r="J56" s="33"/>
      <c r="K56" s="33"/>
      <c r="L56" s="33"/>
    </row>
    <row r="60" spans="1:25" ht="15">
      <c r="A60" s="32" t="s">
        <v>108</v>
      </c>
    </row>
    <row r="61" spans="1:25" ht="30">
      <c r="N61" s="111" t="s">
        <v>90</v>
      </c>
      <c r="O61" s="264" t="s">
        <v>91</v>
      </c>
      <c r="P61" s="264"/>
      <c r="Q61" s="264"/>
      <c r="R61" s="264"/>
      <c r="S61" s="264"/>
      <c r="T61" s="264"/>
      <c r="U61" s="264"/>
      <c r="V61" s="264"/>
      <c r="W61" s="264"/>
      <c r="X61" s="264"/>
      <c r="Y61" s="265"/>
    </row>
    <row r="62" spans="1:25">
      <c r="N62" s="112" t="s">
        <v>92</v>
      </c>
      <c r="O62" s="258" t="s">
        <v>109</v>
      </c>
      <c r="P62" s="258"/>
      <c r="Q62" s="258"/>
      <c r="R62" s="258"/>
      <c r="S62" s="258"/>
      <c r="T62" s="258"/>
      <c r="U62" s="258"/>
      <c r="V62" s="258"/>
      <c r="W62" s="258"/>
      <c r="X62" s="258"/>
      <c r="Y62" s="266"/>
    </row>
    <row r="63" spans="1:25">
      <c r="B63" s="33"/>
      <c r="C63" s="33"/>
      <c r="D63" s="33"/>
      <c r="E63" s="33"/>
      <c r="F63" s="33"/>
      <c r="G63" s="33"/>
      <c r="H63" s="33"/>
      <c r="I63" s="33"/>
      <c r="J63" s="33"/>
      <c r="K63" s="33"/>
      <c r="L63" s="33"/>
      <c r="N63" s="112">
        <v>2</v>
      </c>
      <c r="O63" s="258" t="s">
        <v>110</v>
      </c>
      <c r="P63" s="258"/>
      <c r="Q63" s="258"/>
      <c r="R63" s="258"/>
      <c r="S63" s="258"/>
      <c r="T63" s="258"/>
      <c r="U63" s="258"/>
      <c r="V63" s="258"/>
      <c r="W63" s="258"/>
      <c r="X63" s="258"/>
      <c r="Y63" s="266"/>
    </row>
    <row r="64" spans="1:25">
      <c r="B64" s="33"/>
      <c r="C64" s="33"/>
      <c r="D64" s="33"/>
      <c r="E64" s="33"/>
      <c r="F64" s="33"/>
      <c r="G64" s="33"/>
      <c r="H64" s="33"/>
      <c r="I64" s="33"/>
      <c r="J64" s="33"/>
      <c r="K64" s="33"/>
      <c r="L64" s="33"/>
      <c r="N64" s="112">
        <v>3</v>
      </c>
      <c r="O64" s="167" t="s">
        <v>111</v>
      </c>
      <c r="P64" s="126"/>
      <c r="Q64" s="126"/>
      <c r="R64" s="126"/>
      <c r="S64" s="126"/>
      <c r="T64" s="126"/>
      <c r="U64" s="126"/>
      <c r="V64" s="126"/>
      <c r="W64" s="126"/>
      <c r="X64" s="126"/>
      <c r="Y64" s="128"/>
    </row>
    <row r="65" spans="2:25">
      <c r="B65" s="33"/>
      <c r="C65" s="33"/>
      <c r="D65" s="33"/>
      <c r="E65" s="33"/>
      <c r="F65" s="33"/>
      <c r="G65" s="33"/>
      <c r="H65" s="33"/>
      <c r="I65" s="33"/>
      <c r="J65" s="33"/>
      <c r="K65" s="33"/>
      <c r="L65" s="33"/>
      <c r="N65" s="267" t="s">
        <v>112</v>
      </c>
      <c r="O65" s="268"/>
      <c r="P65" s="268"/>
      <c r="Q65" s="268"/>
      <c r="R65" s="268"/>
      <c r="S65" s="268"/>
      <c r="T65" s="268"/>
      <c r="U65" s="268"/>
      <c r="V65" s="268"/>
      <c r="W65" s="268"/>
      <c r="X65" s="268"/>
      <c r="Y65" s="269"/>
    </row>
    <row r="66" spans="2:25" ht="21" customHeight="1">
      <c r="B66" s="33"/>
      <c r="C66" s="33"/>
      <c r="D66" s="33"/>
      <c r="E66" s="33"/>
      <c r="F66" s="33"/>
      <c r="G66" s="33"/>
      <c r="H66" s="33"/>
      <c r="I66" s="33"/>
      <c r="J66" s="33"/>
      <c r="K66" s="33"/>
      <c r="L66" s="33"/>
    </row>
    <row r="67" spans="2:25" ht="24" customHeight="1">
      <c r="B67" s="33"/>
      <c r="C67" s="33"/>
      <c r="D67" s="33"/>
      <c r="E67" s="33"/>
      <c r="F67" s="33"/>
      <c r="G67" s="33"/>
      <c r="H67" s="33"/>
      <c r="I67" s="33"/>
      <c r="J67" s="33"/>
      <c r="K67" s="33"/>
      <c r="L67" s="33"/>
      <c r="N67" s="113"/>
      <c r="O67" s="258"/>
      <c r="P67" s="258"/>
      <c r="Q67" s="258"/>
      <c r="R67" s="258"/>
      <c r="S67" s="258"/>
      <c r="T67" s="258"/>
      <c r="U67" s="258"/>
      <c r="V67" s="258"/>
      <c r="W67" s="258"/>
      <c r="X67" s="258"/>
      <c r="Y67" s="258"/>
    </row>
    <row r="68" spans="2:25">
      <c r="B68" s="33"/>
      <c r="C68" s="33"/>
      <c r="D68" s="33"/>
      <c r="E68" s="33"/>
      <c r="F68" s="33"/>
      <c r="G68" s="33"/>
      <c r="H68" s="34">
        <v>3</v>
      </c>
      <c r="I68" s="33"/>
      <c r="J68" s="33"/>
      <c r="K68" s="33"/>
      <c r="L68" s="33"/>
    </row>
    <row r="69" spans="2:25">
      <c r="B69" s="33"/>
      <c r="C69" s="33"/>
      <c r="D69" s="34">
        <v>1</v>
      </c>
      <c r="E69" s="33"/>
      <c r="F69" s="33"/>
      <c r="G69" s="33"/>
      <c r="H69" s="33"/>
      <c r="I69" s="33"/>
      <c r="J69" s="33"/>
      <c r="K69" s="33"/>
      <c r="L69" s="33"/>
      <c r="N69" s="113"/>
      <c r="O69" s="258"/>
      <c r="P69" s="258"/>
      <c r="Q69" s="258"/>
      <c r="R69" s="258"/>
      <c r="S69" s="258"/>
      <c r="T69" s="258"/>
      <c r="U69" s="258"/>
      <c r="V69" s="258"/>
      <c r="W69" s="258"/>
      <c r="X69" s="258"/>
      <c r="Y69" s="258"/>
    </row>
    <row r="70" spans="2:25">
      <c r="B70" s="33"/>
      <c r="C70" s="33"/>
      <c r="D70" s="33"/>
      <c r="E70" s="33"/>
      <c r="F70" s="33"/>
      <c r="G70" s="33"/>
      <c r="H70" s="33"/>
      <c r="I70" s="33"/>
      <c r="J70" s="33"/>
      <c r="K70" s="33"/>
      <c r="L70" s="33"/>
    </row>
    <row r="71" spans="2:25">
      <c r="B71" s="35">
        <v>2</v>
      </c>
      <c r="C71" s="33"/>
      <c r="D71" s="33"/>
      <c r="E71" s="33"/>
      <c r="F71" s="33"/>
      <c r="G71" s="33"/>
      <c r="H71" s="33"/>
      <c r="I71" s="33"/>
      <c r="J71" s="33"/>
      <c r="K71" s="35"/>
      <c r="L71" s="33"/>
    </row>
    <row r="72" spans="2:25">
      <c r="B72" s="33"/>
      <c r="C72" s="33"/>
      <c r="D72" s="33"/>
      <c r="E72" s="33"/>
      <c r="F72" s="33"/>
      <c r="G72" s="33"/>
      <c r="H72" s="33"/>
      <c r="I72" s="33"/>
      <c r="J72" s="33"/>
      <c r="K72" s="33"/>
      <c r="L72" s="33"/>
    </row>
    <row r="73" spans="2:25">
      <c r="B73" s="33"/>
      <c r="C73" s="33"/>
      <c r="D73" s="33"/>
      <c r="E73" s="33"/>
      <c r="F73" s="33"/>
      <c r="G73" s="33"/>
      <c r="H73" s="33"/>
      <c r="I73" s="33"/>
      <c r="J73" s="33"/>
      <c r="K73" s="33"/>
      <c r="L73" s="33"/>
    </row>
    <row r="74" spans="2:25">
      <c r="B74" s="33"/>
      <c r="C74" s="33"/>
      <c r="D74" s="33"/>
      <c r="E74" s="33"/>
      <c r="F74" s="34"/>
      <c r="G74" s="36"/>
      <c r="H74" s="33"/>
      <c r="I74" s="33"/>
      <c r="J74" s="33"/>
      <c r="K74" s="33"/>
      <c r="L74" s="33"/>
    </row>
    <row r="75" spans="2:25">
      <c r="B75" s="33"/>
      <c r="C75" s="33"/>
      <c r="D75" s="33"/>
      <c r="E75" s="33"/>
      <c r="F75" s="33"/>
      <c r="G75" s="33"/>
      <c r="H75" s="33"/>
      <c r="I75" s="33"/>
      <c r="J75" s="33"/>
      <c r="K75" s="33"/>
      <c r="L75" s="33"/>
    </row>
  </sheetData>
  <mergeCells count="17">
    <mergeCell ref="O67:Y67"/>
    <mergeCell ref="O69:Y69"/>
    <mergeCell ref="O61:Y61"/>
    <mergeCell ref="O62:Y62"/>
    <mergeCell ref="O63:Y63"/>
    <mergeCell ref="N65:Y65"/>
    <mergeCell ref="A20:L21"/>
    <mergeCell ref="N19:Y19"/>
    <mergeCell ref="O15:Y15"/>
    <mergeCell ref="O16:Y16"/>
    <mergeCell ref="A1:Q1"/>
    <mergeCell ref="O8:Y8"/>
    <mergeCell ref="O9:Y9"/>
    <mergeCell ref="O14:Y14"/>
    <mergeCell ref="O10:Y11"/>
    <mergeCell ref="O12:Y13"/>
    <mergeCell ref="O17:Y1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6" tint="0.79998168889431442"/>
  </sheetPr>
  <dimension ref="A1:Q20"/>
  <sheetViews>
    <sheetView showGridLines="0" workbookViewId="0"/>
  </sheetViews>
  <sheetFormatPr defaultColWidth="8.625" defaultRowHeight="14.25"/>
  <cols>
    <col min="2" max="2" width="62.125" customWidth="1"/>
    <col min="3" max="3" width="15" customWidth="1"/>
    <col min="4" max="4" width="44" customWidth="1"/>
  </cols>
  <sheetData>
    <row r="1" spans="1:17" ht="38.65" customHeight="1">
      <c r="A1" s="40" t="s">
        <v>113</v>
      </c>
      <c r="B1" s="40"/>
      <c r="C1" s="40"/>
      <c r="D1" s="40"/>
      <c r="E1" s="40"/>
      <c r="F1" s="40"/>
      <c r="G1" s="104"/>
      <c r="H1" s="104"/>
      <c r="I1" s="104"/>
      <c r="J1" s="104"/>
      <c r="K1" s="104"/>
      <c r="L1" s="104"/>
      <c r="M1" s="104"/>
      <c r="N1" s="104"/>
      <c r="O1" s="104"/>
      <c r="P1" s="104"/>
      <c r="Q1" s="104"/>
    </row>
    <row r="2" spans="1:17" ht="15" thickBot="1"/>
    <row r="3" spans="1:17">
      <c r="B3" s="26"/>
      <c r="C3" s="27"/>
      <c r="D3" s="27"/>
      <c r="E3" s="28"/>
    </row>
    <row r="4" spans="1:17" ht="15">
      <c r="B4" s="56" t="s">
        <v>9</v>
      </c>
      <c r="C4" s="8" t="s">
        <v>114</v>
      </c>
      <c r="D4" s="8" t="s">
        <v>115</v>
      </c>
      <c r="E4" s="14"/>
    </row>
    <row r="5" spans="1:17">
      <c r="B5" s="270" t="s">
        <v>116</v>
      </c>
      <c r="C5" s="42">
        <v>0.33300000000000002</v>
      </c>
      <c r="D5" s="43" t="s">
        <v>117</v>
      </c>
      <c r="E5" s="14"/>
    </row>
    <row r="6" spans="1:17">
      <c r="B6" s="270"/>
      <c r="C6" s="41"/>
      <c r="D6" s="49"/>
      <c r="E6" s="14"/>
    </row>
    <row r="7" spans="1:17">
      <c r="B7" s="45"/>
      <c r="C7" s="41"/>
      <c r="D7" s="49"/>
      <c r="E7" s="14"/>
    </row>
    <row r="8" spans="1:17">
      <c r="B8" s="46" t="s">
        <v>118</v>
      </c>
      <c r="C8" s="44">
        <v>0.32900000000000001</v>
      </c>
      <c r="D8" s="43" t="s">
        <v>119</v>
      </c>
      <c r="E8" s="14"/>
    </row>
    <row r="9" spans="1:17">
      <c r="B9" s="172" t="s">
        <v>120</v>
      </c>
      <c r="C9" s="59"/>
      <c r="D9" s="49"/>
      <c r="E9" s="14"/>
    </row>
    <row r="10" spans="1:17">
      <c r="B10" s="172"/>
      <c r="C10" s="59"/>
      <c r="D10" s="49"/>
      <c r="E10" s="14"/>
    </row>
    <row r="11" spans="1:17">
      <c r="B11" s="46" t="s">
        <v>121</v>
      </c>
      <c r="C11" s="44">
        <v>0.27</v>
      </c>
      <c r="D11" s="43" t="s">
        <v>122</v>
      </c>
      <c r="E11" s="14"/>
    </row>
    <row r="12" spans="1:17">
      <c r="B12" s="172" t="s">
        <v>120</v>
      </c>
      <c r="C12" s="59"/>
      <c r="D12" s="49"/>
      <c r="E12" s="14"/>
    </row>
    <row r="13" spans="1:17">
      <c r="B13" s="172"/>
      <c r="C13" s="59"/>
      <c r="D13" s="49"/>
      <c r="E13" s="14"/>
    </row>
    <row r="14" spans="1:17">
      <c r="B14" s="46" t="s">
        <v>123</v>
      </c>
      <c r="C14" s="42">
        <v>6.4000000000000003E-3</v>
      </c>
      <c r="D14" s="43" t="s">
        <v>124</v>
      </c>
      <c r="E14" s="14"/>
    </row>
    <row r="15" spans="1:17">
      <c r="B15" s="46"/>
      <c r="C15" s="41"/>
      <c r="D15" s="49"/>
      <c r="E15" s="14"/>
    </row>
    <row r="16" spans="1:17">
      <c r="B16" s="46" t="s">
        <v>125</v>
      </c>
      <c r="C16" s="42">
        <v>2.7E-2</v>
      </c>
      <c r="D16" s="43" t="s">
        <v>124</v>
      </c>
      <c r="E16" s="14"/>
    </row>
    <row r="17" spans="2:5">
      <c r="B17" s="46"/>
      <c r="C17" s="41"/>
      <c r="D17" s="49"/>
      <c r="E17" s="14"/>
    </row>
    <row r="18" spans="2:5">
      <c r="B18" s="46" t="s">
        <v>126</v>
      </c>
      <c r="C18" s="43">
        <v>50</v>
      </c>
      <c r="D18" s="43" t="s">
        <v>124</v>
      </c>
      <c r="E18" s="14"/>
    </row>
    <row r="19" spans="2:5">
      <c r="B19" s="172" t="s">
        <v>127</v>
      </c>
      <c r="E19" s="14"/>
    </row>
    <row r="20" spans="2:5" ht="15" thickBot="1">
      <c r="B20" s="23"/>
      <c r="C20" s="24"/>
      <c r="D20" s="24"/>
      <c r="E20" s="25"/>
    </row>
  </sheetData>
  <mergeCells count="1">
    <mergeCell ref="B5:B6"/>
  </mergeCells>
  <pageMargins left="0.7" right="0.7" top="0.75" bottom="0.75" header="0.3" footer="0.3"/>
  <pageSetup paperSize="9"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theme="6" tint="0.79998168889431442"/>
  </sheetPr>
  <dimension ref="A1:S72"/>
  <sheetViews>
    <sheetView zoomScaleNormal="100" workbookViewId="0"/>
  </sheetViews>
  <sheetFormatPr defaultColWidth="10.625" defaultRowHeight="14.25"/>
  <cols>
    <col min="1" max="1" width="10.625" style="72"/>
    <col min="2" max="2" width="62.625" style="72" customWidth="1"/>
    <col min="3" max="3" width="17.625" style="72" customWidth="1"/>
    <col min="4" max="4" width="43.375" style="72" customWidth="1"/>
    <col min="5" max="6" width="10.625" style="72"/>
    <col min="7" max="7" width="62.375" style="72" customWidth="1"/>
    <col min="8" max="8" width="0" style="72" hidden="1" customWidth="1"/>
    <col min="9" max="16384" width="10.625" style="72"/>
  </cols>
  <sheetData>
    <row r="1" spans="1:17" s="93" customFormat="1" ht="49.15" customHeight="1">
      <c r="A1" s="91" t="s">
        <v>128</v>
      </c>
      <c r="B1" s="92"/>
      <c r="C1" s="92"/>
      <c r="D1" s="92"/>
      <c r="E1" s="92"/>
      <c r="F1" s="92"/>
      <c r="G1" s="92"/>
      <c r="H1" s="92"/>
      <c r="I1" s="92"/>
      <c r="J1" s="92"/>
      <c r="K1" s="92"/>
      <c r="L1" s="92"/>
      <c r="M1" s="92"/>
      <c r="N1" s="92"/>
      <c r="O1" s="92"/>
      <c r="P1" s="92"/>
      <c r="Q1" s="92"/>
    </row>
    <row r="2" spans="1:17">
      <c r="H2" s="72" t="s">
        <v>129</v>
      </c>
    </row>
    <row r="3" spans="1:17" ht="31.15" customHeight="1">
      <c r="B3" s="129" t="s">
        <v>130</v>
      </c>
      <c r="C3" s="131" t="s">
        <v>129</v>
      </c>
      <c r="H3" s="72" t="s">
        <v>131</v>
      </c>
    </row>
    <row r="4" spans="1:17" ht="31.15" customHeight="1">
      <c r="B4" s="226" t="s">
        <v>132</v>
      </c>
      <c r="C4" s="130" t="s">
        <v>133</v>
      </c>
    </row>
    <row r="5" spans="1:17" ht="16.899999999999999" customHeight="1" thickBot="1">
      <c r="B5" s="227"/>
      <c r="C5" s="227"/>
    </row>
    <row r="6" spans="1:17" ht="23.25">
      <c r="B6" s="108" t="s">
        <v>134</v>
      </c>
      <c r="C6" s="106"/>
      <c r="D6" s="106"/>
      <c r="E6" s="107"/>
      <c r="G6" s="155"/>
    </row>
    <row r="7" spans="1:17" ht="15">
      <c r="B7" s="228" t="s">
        <v>9</v>
      </c>
      <c r="C7" s="105" t="s">
        <v>114</v>
      </c>
      <c r="D7" s="105" t="s">
        <v>115</v>
      </c>
      <c r="E7" s="95"/>
    </row>
    <row r="8" spans="1:17">
      <c r="B8" s="94"/>
      <c r="E8" s="95"/>
    </row>
    <row r="9" spans="1:17">
      <c r="B9" s="94" t="s">
        <v>135</v>
      </c>
      <c r="C9" s="87">
        <v>-11.18</v>
      </c>
      <c r="D9" s="86" t="s">
        <v>124</v>
      </c>
      <c r="E9" s="95"/>
    </row>
    <row r="10" spans="1:17">
      <c r="B10" s="94"/>
      <c r="E10" s="95"/>
    </row>
    <row r="11" spans="1:17">
      <c r="B11" s="94" t="s">
        <v>136</v>
      </c>
      <c r="C11" s="87">
        <v>3.5000000000000003E-2</v>
      </c>
      <c r="D11" s="86" t="s">
        <v>124</v>
      </c>
      <c r="E11" s="95"/>
    </row>
    <row r="12" spans="1:17">
      <c r="B12" s="94"/>
      <c r="E12" s="95"/>
    </row>
    <row r="13" spans="1:17">
      <c r="B13" s="94" t="s">
        <v>137</v>
      </c>
      <c r="C13" s="87">
        <v>1.074865137</v>
      </c>
      <c r="D13" s="86" t="s">
        <v>124</v>
      </c>
      <c r="E13" s="95"/>
    </row>
    <row r="14" spans="1:17">
      <c r="B14" s="94"/>
      <c r="E14" s="95"/>
    </row>
    <row r="15" spans="1:17" ht="28.5">
      <c r="B15" s="99" t="s">
        <v>138</v>
      </c>
      <c r="C15" s="208">
        <f>EXP(cons+ageC*Age)</f>
        <v>8.0279199936407784E-5</v>
      </c>
      <c r="D15" s="209" t="s">
        <v>139</v>
      </c>
      <c r="E15" s="95"/>
    </row>
    <row r="16" spans="1:17" ht="16.149999999999999" customHeight="1">
      <c r="B16" s="94"/>
      <c r="E16" s="95"/>
    </row>
    <row r="17" spans="2:19" ht="30" customHeight="1" thickBot="1">
      <c r="B17" s="274" t="s">
        <v>140</v>
      </c>
      <c r="C17" s="275"/>
      <c r="D17" s="275"/>
      <c r="E17" s="276"/>
    </row>
    <row r="20" spans="2:19" ht="15" thickBot="1"/>
    <row r="21" spans="2:19" ht="15">
      <c r="B21" s="108" t="s">
        <v>141</v>
      </c>
      <c r="C21" s="106"/>
      <c r="D21" s="106"/>
      <c r="E21" s="107"/>
    </row>
    <row r="22" spans="2:19" ht="15">
      <c r="B22" s="228" t="s">
        <v>9</v>
      </c>
      <c r="C22" s="105" t="s">
        <v>114</v>
      </c>
      <c r="D22" s="105" t="s">
        <v>115</v>
      </c>
      <c r="E22" s="95"/>
    </row>
    <row r="23" spans="2:19">
      <c r="B23" s="94"/>
      <c r="E23" s="95"/>
    </row>
    <row r="24" spans="2:19">
      <c r="B24" s="94" t="s">
        <v>142</v>
      </c>
      <c r="C24" s="87"/>
      <c r="D24" s="86"/>
      <c r="E24" s="95"/>
    </row>
    <row r="25" spans="2:19" ht="15" thickBot="1">
      <c r="B25" s="96"/>
      <c r="C25" s="97"/>
      <c r="D25" s="97"/>
      <c r="E25" s="98"/>
    </row>
    <row r="26" spans="2:19" ht="39.75" customHeight="1">
      <c r="G26" s="272"/>
      <c r="H26" s="272"/>
      <c r="I26" s="272"/>
      <c r="J26" s="272"/>
      <c r="K26" s="272"/>
      <c r="L26" s="164"/>
      <c r="M26" s="164"/>
      <c r="N26" s="164"/>
      <c r="O26" s="164"/>
      <c r="P26" s="164"/>
      <c r="Q26" s="164"/>
      <c r="R26" s="164"/>
      <c r="S26" s="164"/>
    </row>
    <row r="27" spans="2:19" ht="15" thickBot="1"/>
    <row r="28" spans="2:19" ht="23.25">
      <c r="B28" s="156" t="s">
        <v>143</v>
      </c>
      <c r="C28" s="157"/>
      <c r="D28" s="157"/>
      <c r="E28" s="158"/>
      <c r="G28" s="156" t="s">
        <v>144</v>
      </c>
      <c r="H28" s="157"/>
      <c r="I28" s="157"/>
      <c r="J28" s="157"/>
      <c r="K28" s="157"/>
      <c r="L28" s="157"/>
      <c r="M28" s="158"/>
    </row>
    <row r="29" spans="2:19">
      <c r="B29" s="159"/>
      <c r="E29" s="160"/>
      <c r="G29" s="159"/>
      <c r="M29" s="160"/>
    </row>
    <row r="30" spans="2:19">
      <c r="B30" s="159"/>
      <c r="E30" s="160"/>
      <c r="G30" s="159"/>
      <c r="M30" s="160"/>
    </row>
    <row r="31" spans="2:19">
      <c r="B31" s="159"/>
      <c r="E31" s="160"/>
      <c r="G31" s="159"/>
      <c r="M31" s="160"/>
    </row>
    <row r="32" spans="2:19">
      <c r="B32" s="159"/>
      <c r="E32" s="160"/>
      <c r="G32" s="159"/>
      <c r="M32" s="160"/>
    </row>
    <row r="33" spans="2:13">
      <c r="B33" s="159"/>
      <c r="E33" s="160"/>
      <c r="G33" s="159"/>
      <c r="M33" s="160"/>
    </row>
    <row r="34" spans="2:13">
      <c r="B34" s="159"/>
      <c r="E34" s="160"/>
      <c r="G34" s="159"/>
      <c r="M34" s="160"/>
    </row>
    <row r="35" spans="2:13">
      <c r="B35" s="159"/>
      <c r="E35" s="160"/>
      <c r="G35" s="159"/>
      <c r="M35" s="160"/>
    </row>
    <row r="36" spans="2:13">
      <c r="B36" s="159"/>
      <c r="E36" s="160"/>
      <c r="G36" s="159"/>
      <c r="M36" s="160"/>
    </row>
    <row r="37" spans="2:13">
      <c r="B37" s="159"/>
      <c r="E37" s="160"/>
      <c r="G37" s="159"/>
      <c r="M37" s="160"/>
    </row>
    <row r="38" spans="2:13">
      <c r="B38" s="159"/>
      <c r="E38" s="160"/>
      <c r="G38" s="159"/>
      <c r="M38" s="160"/>
    </row>
    <row r="39" spans="2:13">
      <c r="B39" s="159"/>
      <c r="E39" s="160"/>
      <c r="G39" s="159"/>
      <c r="M39" s="160"/>
    </row>
    <row r="40" spans="2:13">
      <c r="B40" s="159"/>
      <c r="E40" s="160"/>
      <c r="G40" s="159"/>
      <c r="M40" s="160"/>
    </row>
    <row r="41" spans="2:13">
      <c r="B41" s="159"/>
      <c r="E41" s="160"/>
      <c r="G41" s="159"/>
      <c r="M41" s="160"/>
    </row>
    <row r="42" spans="2:13">
      <c r="B42" s="159"/>
      <c r="E42" s="160"/>
      <c r="G42" s="159"/>
      <c r="M42" s="160"/>
    </row>
    <row r="43" spans="2:13">
      <c r="B43" s="159"/>
      <c r="E43" s="160"/>
      <c r="G43" s="159"/>
      <c r="M43" s="160"/>
    </row>
    <row r="44" spans="2:13">
      <c r="B44" s="159"/>
      <c r="E44" s="160"/>
      <c r="G44" s="159"/>
      <c r="M44" s="160"/>
    </row>
    <row r="45" spans="2:13">
      <c r="B45" s="159"/>
      <c r="E45" s="160"/>
      <c r="G45" s="159"/>
      <c r="M45" s="160"/>
    </row>
    <row r="46" spans="2:13">
      <c r="B46" s="159"/>
      <c r="E46" s="160"/>
      <c r="G46" s="159"/>
      <c r="M46" s="160"/>
    </row>
    <row r="47" spans="2:13" ht="15" customHeight="1">
      <c r="B47" s="159"/>
      <c r="E47" s="160"/>
      <c r="G47" s="159"/>
      <c r="M47" s="160"/>
    </row>
    <row r="48" spans="2:13" ht="15" customHeight="1">
      <c r="B48" s="159"/>
      <c r="E48" s="160"/>
      <c r="G48" s="159"/>
      <c r="M48" s="160"/>
    </row>
    <row r="49" spans="2:13" ht="15" customHeight="1">
      <c r="B49" s="159"/>
      <c r="E49" s="160"/>
      <c r="G49" s="159"/>
      <c r="M49" s="160"/>
    </row>
    <row r="50" spans="2:13" ht="15" customHeight="1">
      <c r="B50" s="159"/>
      <c r="E50" s="160"/>
      <c r="G50" s="159"/>
      <c r="M50" s="160"/>
    </row>
    <row r="51" spans="2:13" ht="15" customHeight="1">
      <c r="B51" s="159"/>
      <c r="E51" s="160"/>
      <c r="G51" s="159"/>
      <c r="M51" s="160"/>
    </row>
    <row r="52" spans="2:13" ht="42" customHeight="1">
      <c r="B52" s="271" t="s">
        <v>145</v>
      </c>
      <c r="C52" s="272"/>
      <c r="D52" s="272"/>
      <c r="E52" s="166"/>
      <c r="F52" s="165"/>
      <c r="G52" s="271" t="s">
        <v>146</v>
      </c>
      <c r="H52" s="272"/>
      <c r="I52" s="272"/>
      <c r="J52" s="272"/>
      <c r="K52" s="272"/>
      <c r="L52" s="272"/>
      <c r="M52" s="273"/>
    </row>
    <row r="53" spans="2:13" ht="15" thickBot="1">
      <c r="B53" s="161"/>
      <c r="C53" s="162"/>
      <c r="D53" s="162"/>
      <c r="E53" s="163"/>
      <c r="G53" s="161"/>
      <c r="H53" s="162"/>
      <c r="I53" s="162"/>
      <c r="J53" s="162"/>
      <c r="K53" s="162"/>
      <c r="L53" s="162"/>
      <c r="M53" s="163"/>
    </row>
    <row r="72" ht="15" customHeight="1"/>
  </sheetData>
  <mergeCells count="4">
    <mergeCell ref="B52:D52"/>
    <mergeCell ref="G52:M52"/>
    <mergeCell ref="B17:E17"/>
    <mergeCell ref="G26:K26"/>
  </mergeCells>
  <dataValidations count="1">
    <dataValidation type="list" allowBlank="1" showInputMessage="1" showErrorMessage="1" sqref="C3">
      <formula1>$H$2:$H$3</formula1>
    </dataValidation>
  </dataValidations>
  <hyperlinks>
    <hyperlink ref="C4" r:id="rId1"/>
  </hyperlinks>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6" tint="0.79998168889431442"/>
  </sheetPr>
  <dimension ref="A1:T51"/>
  <sheetViews>
    <sheetView showGridLines="0" zoomScaleNormal="100" workbookViewId="0"/>
  </sheetViews>
  <sheetFormatPr defaultColWidth="8.625" defaultRowHeight="14.25"/>
  <cols>
    <col min="2" max="2" width="67.625" customWidth="1"/>
    <col min="3" max="3" width="19.625" customWidth="1"/>
    <col min="4" max="4" width="16" customWidth="1"/>
    <col min="5" max="5" width="55.625" customWidth="1"/>
    <col min="6" max="6" width="30.625" customWidth="1"/>
  </cols>
  <sheetData>
    <row r="1" spans="1:20" ht="35.65" customHeight="1">
      <c r="A1" s="122" t="s">
        <v>147</v>
      </c>
      <c r="B1" s="40"/>
      <c r="C1" s="40"/>
      <c r="D1" s="40"/>
      <c r="E1" s="40"/>
      <c r="F1" s="40"/>
      <c r="G1" s="40"/>
      <c r="H1" s="40"/>
      <c r="J1" s="104"/>
      <c r="K1" s="104"/>
      <c r="L1" s="104"/>
      <c r="M1" s="104"/>
      <c r="N1" s="104"/>
      <c r="O1" s="104"/>
      <c r="P1" s="104"/>
      <c r="Q1" s="104"/>
      <c r="R1" s="104"/>
      <c r="S1" s="104"/>
      <c r="T1" s="104"/>
    </row>
    <row r="2" spans="1:20">
      <c r="B2" s="63"/>
      <c r="C2" s="49"/>
      <c r="D2" s="49"/>
      <c r="E2" s="49"/>
    </row>
    <row r="3" spans="1:20">
      <c r="B3" s="179" t="s">
        <v>148</v>
      </c>
      <c r="C3" s="180" t="s">
        <v>149</v>
      </c>
      <c r="D3" s="49"/>
      <c r="E3" s="49"/>
    </row>
    <row r="4" spans="1:20" ht="15" thickBot="1">
      <c r="B4" s="63" t="s">
        <v>150</v>
      </c>
      <c r="C4" s="49"/>
      <c r="D4" s="49"/>
      <c r="E4" s="49"/>
    </row>
    <row r="5" spans="1:20" ht="15">
      <c r="B5" s="133" t="s">
        <v>9</v>
      </c>
      <c r="C5" s="134" t="s">
        <v>114</v>
      </c>
      <c r="D5" s="134" t="s">
        <v>115</v>
      </c>
      <c r="E5" s="134"/>
      <c r="F5" s="135"/>
    </row>
    <row r="6" spans="1:20" ht="15">
      <c r="B6" s="142" t="s">
        <v>151</v>
      </c>
      <c r="C6" s="145"/>
      <c r="D6" s="145"/>
      <c r="E6" s="145"/>
      <c r="F6" s="144"/>
    </row>
    <row r="7" spans="1:20" ht="15">
      <c r="B7" s="153"/>
      <c r="C7" s="154"/>
      <c r="D7" s="154"/>
      <c r="E7" s="154"/>
      <c r="F7" s="152"/>
    </row>
    <row r="8" spans="1:20">
      <c r="B8" s="137" t="s">
        <v>152</v>
      </c>
      <c r="C8" s="147">
        <v>4382</v>
      </c>
      <c r="D8" s="277" t="s">
        <v>153</v>
      </c>
      <c r="E8" s="277"/>
      <c r="F8" s="136"/>
    </row>
    <row r="9" spans="1:20">
      <c r="B9" s="138" t="s">
        <v>154</v>
      </c>
      <c r="C9" s="147">
        <v>15</v>
      </c>
      <c r="D9" s="277" t="s">
        <v>155</v>
      </c>
      <c r="E9" s="277"/>
      <c r="F9" s="136"/>
    </row>
    <row r="10" spans="1:20">
      <c r="B10" s="137" t="s">
        <v>156</v>
      </c>
      <c r="C10" s="148">
        <v>3.91</v>
      </c>
      <c r="D10" s="279" t="s">
        <v>157</v>
      </c>
      <c r="E10" s="279"/>
      <c r="F10" s="136"/>
    </row>
    <row r="11" spans="1:20">
      <c r="B11" s="137" t="s">
        <v>158</v>
      </c>
      <c r="C11" s="147">
        <v>3</v>
      </c>
      <c r="D11" s="277" t="s">
        <v>155</v>
      </c>
      <c r="E11" s="277"/>
      <c r="F11" s="136"/>
    </row>
    <row r="12" spans="1:20">
      <c r="B12" s="137"/>
      <c r="C12" s="62"/>
      <c r="D12" s="62"/>
      <c r="E12" s="62"/>
      <c r="F12" s="136"/>
    </row>
    <row r="13" spans="1:20">
      <c r="B13" s="137" t="s">
        <v>159</v>
      </c>
      <c r="C13" s="147">
        <v>74</v>
      </c>
      <c r="D13" s="277" t="s">
        <v>160</v>
      </c>
      <c r="E13" s="277"/>
      <c r="F13" s="136"/>
    </row>
    <row r="14" spans="1:20">
      <c r="B14" s="137" t="s">
        <v>161</v>
      </c>
      <c r="C14" s="147">
        <v>99</v>
      </c>
      <c r="D14" s="277" t="s">
        <v>155</v>
      </c>
      <c r="E14" s="277"/>
      <c r="F14" s="136"/>
    </row>
    <row r="15" spans="1:20">
      <c r="B15" s="137" t="s">
        <v>162</v>
      </c>
      <c r="C15" s="149">
        <v>2</v>
      </c>
      <c r="D15" s="277" t="s">
        <v>155</v>
      </c>
      <c r="E15" s="277"/>
      <c r="F15" s="136"/>
    </row>
    <row r="16" spans="1:20">
      <c r="B16" s="137"/>
      <c r="C16" s="62"/>
      <c r="D16" s="62"/>
      <c r="E16" s="62"/>
      <c r="F16" s="136"/>
    </row>
    <row r="17" spans="2:6">
      <c r="B17" s="137" t="s">
        <v>163</v>
      </c>
      <c r="C17" s="150">
        <v>2019</v>
      </c>
      <c r="D17" s="277" t="s">
        <v>153</v>
      </c>
      <c r="E17" s="277"/>
      <c r="F17" s="136"/>
    </row>
    <row r="18" spans="2:6">
      <c r="B18" s="137" t="s">
        <v>164</v>
      </c>
      <c r="C18" s="147">
        <v>208</v>
      </c>
      <c r="D18" s="277" t="s">
        <v>165</v>
      </c>
      <c r="E18" s="277"/>
      <c r="F18" s="136"/>
    </row>
    <row r="19" spans="2:6">
      <c r="B19" s="137" t="s">
        <v>166</v>
      </c>
      <c r="C19" s="149">
        <v>2.2999999999999998</v>
      </c>
      <c r="D19" s="277" t="s">
        <v>160</v>
      </c>
      <c r="E19" s="277"/>
      <c r="F19" s="136"/>
    </row>
    <row r="20" spans="2:6">
      <c r="B20" s="137"/>
      <c r="C20" s="50"/>
      <c r="D20" s="50"/>
      <c r="E20" s="50"/>
      <c r="F20" s="136"/>
    </row>
    <row r="21" spans="2:6">
      <c r="B21" s="137" t="s">
        <v>167</v>
      </c>
      <c r="C21" s="147">
        <v>3005</v>
      </c>
      <c r="D21" s="277" t="s">
        <v>168</v>
      </c>
      <c r="E21" s="277"/>
      <c r="F21" s="136"/>
    </row>
    <row r="22" spans="2:6" ht="15">
      <c r="B22" s="138" t="s">
        <v>169</v>
      </c>
      <c r="C22" s="150">
        <v>1655</v>
      </c>
      <c r="D22" s="278" t="s">
        <v>155</v>
      </c>
      <c r="E22" s="278"/>
      <c r="F22" s="136"/>
    </row>
    <row r="23" spans="2:6">
      <c r="B23" s="137"/>
      <c r="C23" s="50"/>
      <c r="D23" s="50"/>
      <c r="E23" s="50"/>
      <c r="F23" s="136"/>
    </row>
    <row r="24" spans="2:6">
      <c r="B24" s="137" t="s">
        <v>170</v>
      </c>
      <c r="C24" s="210">
        <f>((cPD*SessionPD*7+cErythro*dErythro+Set*7+Invest/8)*52)</f>
        <v>33217.600000000006</v>
      </c>
      <c r="D24" s="280" t="s">
        <v>171</v>
      </c>
      <c r="E24" s="280"/>
      <c r="F24" s="173"/>
    </row>
    <row r="25" spans="2:6">
      <c r="B25" s="137" t="s">
        <v>172</v>
      </c>
      <c r="C25" s="210">
        <f>(cHD*SessionHD+cErythro*dErythro+Invest/8)*52</f>
        <v>35653.799999999996</v>
      </c>
      <c r="D25" s="280" t="s">
        <v>171</v>
      </c>
      <c r="E25" s="280"/>
      <c r="F25" s="173"/>
    </row>
    <row r="26" spans="2:6">
      <c r="B26" s="137" t="s">
        <v>173</v>
      </c>
      <c r="C26" s="210">
        <f>cPeritonitis*pComPD</f>
        <v>988.6450000000001</v>
      </c>
      <c r="D26" s="280" t="s">
        <v>171</v>
      </c>
      <c r="E26" s="280"/>
      <c r="F26" s="174"/>
    </row>
    <row r="27" spans="2:6">
      <c r="B27" s="137" t="s">
        <v>174</v>
      </c>
      <c r="C27" s="210">
        <f>cIP*pComHD</f>
        <v>378.27000000000004</v>
      </c>
      <c r="D27" s="280" t="s">
        <v>171</v>
      </c>
      <c r="E27" s="280"/>
      <c r="F27" s="175"/>
    </row>
    <row r="28" spans="2:6">
      <c r="B28" s="137"/>
      <c r="C28" s="50"/>
      <c r="D28" s="50"/>
      <c r="E28" s="50"/>
      <c r="F28" s="136"/>
    </row>
    <row r="29" spans="2:6" ht="15">
      <c r="B29" s="142" t="s">
        <v>175</v>
      </c>
      <c r="C29" s="143"/>
      <c r="D29" s="143"/>
      <c r="E29" s="143"/>
      <c r="F29" s="144"/>
    </row>
    <row r="30" spans="2:6" ht="15">
      <c r="B30" s="153"/>
      <c r="C30" s="151"/>
      <c r="D30" s="151"/>
      <c r="E30" s="151"/>
      <c r="F30" s="152"/>
    </row>
    <row r="31" spans="2:6">
      <c r="B31" s="137" t="s">
        <v>176</v>
      </c>
      <c r="C31" s="147">
        <v>1401</v>
      </c>
      <c r="D31" s="277" t="s">
        <v>177</v>
      </c>
      <c r="E31" s="277"/>
      <c r="F31" s="136"/>
    </row>
    <row r="32" spans="2:6">
      <c r="B32" s="137" t="s">
        <v>178</v>
      </c>
      <c r="C32" s="147">
        <v>156</v>
      </c>
      <c r="D32" s="277" t="s">
        <v>177</v>
      </c>
      <c r="E32" s="277"/>
      <c r="F32" s="136"/>
    </row>
    <row r="33" spans="2:6">
      <c r="B33" s="137" t="s">
        <v>179</v>
      </c>
      <c r="C33" s="148">
        <v>0.98</v>
      </c>
      <c r="D33" s="277" t="s">
        <v>177</v>
      </c>
      <c r="E33" s="277"/>
      <c r="F33" s="136"/>
    </row>
    <row r="34" spans="2:6">
      <c r="B34" s="137" t="s">
        <v>180</v>
      </c>
      <c r="C34" s="148">
        <v>2.13</v>
      </c>
      <c r="D34" s="277" t="s">
        <v>177</v>
      </c>
      <c r="E34" s="277"/>
      <c r="F34" s="136"/>
    </row>
    <row r="35" spans="2:6">
      <c r="B35" s="137" t="s">
        <v>181</v>
      </c>
      <c r="C35" s="148">
        <v>12.85</v>
      </c>
      <c r="D35" s="277" t="s">
        <v>177</v>
      </c>
      <c r="E35" s="277"/>
      <c r="F35" s="136"/>
    </row>
    <row r="36" spans="2:6">
      <c r="B36" s="139" t="s">
        <v>182</v>
      </c>
      <c r="C36" s="211">
        <f>(cIP*rIP)+(1.2*cOP*rER)+(cOP*rOP)</f>
        <v>3776.3159999999998</v>
      </c>
      <c r="D36" s="281" t="s">
        <v>183</v>
      </c>
      <c r="E36" s="281"/>
      <c r="F36" s="146"/>
    </row>
    <row r="37" spans="2:6">
      <c r="B37" s="137"/>
      <c r="C37" s="51"/>
      <c r="D37" s="51"/>
      <c r="E37" s="51"/>
      <c r="F37" s="136"/>
    </row>
    <row r="38" spans="2:6" ht="15">
      <c r="B38" s="142" t="s">
        <v>184</v>
      </c>
      <c r="C38" s="143"/>
      <c r="D38" s="143"/>
      <c r="E38" s="143"/>
      <c r="F38" s="144"/>
    </row>
    <row r="39" spans="2:6" ht="15">
      <c r="B39" s="153"/>
      <c r="C39" s="151"/>
      <c r="D39" s="151"/>
      <c r="E39" s="151"/>
      <c r="F39" s="152"/>
    </row>
    <row r="40" spans="2:6">
      <c r="B40" s="137" t="s">
        <v>185</v>
      </c>
      <c r="C40" s="147">
        <v>3309</v>
      </c>
      <c r="D40" s="277" t="s">
        <v>186</v>
      </c>
      <c r="E40" s="277"/>
      <c r="F40" s="136"/>
    </row>
    <row r="41" spans="2:6">
      <c r="B41" s="137" t="s">
        <v>187</v>
      </c>
      <c r="C41" s="147">
        <v>452</v>
      </c>
      <c r="D41" s="277" t="s">
        <v>188</v>
      </c>
      <c r="E41" s="277"/>
      <c r="F41" s="136"/>
    </row>
    <row r="42" spans="2:6">
      <c r="B42" s="137" t="s">
        <v>189</v>
      </c>
      <c r="C42" s="147">
        <v>3069</v>
      </c>
      <c r="D42" s="277" t="s">
        <v>188</v>
      </c>
      <c r="E42" s="277"/>
      <c r="F42" s="136"/>
    </row>
    <row r="43" spans="2:6">
      <c r="B43" s="137"/>
      <c r="C43" s="50"/>
      <c r="D43" s="50"/>
      <c r="E43" s="50"/>
      <c r="F43" s="136"/>
    </row>
    <row r="44" spans="2:6" ht="15">
      <c r="B44" s="142" t="s">
        <v>190</v>
      </c>
      <c r="C44" s="143"/>
      <c r="D44" s="143"/>
      <c r="E44" s="143"/>
      <c r="F44" s="144"/>
    </row>
    <row r="45" spans="2:6" ht="15">
      <c r="B45" s="153"/>
      <c r="C45" s="151"/>
      <c r="D45" s="151"/>
      <c r="E45" s="151"/>
      <c r="F45" s="152"/>
    </row>
    <row r="46" spans="2:6">
      <c r="B46" s="137" t="s">
        <v>187</v>
      </c>
      <c r="C46" s="222">
        <v>255</v>
      </c>
      <c r="D46" s="277" t="s">
        <v>188</v>
      </c>
      <c r="E46" s="277"/>
      <c r="F46" s="136"/>
    </row>
    <row r="47" spans="2:6">
      <c r="B47" s="137" t="s">
        <v>189</v>
      </c>
      <c r="C47" s="222">
        <v>3845</v>
      </c>
      <c r="D47" s="277" t="s">
        <v>188</v>
      </c>
      <c r="E47" s="277"/>
      <c r="F47" s="136"/>
    </row>
    <row r="48" spans="2:6">
      <c r="B48" s="137"/>
      <c r="C48" s="50"/>
      <c r="D48" s="50"/>
      <c r="E48" s="50"/>
      <c r="F48" s="136"/>
    </row>
    <row r="49" spans="2:6" ht="15" thickBot="1">
      <c r="B49" s="215" t="s">
        <v>191</v>
      </c>
      <c r="C49" s="140"/>
      <c r="D49" s="140"/>
      <c r="E49" s="140"/>
      <c r="F49" s="141"/>
    </row>
    <row r="51" spans="2:6">
      <c r="B51" s="214"/>
    </row>
  </sheetData>
  <mergeCells count="27">
    <mergeCell ref="D27:E27"/>
    <mergeCell ref="D26:E26"/>
    <mergeCell ref="D25:E25"/>
    <mergeCell ref="D24:E24"/>
    <mergeCell ref="D47:E47"/>
    <mergeCell ref="D46:E46"/>
    <mergeCell ref="D42:E42"/>
    <mergeCell ref="D41:E41"/>
    <mergeCell ref="D40:E40"/>
    <mergeCell ref="D36:E36"/>
    <mergeCell ref="D35:E35"/>
    <mergeCell ref="D34:E34"/>
    <mergeCell ref="D33:E33"/>
    <mergeCell ref="D32:E32"/>
    <mergeCell ref="D31:E31"/>
    <mergeCell ref="D8:E8"/>
    <mergeCell ref="D22:E22"/>
    <mergeCell ref="D21:E21"/>
    <mergeCell ref="D19:E19"/>
    <mergeCell ref="D18:E18"/>
    <mergeCell ref="D17:E17"/>
    <mergeCell ref="D15:E15"/>
    <mergeCell ref="D14:E14"/>
    <mergeCell ref="D13:E13"/>
    <mergeCell ref="D11:E11"/>
    <mergeCell ref="D10:E10"/>
    <mergeCell ref="D9:E9"/>
  </mergeCells>
  <phoneticPr fontId="46" type="noConversion"/>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6" tint="0.79998168889431442"/>
  </sheetPr>
  <dimension ref="A1:Q50"/>
  <sheetViews>
    <sheetView showGridLines="0" topLeftCell="A13" zoomScaleNormal="100" workbookViewId="0"/>
  </sheetViews>
  <sheetFormatPr defaultColWidth="9" defaultRowHeight="14.25"/>
  <cols>
    <col min="2" max="2" width="63.375" customWidth="1"/>
    <col min="3" max="3" width="14.625" customWidth="1"/>
    <col min="4" max="4" width="19.625" customWidth="1"/>
    <col min="13" max="14" width="9" customWidth="1"/>
  </cols>
  <sheetData>
    <row r="1" spans="1:17" ht="35.65" customHeight="1">
      <c r="A1" s="221" t="s">
        <v>192</v>
      </c>
      <c r="B1" s="40"/>
      <c r="C1" s="40"/>
      <c r="D1" s="40"/>
      <c r="E1" s="40"/>
      <c r="F1" s="40"/>
      <c r="G1" s="40"/>
      <c r="H1" s="40"/>
      <c r="I1" s="40"/>
      <c r="J1" s="40"/>
      <c r="K1" s="40"/>
      <c r="L1" s="104"/>
      <c r="M1" s="104"/>
      <c r="N1" s="104"/>
      <c r="O1" s="104"/>
      <c r="P1" s="104"/>
      <c r="Q1" s="104"/>
    </row>
    <row r="2" spans="1:17" ht="15" thickBot="1"/>
    <row r="3" spans="1:17" ht="18" customHeight="1">
      <c r="B3" s="26"/>
      <c r="C3" s="27"/>
      <c r="D3" s="28"/>
    </row>
    <row r="4" spans="1:17" ht="28.15" customHeight="1">
      <c r="B4" s="223" t="s">
        <v>193</v>
      </c>
      <c r="C4" s="125"/>
      <c r="D4" s="14"/>
    </row>
    <row r="5" spans="1:17" ht="15">
      <c r="B5" s="224" t="s">
        <v>9</v>
      </c>
      <c r="C5" s="48" t="s">
        <v>114</v>
      </c>
      <c r="D5" s="14"/>
      <c r="F5" s="1"/>
    </row>
    <row r="6" spans="1:17" ht="15">
      <c r="B6" s="46" t="s">
        <v>194</v>
      </c>
      <c r="C6" s="132">
        <f>cPaliative</f>
        <v>1655</v>
      </c>
      <c r="D6" s="14" t="str">
        <f>Currency</f>
        <v>international dollar</v>
      </c>
      <c r="F6" s="1"/>
    </row>
    <row r="7" spans="1:17">
      <c r="B7" s="46"/>
      <c r="C7" s="50"/>
      <c r="D7" s="14"/>
    </row>
    <row r="8" spans="1:17" ht="15">
      <c r="B8" s="45" t="s">
        <v>195</v>
      </c>
      <c r="C8" s="132">
        <f>cCath+cChroPD+cComPD+cCoMobid</f>
        <v>42364.561000000002</v>
      </c>
      <c r="D8" s="14" t="str">
        <f>Currency</f>
        <v>international dollar</v>
      </c>
      <c r="F8" s="176"/>
    </row>
    <row r="9" spans="1:17">
      <c r="B9" s="177" t="s">
        <v>196</v>
      </c>
      <c r="C9" s="51"/>
      <c r="D9" s="14"/>
    </row>
    <row r="10" spans="1:17" ht="15">
      <c r="B10" s="45" t="s">
        <v>197</v>
      </c>
      <c r="C10" s="132">
        <f>cChroPD+cComPD+cCoMobid</f>
        <v>37982.561000000002</v>
      </c>
      <c r="D10" s="14" t="str">
        <f>Currency</f>
        <v>international dollar</v>
      </c>
    </row>
    <row r="11" spans="1:17">
      <c r="B11" s="45"/>
      <c r="C11" s="50"/>
      <c r="D11" s="14"/>
    </row>
    <row r="12" spans="1:17" ht="15">
      <c r="B12" s="45" t="s">
        <v>198</v>
      </c>
      <c r="C12" s="132">
        <f>cVas+cChroHD+cComHD+cCoMobid</f>
        <v>41827.385999999991</v>
      </c>
      <c r="D12" s="14" t="str">
        <f>Currency</f>
        <v>international dollar</v>
      </c>
    </row>
    <row r="13" spans="1:17">
      <c r="B13" s="178" t="s">
        <v>199</v>
      </c>
      <c r="C13" s="51"/>
      <c r="D13" s="14"/>
    </row>
    <row r="14" spans="1:17" ht="15">
      <c r="B14" s="45" t="s">
        <v>200</v>
      </c>
      <c r="C14" s="132">
        <f>cChroHD+cComHD+cCoMobid</f>
        <v>39808.385999999991</v>
      </c>
      <c r="D14" s="14" t="str">
        <f>Currency</f>
        <v>international dollar</v>
      </c>
    </row>
    <row r="15" spans="1:17" ht="15" thickBot="1">
      <c r="B15" s="23"/>
      <c r="C15" s="24"/>
      <c r="D15" s="25"/>
    </row>
    <row r="17" spans="1:4" ht="15" thickBot="1"/>
    <row r="18" spans="1:4">
      <c r="B18" s="26"/>
      <c r="C18" s="27"/>
      <c r="D18" s="28"/>
    </row>
    <row r="19" spans="1:4" ht="26.65" customHeight="1">
      <c r="B19" s="223" t="s">
        <v>201</v>
      </c>
      <c r="C19" s="125"/>
      <c r="D19" s="14"/>
    </row>
    <row r="20" spans="1:4" ht="15">
      <c r="B20" s="52" t="s">
        <v>9</v>
      </c>
      <c r="C20" s="48" t="s">
        <v>114</v>
      </c>
      <c r="D20" s="14"/>
    </row>
    <row r="21" spans="1:4" ht="15">
      <c r="B21" s="13" t="s">
        <v>202</v>
      </c>
      <c r="C21" s="132">
        <f>cPaliative</f>
        <v>1655</v>
      </c>
      <c r="D21" s="14" t="str">
        <f>Currency</f>
        <v>international dollar</v>
      </c>
    </row>
    <row r="22" spans="1:4">
      <c r="B22" s="13"/>
      <c r="C22" s="53"/>
      <c r="D22" s="14"/>
    </row>
    <row r="23" spans="1:4" ht="15">
      <c r="B23" s="13" t="s">
        <v>203</v>
      </c>
      <c r="C23" s="132">
        <f>cIdMPD+cPatientPD</f>
        <v>707</v>
      </c>
      <c r="D23" s="14" t="str">
        <f>Currency</f>
        <v>international dollar</v>
      </c>
    </row>
    <row r="24" spans="1:4">
      <c r="B24" s="54"/>
      <c r="C24" s="47"/>
      <c r="D24" s="14"/>
    </row>
    <row r="25" spans="1:4" ht="15">
      <c r="B25" s="13" t="s">
        <v>204</v>
      </c>
      <c r="C25" s="132">
        <f>cIdMHD+cPatientHD</f>
        <v>6914</v>
      </c>
      <c r="D25" s="14" t="str">
        <f>Currency</f>
        <v>international dollar</v>
      </c>
    </row>
    <row r="26" spans="1:4" ht="15" thickBot="1">
      <c r="B26" s="23"/>
      <c r="C26" s="24"/>
      <c r="D26" s="25"/>
    </row>
    <row r="29" spans="1:4" ht="15">
      <c r="A29" s="1"/>
      <c r="B29" s="227"/>
      <c r="C29" s="227"/>
      <c r="D29" s="227"/>
    </row>
    <row r="30" spans="1:4" ht="15">
      <c r="A30" s="1"/>
      <c r="B30" s="227"/>
      <c r="C30" s="227"/>
      <c r="D30" s="227"/>
    </row>
    <row r="31" spans="1:4" ht="15">
      <c r="A31" s="1"/>
      <c r="B31" s="227"/>
      <c r="C31" s="227"/>
      <c r="D31" s="227"/>
    </row>
    <row r="32" spans="1:4" ht="15">
      <c r="A32" s="1"/>
      <c r="B32" s="227"/>
      <c r="C32" s="227"/>
      <c r="D32" s="227"/>
    </row>
    <row r="33" spans="1:4" ht="15">
      <c r="B33" s="227"/>
      <c r="C33" s="227"/>
      <c r="D33" s="227"/>
    </row>
    <row r="34" spans="1:4" ht="15">
      <c r="B34" s="227"/>
      <c r="C34" s="227"/>
      <c r="D34" s="227"/>
    </row>
    <row r="35" spans="1:4" ht="15">
      <c r="A35" s="1"/>
      <c r="B35" s="227"/>
      <c r="C35" s="227"/>
      <c r="D35" s="227"/>
    </row>
    <row r="36" spans="1:4" ht="15">
      <c r="A36" s="1"/>
      <c r="B36" s="227"/>
      <c r="C36" s="227"/>
      <c r="D36" s="227"/>
    </row>
    <row r="37" spans="1:4" ht="15">
      <c r="A37" s="5"/>
      <c r="B37" s="227"/>
      <c r="C37" s="227"/>
      <c r="D37" s="227"/>
    </row>
    <row r="38" spans="1:4">
      <c r="A38" s="1" t="s">
        <v>205</v>
      </c>
    </row>
    <row r="39" spans="1:4">
      <c r="A39" s="3" t="s">
        <v>205</v>
      </c>
    </row>
    <row r="40" spans="1:4">
      <c r="A40" s="1"/>
    </row>
    <row r="41" spans="1:4">
      <c r="A41" s="1"/>
    </row>
    <row r="42" spans="1:4">
      <c r="A42" s="1"/>
    </row>
    <row r="43" spans="1:4">
      <c r="A43" s="1"/>
    </row>
    <row r="44" spans="1:4">
      <c r="A44" s="3"/>
      <c r="B44" s="4"/>
    </row>
    <row r="45" spans="1:4">
      <c r="A45" s="3"/>
      <c r="B45" s="4"/>
    </row>
    <row r="46" spans="1:4">
      <c r="A46" s="5"/>
      <c r="B46" s="5"/>
      <c r="C46" s="5" t="s">
        <v>205</v>
      </c>
    </row>
    <row r="47" spans="1:4">
      <c r="A47" s="2"/>
      <c r="B47" s="1"/>
      <c r="C47" s="1"/>
    </row>
    <row r="48" spans="1:4">
      <c r="A48" s="1"/>
      <c r="B48" s="229"/>
      <c r="C48" s="1"/>
    </row>
    <row r="49" spans="1:3">
      <c r="A49" s="1"/>
      <c r="B49" s="229"/>
      <c r="C49" s="1"/>
    </row>
    <row r="50" spans="1:3">
      <c r="A50" s="1"/>
      <c r="B50" s="229"/>
      <c r="C50" s="1"/>
    </row>
  </sheetData>
  <dataValidations count="1">
    <dataValidation type="list" allowBlank="1" showInputMessage="1" showErrorMessage="1" sqref="C29">
      <formula1>$N$2:$N$3</formula1>
    </dataValidation>
  </dataValidation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6" tint="0.79998168889431442"/>
  </sheetPr>
  <dimension ref="A1:Q11"/>
  <sheetViews>
    <sheetView showGridLines="0" zoomScaleNormal="100" workbookViewId="0"/>
  </sheetViews>
  <sheetFormatPr defaultColWidth="8.625" defaultRowHeight="14.25"/>
  <cols>
    <col min="2" max="2" width="52" customWidth="1"/>
    <col min="3" max="3" width="12" customWidth="1"/>
    <col min="4" max="4" width="38.125" customWidth="1"/>
  </cols>
  <sheetData>
    <row r="1" spans="1:17" ht="35.65" customHeight="1">
      <c r="A1" s="122" t="s">
        <v>206</v>
      </c>
      <c r="B1" s="40"/>
      <c r="C1" s="40"/>
      <c r="D1" s="40"/>
      <c r="E1" s="40"/>
      <c r="F1" s="40"/>
      <c r="G1" s="40"/>
      <c r="H1" s="40"/>
      <c r="I1" s="104"/>
      <c r="J1" s="104"/>
      <c r="K1" s="104"/>
      <c r="L1" s="104"/>
      <c r="M1" s="104"/>
      <c r="N1" s="104"/>
      <c r="O1" s="104"/>
      <c r="P1" s="104"/>
      <c r="Q1" s="104"/>
    </row>
    <row r="2" spans="1:17" ht="15" thickBot="1"/>
    <row r="3" spans="1:17">
      <c r="B3" s="26"/>
      <c r="C3" s="27"/>
      <c r="D3" s="27"/>
      <c r="E3" s="27"/>
      <c r="F3" s="27"/>
      <c r="G3" s="28"/>
    </row>
    <row r="4" spans="1:17" ht="15">
      <c r="B4" s="56" t="s">
        <v>9</v>
      </c>
      <c r="C4" s="8" t="s">
        <v>114</v>
      </c>
      <c r="D4" s="8" t="s">
        <v>115</v>
      </c>
      <c r="G4" s="14"/>
    </row>
    <row r="5" spans="1:17">
      <c r="B5" s="54" t="s">
        <v>207</v>
      </c>
      <c r="C5" s="57">
        <v>0.71</v>
      </c>
      <c r="D5" s="58" t="s">
        <v>208</v>
      </c>
      <c r="G5" s="14"/>
    </row>
    <row r="6" spans="1:17">
      <c r="B6" s="54"/>
      <c r="C6" s="55"/>
      <c r="G6" s="14"/>
    </row>
    <row r="7" spans="1:17">
      <c r="B7" s="54" t="s">
        <v>209</v>
      </c>
      <c r="C7" s="57">
        <v>0.67</v>
      </c>
      <c r="D7" s="58" t="s">
        <v>210</v>
      </c>
      <c r="G7" s="14"/>
    </row>
    <row r="8" spans="1:17">
      <c r="B8" s="54"/>
      <c r="C8" s="55"/>
      <c r="G8" s="14"/>
    </row>
    <row r="9" spans="1:17" ht="28.5">
      <c r="B9" s="68" t="s">
        <v>211</v>
      </c>
      <c r="C9" s="225">
        <v>0.6</v>
      </c>
      <c r="D9" s="58"/>
      <c r="G9" s="14"/>
    </row>
    <row r="10" spans="1:17">
      <c r="B10" s="54"/>
      <c r="G10" s="14"/>
    </row>
    <row r="11" spans="1:17" ht="15" thickBot="1">
      <c r="B11" s="23"/>
      <c r="C11" s="24"/>
      <c r="D11" s="24"/>
      <c r="E11" s="24"/>
      <c r="F11" s="24"/>
      <c r="G11" s="25"/>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6" tint="0.79998168889431442"/>
  </sheetPr>
  <dimension ref="A1:Q8"/>
  <sheetViews>
    <sheetView showGridLines="0" zoomScaleNormal="100" workbookViewId="0"/>
  </sheetViews>
  <sheetFormatPr defaultColWidth="8.625" defaultRowHeight="14.25"/>
  <cols>
    <col min="2" max="2" width="28.625" customWidth="1"/>
    <col min="3" max="3" width="12.375" customWidth="1"/>
    <col min="4" max="4" width="22" customWidth="1"/>
  </cols>
  <sheetData>
    <row r="1" spans="1:17" ht="35.65" customHeight="1">
      <c r="A1" s="122" t="s">
        <v>212</v>
      </c>
      <c r="B1" s="40"/>
      <c r="C1" s="40"/>
      <c r="D1" s="40"/>
      <c r="E1" s="40"/>
      <c r="F1" s="40"/>
      <c r="G1" s="40"/>
      <c r="H1" s="40"/>
      <c r="I1" s="40"/>
      <c r="J1" s="40"/>
      <c r="K1" s="40"/>
      <c r="L1" s="104"/>
      <c r="M1" s="104"/>
      <c r="N1" s="104"/>
      <c r="O1" s="104"/>
      <c r="P1" s="104"/>
      <c r="Q1" s="104"/>
    </row>
    <row r="2" spans="1:17" ht="15" thickBot="1"/>
    <row r="3" spans="1:17">
      <c r="B3" s="26"/>
      <c r="C3" s="27"/>
      <c r="D3" s="27"/>
      <c r="E3" s="28"/>
    </row>
    <row r="4" spans="1:17" ht="15">
      <c r="B4" s="56" t="s">
        <v>9</v>
      </c>
      <c r="C4" s="8" t="s">
        <v>114</v>
      </c>
      <c r="D4" s="8" t="s">
        <v>115</v>
      </c>
      <c r="E4" s="14"/>
    </row>
    <row r="5" spans="1:17">
      <c r="B5" s="60" t="s">
        <v>213</v>
      </c>
      <c r="C5" s="86">
        <v>0.03</v>
      </c>
      <c r="D5" s="87" t="s">
        <v>214</v>
      </c>
      <c r="E5" s="14"/>
    </row>
    <row r="6" spans="1:17">
      <c r="B6" s="60"/>
      <c r="C6" s="61"/>
      <c r="E6" s="14"/>
    </row>
    <row r="7" spans="1:17">
      <c r="B7" s="60" t="s">
        <v>215</v>
      </c>
      <c r="C7" s="86">
        <v>0.03</v>
      </c>
      <c r="D7" s="87" t="s">
        <v>214</v>
      </c>
      <c r="E7" s="14"/>
    </row>
    <row r="8" spans="1:17" ht="15" thickBot="1">
      <c r="B8" s="23"/>
      <c r="C8" s="24"/>
      <c r="D8" s="24"/>
      <c r="E8" s="25"/>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8" tint="0.79998168889431442"/>
  </sheetPr>
  <dimension ref="A1:Q57"/>
  <sheetViews>
    <sheetView zoomScaleNormal="100" workbookViewId="0"/>
  </sheetViews>
  <sheetFormatPr defaultColWidth="8.625" defaultRowHeight="14.25"/>
  <cols>
    <col min="1" max="1" width="12" style="67" customWidth="1"/>
    <col min="2" max="2" width="46.375" style="67" customWidth="1"/>
    <col min="3" max="3" width="25.625" style="67" customWidth="1"/>
    <col min="4" max="4" width="21.625" style="67" customWidth="1"/>
    <col min="5" max="16384" width="8.625" style="67"/>
  </cols>
  <sheetData>
    <row r="1" spans="1:17" ht="58.15" customHeight="1">
      <c r="A1" s="230" t="s">
        <v>216</v>
      </c>
      <c r="B1" s="65"/>
      <c r="C1" s="65"/>
      <c r="D1" s="65"/>
      <c r="E1" s="65"/>
      <c r="F1" s="65"/>
      <c r="G1" s="65"/>
      <c r="H1" s="65"/>
      <c r="I1" s="65"/>
      <c r="J1" s="65"/>
      <c r="K1" s="65"/>
      <c r="L1" s="65"/>
      <c r="M1" s="66"/>
      <c r="N1" s="66"/>
      <c r="O1" s="66"/>
      <c r="P1" s="66"/>
      <c r="Q1" s="66"/>
    </row>
    <row r="3" spans="1:17" ht="15" thickBot="1"/>
    <row r="4" spans="1:17" ht="30" customHeight="1">
      <c r="B4" s="182" t="s">
        <v>217</v>
      </c>
      <c r="C4" s="76"/>
      <c r="D4" s="73"/>
      <c r="E4" s="183"/>
      <c r="F4" s="80"/>
      <c r="G4" s="80"/>
      <c r="H4" s="80"/>
      <c r="I4" s="80"/>
      <c r="J4" s="80"/>
      <c r="K4" s="80"/>
      <c r="L4" s="81"/>
    </row>
    <row r="5" spans="1:17" ht="15">
      <c r="B5" s="184" t="s">
        <v>9</v>
      </c>
      <c r="C5" s="185" t="s">
        <v>218</v>
      </c>
      <c r="D5" s="74"/>
      <c r="E5" s="186"/>
      <c r="F5" s="82"/>
      <c r="G5" s="82"/>
      <c r="H5" s="82"/>
      <c r="I5" s="82"/>
      <c r="J5" s="82"/>
      <c r="K5" s="82"/>
      <c r="L5" s="83"/>
    </row>
    <row r="6" spans="1:17" ht="18" customHeight="1">
      <c r="B6" s="187" t="s">
        <v>219</v>
      </c>
      <c r="C6" s="188">
        <f>TotalCostHDfirst</f>
        <v>564587.88033020112</v>
      </c>
      <c r="D6" s="189" t="str">
        <f>Currency</f>
        <v>international dollar</v>
      </c>
      <c r="E6" s="186"/>
      <c r="F6" s="82"/>
      <c r="G6" s="82"/>
      <c r="H6" s="82"/>
      <c r="I6" s="82"/>
      <c r="J6" s="82"/>
      <c r="K6" s="82"/>
      <c r="L6" s="83"/>
    </row>
    <row r="7" spans="1:17" ht="15" customHeight="1">
      <c r="B7" s="190"/>
      <c r="D7" s="74"/>
      <c r="E7" s="186"/>
      <c r="F7" s="82"/>
      <c r="G7" s="82"/>
      <c r="H7" s="82"/>
      <c r="I7" s="82"/>
      <c r="J7" s="82"/>
      <c r="K7" s="82"/>
      <c r="L7" s="83"/>
    </row>
    <row r="8" spans="1:17" ht="16.149999999999999" customHeight="1">
      <c r="B8" s="187" t="s">
        <v>220</v>
      </c>
      <c r="C8" s="188">
        <f>TotalCostPDfirst</f>
        <v>500185.60808103433</v>
      </c>
      <c r="D8" s="189" t="str">
        <f>Currency</f>
        <v>international dollar</v>
      </c>
      <c r="E8" s="186"/>
      <c r="F8" s="82"/>
      <c r="G8" s="82"/>
      <c r="H8" s="82"/>
      <c r="I8" s="82"/>
      <c r="J8" s="82"/>
      <c r="K8" s="82"/>
      <c r="L8" s="83"/>
    </row>
    <row r="9" spans="1:17">
      <c r="B9" s="75"/>
      <c r="D9" s="74"/>
      <c r="E9" s="186"/>
      <c r="F9" s="82"/>
      <c r="G9" s="82"/>
      <c r="H9" s="82"/>
      <c r="I9" s="82"/>
      <c r="J9" s="82"/>
      <c r="K9" s="82"/>
      <c r="L9" s="83"/>
    </row>
    <row r="10" spans="1:17">
      <c r="B10" s="187" t="s">
        <v>221</v>
      </c>
      <c r="C10" s="188">
        <f>TotalCostPaliative</f>
        <v>14904.640163608816</v>
      </c>
      <c r="D10" s="189" t="str">
        <f>Currency</f>
        <v>international dollar</v>
      </c>
      <c r="E10" s="186"/>
      <c r="F10" s="82"/>
      <c r="G10" s="82"/>
      <c r="H10" s="82"/>
      <c r="I10" s="82"/>
      <c r="J10" s="82"/>
      <c r="K10" s="82"/>
      <c r="L10" s="83"/>
    </row>
    <row r="11" spans="1:17">
      <c r="B11" s="212"/>
      <c r="C11" s="213"/>
      <c r="D11" s="189"/>
      <c r="E11" s="186"/>
      <c r="F11" s="82"/>
      <c r="G11" s="82"/>
      <c r="H11" s="82"/>
      <c r="I11" s="82"/>
      <c r="J11" s="82"/>
      <c r="K11" s="82"/>
      <c r="L11" s="83"/>
    </row>
    <row r="12" spans="1:17">
      <c r="B12" s="212"/>
      <c r="C12" s="213"/>
      <c r="D12" s="189"/>
      <c r="E12" s="186"/>
      <c r="F12" s="82"/>
      <c r="G12" s="82"/>
      <c r="H12" s="82"/>
      <c r="I12" s="82"/>
      <c r="J12" s="82"/>
      <c r="K12" s="82"/>
      <c r="L12" s="83"/>
    </row>
    <row r="13" spans="1:17">
      <c r="B13" s="212"/>
      <c r="C13" s="213"/>
      <c r="D13" s="189"/>
      <c r="E13" s="186"/>
      <c r="F13" s="82"/>
      <c r="G13" s="82"/>
      <c r="H13" s="82"/>
      <c r="I13" s="82"/>
      <c r="J13" s="82"/>
      <c r="K13" s="82"/>
      <c r="L13" s="83"/>
    </row>
    <row r="14" spans="1:17">
      <c r="B14" s="212"/>
      <c r="C14" s="213"/>
      <c r="D14" s="189"/>
      <c r="E14" s="186"/>
      <c r="F14" s="82"/>
      <c r="G14" s="82"/>
      <c r="H14" s="82"/>
      <c r="I14" s="82"/>
      <c r="J14" s="82"/>
      <c r="K14" s="82"/>
      <c r="L14" s="83"/>
    </row>
    <row r="15" spans="1:17">
      <c r="B15" s="212"/>
      <c r="C15" s="213"/>
      <c r="D15" s="189"/>
      <c r="E15" s="186"/>
      <c r="F15" s="82"/>
      <c r="G15" s="82"/>
      <c r="H15" s="82"/>
      <c r="I15" s="82"/>
      <c r="J15" s="82"/>
      <c r="K15" s="82"/>
      <c r="L15" s="83"/>
    </row>
    <row r="16" spans="1:17">
      <c r="B16" s="212"/>
      <c r="C16" s="213"/>
      <c r="D16" s="189"/>
      <c r="E16" s="186"/>
      <c r="F16" s="82"/>
      <c r="G16" s="82"/>
      <c r="H16" s="82"/>
      <c r="I16" s="82"/>
      <c r="J16" s="82"/>
      <c r="K16" s="82"/>
      <c r="L16" s="83"/>
    </row>
    <row r="17" spans="2:12">
      <c r="B17" s="212"/>
      <c r="C17" s="213"/>
      <c r="D17" s="189"/>
      <c r="E17" s="186"/>
      <c r="F17" s="82"/>
      <c r="G17" s="82"/>
      <c r="H17" s="82"/>
      <c r="I17" s="82"/>
      <c r="J17" s="82"/>
      <c r="K17" s="82"/>
      <c r="L17" s="83"/>
    </row>
    <row r="18" spans="2:12">
      <c r="B18" s="212"/>
      <c r="C18" s="213"/>
      <c r="D18" s="189"/>
      <c r="E18" s="186"/>
      <c r="F18" s="82"/>
      <c r="G18" s="82"/>
      <c r="H18" s="82"/>
      <c r="I18" s="82"/>
      <c r="J18" s="82"/>
      <c r="K18" s="82"/>
      <c r="L18" s="83"/>
    </row>
    <row r="19" spans="2:12" ht="15" thickBot="1">
      <c r="B19" s="77"/>
      <c r="C19" s="78"/>
      <c r="D19" s="79"/>
      <c r="E19" s="191"/>
      <c r="F19" s="84"/>
      <c r="G19" s="84"/>
      <c r="H19" s="84"/>
      <c r="I19" s="84"/>
      <c r="J19" s="84"/>
      <c r="K19" s="84"/>
      <c r="L19" s="85"/>
    </row>
    <row r="21" spans="2:12" ht="15" thickBot="1"/>
    <row r="22" spans="2:12" ht="15">
      <c r="B22" s="182" t="s">
        <v>222</v>
      </c>
      <c r="C22" s="76"/>
      <c r="D22" s="73"/>
      <c r="E22" s="192"/>
      <c r="F22" s="76"/>
      <c r="G22" s="76"/>
      <c r="H22" s="76"/>
      <c r="I22" s="76"/>
      <c r="J22" s="76"/>
      <c r="K22" s="76"/>
      <c r="L22" s="73"/>
    </row>
    <row r="23" spans="2:12" ht="15">
      <c r="B23" s="184" t="s">
        <v>9</v>
      </c>
      <c r="C23" s="185" t="s">
        <v>218</v>
      </c>
      <c r="D23" s="74"/>
      <c r="E23" s="75"/>
      <c r="L23" s="74"/>
    </row>
    <row r="24" spans="2:12">
      <c r="B24" s="187" t="s">
        <v>223</v>
      </c>
      <c r="C24" s="193">
        <f>TotalLYHDfirst</f>
        <v>12.126073026247155</v>
      </c>
      <c r="D24" s="194" t="s">
        <v>224</v>
      </c>
      <c r="E24" s="75"/>
      <c r="L24" s="74"/>
    </row>
    <row r="25" spans="2:12">
      <c r="B25" s="190"/>
      <c r="D25" s="74"/>
      <c r="E25" s="75"/>
      <c r="L25" s="74"/>
    </row>
    <row r="26" spans="2:12">
      <c r="B26" s="187" t="s">
        <v>225</v>
      </c>
      <c r="C26" s="193">
        <f>TotalLYPDfirst</f>
        <v>12.126073026247134</v>
      </c>
      <c r="D26" s="194" t="s">
        <v>224</v>
      </c>
      <c r="E26" s="75"/>
      <c r="L26" s="74"/>
    </row>
    <row r="27" spans="2:12">
      <c r="B27" s="75"/>
      <c r="D27" s="74"/>
      <c r="E27" s="75"/>
      <c r="L27" s="74"/>
    </row>
    <row r="28" spans="2:12">
      <c r="B28" s="187" t="s">
        <v>226</v>
      </c>
      <c r="C28" s="188">
        <f>TotalLYPaliative</f>
        <v>0.23169377975192965</v>
      </c>
      <c r="D28" s="194" t="s">
        <v>224</v>
      </c>
      <c r="E28" s="75"/>
      <c r="L28" s="74"/>
    </row>
    <row r="29" spans="2:12">
      <c r="B29" s="212"/>
      <c r="C29" s="213"/>
      <c r="D29" s="194"/>
      <c r="E29" s="75"/>
      <c r="L29" s="74"/>
    </row>
    <row r="30" spans="2:12">
      <c r="B30" s="212"/>
      <c r="C30" s="213"/>
      <c r="D30" s="194"/>
      <c r="E30" s="75"/>
      <c r="L30" s="74"/>
    </row>
    <row r="31" spans="2:12">
      <c r="B31" s="212"/>
      <c r="C31" s="213"/>
      <c r="D31" s="194"/>
      <c r="E31" s="75"/>
      <c r="L31" s="74"/>
    </row>
    <row r="32" spans="2:12">
      <c r="B32" s="212"/>
      <c r="C32" s="213"/>
      <c r="D32" s="194"/>
      <c r="E32" s="75"/>
      <c r="L32" s="74"/>
    </row>
    <row r="33" spans="1:12">
      <c r="B33" s="212"/>
      <c r="C33" s="213"/>
      <c r="D33" s="194"/>
      <c r="E33" s="75"/>
      <c r="L33" s="74"/>
    </row>
    <row r="34" spans="1:12">
      <c r="B34" s="212"/>
      <c r="C34" s="213"/>
      <c r="D34" s="194"/>
      <c r="E34" s="75"/>
      <c r="L34" s="74"/>
    </row>
    <row r="35" spans="1:12">
      <c r="B35" s="212"/>
      <c r="C35" s="213"/>
      <c r="D35" s="194"/>
      <c r="E35" s="75"/>
      <c r="L35" s="74"/>
    </row>
    <row r="36" spans="1:12">
      <c r="B36" s="212"/>
      <c r="C36" s="213"/>
      <c r="D36" s="194"/>
      <c r="E36" s="75"/>
      <c r="L36" s="74"/>
    </row>
    <row r="37" spans="1:12" ht="15" thickBot="1">
      <c r="B37" s="77"/>
      <c r="C37" s="78"/>
      <c r="D37" s="79"/>
      <c r="E37" s="77"/>
      <c r="F37" s="78"/>
      <c r="G37" s="78"/>
      <c r="H37" s="78"/>
      <c r="I37" s="78"/>
      <c r="J37" s="78"/>
      <c r="K37" s="78"/>
      <c r="L37" s="79"/>
    </row>
    <row r="38" spans="1:12" ht="15" thickBot="1"/>
    <row r="39" spans="1:12" ht="15">
      <c r="B39" s="182" t="s">
        <v>51</v>
      </c>
      <c r="C39" s="76"/>
      <c r="D39" s="73"/>
      <c r="E39" s="192"/>
      <c r="F39" s="76"/>
      <c r="G39" s="76"/>
      <c r="H39" s="76"/>
      <c r="I39" s="76"/>
      <c r="J39" s="76"/>
      <c r="K39" s="76"/>
      <c r="L39" s="73"/>
    </row>
    <row r="40" spans="1:12" ht="15">
      <c r="A40" s="67" t="s">
        <v>227</v>
      </c>
      <c r="B40" s="184" t="s">
        <v>9</v>
      </c>
      <c r="C40" s="185" t="s">
        <v>218</v>
      </c>
      <c r="D40" s="74"/>
      <c r="E40" s="75"/>
      <c r="L40" s="74"/>
    </row>
    <row r="41" spans="1:12">
      <c r="B41" s="187" t="s">
        <v>228</v>
      </c>
      <c r="C41" s="188">
        <f>TotalQALYHDfirst</f>
        <v>8.1499607700034371</v>
      </c>
      <c r="D41" s="194" t="s">
        <v>224</v>
      </c>
      <c r="E41" s="75"/>
      <c r="L41" s="74"/>
    </row>
    <row r="42" spans="1:12">
      <c r="B42" s="190"/>
      <c r="D42" s="74"/>
      <c r="E42" s="75"/>
      <c r="L42" s="74"/>
    </row>
    <row r="43" spans="1:12">
      <c r="B43" s="187" t="s">
        <v>229</v>
      </c>
      <c r="C43" s="188">
        <f>TotalQALYPDfirst</f>
        <v>8.5019681384351724</v>
      </c>
      <c r="D43" s="194" t="s">
        <v>224</v>
      </c>
      <c r="E43" s="75"/>
      <c r="L43" s="74"/>
    </row>
    <row r="44" spans="1:12">
      <c r="B44" s="75"/>
      <c r="D44" s="74"/>
      <c r="E44" s="75"/>
      <c r="L44" s="74"/>
    </row>
    <row r="45" spans="1:12">
      <c r="B45" s="187" t="s">
        <v>230</v>
      </c>
      <c r="C45" s="188">
        <f>TotalQALYPaliative</f>
        <v>0.13898303047118166</v>
      </c>
      <c r="D45" s="194" t="s">
        <v>224</v>
      </c>
      <c r="E45" s="75"/>
      <c r="L45" s="74"/>
    </row>
    <row r="46" spans="1:12">
      <c r="B46" s="212"/>
      <c r="C46" s="213"/>
      <c r="D46" s="194"/>
      <c r="E46" s="75"/>
      <c r="L46" s="74"/>
    </row>
    <row r="47" spans="1:12">
      <c r="B47" s="212"/>
      <c r="C47" s="213"/>
      <c r="D47" s="194"/>
      <c r="E47" s="75"/>
      <c r="L47" s="74"/>
    </row>
    <row r="48" spans="1:12">
      <c r="B48" s="212"/>
      <c r="C48" s="213"/>
      <c r="D48" s="194"/>
      <c r="E48" s="75"/>
      <c r="L48" s="74"/>
    </row>
    <row r="49" spans="1:12">
      <c r="B49" s="212"/>
      <c r="C49" s="213"/>
      <c r="D49" s="194"/>
      <c r="E49" s="75"/>
      <c r="L49" s="74"/>
    </row>
    <row r="50" spans="1:12">
      <c r="B50" s="212"/>
      <c r="C50" s="213"/>
      <c r="D50" s="194"/>
      <c r="E50" s="75"/>
      <c r="L50" s="74"/>
    </row>
    <row r="51" spans="1:12">
      <c r="B51" s="212"/>
      <c r="C51" s="213"/>
      <c r="D51" s="194"/>
      <c r="E51" s="75"/>
      <c r="L51" s="74"/>
    </row>
    <row r="52" spans="1:12">
      <c r="B52" s="212"/>
      <c r="C52" s="213"/>
      <c r="D52" s="194"/>
      <c r="E52" s="75"/>
      <c r="L52" s="74"/>
    </row>
    <row r="53" spans="1:12">
      <c r="B53" s="212"/>
      <c r="C53" s="213"/>
      <c r="D53" s="194"/>
      <c r="E53" s="75"/>
      <c r="L53" s="74"/>
    </row>
    <row r="54" spans="1:12" ht="15" thickBot="1">
      <c r="B54" s="77"/>
      <c r="C54" s="78"/>
      <c r="D54" s="79"/>
      <c r="E54" s="77"/>
      <c r="F54" s="78"/>
      <c r="G54" s="78"/>
      <c r="H54" s="78"/>
      <c r="I54" s="78"/>
      <c r="J54" s="78"/>
      <c r="K54" s="78"/>
      <c r="L54" s="79"/>
    </row>
    <row r="57" spans="1:12">
      <c r="A57" s="72"/>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8" tint="0.79998168889431442"/>
  </sheetPr>
  <dimension ref="A1:X67"/>
  <sheetViews>
    <sheetView zoomScaleNormal="100" workbookViewId="0"/>
  </sheetViews>
  <sheetFormatPr defaultColWidth="8.625" defaultRowHeight="14.25"/>
  <cols>
    <col min="1" max="1" width="9.375" style="72" customWidth="1"/>
    <col min="2" max="2" width="64.375" style="72" customWidth="1"/>
    <col min="3" max="3" width="22.625" style="72" customWidth="1"/>
    <col min="4" max="4" width="18" style="72" customWidth="1"/>
    <col min="5" max="5" width="12.625" style="72" customWidth="1"/>
    <col min="6" max="6" width="19.625" style="72" customWidth="1"/>
    <col min="7" max="16384" width="8.625" style="72"/>
  </cols>
  <sheetData>
    <row r="1" spans="1:24" s="67" customFormat="1" ht="58.15" customHeight="1">
      <c r="A1" s="181" t="s">
        <v>231</v>
      </c>
      <c r="B1" s="40"/>
      <c r="C1" s="40"/>
      <c r="D1" s="40"/>
      <c r="E1" s="40"/>
      <c r="F1" s="40"/>
      <c r="G1" s="40"/>
      <c r="H1" s="40"/>
      <c r="I1" s="40"/>
      <c r="J1" s="40"/>
      <c r="K1" s="40"/>
      <c r="L1" s="40"/>
      <c r="M1" s="40"/>
      <c r="N1" s="40"/>
      <c r="O1" s="40"/>
      <c r="P1" s="40"/>
      <c r="Q1" s="16"/>
      <c r="R1" s="16"/>
      <c r="S1" s="16"/>
      <c r="T1" s="16"/>
      <c r="U1" s="16"/>
      <c r="V1" s="16"/>
      <c r="W1" s="16"/>
      <c r="X1" s="16"/>
    </row>
    <row r="3" spans="1:24" ht="15" thickBot="1"/>
    <row r="4" spans="1:24" ht="15">
      <c r="B4" s="182" t="s">
        <v>232</v>
      </c>
      <c r="C4" s="195"/>
      <c r="D4" s="195"/>
      <c r="E4" s="195"/>
      <c r="F4" s="196"/>
    </row>
    <row r="5" spans="1:24">
      <c r="B5" s="190"/>
      <c r="F5" s="194"/>
    </row>
    <row r="6" spans="1:24">
      <c r="B6" s="197" t="s">
        <v>233</v>
      </c>
      <c r="C6" s="188">
        <f>('9.TotalCost&amp;Outcome'!C6-'9.TotalCost&amp;Outcome'!C10)/('9.TotalCost&amp;Outcome'!C41-'9.TotalCost&amp;Outcome'!C45)</f>
        <v>68616.248607712056</v>
      </c>
      <c r="D6" s="207" t="str">
        <f>Currency</f>
        <v>international dollar</v>
      </c>
      <c r="E6" s="72" t="s">
        <v>234</v>
      </c>
      <c r="F6" s="199" t="str">
        <f>IF(C6&lt;=$C$12,"Cost effective","Not cost effective")</f>
        <v>Not cost effective</v>
      </c>
    </row>
    <row r="7" spans="1:24">
      <c r="B7" s="190"/>
      <c r="D7" s="206"/>
      <c r="F7" s="194"/>
    </row>
    <row r="8" spans="1:24">
      <c r="B8" s="197" t="s">
        <v>235</v>
      </c>
      <c r="C8" s="188">
        <f>('9.TotalCost&amp;Outcome'!C8-'9.TotalCost&amp;Outcome'!C10)/('9.TotalCost&amp;Outcome'!C43-'9.TotalCost&amp;Outcome'!C45)</f>
        <v>58027.242862754487</v>
      </c>
      <c r="D8" s="207" t="str">
        <f>Currency</f>
        <v>international dollar</v>
      </c>
      <c r="E8" s="72" t="s">
        <v>234</v>
      </c>
      <c r="F8" s="199" t="str">
        <f>IF(C8&lt;=$C$12,"Cost effective","Not cost effective")</f>
        <v>Not cost effective</v>
      </c>
    </row>
    <row r="9" spans="1:24">
      <c r="B9" s="190"/>
      <c r="D9" s="206"/>
      <c r="F9" s="194"/>
    </row>
    <row r="10" spans="1:24">
      <c r="B10" s="197" t="s">
        <v>236</v>
      </c>
      <c r="C10" s="188" t="str">
        <f>IF('9.TotalCost&amp;Outcome'!C8&lt;'9.TotalCost&amp;Outcome'!C6 &amp; '9.TotalCost&amp;Outcome'!C26&gt;'9.TotalCost&amp;Outcome'!C24,"Dominant",('9.TotalCost&amp;Outcome'!C8-'9.TotalCost&amp;Outcome'!C6)/('9.TotalCost&amp;Outcome'!C43-'9.TotalCost&amp;Outcome'!C41))</f>
        <v>Dominant</v>
      </c>
      <c r="D10" s="207" t="str">
        <f>Currency</f>
        <v>international dollar</v>
      </c>
      <c r="E10" s="72" t="s">
        <v>234</v>
      </c>
      <c r="F10" s="199"/>
    </row>
    <row r="11" spans="1:24">
      <c r="B11" s="190"/>
      <c r="D11" s="206"/>
      <c r="F11" s="194"/>
    </row>
    <row r="12" spans="1:24">
      <c r="B12" s="197" t="s">
        <v>237</v>
      </c>
      <c r="C12" s="200">
        <v>15023</v>
      </c>
      <c r="D12" s="207" t="str">
        <f>Currency</f>
        <v>international dollar</v>
      </c>
      <c r="E12" s="72" t="s">
        <v>234</v>
      </c>
      <c r="F12" s="194"/>
    </row>
    <row r="13" spans="1:24" ht="20.25">
      <c r="B13" s="217" t="s">
        <v>238</v>
      </c>
      <c r="C13" s="201"/>
      <c r="D13" s="198"/>
      <c r="F13" s="194"/>
      <c r="G13" s="110"/>
    </row>
    <row r="14" spans="1:24" ht="15" thickBot="1">
      <c r="B14" s="202"/>
      <c r="C14" s="203"/>
      <c r="D14" s="203"/>
      <c r="E14" s="203"/>
      <c r="F14" s="204"/>
    </row>
    <row r="16" spans="1:24" ht="15" thickBot="1"/>
    <row r="17" spans="2:23" ht="15">
      <c r="B17" s="182" t="s">
        <v>239</v>
      </c>
      <c r="C17" s="195"/>
      <c r="D17" s="195"/>
      <c r="E17" s="195"/>
      <c r="F17" s="195"/>
      <c r="G17" s="195"/>
      <c r="H17" s="195"/>
      <c r="I17" s="195"/>
      <c r="J17" s="195"/>
      <c r="K17" s="195"/>
      <c r="L17" s="195"/>
      <c r="M17" s="195"/>
      <c r="N17" s="195"/>
      <c r="O17" s="195"/>
      <c r="P17" s="195"/>
      <c r="Q17" s="195"/>
      <c r="R17" s="195"/>
      <c r="S17" s="195"/>
      <c r="T17" s="195"/>
      <c r="U17" s="195"/>
      <c r="V17" s="195"/>
      <c r="W17" s="196"/>
    </row>
    <row r="18" spans="2:23">
      <c r="B18" s="190"/>
      <c r="W18" s="194"/>
    </row>
    <row r="19" spans="2:23">
      <c r="B19" s="197" t="s">
        <v>240</v>
      </c>
      <c r="C19" s="188">
        <f>TotalCostHDfirst-TotalCostPaliative</f>
        <v>549683.2401665923</v>
      </c>
      <c r="D19" s="198" t="str">
        <f>Currency</f>
        <v>international dollar</v>
      </c>
      <c r="W19" s="194"/>
    </row>
    <row r="20" spans="2:23">
      <c r="B20" s="190"/>
      <c r="W20" s="194"/>
    </row>
    <row r="21" spans="2:23">
      <c r="B21" s="197" t="s">
        <v>241</v>
      </c>
      <c r="C21" s="188">
        <f>TotalCostPDfirst-TotalCostPaliative</f>
        <v>485280.9679174255</v>
      </c>
      <c r="D21" s="198" t="str">
        <f>Currency</f>
        <v>international dollar</v>
      </c>
      <c r="W21" s="194"/>
    </row>
    <row r="22" spans="2:23">
      <c r="B22" s="190"/>
      <c r="W22" s="194"/>
    </row>
    <row r="23" spans="2:23">
      <c r="B23" s="190" t="s">
        <v>242</v>
      </c>
      <c r="C23" s="188">
        <f>'9.TotalCost&amp;Outcome'!C8-'9.TotalCost&amp;Outcome'!C6</f>
        <v>-64402.272249166796</v>
      </c>
      <c r="D23" s="198" t="str">
        <f>Currency</f>
        <v>international dollar</v>
      </c>
      <c r="W23" s="194"/>
    </row>
    <row r="24" spans="2:23">
      <c r="B24" s="190"/>
      <c r="W24" s="194"/>
    </row>
    <row r="25" spans="2:23">
      <c r="B25" s="197" t="s">
        <v>243</v>
      </c>
      <c r="C25" s="188">
        <f>TotalQALYHDfirst-TotalQALYPaliative</f>
        <v>8.0109777395322546</v>
      </c>
      <c r="D25" s="72" t="s">
        <v>51</v>
      </c>
      <c r="W25" s="194"/>
    </row>
    <row r="26" spans="2:23">
      <c r="B26" s="190"/>
      <c r="W26" s="194"/>
    </row>
    <row r="27" spans="2:23">
      <c r="B27" s="197" t="s">
        <v>244</v>
      </c>
      <c r="C27" s="188">
        <f>TotalQALYPDfirst-TotalQALYPaliative</f>
        <v>8.3629851079639899</v>
      </c>
      <c r="D27" s="72" t="s">
        <v>51</v>
      </c>
      <c r="W27" s="194"/>
    </row>
    <row r="28" spans="2:23">
      <c r="B28" s="190"/>
      <c r="W28" s="194"/>
    </row>
    <row r="29" spans="2:23">
      <c r="B29" s="190" t="s">
        <v>245</v>
      </c>
      <c r="C29" s="188">
        <f>'9.TotalCost&amp;Outcome'!C43-'9.TotalCost&amp;Outcome'!C41</f>
        <v>0.3520073684317353</v>
      </c>
      <c r="D29" s="72" t="s">
        <v>51</v>
      </c>
      <c r="W29" s="194"/>
    </row>
    <row r="30" spans="2:23">
      <c r="B30" s="88" t="s">
        <v>246</v>
      </c>
      <c r="C30" s="89" t="s">
        <v>247</v>
      </c>
      <c r="W30" s="194"/>
    </row>
    <row r="31" spans="2:23">
      <c r="B31" s="88">
        <v>0</v>
      </c>
      <c r="C31" s="89">
        <v>0</v>
      </c>
      <c r="W31" s="194"/>
    </row>
    <row r="32" spans="2:23">
      <c r="B32" s="88">
        <v>1</v>
      </c>
      <c r="C32" s="89">
        <f t="shared" ref="C32:C40" si="0">B32*CET</f>
        <v>15023</v>
      </c>
      <c r="W32" s="194"/>
    </row>
    <row r="33" spans="2:23">
      <c r="B33" s="88">
        <v>2</v>
      </c>
      <c r="C33" s="89">
        <f t="shared" si="0"/>
        <v>30046</v>
      </c>
      <c r="W33" s="194"/>
    </row>
    <row r="34" spans="2:23">
      <c r="B34" s="88">
        <v>3</v>
      </c>
      <c r="C34" s="89">
        <f t="shared" si="0"/>
        <v>45069</v>
      </c>
      <c r="W34" s="194"/>
    </row>
    <row r="35" spans="2:23">
      <c r="B35" s="88">
        <v>4</v>
      </c>
      <c r="C35" s="89">
        <f t="shared" si="0"/>
        <v>60092</v>
      </c>
      <c r="W35" s="194"/>
    </row>
    <row r="36" spans="2:23">
      <c r="B36" s="88">
        <v>5</v>
      </c>
      <c r="C36" s="89">
        <f t="shared" si="0"/>
        <v>75115</v>
      </c>
      <c r="W36" s="194"/>
    </row>
    <row r="37" spans="2:23">
      <c r="B37" s="88">
        <v>6</v>
      </c>
      <c r="C37" s="89">
        <f t="shared" si="0"/>
        <v>90138</v>
      </c>
      <c r="W37" s="194"/>
    </row>
    <row r="38" spans="2:23">
      <c r="B38" s="88">
        <v>7</v>
      </c>
      <c r="C38" s="89">
        <f t="shared" si="0"/>
        <v>105161</v>
      </c>
      <c r="W38" s="194"/>
    </row>
    <row r="39" spans="2:23">
      <c r="B39" s="88">
        <v>8</v>
      </c>
      <c r="C39" s="89">
        <f t="shared" si="0"/>
        <v>120184</v>
      </c>
      <c r="W39" s="194"/>
    </row>
    <row r="40" spans="2:23">
      <c r="B40" s="88">
        <v>9</v>
      </c>
      <c r="C40" s="89">
        <f t="shared" si="0"/>
        <v>135207</v>
      </c>
      <c r="W40" s="194"/>
    </row>
    <row r="41" spans="2:23">
      <c r="B41" s="205"/>
      <c r="C41" s="206"/>
      <c r="W41" s="194"/>
    </row>
    <row r="42" spans="2:23">
      <c r="B42" s="190"/>
      <c r="W42" s="194"/>
    </row>
    <row r="43" spans="2:23">
      <c r="B43" s="190"/>
      <c r="W43" s="194"/>
    </row>
    <row r="44" spans="2:23">
      <c r="B44" s="190"/>
      <c r="W44" s="194"/>
    </row>
    <row r="45" spans="2:23">
      <c r="B45" s="190"/>
      <c r="W45" s="194"/>
    </row>
    <row r="46" spans="2:23">
      <c r="B46" s="190"/>
      <c r="W46" s="194"/>
    </row>
    <row r="47" spans="2:23">
      <c r="B47" s="190"/>
      <c r="W47" s="194"/>
    </row>
    <row r="48" spans="2:23">
      <c r="B48" s="190"/>
      <c r="W48" s="194"/>
    </row>
    <row r="49" spans="2:23">
      <c r="B49" s="190"/>
      <c r="W49" s="194"/>
    </row>
    <row r="50" spans="2:23">
      <c r="B50" s="190"/>
      <c r="W50" s="194"/>
    </row>
    <row r="51" spans="2:23">
      <c r="B51" s="190"/>
      <c r="W51" s="194"/>
    </row>
    <row r="52" spans="2:23">
      <c r="B52" s="190"/>
      <c r="W52" s="194"/>
    </row>
    <row r="53" spans="2:23">
      <c r="B53" s="190"/>
      <c r="W53" s="194"/>
    </row>
    <row r="54" spans="2:23">
      <c r="B54" s="190"/>
      <c r="W54" s="194"/>
    </row>
    <row r="55" spans="2:23">
      <c r="B55" s="190"/>
      <c r="W55" s="194"/>
    </row>
    <row r="56" spans="2:23">
      <c r="B56" s="190"/>
      <c r="W56" s="194"/>
    </row>
    <row r="57" spans="2:23">
      <c r="B57" s="190"/>
      <c r="W57" s="194"/>
    </row>
    <row r="58" spans="2:23">
      <c r="B58" s="190"/>
      <c r="W58" s="194"/>
    </row>
    <row r="59" spans="2:23">
      <c r="B59" s="190"/>
      <c r="W59" s="194"/>
    </row>
    <row r="60" spans="2:23">
      <c r="B60" s="190"/>
      <c r="W60" s="194"/>
    </row>
    <row r="61" spans="2:23">
      <c r="B61" s="190"/>
      <c r="W61" s="194"/>
    </row>
    <row r="62" spans="2:23">
      <c r="B62" s="190"/>
      <c r="W62" s="194"/>
    </row>
    <row r="63" spans="2:23">
      <c r="B63" s="190"/>
      <c r="W63" s="194"/>
    </row>
    <row r="64" spans="2:23">
      <c r="B64" s="190"/>
      <c r="W64" s="194"/>
    </row>
    <row r="65" spans="2:23">
      <c r="B65" s="190"/>
      <c r="W65" s="194"/>
    </row>
    <row r="66" spans="2:23">
      <c r="B66" s="190"/>
      <c r="W66" s="194"/>
    </row>
    <row r="67" spans="2:23" ht="15" thickBot="1">
      <c r="B67" s="202"/>
      <c r="C67" s="203"/>
      <c r="D67" s="203"/>
      <c r="E67" s="203"/>
      <c r="F67" s="203"/>
      <c r="G67" s="203"/>
      <c r="H67" s="203"/>
      <c r="I67" s="203"/>
      <c r="J67" s="203"/>
      <c r="K67" s="203"/>
      <c r="L67" s="203"/>
      <c r="M67" s="203"/>
      <c r="N67" s="203"/>
      <c r="O67" s="203"/>
      <c r="P67" s="203"/>
      <c r="Q67" s="203"/>
      <c r="R67" s="203"/>
      <c r="S67" s="203"/>
      <c r="T67" s="203"/>
      <c r="U67" s="203"/>
      <c r="V67" s="203"/>
      <c r="W67" s="204"/>
    </row>
  </sheetData>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2" tint="-9.9978637043366805E-2"/>
  </sheetPr>
  <dimension ref="A1:Q42"/>
  <sheetViews>
    <sheetView zoomScaleNormal="100" workbookViewId="0"/>
  </sheetViews>
  <sheetFormatPr defaultColWidth="8.625" defaultRowHeight="14.25"/>
  <cols>
    <col min="1" max="1" width="21.625" customWidth="1"/>
    <col min="2" max="2" width="26" customWidth="1"/>
    <col min="4" max="4" width="12.375" customWidth="1"/>
    <col min="6" max="6" width="13.375" customWidth="1"/>
    <col min="7" max="7" width="12" bestFit="1" customWidth="1"/>
  </cols>
  <sheetData>
    <row r="1" spans="1:17" s="123" customFormat="1" ht="20.25">
      <c r="A1" s="124" t="s">
        <v>248</v>
      </c>
    </row>
    <row r="2" spans="1:17" s="67" customFormat="1" ht="49.15" customHeight="1">
      <c r="A2" s="64" t="s">
        <v>249</v>
      </c>
      <c r="B2" s="65"/>
      <c r="C2" s="65"/>
      <c r="D2" s="65"/>
      <c r="E2" s="65"/>
      <c r="F2" s="65"/>
      <c r="G2" s="65"/>
      <c r="H2" s="65"/>
      <c r="I2" s="65"/>
      <c r="J2" s="65"/>
      <c r="K2" s="65"/>
      <c r="L2" s="65"/>
      <c r="M2" s="66"/>
      <c r="N2" s="66"/>
      <c r="O2" s="66"/>
      <c r="P2" s="66"/>
      <c r="Q2" s="66"/>
    </row>
    <row r="3" spans="1:17">
      <c r="A3" s="70" t="s">
        <v>250</v>
      </c>
    </row>
    <row r="4" spans="1:17">
      <c r="A4" s="69" t="s">
        <v>251</v>
      </c>
      <c r="B4" s="69" t="s">
        <v>252</v>
      </c>
      <c r="C4" s="69" t="s">
        <v>253</v>
      </c>
      <c r="D4" s="69" t="s">
        <v>254</v>
      </c>
      <c r="E4" s="69" t="s">
        <v>255</v>
      </c>
      <c r="F4" s="69" t="s">
        <v>256</v>
      </c>
      <c r="G4" s="69" t="s">
        <v>257</v>
      </c>
      <c r="H4" s="69" t="s">
        <v>258</v>
      </c>
    </row>
    <row r="5" spans="1:17">
      <c r="A5" s="69">
        <v>0</v>
      </c>
      <c r="B5" s="69">
        <f t="shared" ref="B5:B41" si="0">pDoNot</f>
        <v>0.33300000000000002</v>
      </c>
      <c r="C5" s="71">
        <v>1</v>
      </c>
      <c r="D5" s="71">
        <f t="shared" ref="D5:D41" si="1">cPaliative*C5</f>
        <v>1655</v>
      </c>
      <c r="E5" s="69">
        <f t="shared" ref="E5:E41" si="2">cIdMDonot*C5</f>
        <v>3309</v>
      </c>
      <c r="F5" s="69"/>
      <c r="G5" s="69"/>
    </row>
    <row r="6" spans="1:17">
      <c r="A6" s="69">
        <f>A5+1</f>
        <v>1</v>
      </c>
      <c r="B6" s="69">
        <f t="shared" si="0"/>
        <v>0.33300000000000002</v>
      </c>
      <c r="C6" s="71">
        <f>C5-(C5*B5)</f>
        <v>0.66700000000000004</v>
      </c>
      <c r="D6" s="71">
        <f t="shared" si="1"/>
        <v>1103.885</v>
      </c>
      <c r="E6" s="69">
        <f t="shared" si="2"/>
        <v>2207.1030000000001</v>
      </c>
      <c r="F6" s="69"/>
      <c r="G6" s="69"/>
    </row>
    <row r="7" spans="1:17">
      <c r="A7" s="69">
        <f t="shared" ref="A7:A29" si="3">A6+1</f>
        <v>2</v>
      </c>
      <c r="B7" s="69">
        <f t="shared" si="0"/>
        <v>0.33300000000000002</v>
      </c>
      <c r="C7" s="71">
        <f t="shared" ref="C7:C29" si="4">C6-(C6*B6)</f>
        <v>0.44488899999999998</v>
      </c>
      <c r="D7" s="71">
        <f t="shared" si="1"/>
        <v>736.29129499999999</v>
      </c>
      <c r="E7" s="69">
        <f t="shared" si="2"/>
        <v>1472.1377009999999</v>
      </c>
      <c r="F7" s="69"/>
      <c r="G7" s="69"/>
    </row>
    <row r="8" spans="1:17">
      <c r="A8" s="69">
        <f t="shared" si="3"/>
        <v>3</v>
      </c>
      <c r="B8" s="69">
        <f t="shared" si="0"/>
        <v>0.33300000000000002</v>
      </c>
      <c r="C8" s="71">
        <f t="shared" si="4"/>
        <v>0.29674096299999997</v>
      </c>
      <c r="D8" s="71">
        <f t="shared" si="1"/>
        <v>491.10629376499998</v>
      </c>
      <c r="E8" s="69">
        <f t="shared" si="2"/>
        <v>981.9158465669999</v>
      </c>
      <c r="F8" s="69"/>
      <c r="G8" s="69"/>
    </row>
    <row r="9" spans="1:17">
      <c r="A9" s="69">
        <f t="shared" si="3"/>
        <v>4</v>
      </c>
      <c r="B9" s="69">
        <f t="shared" si="0"/>
        <v>0.33300000000000002</v>
      </c>
      <c r="C9" s="71">
        <f t="shared" si="4"/>
        <v>0.19792622232099999</v>
      </c>
      <c r="D9" s="71">
        <f t="shared" si="1"/>
        <v>327.56789794125496</v>
      </c>
      <c r="E9" s="69">
        <f t="shared" si="2"/>
        <v>654.93786966018899</v>
      </c>
      <c r="F9" s="69"/>
      <c r="G9" s="69"/>
    </row>
    <row r="10" spans="1:17">
      <c r="A10" s="69">
        <f t="shared" si="3"/>
        <v>5</v>
      </c>
      <c r="B10" s="69">
        <f t="shared" si="0"/>
        <v>0.33300000000000002</v>
      </c>
      <c r="C10" s="71">
        <f t="shared" si="4"/>
        <v>0.13201679028810698</v>
      </c>
      <c r="D10" s="71">
        <f t="shared" si="1"/>
        <v>218.48778792681705</v>
      </c>
      <c r="E10" s="69">
        <f t="shared" si="2"/>
        <v>436.84355906334599</v>
      </c>
    </row>
    <row r="11" spans="1:17">
      <c r="A11" s="69">
        <f t="shared" si="3"/>
        <v>6</v>
      </c>
      <c r="B11" s="69">
        <f t="shared" si="0"/>
        <v>0.33300000000000002</v>
      </c>
      <c r="C11" s="71">
        <f t="shared" si="4"/>
        <v>8.805519912216736E-2</v>
      </c>
      <c r="D11" s="71">
        <f t="shared" si="1"/>
        <v>145.73135454718698</v>
      </c>
      <c r="E11" s="69">
        <f t="shared" si="2"/>
        <v>291.37465389525181</v>
      </c>
      <c r="F11" s="69"/>
      <c r="G11" s="69"/>
    </row>
    <row r="12" spans="1:17">
      <c r="A12" s="69">
        <f t="shared" si="3"/>
        <v>7</v>
      </c>
      <c r="B12" s="69">
        <f t="shared" si="0"/>
        <v>0.33300000000000002</v>
      </c>
      <c r="C12" s="71">
        <f t="shared" si="4"/>
        <v>5.8732817814485624E-2</v>
      </c>
      <c r="D12" s="71">
        <f t="shared" si="1"/>
        <v>97.20281348297371</v>
      </c>
      <c r="E12" s="69">
        <f t="shared" si="2"/>
        <v>194.34689414813292</v>
      </c>
      <c r="F12" s="69"/>
      <c r="G12" s="69"/>
    </row>
    <row r="13" spans="1:17">
      <c r="A13" s="69">
        <f t="shared" si="3"/>
        <v>8</v>
      </c>
      <c r="B13" s="69">
        <f t="shared" si="0"/>
        <v>0.33300000000000002</v>
      </c>
      <c r="C13" s="71">
        <f t="shared" si="4"/>
        <v>3.9174789482261912E-2</v>
      </c>
      <c r="D13" s="71">
        <f t="shared" si="1"/>
        <v>64.834276593143471</v>
      </c>
      <c r="E13" s="69">
        <f t="shared" si="2"/>
        <v>129.62937839680467</v>
      </c>
      <c r="F13" s="69"/>
      <c r="G13" s="69"/>
    </row>
    <row r="14" spans="1:17">
      <c r="A14" s="69">
        <f t="shared" si="3"/>
        <v>9</v>
      </c>
      <c r="B14" s="69">
        <f t="shared" si="0"/>
        <v>0.33300000000000002</v>
      </c>
      <c r="C14" s="71">
        <f t="shared" si="4"/>
        <v>2.6129584584668693E-2</v>
      </c>
      <c r="D14" s="71">
        <f t="shared" si="1"/>
        <v>43.244462487626684</v>
      </c>
      <c r="E14" s="69">
        <f t="shared" si="2"/>
        <v>86.462795390668703</v>
      </c>
      <c r="F14" s="69"/>
      <c r="G14" s="69"/>
    </row>
    <row r="15" spans="1:17">
      <c r="A15" s="69">
        <f t="shared" si="3"/>
        <v>10</v>
      </c>
      <c r="B15" s="69">
        <f t="shared" si="0"/>
        <v>0.33300000000000002</v>
      </c>
      <c r="C15" s="71">
        <f t="shared" si="4"/>
        <v>1.7428432917974017E-2</v>
      </c>
      <c r="D15" s="71">
        <f t="shared" si="1"/>
        <v>28.844056479246998</v>
      </c>
      <c r="E15" s="69">
        <f t="shared" si="2"/>
        <v>57.670684525576021</v>
      </c>
      <c r="F15" s="69"/>
      <c r="G15" s="69"/>
    </row>
    <row r="16" spans="1:17">
      <c r="A16" s="69">
        <f t="shared" si="3"/>
        <v>11</v>
      </c>
      <c r="B16" s="69">
        <f t="shared" si="0"/>
        <v>0.33300000000000002</v>
      </c>
      <c r="C16" s="71">
        <f t="shared" si="4"/>
        <v>1.162476475628867E-2</v>
      </c>
      <c r="D16" s="71">
        <f t="shared" si="1"/>
        <v>19.238985671657748</v>
      </c>
      <c r="E16" s="69">
        <f t="shared" si="2"/>
        <v>38.466346578559211</v>
      </c>
      <c r="G16" s="69"/>
    </row>
    <row r="17" spans="1:8">
      <c r="A17" s="69">
        <f t="shared" si="3"/>
        <v>12</v>
      </c>
      <c r="B17" s="69">
        <f t="shared" si="0"/>
        <v>0.33300000000000002</v>
      </c>
      <c r="C17" s="71">
        <f t="shared" si="4"/>
        <v>7.7537180924445431E-3</v>
      </c>
      <c r="D17" s="71">
        <f t="shared" si="1"/>
        <v>12.832403442995719</v>
      </c>
      <c r="E17" s="69">
        <f t="shared" si="2"/>
        <v>25.657053167898994</v>
      </c>
      <c r="F17" s="71">
        <f>SUM(D5:E17)/(1+cDC)^(A17/12-1)</f>
        <v>14829.81240973133</v>
      </c>
      <c r="G17" s="69">
        <f>(SUM(C5:C17)/13)/(1+cDO)^(A17/12-1)</f>
        <v>0.22980556018303064</v>
      </c>
      <c r="H17">
        <f>(G17*uCom)/(1+cDO)^(A17/12-1)</f>
        <v>0.13788333610981837</v>
      </c>
    </row>
    <row r="18" spans="1:8">
      <c r="A18" s="69">
        <f t="shared" si="3"/>
        <v>13</v>
      </c>
      <c r="B18" s="69">
        <f t="shared" si="0"/>
        <v>0.33300000000000002</v>
      </c>
      <c r="C18" s="71">
        <f t="shared" si="4"/>
        <v>5.1717299676605107E-3</v>
      </c>
      <c r="D18" s="71">
        <f t="shared" si="1"/>
        <v>8.5592130964781443</v>
      </c>
      <c r="E18" s="69">
        <f t="shared" si="2"/>
        <v>17.113254462988628</v>
      </c>
    </row>
    <row r="19" spans="1:8">
      <c r="A19" s="69">
        <f t="shared" si="3"/>
        <v>14</v>
      </c>
      <c r="B19" s="69">
        <f t="shared" si="0"/>
        <v>0.33300000000000002</v>
      </c>
      <c r="C19" s="71">
        <f t="shared" si="4"/>
        <v>3.4495438884295606E-3</v>
      </c>
      <c r="D19" s="71">
        <f t="shared" si="1"/>
        <v>5.7089951353509232</v>
      </c>
      <c r="E19" s="69">
        <f t="shared" si="2"/>
        <v>11.414540726813415</v>
      </c>
    </row>
    <row r="20" spans="1:8">
      <c r="A20" s="69">
        <f t="shared" si="3"/>
        <v>15</v>
      </c>
      <c r="B20" s="69">
        <f t="shared" si="0"/>
        <v>0.33300000000000002</v>
      </c>
      <c r="C20" s="71">
        <f t="shared" si="4"/>
        <v>2.3008457735825168E-3</v>
      </c>
      <c r="D20" s="71">
        <f t="shared" si="1"/>
        <v>3.8078997552790654</v>
      </c>
      <c r="E20" s="69">
        <f t="shared" si="2"/>
        <v>7.6134986647845482</v>
      </c>
    </row>
    <row r="21" spans="1:8">
      <c r="A21" s="69">
        <f t="shared" si="3"/>
        <v>16</v>
      </c>
      <c r="B21" s="69">
        <f t="shared" si="0"/>
        <v>0.33300000000000002</v>
      </c>
      <c r="C21" s="71">
        <f t="shared" si="4"/>
        <v>1.5346641309795387E-3</v>
      </c>
      <c r="D21" s="71">
        <f t="shared" si="1"/>
        <v>2.5398691367711366</v>
      </c>
      <c r="E21" s="69">
        <f t="shared" si="2"/>
        <v>5.0782036094112932</v>
      </c>
    </row>
    <row r="22" spans="1:8">
      <c r="A22" s="69">
        <f t="shared" si="3"/>
        <v>17</v>
      </c>
      <c r="B22" s="69">
        <f t="shared" si="0"/>
        <v>0.33300000000000002</v>
      </c>
      <c r="C22" s="71">
        <f t="shared" si="4"/>
        <v>1.0236209753633524E-3</v>
      </c>
      <c r="D22" s="71">
        <f t="shared" si="1"/>
        <v>1.6940927142263482</v>
      </c>
      <c r="E22" s="69">
        <f t="shared" si="2"/>
        <v>3.3871618074773333</v>
      </c>
    </row>
    <row r="23" spans="1:8">
      <c r="A23" s="69">
        <f t="shared" si="3"/>
        <v>18</v>
      </c>
      <c r="B23" s="69">
        <f t="shared" si="0"/>
        <v>0.33300000000000002</v>
      </c>
      <c r="C23" s="71">
        <f t="shared" si="4"/>
        <v>6.8275519056735612E-4</v>
      </c>
      <c r="D23" s="71">
        <f t="shared" si="1"/>
        <v>1.1299598403889743</v>
      </c>
      <c r="E23" s="69">
        <f t="shared" si="2"/>
        <v>2.2592369255873814</v>
      </c>
    </row>
    <row r="24" spans="1:8">
      <c r="A24" s="69">
        <f t="shared" si="3"/>
        <v>19</v>
      </c>
      <c r="B24" s="69">
        <f t="shared" si="0"/>
        <v>0.33300000000000002</v>
      </c>
      <c r="C24" s="71">
        <f t="shared" si="4"/>
        <v>4.5539771210842655E-4</v>
      </c>
      <c r="D24" s="71">
        <f t="shared" si="1"/>
        <v>0.7536832135394459</v>
      </c>
      <c r="E24" s="69">
        <f t="shared" si="2"/>
        <v>1.5069110293667836</v>
      </c>
    </row>
    <row r="25" spans="1:8">
      <c r="A25" s="69">
        <f t="shared" si="3"/>
        <v>20</v>
      </c>
      <c r="B25" s="69">
        <f t="shared" si="0"/>
        <v>0.33300000000000002</v>
      </c>
      <c r="C25" s="71">
        <f t="shared" si="4"/>
        <v>3.0375027397632051E-4</v>
      </c>
      <c r="D25" s="71">
        <f t="shared" si="1"/>
        <v>0.50270670343081048</v>
      </c>
      <c r="E25" s="69">
        <f t="shared" si="2"/>
        <v>1.0051096565876445</v>
      </c>
    </row>
    <row r="26" spans="1:8">
      <c r="A26" s="69">
        <f t="shared" si="3"/>
        <v>21</v>
      </c>
      <c r="B26" s="69">
        <f t="shared" si="0"/>
        <v>0.33300000000000002</v>
      </c>
      <c r="C26" s="71">
        <f t="shared" si="4"/>
        <v>2.0260143274220579E-4</v>
      </c>
      <c r="D26" s="71">
        <f t="shared" si="1"/>
        <v>0.33530537118835058</v>
      </c>
      <c r="E26" s="69">
        <f t="shared" si="2"/>
        <v>0.67040814094395895</v>
      </c>
    </row>
    <row r="27" spans="1:8">
      <c r="A27" s="69">
        <f t="shared" si="3"/>
        <v>22</v>
      </c>
      <c r="B27" s="69">
        <f t="shared" si="0"/>
        <v>0.33300000000000002</v>
      </c>
      <c r="C27" s="71">
        <f t="shared" si="4"/>
        <v>1.3513515563905127E-4</v>
      </c>
      <c r="D27" s="71">
        <f t="shared" si="1"/>
        <v>0.22364868258262985</v>
      </c>
      <c r="E27" s="69">
        <f t="shared" si="2"/>
        <v>0.44716223000962069</v>
      </c>
    </row>
    <row r="28" spans="1:8">
      <c r="A28" s="69">
        <f t="shared" si="3"/>
        <v>23</v>
      </c>
      <c r="B28" s="69">
        <f t="shared" si="0"/>
        <v>0.33300000000000002</v>
      </c>
      <c r="C28" s="71">
        <f t="shared" si="4"/>
        <v>9.0135148811247196E-5</v>
      </c>
      <c r="D28" s="71">
        <f t="shared" si="1"/>
        <v>0.14917367128261411</v>
      </c>
      <c r="E28" s="69">
        <f t="shared" si="2"/>
        <v>0.29825720741641698</v>
      </c>
    </row>
    <row r="29" spans="1:8">
      <c r="A29" s="69">
        <f t="shared" si="3"/>
        <v>24</v>
      </c>
      <c r="B29" s="69">
        <f t="shared" si="0"/>
        <v>0.33300000000000002</v>
      </c>
      <c r="C29" s="71">
        <f t="shared" si="4"/>
        <v>6.0120144257101877E-5</v>
      </c>
      <c r="D29" s="71">
        <f t="shared" si="1"/>
        <v>9.9498838745503609E-2</v>
      </c>
      <c r="E29" s="69">
        <f t="shared" si="2"/>
        <v>0.19893755734675012</v>
      </c>
      <c r="F29" s="71">
        <f>SUM(D18:E29)/(1+cDC)^(A29/12-1)</f>
        <v>74.268668133978409</v>
      </c>
      <c r="G29" s="69">
        <f>(SUM(C17:C29)/12)/(1+cDO)^(A29/12-1)</f>
        <v>1.8741114794952858E-3</v>
      </c>
      <c r="H29">
        <f>(G29*uCom)/(1+cDO)^(A29/12-1)</f>
        <v>1.0917154249487099E-3</v>
      </c>
    </row>
    <row r="30" spans="1:8">
      <c r="A30" s="69">
        <f t="shared" ref="A30:A40" si="5">A29+1</f>
        <v>25</v>
      </c>
      <c r="B30" s="69">
        <f t="shared" si="0"/>
        <v>0.33300000000000002</v>
      </c>
      <c r="C30" s="71">
        <f t="shared" ref="C30:C40" si="6">C29-(C29*B29)</f>
        <v>4.0100136219486949E-5</v>
      </c>
      <c r="D30" s="71">
        <f t="shared" si="1"/>
        <v>6.6365725443250895E-2</v>
      </c>
      <c r="E30" s="69">
        <f t="shared" si="2"/>
        <v>0.13269135075028232</v>
      </c>
    </row>
    <row r="31" spans="1:8">
      <c r="A31" s="69">
        <f t="shared" si="5"/>
        <v>26</v>
      </c>
      <c r="B31" s="69">
        <f t="shared" si="0"/>
        <v>0.33300000000000002</v>
      </c>
      <c r="C31" s="71">
        <f t="shared" si="6"/>
        <v>2.6746790858397794E-5</v>
      </c>
      <c r="D31" s="71">
        <f t="shared" si="1"/>
        <v>4.426593887064835E-2</v>
      </c>
      <c r="E31" s="69">
        <f t="shared" si="2"/>
        <v>8.8505130950438299E-2</v>
      </c>
    </row>
    <row r="32" spans="1:8">
      <c r="A32" s="69">
        <f t="shared" si="5"/>
        <v>27</v>
      </c>
      <c r="B32" s="69">
        <f t="shared" si="0"/>
        <v>0.33300000000000002</v>
      </c>
      <c r="C32" s="71">
        <f t="shared" si="6"/>
        <v>1.7840109502551326E-5</v>
      </c>
      <c r="D32" s="71">
        <f t="shared" si="1"/>
        <v>2.9525381226722443E-2</v>
      </c>
      <c r="E32" s="69">
        <f t="shared" si="2"/>
        <v>5.9032922343942335E-2</v>
      </c>
    </row>
    <row r="33" spans="1:8">
      <c r="A33" s="69">
        <f t="shared" si="5"/>
        <v>28</v>
      </c>
      <c r="B33" s="69">
        <f t="shared" si="0"/>
        <v>0.33300000000000002</v>
      </c>
      <c r="C33" s="71">
        <f t="shared" si="6"/>
        <v>1.1899353038201733E-5</v>
      </c>
      <c r="D33" s="71">
        <f t="shared" si="1"/>
        <v>1.9693429278223869E-2</v>
      </c>
      <c r="E33" s="69">
        <f t="shared" si="2"/>
        <v>3.9374959203409533E-2</v>
      </c>
    </row>
    <row r="34" spans="1:8">
      <c r="A34" s="69">
        <f t="shared" si="5"/>
        <v>29</v>
      </c>
      <c r="B34" s="69">
        <f t="shared" si="0"/>
        <v>0.33300000000000002</v>
      </c>
      <c r="C34" s="71">
        <f t="shared" si="6"/>
        <v>7.9368684764805554E-6</v>
      </c>
      <c r="D34" s="71">
        <f t="shared" si="1"/>
        <v>1.3135517328575319E-2</v>
      </c>
      <c r="E34" s="69">
        <f t="shared" si="2"/>
        <v>2.6263097788674156E-2</v>
      </c>
    </row>
    <row r="35" spans="1:8">
      <c r="A35" s="69">
        <f t="shared" si="5"/>
        <v>30</v>
      </c>
      <c r="B35" s="69">
        <f t="shared" si="0"/>
        <v>0.33300000000000002</v>
      </c>
      <c r="C35" s="71">
        <f t="shared" si="6"/>
        <v>5.2938912738125302E-6</v>
      </c>
      <c r="D35" s="71">
        <f t="shared" si="1"/>
        <v>8.7613900581597383E-3</v>
      </c>
      <c r="E35" s="69">
        <f t="shared" si="2"/>
        <v>1.7517486225045661E-2</v>
      </c>
    </row>
    <row r="36" spans="1:8">
      <c r="A36" s="69">
        <f t="shared" si="5"/>
        <v>31</v>
      </c>
      <c r="B36" s="69">
        <f t="shared" si="0"/>
        <v>0.33300000000000002</v>
      </c>
      <c r="C36" s="71">
        <f t="shared" si="6"/>
        <v>3.5310254796329576E-6</v>
      </c>
      <c r="D36" s="71">
        <f t="shared" si="1"/>
        <v>5.8438471687925451E-3</v>
      </c>
      <c r="E36" s="69">
        <f t="shared" si="2"/>
        <v>1.1684163312105457E-2</v>
      </c>
    </row>
    <row r="37" spans="1:8">
      <c r="A37" s="69">
        <f t="shared" si="5"/>
        <v>32</v>
      </c>
      <c r="B37" s="69">
        <f t="shared" si="0"/>
        <v>0.33300000000000002</v>
      </c>
      <c r="C37" s="71">
        <f t="shared" si="6"/>
        <v>2.3551939949151826E-6</v>
      </c>
      <c r="D37" s="71">
        <f t="shared" si="1"/>
        <v>3.8978460615846271E-3</v>
      </c>
      <c r="E37" s="69">
        <f t="shared" si="2"/>
        <v>7.7933369291743396E-3</v>
      </c>
    </row>
    <row r="38" spans="1:8">
      <c r="A38" s="69">
        <f t="shared" si="5"/>
        <v>33</v>
      </c>
      <c r="B38" s="69">
        <f t="shared" si="0"/>
        <v>0.33300000000000002</v>
      </c>
      <c r="C38" s="71">
        <f t="shared" si="6"/>
        <v>1.5709143946084267E-6</v>
      </c>
      <c r="D38" s="71">
        <f t="shared" si="1"/>
        <v>2.5998633230769463E-3</v>
      </c>
      <c r="E38" s="69">
        <f t="shared" si="2"/>
        <v>5.1981557317592837E-3</v>
      </c>
    </row>
    <row r="39" spans="1:8">
      <c r="A39" s="69">
        <f t="shared" si="5"/>
        <v>34</v>
      </c>
      <c r="B39" s="69">
        <f t="shared" si="0"/>
        <v>0.33300000000000002</v>
      </c>
      <c r="C39" s="71">
        <f t="shared" si="6"/>
        <v>1.0477999012038206E-6</v>
      </c>
      <c r="D39" s="71">
        <f t="shared" si="1"/>
        <v>1.7341088364923232E-3</v>
      </c>
      <c r="E39" s="69">
        <f t="shared" si="2"/>
        <v>3.4671698730834423E-3</v>
      </c>
    </row>
    <row r="40" spans="1:8">
      <c r="A40" s="69">
        <f t="shared" si="5"/>
        <v>35</v>
      </c>
      <c r="B40" s="69">
        <f t="shared" si="0"/>
        <v>0.33300000000000002</v>
      </c>
      <c r="C40" s="71">
        <f t="shared" si="6"/>
        <v>6.9888253410294833E-7</v>
      </c>
      <c r="D40" s="71">
        <f t="shared" si="1"/>
        <v>1.1566505939403795E-3</v>
      </c>
      <c r="E40" s="69">
        <f t="shared" si="2"/>
        <v>2.3126023053466559E-3</v>
      </c>
    </row>
    <row r="41" spans="1:8">
      <c r="A41" s="69">
        <f t="shared" ref="A41" si="7">A40+1</f>
        <v>36</v>
      </c>
      <c r="B41" s="69">
        <f t="shared" si="0"/>
        <v>0.33300000000000002</v>
      </c>
      <c r="C41" s="71">
        <f t="shared" ref="C41" si="8">C40-(C40*B40)</f>
        <v>4.6615465024666654E-7</v>
      </c>
      <c r="D41" s="71">
        <f t="shared" si="1"/>
        <v>7.7148594615823317E-4</v>
      </c>
      <c r="E41" s="69">
        <f t="shared" si="2"/>
        <v>1.5425057376662196E-3</v>
      </c>
      <c r="F41" s="71">
        <f>SUM(D30:E41)/(1+cDC)^(A41/12-1)</f>
        <v>0.55908574350697859</v>
      </c>
      <c r="G41" s="69">
        <f>(SUM(C29:C41)/12)/(1+cDO)^(A41/12-1)</f>
        <v>1.4108089403709333E-5</v>
      </c>
      <c r="H41">
        <f>(G41*uCom)/(1+cDO)^(A41/12-1)</f>
        <v>7.9789364145778104E-6</v>
      </c>
    </row>
    <row r="42" spans="1:8" ht="15">
      <c r="E42" t="s">
        <v>259</v>
      </c>
      <c r="F42" s="231">
        <f>SUM(F5:F41)</f>
        <v>14904.640163608816</v>
      </c>
      <c r="G42" s="231">
        <f>SUM(G5:G41)</f>
        <v>0.23169377975192965</v>
      </c>
      <c r="H42" s="231">
        <f>SUM(H5:H41)</f>
        <v>0.13898303047118166</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2"/>
  </sheetPr>
  <dimension ref="A1:V108"/>
  <sheetViews>
    <sheetView workbookViewId="0">
      <selection activeCell="A2" sqref="A2"/>
    </sheetView>
  </sheetViews>
  <sheetFormatPr defaultColWidth="8.625" defaultRowHeight="14.25"/>
  <cols>
    <col min="1" max="1" width="18" customWidth="1"/>
    <col min="9" max="9" width="10" bestFit="1" customWidth="1"/>
    <col min="10" max="10" width="11" bestFit="1" customWidth="1"/>
    <col min="12" max="12" width="1.625" customWidth="1"/>
    <col min="20" max="20" width="2.625" customWidth="1"/>
  </cols>
  <sheetData>
    <row r="1" spans="1:22" s="123" customFormat="1" ht="20.25">
      <c r="A1" s="124" t="s">
        <v>248</v>
      </c>
    </row>
    <row r="2" spans="1:22" s="90" customFormat="1" ht="49.15" customHeight="1">
      <c r="A2" s="64" t="s">
        <v>260</v>
      </c>
      <c r="B2" s="65"/>
      <c r="C2" s="65"/>
      <c r="D2" s="65"/>
      <c r="E2" s="65"/>
      <c r="F2" s="65"/>
      <c r="G2" s="65"/>
      <c r="H2" s="65"/>
      <c r="I2" s="65"/>
      <c r="J2" s="65"/>
      <c r="K2" s="65"/>
      <c r="L2" s="65"/>
      <c r="M2" s="65"/>
      <c r="N2" s="65"/>
      <c r="O2" s="65"/>
      <c r="P2" s="65"/>
      <c r="Q2" s="65"/>
    </row>
    <row r="3" spans="1:22">
      <c r="E3" s="100"/>
      <c r="F3" s="100"/>
      <c r="G3" s="100" t="s">
        <v>261</v>
      </c>
      <c r="H3" s="100"/>
      <c r="I3" s="100"/>
      <c r="J3" s="100"/>
      <c r="K3" s="100"/>
      <c r="M3" s="101"/>
      <c r="N3" s="101"/>
      <c r="O3" s="101" t="s">
        <v>46</v>
      </c>
      <c r="P3" s="101"/>
      <c r="Q3" s="101"/>
      <c r="R3" s="101"/>
      <c r="S3" s="101"/>
    </row>
    <row r="4" spans="1:22" ht="28.5">
      <c r="A4" s="9" t="s">
        <v>262</v>
      </c>
      <c r="B4" t="s">
        <v>263</v>
      </c>
      <c r="C4" t="s">
        <v>264</v>
      </c>
      <c r="D4" t="s">
        <v>265</v>
      </c>
      <c r="E4" t="s">
        <v>266</v>
      </c>
      <c r="F4" t="s">
        <v>42</v>
      </c>
      <c r="G4" t="s">
        <v>267</v>
      </c>
      <c r="H4" t="s">
        <v>268</v>
      </c>
      <c r="I4" t="s">
        <v>269</v>
      </c>
      <c r="J4" t="s">
        <v>49</v>
      </c>
      <c r="K4" t="s">
        <v>51</v>
      </c>
      <c r="M4" t="s">
        <v>270</v>
      </c>
      <c r="N4" t="s">
        <v>45</v>
      </c>
      <c r="O4" t="s">
        <v>271</v>
      </c>
      <c r="P4" t="s">
        <v>272</v>
      </c>
      <c r="Q4" t="s">
        <v>269</v>
      </c>
      <c r="R4" t="s">
        <v>49</v>
      </c>
      <c r="S4" t="s">
        <v>51</v>
      </c>
      <c r="U4" t="s">
        <v>273</v>
      </c>
      <c r="V4" t="s">
        <v>274</v>
      </c>
    </row>
    <row r="5" spans="1:22">
      <c r="A5" s="9"/>
    </row>
    <row r="6" spans="1:22">
      <c r="A6">
        <v>0</v>
      </c>
      <c r="B6">
        <f>A6*365</f>
        <v>0</v>
      </c>
      <c r="C6">
        <f t="shared" ref="C6:C37" si="0">lambda*B6^gamma</f>
        <v>0</v>
      </c>
      <c r="D6">
        <f>(1-EXP(C5-C6))</f>
        <v>0</v>
      </c>
      <c r="E6">
        <v>1</v>
      </c>
      <c r="F6">
        <f t="shared" ref="F6:F37" si="1">SUM(E5:G5)*(1-D6-pHDtoPD)</f>
        <v>0</v>
      </c>
      <c r="G6">
        <f t="shared" ref="G6:G37" si="2">SUM(M5:O5)*pPDtoHD</f>
        <v>0</v>
      </c>
      <c r="H6">
        <f>SUM(E5:G5)*D6</f>
        <v>0</v>
      </c>
      <c r="I6">
        <f t="shared" ref="I6:I37" si="3">((E6+G6)*(cMedHD1+cNonMedHD)+(F6*(cMedHD2+cNonMedHD))/(1+cDC)^A6)</f>
        <v>48741.385999999991</v>
      </c>
      <c r="J6">
        <f t="shared" ref="J6:J37" si="4">(E6+F6+G6)/(1+cDO)^A6</f>
        <v>1</v>
      </c>
      <c r="K6">
        <f t="shared" ref="K6:K37" si="5">J6*uHD</f>
        <v>0.67</v>
      </c>
      <c r="M6">
        <v>0</v>
      </c>
      <c r="N6">
        <f t="shared" ref="N6:N37" si="6">SUM(M5:O5)*(1-D6-pPDtoHD)</f>
        <v>0</v>
      </c>
      <c r="O6">
        <f t="shared" ref="O6:O37" si="7">SUM(E5:G5)*pHDtoPD</f>
        <v>0</v>
      </c>
      <c r="P6">
        <f>SUM(M5:O5)*D6</f>
        <v>0</v>
      </c>
      <c r="Q6">
        <f t="shared" ref="Q6:Q37" si="8">(((M6+O6)*(cMedPD1+cNonMedPD))+(N6*(cMedPD2+cNonMedPD)))/(1+cDC)^A6</f>
        <v>0</v>
      </c>
      <c r="R6">
        <f t="shared" ref="R6:R37" si="9">(M6+N6+O6)/(1+cDO)^A6</f>
        <v>0</v>
      </c>
      <c r="S6">
        <f t="shared" ref="S6:S37" si="10">R6*uPD</f>
        <v>0</v>
      </c>
      <c r="U6">
        <f>U5+H6+P6</f>
        <v>0</v>
      </c>
      <c r="V6" t="b">
        <f>SUM(E6:G6)+SUM(M6:O6)+U6=1</f>
        <v>1</v>
      </c>
    </row>
    <row r="7" spans="1:22">
      <c r="A7">
        <f>A6+1</f>
        <v>1</v>
      </c>
      <c r="B7">
        <f t="shared" ref="B7:B70" si="11">A7*365</f>
        <v>365</v>
      </c>
      <c r="C7">
        <f t="shared" si="0"/>
        <v>4.557454132009435E-2</v>
      </c>
      <c r="D7">
        <f>IF('5.Survival'!$C$3="No",pDeath,(1-EXP(C6-C7)))</f>
        <v>4.4551620466034669E-2</v>
      </c>
      <c r="F7">
        <f t="shared" si="1"/>
        <v>0.94904837953396537</v>
      </c>
      <c r="G7">
        <f t="shared" si="2"/>
        <v>0</v>
      </c>
      <c r="H7">
        <f t="shared" ref="H7:H70" si="12">SUM(E6:G6)*D7</f>
        <v>4.4551620466034669E-2</v>
      </c>
      <c r="I7">
        <f t="shared" si="3"/>
        <v>43050.295845883906</v>
      </c>
      <c r="J7">
        <f t="shared" si="4"/>
        <v>0.92140619372229648</v>
      </c>
      <c r="K7">
        <f t="shared" si="5"/>
        <v>0.61734214979393864</v>
      </c>
      <c r="N7">
        <f t="shared" si="6"/>
        <v>0</v>
      </c>
      <c r="O7">
        <f t="shared" si="7"/>
        <v>6.4000000000000003E-3</v>
      </c>
      <c r="P7">
        <f t="shared" ref="P7:P70" si="13">SUM(M6:O6)*D7</f>
        <v>0</v>
      </c>
      <c r="Q7">
        <f t="shared" si="8"/>
        <v>267.6291168932039</v>
      </c>
      <c r="R7">
        <f t="shared" si="9"/>
        <v>6.2135922330097092E-3</v>
      </c>
      <c r="S7">
        <f t="shared" si="10"/>
        <v>4.4116504854368934E-3</v>
      </c>
      <c r="U7">
        <f>U6+H7+P7</f>
        <v>4.4551620466034669E-2</v>
      </c>
      <c r="V7" t="b">
        <f t="shared" ref="V7:V70" si="14">SUM(E7:G7)+SUM(M7:O7)+U7=1</f>
        <v>1</v>
      </c>
    </row>
    <row r="8" spans="1:22">
      <c r="A8">
        <f t="shared" ref="A8:A71" si="15">A7+1</f>
        <v>2</v>
      </c>
      <c r="B8">
        <f t="shared" si="11"/>
        <v>730</v>
      </c>
      <c r="C8">
        <f t="shared" si="0"/>
        <v>9.6003917259350882E-2</v>
      </c>
      <c r="D8">
        <f>IF('5.Survival'!$C$3="No",pDeath,(1-EXP(C7-C8)))</f>
        <v>4.9178922853341356E-2</v>
      </c>
      <c r="F8">
        <f t="shared" si="1"/>
        <v>0.89630129286375848</v>
      </c>
      <c r="G8">
        <f t="shared" si="2"/>
        <v>1.728E-4</v>
      </c>
      <c r="H8">
        <f t="shared" si="12"/>
        <v>4.6673177041189513E-2</v>
      </c>
      <c r="I8">
        <f t="shared" si="3"/>
        <v>39481.827146696924</v>
      </c>
      <c r="J8">
        <f t="shared" si="4"/>
        <v>0.84501281257777217</v>
      </c>
      <c r="K8">
        <f t="shared" si="5"/>
        <v>0.56615858442710743</v>
      </c>
      <c r="N8">
        <f t="shared" si="6"/>
        <v>5.9124548937386154E-3</v>
      </c>
      <c r="O8">
        <f t="shared" si="7"/>
        <v>6.0739096290173787E-3</v>
      </c>
      <c r="P8">
        <f t="shared" si="13"/>
        <v>3.1474510626138468E-4</v>
      </c>
      <c r="Q8">
        <f t="shared" si="8"/>
        <v>462.21420809290049</v>
      </c>
      <c r="R8">
        <f t="shared" si="9"/>
        <v>1.1298298164535767E-2</v>
      </c>
      <c r="S8">
        <f t="shared" si="10"/>
        <v>8.0217916968203934E-3</v>
      </c>
      <c r="U8">
        <f t="shared" ref="U8:U70" si="16">U7+H8+P8</f>
        <v>9.1539542613485556E-2</v>
      </c>
      <c r="V8" t="b">
        <f t="shared" si="14"/>
        <v>1</v>
      </c>
    </row>
    <row r="9" spans="1:22">
      <c r="A9">
        <f t="shared" si="15"/>
        <v>3</v>
      </c>
      <c r="B9">
        <f t="shared" si="11"/>
        <v>1095</v>
      </c>
      <c r="C9">
        <f t="shared" si="0"/>
        <v>0.14844422588024236</v>
      </c>
      <c r="D9">
        <f>IF('5.Survival'!$C$3="No",pDeath,(1-EXP(C8-C9)))</f>
        <v>5.108903883075544E-2</v>
      </c>
      <c r="F9">
        <f t="shared" si="1"/>
        <v>0.84493665892834757</v>
      </c>
      <c r="G9">
        <f t="shared" si="2"/>
        <v>3.2363184211441185E-4</v>
      </c>
      <c r="H9">
        <f t="shared" si="12"/>
        <v>4.5799999741082814E-2</v>
      </c>
      <c r="I9">
        <f t="shared" si="3"/>
        <v>36143.239517982838</v>
      </c>
      <c r="J9">
        <f t="shared" si="4"/>
        <v>0.77353290508101469</v>
      </c>
      <c r="K9">
        <f t="shared" si="5"/>
        <v>0.5182670464042799</v>
      </c>
      <c r="N9">
        <f t="shared" si="6"/>
        <v>1.1050360838098912E-2</v>
      </c>
      <c r="O9">
        <f t="shared" si="7"/>
        <v>5.7374341943280541E-3</v>
      </c>
      <c r="P9">
        <f t="shared" si="13"/>
        <v>6.1237184254267041E-4</v>
      </c>
      <c r="Q9">
        <f t="shared" si="8"/>
        <v>617.40384981987779</v>
      </c>
      <c r="R9">
        <f t="shared" si="9"/>
        <v>1.5363210602855943E-2</v>
      </c>
      <c r="S9">
        <f t="shared" si="10"/>
        <v>1.0907879528027719E-2</v>
      </c>
      <c r="U9">
        <f t="shared" si="16"/>
        <v>0.13795191419711103</v>
      </c>
      <c r="V9" t="b">
        <f t="shared" si="14"/>
        <v>1</v>
      </c>
    </row>
    <row r="10" spans="1:22">
      <c r="A10">
        <f t="shared" si="15"/>
        <v>4</v>
      </c>
      <c r="B10">
        <f t="shared" si="11"/>
        <v>1460</v>
      </c>
      <c r="C10">
        <f t="shared" si="0"/>
        <v>0.20223466571843518</v>
      </c>
      <c r="D10">
        <f>IF('5.Survival'!$C$3="No",pDeath,(1-EXP(C9-C10)))</f>
        <v>5.2369328667749571E-2</v>
      </c>
      <c r="F10">
        <f t="shared" si="1"/>
        <v>0.79558491093237516</v>
      </c>
      <c r="G10">
        <f t="shared" si="2"/>
        <v>4.5327046587552807E-4</v>
      </c>
      <c r="H10">
        <f t="shared" si="12"/>
        <v>4.4265713977155889E-2</v>
      </c>
      <c r="I10">
        <f t="shared" si="3"/>
        <v>33048.60066363684</v>
      </c>
      <c r="J10">
        <f t="shared" si="4"/>
        <v>0.70726961381870546</v>
      </c>
      <c r="K10">
        <f t="shared" si="5"/>
        <v>0.47387064125853268</v>
      </c>
      <c r="N10">
        <f t="shared" si="6"/>
        <v>1.5455359010891455E-2</v>
      </c>
      <c r="O10">
        <f t="shared" si="7"/>
        <v>5.4096658609309569E-3</v>
      </c>
      <c r="P10">
        <f t="shared" si="13"/>
        <v>8.7916555565998125E-4</v>
      </c>
      <c r="Q10">
        <f t="shared" si="8"/>
        <v>738.30058100343967</v>
      </c>
      <c r="R10">
        <f t="shared" si="9"/>
        <v>1.8538304353052922E-2</v>
      </c>
      <c r="S10">
        <f t="shared" si="10"/>
        <v>1.3162196090667573E-2</v>
      </c>
      <c r="U10">
        <f t="shared" si="16"/>
        <v>0.1830967937299269</v>
      </c>
      <c r="V10" t="b">
        <f t="shared" si="14"/>
        <v>1</v>
      </c>
    </row>
    <row r="11" spans="1:22">
      <c r="A11">
        <f t="shared" si="15"/>
        <v>5</v>
      </c>
      <c r="B11">
        <f t="shared" si="11"/>
        <v>1825</v>
      </c>
      <c r="C11">
        <f t="shared" si="0"/>
        <v>0.25705188674530788</v>
      </c>
      <c r="D11">
        <f>IF('5.Survival'!$C$3="No",pDeath,(1-EXP(C10-C11)))</f>
        <v>5.3341838651969287E-2</v>
      </c>
      <c r="F11">
        <f t="shared" si="1"/>
        <v>0.74848139680434933</v>
      </c>
      <c r="G11">
        <f t="shared" si="2"/>
        <v>5.6335567153920508E-4</v>
      </c>
      <c r="H11">
        <f t="shared" si="12"/>
        <v>4.2462140232952549E-2</v>
      </c>
      <c r="I11">
        <f t="shared" si="3"/>
        <v>30193.609701386307</v>
      </c>
      <c r="J11">
        <f t="shared" si="4"/>
        <v>0.6461325833825633</v>
      </c>
      <c r="K11">
        <f t="shared" si="5"/>
        <v>0.43290883086631743</v>
      </c>
      <c r="N11">
        <f t="shared" si="6"/>
        <v>1.9188690410101128E-2</v>
      </c>
      <c r="O11">
        <f t="shared" si="7"/>
        <v>5.0946443609488044E-3</v>
      </c>
      <c r="P11">
        <f t="shared" si="13"/>
        <v>1.1129787901820772E-3</v>
      </c>
      <c r="Q11">
        <f t="shared" si="8"/>
        <v>829.68843591056509</v>
      </c>
      <c r="R11">
        <f t="shared" si="9"/>
        <v>2.0947017887649085E-2</v>
      </c>
      <c r="S11">
        <f t="shared" si="10"/>
        <v>1.4872382700230849E-2</v>
      </c>
      <c r="U11">
        <f t="shared" si="16"/>
        <v>0.22667191275306153</v>
      </c>
      <c r="V11" t="b">
        <f t="shared" si="14"/>
        <v>1</v>
      </c>
    </row>
    <row r="12" spans="1:22">
      <c r="A12">
        <f t="shared" si="15"/>
        <v>6</v>
      </c>
      <c r="B12">
        <f t="shared" si="11"/>
        <v>2190</v>
      </c>
      <c r="C12">
        <f t="shared" si="0"/>
        <v>0.31270149443614148</v>
      </c>
      <c r="D12">
        <f>IF('5.Survival'!$C$3="No",pDeath,(1-EXP(C11-C12)))</f>
        <v>5.4129496417416822E-2</v>
      </c>
      <c r="F12">
        <f t="shared" si="1"/>
        <v>0.70370545081441438</v>
      </c>
      <c r="G12">
        <f t="shared" si="2"/>
        <v>6.5565003881834819E-4</v>
      </c>
      <c r="H12">
        <f t="shared" si="12"/>
        <v>4.0545415245628477E-2</v>
      </c>
      <c r="I12">
        <f t="shared" si="3"/>
        <v>27567.43274678578</v>
      </c>
      <c r="J12">
        <f t="shared" si="4"/>
        <v>0.58989133298495022</v>
      </c>
      <c r="K12">
        <f t="shared" si="5"/>
        <v>0.39522719309991666</v>
      </c>
      <c r="N12">
        <f t="shared" si="6"/>
        <v>2.2313240049739103E-2</v>
      </c>
      <c r="O12">
        <f t="shared" si="7"/>
        <v>4.7938864158456867E-3</v>
      </c>
      <c r="P12">
        <f t="shared" si="13"/>
        <v>1.3144446824924806E-3</v>
      </c>
      <c r="Q12">
        <f t="shared" si="8"/>
        <v>895.91522608257185</v>
      </c>
      <c r="R12">
        <f t="shared" si="9"/>
        <v>2.2701791658860094E-2</v>
      </c>
      <c r="S12">
        <f t="shared" si="10"/>
        <v>1.6118272077790666E-2</v>
      </c>
      <c r="U12">
        <f t="shared" si="16"/>
        <v>0.2685317726811825</v>
      </c>
      <c r="V12" t="b">
        <f t="shared" si="14"/>
        <v>1</v>
      </c>
    </row>
    <row r="13" spans="1:22">
      <c r="A13">
        <f t="shared" si="15"/>
        <v>7</v>
      </c>
      <c r="B13">
        <f t="shared" si="11"/>
        <v>2555</v>
      </c>
      <c r="C13">
        <f t="shared" si="0"/>
        <v>0.36905298893494787</v>
      </c>
      <c r="D13">
        <f>IF('5.Survival'!$C$3="No",pDeath,(1-EXP(C12-C13)))</f>
        <v>5.4793157511202839E-2</v>
      </c>
      <c r="F13">
        <f t="shared" si="1"/>
        <v>0.66125902106395673</v>
      </c>
      <c r="G13">
        <f t="shared" si="2"/>
        <v>7.3189241457078931E-4</v>
      </c>
      <c r="H13">
        <f t="shared" si="12"/>
        <v>3.859416874381541E-2</v>
      </c>
      <c r="I13">
        <f t="shared" si="3"/>
        <v>25156.622920949725</v>
      </c>
      <c r="J13">
        <f t="shared" si="4"/>
        <v>0.53825919233582331</v>
      </c>
      <c r="K13">
        <f t="shared" si="5"/>
        <v>0.36063365886500165</v>
      </c>
      <c r="N13">
        <f t="shared" si="6"/>
        <v>2.4889949000909115E-2</v>
      </c>
      <c r="O13">
        <f t="shared" si="7"/>
        <v>4.5079110454606898E-3</v>
      </c>
      <c r="P13">
        <f t="shared" si="13"/>
        <v>1.4852850501048823E-3</v>
      </c>
      <c r="Q13">
        <f t="shared" si="8"/>
        <v>940.86393594106607</v>
      </c>
      <c r="R13">
        <f t="shared" si="9"/>
        <v>2.3903150455363221E-2</v>
      </c>
      <c r="S13">
        <f t="shared" si="10"/>
        <v>1.6971236823307884E-2</v>
      </c>
      <c r="U13">
        <f t="shared" si="16"/>
        <v>0.30861122647510281</v>
      </c>
      <c r="V13" t="b">
        <f t="shared" si="14"/>
        <v>1</v>
      </c>
    </row>
    <row r="14" spans="1:22">
      <c r="A14">
        <f t="shared" si="15"/>
        <v>8</v>
      </c>
      <c r="B14">
        <f t="shared" si="11"/>
        <v>2920</v>
      </c>
      <c r="C14">
        <f t="shared" si="0"/>
        <v>0.42601240851204558</v>
      </c>
      <c r="D14">
        <f>IF('5.Survival'!$C$3="No",pDeath,(1-EXP(C13-C14)))</f>
        <v>5.5367597828895332E-2</v>
      </c>
      <c r="F14">
        <f t="shared" si="1"/>
        <v>0.62110132496840287</v>
      </c>
      <c r="G14">
        <f t="shared" si="2"/>
        <v>7.9374222125198478E-4</v>
      </c>
      <c r="H14">
        <f t="shared" si="12"/>
        <v>3.6652846663862163E-2</v>
      </c>
      <c r="I14">
        <f t="shared" si="3"/>
        <v>22946.819789863086</v>
      </c>
      <c r="J14">
        <f t="shared" si="4"/>
        <v>0.49092970881379905</v>
      </c>
      <c r="K14">
        <f t="shared" si="5"/>
        <v>0.32892290490524539</v>
      </c>
      <c r="N14">
        <f t="shared" si="6"/>
        <v>2.6976428933040267E-2</v>
      </c>
      <c r="O14">
        <f t="shared" si="7"/>
        <v>4.236741846262577E-3</v>
      </c>
      <c r="P14">
        <f t="shared" si="13"/>
        <v>1.6276888920775537E-3</v>
      </c>
      <c r="Q14">
        <f t="shared" si="8"/>
        <v>967.96513878541691</v>
      </c>
      <c r="R14">
        <f t="shared" si="9"/>
        <v>2.4639965245399572E-2</v>
      </c>
      <c r="S14">
        <f t="shared" si="10"/>
        <v>1.7494375324233695E-2</v>
      </c>
      <c r="U14">
        <f t="shared" si="16"/>
        <v>0.34689176203104249</v>
      </c>
      <c r="V14" t="b">
        <f t="shared" si="14"/>
        <v>1</v>
      </c>
    </row>
    <row r="15" spans="1:22">
      <c r="A15">
        <f t="shared" si="15"/>
        <v>9</v>
      </c>
      <c r="B15">
        <f t="shared" si="11"/>
        <v>3285</v>
      </c>
      <c r="C15">
        <f t="shared" si="0"/>
        <v>0.48350872129279349</v>
      </c>
      <c r="D15">
        <f>IF('5.Survival'!$C$3="No",pDeath,(1-EXP(C14-C15)))</f>
        <v>5.5874628422749262E-2</v>
      </c>
      <c r="F15">
        <f t="shared" si="1"/>
        <v>0.58316678296247837</v>
      </c>
      <c r="G15">
        <f t="shared" si="2"/>
        <v>8.4275561104117679E-4</v>
      </c>
      <c r="H15">
        <f t="shared" si="12"/>
        <v>3.4748155797162651E-2</v>
      </c>
      <c r="I15">
        <f t="shared" si="3"/>
        <v>20923.590507716399</v>
      </c>
      <c r="J15">
        <f t="shared" si="4"/>
        <v>0.44759468221102622</v>
      </c>
      <c r="K15">
        <f t="shared" si="5"/>
        <v>0.29988843708138757</v>
      </c>
      <c r="N15">
        <f t="shared" si="6"/>
        <v>2.8626390849072304E-2</v>
      </c>
      <c r="O15">
        <f t="shared" si="7"/>
        <v>3.9801284300137914E-3</v>
      </c>
      <c r="P15">
        <f t="shared" si="13"/>
        <v>1.7440243191893614E-3</v>
      </c>
      <c r="Q15">
        <f t="shared" si="8"/>
        <v>980.22618434927688</v>
      </c>
      <c r="R15">
        <f t="shared" si="9"/>
        <v>2.4990181958976638E-2</v>
      </c>
      <c r="S15">
        <f t="shared" si="10"/>
        <v>1.7743029190873411E-2</v>
      </c>
      <c r="U15">
        <f t="shared" si="16"/>
        <v>0.38338394214739452</v>
      </c>
      <c r="V15" t="b">
        <f t="shared" si="14"/>
        <v>1</v>
      </c>
    </row>
    <row r="16" spans="1:22">
      <c r="A16">
        <f t="shared" si="15"/>
        <v>10</v>
      </c>
      <c r="B16">
        <f t="shared" si="11"/>
        <v>3650</v>
      </c>
      <c r="C16">
        <f t="shared" si="0"/>
        <v>0.54148626298024283</v>
      </c>
      <c r="D16">
        <f>IF('5.Survival'!$C$3="No",pDeath,(1-EXP(C15-C16)))</f>
        <v>5.6328859539764631E-2</v>
      </c>
      <c r="F16">
        <f t="shared" si="1"/>
        <v>0.54737528625845855</v>
      </c>
      <c r="G16">
        <f t="shared" si="2"/>
        <v>8.8037602053532451E-4</v>
      </c>
      <c r="H16">
        <f t="shared" si="12"/>
        <v>3.2896591268190535E-2</v>
      </c>
      <c r="I16">
        <f t="shared" si="3"/>
        <v>19072.874072920335</v>
      </c>
      <c r="J16">
        <f t="shared" si="4"/>
        <v>0.4079537021094734</v>
      </c>
      <c r="K16">
        <f t="shared" si="5"/>
        <v>0.27332898041334719</v>
      </c>
      <c r="N16">
        <f t="shared" si="6"/>
        <v>2.9889455213998502E-2</v>
      </c>
      <c r="O16">
        <f t="shared" si="7"/>
        <v>3.7376610468705255E-3</v>
      </c>
      <c r="P16">
        <f t="shared" si="13"/>
        <v>1.8366880445522681E-3</v>
      </c>
      <c r="Q16">
        <f t="shared" si="8"/>
        <v>980.26693980715277</v>
      </c>
      <c r="R16">
        <f t="shared" si="9"/>
        <v>2.502173258523736E-2</v>
      </c>
      <c r="S16">
        <f t="shared" si="10"/>
        <v>1.7765430135518526E-2</v>
      </c>
      <c r="U16">
        <f t="shared" si="16"/>
        <v>0.41811722146013736</v>
      </c>
      <c r="V16" t="b">
        <f t="shared" si="14"/>
        <v>1</v>
      </c>
    </row>
    <row r="17" spans="1:22">
      <c r="A17">
        <f t="shared" si="15"/>
        <v>11</v>
      </c>
      <c r="B17">
        <f t="shared" si="11"/>
        <v>4015</v>
      </c>
      <c r="C17">
        <f t="shared" si="0"/>
        <v>0.59990018745410834</v>
      </c>
      <c r="D17">
        <f>IF('5.Survival'!$C$3="No",pDeath,(1-EXP(C16-C17)))</f>
        <v>5.6740571542950091E-2</v>
      </c>
      <c r="F17">
        <f t="shared" si="1"/>
        <v>0.5136384864110396</v>
      </c>
      <c r="G17">
        <f t="shared" si="2"/>
        <v>9.0793213904346367E-4</v>
      </c>
      <c r="H17">
        <f t="shared" si="12"/>
        <v>3.1108339629368736E-2</v>
      </c>
      <c r="I17">
        <f t="shared" si="3"/>
        <v>17381.219924132551</v>
      </c>
      <c r="J17">
        <f t="shared" si="4"/>
        <v>0.37171928055827208</v>
      </c>
      <c r="K17">
        <f t="shared" si="5"/>
        <v>0.2490519179740423</v>
      </c>
      <c r="N17">
        <f t="shared" si="6"/>
        <v>3.0811162325842623E-2</v>
      </c>
      <c r="O17">
        <f t="shared" si="7"/>
        <v>3.508836238585561E-3</v>
      </c>
      <c r="P17">
        <f t="shared" si="13"/>
        <v>1.9080217959829393E-3</v>
      </c>
      <c r="Q17">
        <f t="shared" si="8"/>
        <v>970.35726894391621</v>
      </c>
      <c r="R17">
        <f t="shared" si="9"/>
        <v>2.4793497175781897E-2</v>
      </c>
      <c r="S17">
        <f t="shared" si="10"/>
        <v>1.7603382994805145E-2</v>
      </c>
      <c r="U17">
        <f t="shared" si="16"/>
        <v>0.45113358288548899</v>
      </c>
      <c r="V17" t="b">
        <f t="shared" si="14"/>
        <v>1</v>
      </c>
    </row>
    <row r="18" spans="1:22">
      <c r="A18">
        <f t="shared" si="15"/>
        <v>12</v>
      </c>
      <c r="B18">
        <f t="shared" si="11"/>
        <v>4380</v>
      </c>
      <c r="C18">
        <f t="shared" si="0"/>
        <v>0.65871356088637689</v>
      </c>
      <c r="D18">
        <f>IF('5.Survival'!$C$3="No",pDeath,(1-EXP(C17-C18)))</f>
        <v>5.7117280296182682E-2</v>
      </c>
      <c r="F18">
        <f t="shared" si="1"/>
        <v>0.48186382945764056</v>
      </c>
      <c r="G18">
        <f t="shared" si="2"/>
        <v>9.2663996123956086E-4</v>
      </c>
      <c r="H18">
        <f t="shared" si="12"/>
        <v>2.938949201372203E-2</v>
      </c>
      <c r="I18">
        <f t="shared" si="3"/>
        <v>15835.911588687974</v>
      </c>
      <c r="J18">
        <f t="shared" si="4"/>
        <v>0.3386195215993234</v>
      </c>
      <c r="K18">
        <f t="shared" si="5"/>
        <v>0.2268750794715467</v>
      </c>
      <c r="N18">
        <f t="shared" si="6"/>
        <v>3.1433093625419586E-2</v>
      </c>
      <c r="O18">
        <f t="shared" si="7"/>
        <v>3.2930970787205319E-3</v>
      </c>
      <c r="P18">
        <f t="shared" si="13"/>
        <v>1.9602649777690317E-3</v>
      </c>
      <c r="Q18">
        <f t="shared" si="8"/>
        <v>952.45383533299525</v>
      </c>
      <c r="R18">
        <f t="shared" si="9"/>
        <v>2.4356251475628136E-2</v>
      </c>
      <c r="S18">
        <f t="shared" si="10"/>
        <v>1.7292938547695976E-2</v>
      </c>
      <c r="U18">
        <f t="shared" si="16"/>
        <v>0.48248333987698006</v>
      </c>
      <c r="V18" t="b">
        <f t="shared" si="14"/>
        <v>1</v>
      </c>
    </row>
    <row r="19" spans="1:22">
      <c r="A19">
        <f t="shared" si="15"/>
        <v>13</v>
      </c>
      <c r="B19">
        <f t="shared" si="11"/>
        <v>4745</v>
      </c>
      <c r="C19">
        <f t="shared" si="0"/>
        <v>0.71789541633084553</v>
      </c>
      <c r="D19">
        <f>IF('5.Survival'!$C$3="No",pDeath,(1-EXP(C18-C19)))</f>
        <v>5.7464651614036244E-2</v>
      </c>
      <c r="F19">
        <f t="shared" si="1"/>
        <v>0.4519572242868663</v>
      </c>
      <c r="G19">
        <f t="shared" si="2"/>
        <v>9.3760714901178319E-4</v>
      </c>
      <c r="H19">
        <f t="shared" si="12"/>
        <v>2.7743386127732965E-2</v>
      </c>
      <c r="I19">
        <f t="shared" si="3"/>
        <v>14425.02278611441</v>
      </c>
      <c r="J19">
        <f t="shared" si="4"/>
        <v>0.30839934234224564</v>
      </c>
      <c r="K19">
        <f t="shared" si="5"/>
        <v>0.2066275593693046</v>
      </c>
      <c r="N19">
        <f t="shared" si="6"/>
        <v>3.1793055104432338E-2</v>
      </c>
      <c r="O19">
        <f t="shared" si="7"/>
        <v>3.0898590042808326E-3</v>
      </c>
      <c r="P19">
        <f t="shared" si="13"/>
        <v>1.995528450695996E-3</v>
      </c>
      <c r="Q19">
        <f t="shared" si="8"/>
        <v>928.23500266787539</v>
      </c>
      <c r="R19">
        <f t="shared" si="9"/>
        <v>2.3753567105195165E-2</v>
      </c>
      <c r="S19">
        <f t="shared" si="10"/>
        <v>1.6865032644688565E-2</v>
      </c>
      <c r="U19">
        <f t="shared" si="16"/>
        <v>0.51222225445540892</v>
      </c>
      <c r="V19" t="b">
        <f t="shared" si="14"/>
        <v>1</v>
      </c>
    </row>
    <row r="20" spans="1:22">
      <c r="A20">
        <f t="shared" si="15"/>
        <v>14</v>
      </c>
      <c r="B20">
        <f t="shared" si="11"/>
        <v>5110</v>
      </c>
      <c r="C20">
        <f t="shared" si="0"/>
        <v>0.77741940100239915</v>
      </c>
      <c r="D20">
        <f>IF('5.Survival'!$C$3="No",pDeath,(1-EXP(C19-C20)))</f>
        <v>5.7787065347554067E-2</v>
      </c>
      <c r="F20">
        <f t="shared" si="1"/>
        <v>0.42382484129493392</v>
      </c>
      <c r="G20">
        <f t="shared" si="2"/>
        <v>9.4183868093525563E-4</v>
      </c>
      <c r="H20">
        <f t="shared" si="12"/>
        <v>2.6171463219754571E-2</v>
      </c>
      <c r="I20">
        <f t="shared" si="3"/>
        <v>13137.432602756649</v>
      </c>
      <c r="J20">
        <f t="shared" si="4"/>
        <v>0.2808208154505063</v>
      </c>
      <c r="K20">
        <f t="shared" si="5"/>
        <v>0.18814994635183924</v>
      </c>
      <c r="N20">
        <f t="shared" si="6"/>
        <v>3.1925294190664588E-2</v>
      </c>
      <c r="O20">
        <f t="shared" si="7"/>
        <v>2.89852692118962E-3</v>
      </c>
      <c r="P20">
        <f t="shared" si="13"/>
        <v>2.0157812371133237E-3</v>
      </c>
      <c r="Q20">
        <f t="shared" si="8"/>
        <v>899.13323737479345</v>
      </c>
      <c r="R20">
        <f t="shared" si="9"/>
        <v>2.3022648203689166E-2</v>
      </c>
      <c r="S20">
        <f t="shared" si="10"/>
        <v>1.6346080224619308E-2</v>
      </c>
      <c r="U20">
        <f t="shared" si="16"/>
        <v>0.54040949891227685</v>
      </c>
      <c r="V20" t="b">
        <f t="shared" si="14"/>
        <v>1</v>
      </c>
    </row>
    <row r="21" spans="1:22">
      <c r="A21">
        <f t="shared" si="15"/>
        <v>15</v>
      </c>
      <c r="B21">
        <f t="shared" si="11"/>
        <v>5475</v>
      </c>
      <c r="C21">
        <f t="shared" si="0"/>
        <v>0.83726280580554402</v>
      </c>
      <c r="D21">
        <f>IF('5.Survival'!$C$3="No",pDeath,(1-EXP(C20-C21)))</f>
        <v>5.8087979065619577E-2</v>
      </c>
      <c r="F21">
        <f t="shared" si="1"/>
        <v>0.39737433520981263</v>
      </c>
      <c r="G21">
        <f t="shared" si="2"/>
        <v>9.4024317002006368E-4</v>
      </c>
      <c r="H21">
        <f t="shared" si="12"/>
        <v>2.4673838014211021E-2</v>
      </c>
      <c r="I21">
        <f t="shared" si="3"/>
        <v>11962.815515298922</v>
      </c>
      <c r="J21">
        <f t="shared" si="4"/>
        <v>0.25566297095538193</v>
      </c>
      <c r="K21">
        <f t="shared" si="5"/>
        <v>0.17129419054010589</v>
      </c>
      <c r="N21">
        <f t="shared" si="6"/>
        <v>3.1860732550103875E-2</v>
      </c>
      <c r="O21">
        <f t="shared" si="7"/>
        <v>2.7185067518455631E-3</v>
      </c>
      <c r="P21">
        <f t="shared" si="13"/>
        <v>2.0228453917302686E-3</v>
      </c>
      <c r="Q21">
        <f t="shared" si="8"/>
        <v>866.36477150333178</v>
      </c>
      <c r="R21">
        <f t="shared" si="9"/>
        <v>2.2195097877846383E-2</v>
      </c>
      <c r="S21">
        <f t="shared" si="10"/>
        <v>1.575851949327093E-2</v>
      </c>
      <c r="U21">
        <f t="shared" si="16"/>
        <v>0.56710618231821808</v>
      </c>
      <c r="V21" t="b">
        <f t="shared" si="14"/>
        <v>1</v>
      </c>
    </row>
    <row r="22" spans="1:22">
      <c r="A22">
        <f t="shared" si="15"/>
        <v>16</v>
      </c>
      <c r="B22">
        <f t="shared" si="11"/>
        <v>5840</v>
      </c>
      <c r="C22">
        <f t="shared" si="0"/>
        <v>0.89740585058207467</v>
      </c>
      <c r="D22">
        <f>IF('5.Survival'!$C$3="No",pDeath,(1-EXP(C21-C22)))</f>
        <v>5.8370171278359195E-2</v>
      </c>
      <c r="F22">
        <f t="shared" si="1"/>
        <v>0.37251567491550353</v>
      </c>
      <c r="G22">
        <f t="shared" si="2"/>
        <v>9.3363946115263474E-4</v>
      </c>
      <c r="H22">
        <f t="shared" si="12"/>
        <v>2.3249690162698265E-2</v>
      </c>
      <c r="I22">
        <f t="shared" si="3"/>
        <v>10891.61600785464</v>
      </c>
      <c r="J22">
        <f t="shared" si="4"/>
        <v>0.23272126619395109</v>
      </c>
      <c r="K22">
        <f t="shared" si="5"/>
        <v>0.15592324834994722</v>
      </c>
      <c r="N22">
        <f t="shared" si="6"/>
        <v>3.1627203720066645E-2</v>
      </c>
      <c r="O22">
        <f t="shared" si="7"/>
        <v>2.5492133016309293E-3</v>
      </c>
      <c r="P22">
        <f t="shared" si="13"/>
        <v>2.0183961207301585E-3</v>
      </c>
      <c r="Q22">
        <f t="shared" si="8"/>
        <v>830.95648607169687</v>
      </c>
      <c r="R22">
        <f t="shared" si="9"/>
        <v>2.1297613188921493E-2</v>
      </c>
      <c r="S22">
        <f t="shared" si="10"/>
        <v>1.5121305364134259E-2</v>
      </c>
      <c r="U22">
        <f t="shared" si="16"/>
        <v>0.59237426860164655</v>
      </c>
      <c r="V22" t="b">
        <f t="shared" si="14"/>
        <v>1</v>
      </c>
    </row>
    <row r="23" spans="1:22">
      <c r="A23">
        <f t="shared" si="15"/>
        <v>17</v>
      </c>
      <c r="B23">
        <f t="shared" si="11"/>
        <v>6205</v>
      </c>
      <c r="C23">
        <f t="shared" si="0"/>
        <v>0.95783114579396367</v>
      </c>
      <c r="D23">
        <f>IF('5.Survival'!$C$3="No",pDeath,(1-EXP(C22-C23)))</f>
        <v>5.863590920337558E-2</v>
      </c>
      <c r="F23">
        <f t="shared" si="1"/>
        <v>0.34916169867479313</v>
      </c>
      <c r="G23">
        <f t="shared" si="2"/>
        <v>9.2276325958583455E-4</v>
      </c>
      <c r="H23">
        <f t="shared" si="12"/>
        <v>2.1897540089852476E-2</v>
      </c>
      <c r="I23">
        <f t="shared" si="3"/>
        <v>9915.013987717226</v>
      </c>
      <c r="J23">
        <f t="shared" si="4"/>
        <v>0.21180685690501708</v>
      </c>
      <c r="K23">
        <f t="shared" si="5"/>
        <v>0.14191059412636145</v>
      </c>
      <c r="N23">
        <f t="shared" si="6"/>
        <v>3.1249688476730781E-2</v>
      </c>
      <c r="O23">
        <f t="shared" si="7"/>
        <v>2.3900756120105995E-3</v>
      </c>
      <c r="P23">
        <f t="shared" si="13"/>
        <v>2.0039652853809588E-3</v>
      </c>
      <c r="Q23">
        <f t="shared" si="8"/>
        <v>793.77009135775666</v>
      </c>
      <c r="R23">
        <f t="shared" si="9"/>
        <v>2.0352610508026878E-2</v>
      </c>
      <c r="S23">
        <f t="shared" si="10"/>
        <v>1.4450353460699082E-2</v>
      </c>
      <c r="U23">
        <f t="shared" si="16"/>
        <v>0.61627577397687994</v>
      </c>
      <c r="V23" t="b">
        <f t="shared" si="14"/>
        <v>1</v>
      </c>
    </row>
    <row r="24" spans="1:22">
      <c r="A24">
        <f t="shared" si="15"/>
        <v>18</v>
      </c>
      <c r="B24">
        <f t="shared" si="11"/>
        <v>6570</v>
      </c>
      <c r="C24">
        <f t="shared" si="0"/>
        <v>1.0185232791953804</v>
      </c>
      <c r="D24">
        <f>IF('5.Survival'!$C$3="No",pDeath,(1-EXP(C23-C24)))</f>
        <v>5.8887067582236385E-2</v>
      </c>
      <c r="F24">
        <f t="shared" si="1"/>
        <v>0.32722847400857835</v>
      </c>
      <c r="G24">
        <f t="shared" si="2"/>
        <v>9.082736303960172E-4</v>
      </c>
      <c r="H24">
        <f t="shared" si="12"/>
        <v>2.0615447369420635E-2</v>
      </c>
      <c r="I24">
        <f t="shared" si="3"/>
        <v>9024.8850377982362</v>
      </c>
      <c r="J24">
        <f t="shared" si="4"/>
        <v>0.19274575612387854</v>
      </c>
      <c r="K24">
        <f t="shared" si="5"/>
        <v>0.12913965660299861</v>
      </c>
      <c r="N24">
        <f t="shared" si="6"/>
        <v>3.0750543397001159E-2</v>
      </c>
      <c r="O24">
        <f t="shared" si="7"/>
        <v>2.2405405563800255E-3</v>
      </c>
      <c r="P24">
        <f t="shared" si="13"/>
        <v>1.9809470613442021E-3</v>
      </c>
      <c r="Q24">
        <f t="shared" si="8"/>
        <v>755.52374602719681</v>
      </c>
      <c r="R24">
        <f t="shared" si="9"/>
        <v>1.9378784813632182E-2</v>
      </c>
      <c r="S24">
        <f t="shared" si="10"/>
        <v>1.3758937217678848E-2</v>
      </c>
      <c r="U24">
        <f t="shared" si="16"/>
        <v>0.63887216840764482</v>
      </c>
      <c r="V24" t="b">
        <f t="shared" si="14"/>
        <v>1</v>
      </c>
    </row>
    <row r="25" spans="1:22">
      <c r="A25">
        <f t="shared" si="15"/>
        <v>19</v>
      </c>
      <c r="B25">
        <f t="shared" si="11"/>
        <v>6935</v>
      </c>
      <c r="C25">
        <f t="shared" si="0"/>
        <v>1.0794684930949552</v>
      </c>
      <c r="D25">
        <f>IF('5.Survival'!$C$3="No",pDeath,(1-EXP(C24-C25)))</f>
        <v>5.9125214775519352E-2</v>
      </c>
      <c r="F25">
        <f t="shared" si="1"/>
        <v>0.30663551677419021</v>
      </c>
      <c r="G25">
        <f t="shared" si="2"/>
        <v>8.9075926674129201E-4</v>
      </c>
      <c r="H25">
        <f t="shared" si="12"/>
        <v>1.9401155679894751E-2</v>
      </c>
      <c r="I25">
        <f t="shared" si="3"/>
        <v>8213.7581702109346</v>
      </c>
      <c r="J25">
        <f t="shared" si="4"/>
        <v>0.17537793810365013</v>
      </c>
      <c r="K25">
        <f t="shared" si="5"/>
        <v>0.11750321852944559</v>
      </c>
      <c r="N25">
        <f t="shared" si="6"/>
        <v>3.014971976221904E-2</v>
      </c>
      <c r="O25">
        <f t="shared" si="7"/>
        <v>2.1000751848894361E-3</v>
      </c>
      <c r="P25">
        <f t="shared" si="13"/>
        <v>1.9506049244208527E-3</v>
      </c>
      <c r="Q25">
        <f t="shared" si="8"/>
        <v>716.81129135433014</v>
      </c>
      <c r="R25">
        <f t="shared" si="9"/>
        <v>1.8391607425885786E-2</v>
      </c>
      <c r="S25">
        <f t="shared" si="10"/>
        <v>1.3058041272378907E-2</v>
      </c>
      <c r="U25">
        <f t="shared" si="16"/>
        <v>0.66022392901196048</v>
      </c>
      <c r="V25" t="b">
        <f t="shared" si="14"/>
        <v>1</v>
      </c>
    </row>
    <row r="26" spans="1:22">
      <c r="A26">
        <f t="shared" si="15"/>
        <v>20</v>
      </c>
      <c r="B26">
        <f t="shared" si="11"/>
        <v>7300</v>
      </c>
      <c r="C26">
        <f t="shared" si="0"/>
        <v>1.1406544286011209</v>
      </c>
      <c r="D26">
        <f>IF('5.Survival'!$C$3="No",pDeath,(1-EXP(C25-C26)))</f>
        <v>5.9351676407222054E-2</v>
      </c>
      <c r="F26">
        <f t="shared" si="1"/>
        <v>0.28730590785197019</v>
      </c>
      <c r="G26">
        <f t="shared" si="2"/>
        <v>8.7074446357192879E-4</v>
      </c>
      <c r="H26">
        <f t="shared" si="12"/>
        <v>1.8252200022299412E-2</v>
      </c>
      <c r="I26">
        <f t="shared" si="3"/>
        <v>7474.7728500330959</v>
      </c>
      <c r="J26">
        <f t="shared" si="4"/>
        <v>0.15955642530970102</v>
      </c>
      <c r="K26">
        <f t="shared" si="5"/>
        <v>0.10690280495749968</v>
      </c>
      <c r="N26">
        <f t="shared" si="6"/>
        <v>2.9464971089636496E-2</v>
      </c>
      <c r="O26">
        <f t="shared" si="7"/>
        <v>1.9681681666619617E-3</v>
      </c>
      <c r="P26">
        <f t="shared" si="13"/>
        <v>1.9140793939000469E-3</v>
      </c>
      <c r="Q26">
        <f t="shared" si="8"/>
        <v>678.11929192087871</v>
      </c>
      <c r="R26">
        <f t="shared" si="9"/>
        <v>1.7403767084175143E-2</v>
      </c>
      <c r="S26">
        <f t="shared" si="10"/>
        <v>1.2356674629764352E-2</v>
      </c>
      <c r="U26">
        <f t="shared" si="16"/>
        <v>0.68039020842816</v>
      </c>
      <c r="V26" t="b">
        <f t="shared" si="14"/>
        <v>1</v>
      </c>
    </row>
    <row r="27" spans="1:22">
      <c r="A27">
        <f t="shared" si="15"/>
        <v>21</v>
      </c>
      <c r="B27">
        <f t="shared" si="11"/>
        <v>7665</v>
      </c>
      <c r="C27">
        <f t="shared" si="0"/>
        <v>1.2020699202754932</v>
      </c>
      <c r="D27">
        <f>IF('5.Survival'!$C$3="No",pDeath,(1-EXP(C26-C27)))</f>
        <v>5.9567583249694134E-2</v>
      </c>
      <c r="F27">
        <f t="shared" si="1"/>
        <v>0.26916633501329845</v>
      </c>
      <c r="G27">
        <f t="shared" si="2"/>
        <v>8.486947599200584E-4</v>
      </c>
      <c r="H27">
        <f t="shared" si="12"/>
        <v>1.7165986727424216E-2</v>
      </c>
      <c r="I27">
        <f t="shared" si="3"/>
        <v>6801.6364612737671</v>
      </c>
      <c r="J27">
        <f t="shared" si="4"/>
        <v>0.14514638373915772</v>
      </c>
      <c r="K27">
        <f t="shared" si="5"/>
        <v>9.7248077105235683E-2</v>
      </c>
      <c r="N27">
        <f t="shared" si="6"/>
        <v>2.8712048356929615E-2</v>
      </c>
      <c r="O27">
        <f t="shared" si="7"/>
        <v>1.8443305748194697E-3</v>
      </c>
      <c r="P27">
        <f t="shared" si="13"/>
        <v>1.8723961394487873E-3</v>
      </c>
      <c r="Q27">
        <f t="shared" si="8"/>
        <v>639.84207732438472</v>
      </c>
      <c r="R27">
        <f t="shared" si="9"/>
        <v>1.642555936916467E-2</v>
      </c>
      <c r="S27">
        <f t="shared" si="10"/>
        <v>1.1662147152106915E-2</v>
      </c>
      <c r="U27">
        <f t="shared" si="16"/>
        <v>0.69942859129503299</v>
      </c>
      <c r="V27" t="b">
        <f t="shared" si="14"/>
        <v>1</v>
      </c>
    </row>
    <row r="28" spans="1:22">
      <c r="A28">
        <f t="shared" si="15"/>
        <v>22</v>
      </c>
      <c r="B28">
        <f t="shared" si="11"/>
        <v>8030</v>
      </c>
      <c r="C28">
        <f t="shared" si="0"/>
        <v>1.263704829319257</v>
      </c>
      <c r="D28">
        <f>IF('5.Survival'!$C$3="No",pDeath,(1-EXP(C27-C28)))</f>
        <v>5.9773907820242833E-2</v>
      </c>
      <c r="F28">
        <f t="shared" si="1"/>
        <v>0.25214708008292541</v>
      </c>
      <c r="G28">
        <f t="shared" si="2"/>
        <v>8.2502223115722521E-4</v>
      </c>
      <c r="H28">
        <f t="shared" si="12"/>
        <v>1.6139853499744488E-2</v>
      </c>
      <c r="I28">
        <f t="shared" si="3"/>
        <v>6188.5829819562423</v>
      </c>
      <c r="J28">
        <f t="shared" si="4"/>
        <v>0.13202424313022187</v>
      </c>
      <c r="K28">
        <f t="shared" si="5"/>
        <v>8.8456242897248655E-2</v>
      </c>
      <c r="N28">
        <f t="shared" si="6"/>
        <v>2.7904882523005076E-2</v>
      </c>
      <c r="O28">
        <f t="shared" si="7"/>
        <v>1.7280961905485985E-3</v>
      </c>
      <c r="P28">
        <f t="shared" si="13"/>
        <v>1.8264741775867799E-3</v>
      </c>
      <c r="Q28">
        <f t="shared" si="8"/>
        <v>602.29497516674564</v>
      </c>
      <c r="R28">
        <f t="shared" si="9"/>
        <v>1.5465229369416949E-2</v>
      </c>
      <c r="S28">
        <f t="shared" si="10"/>
        <v>1.0980312852286032E-2</v>
      </c>
      <c r="U28">
        <f t="shared" si="16"/>
        <v>0.71739491897236418</v>
      </c>
      <c r="V28" t="b">
        <f t="shared" si="14"/>
        <v>1</v>
      </c>
    </row>
    <row r="29" spans="1:22">
      <c r="A29">
        <f t="shared" si="15"/>
        <v>23</v>
      </c>
      <c r="B29">
        <f t="shared" si="11"/>
        <v>8395</v>
      </c>
      <c r="C29">
        <f t="shared" si="0"/>
        <v>1.325549906630634</v>
      </c>
      <c r="D29">
        <f>IF('5.Survival'!$C$3="No",pDeath,(1-EXP(C28-C29)))</f>
        <v>5.9971492745433008E-2</v>
      </c>
      <c r="F29">
        <f t="shared" si="1"/>
        <v>0.23618196626054655</v>
      </c>
      <c r="G29">
        <f t="shared" si="2"/>
        <v>8.0009042526594924E-4</v>
      </c>
      <c r="H29">
        <f t="shared" si="12"/>
        <v>1.5171114598725943E-2</v>
      </c>
      <c r="I29">
        <f t="shared" si="3"/>
        <v>5630.3333566893025</v>
      </c>
      <c r="J29">
        <f t="shared" si="4"/>
        <v>0.12007685264859934</v>
      </c>
      <c r="K29">
        <f t="shared" si="5"/>
        <v>8.0451491274561568E-2</v>
      </c>
      <c r="N29">
        <f t="shared" si="6"/>
        <v>2.7055754320342271E-2</v>
      </c>
      <c r="O29">
        <f t="shared" si="7"/>
        <v>1.6190214548101288E-3</v>
      </c>
      <c r="P29">
        <f t="shared" si="13"/>
        <v>1.7771339679454551E-3</v>
      </c>
      <c r="Q29">
        <f t="shared" si="8"/>
        <v>565.72591686984629</v>
      </c>
      <c r="R29">
        <f t="shared" si="9"/>
        <v>1.4529272273341422E-2</v>
      </c>
      <c r="S29">
        <f t="shared" si="10"/>
        <v>1.0315783314072409E-2</v>
      </c>
      <c r="U29">
        <f t="shared" si="16"/>
        <v>0.73434316753903561</v>
      </c>
      <c r="V29" t="b">
        <f t="shared" si="14"/>
        <v>1</v>
      </c>
    </row>
    <row r="30" spans="1:22">
      <c r="A30">
        <f t="shared" si="15"/>
        <v>24</v>
      </c>
      <c r="B30">
        <f t="shared" si="11"/>
        <v>8760</v>
      </c>
      <c r="C30">
        <f t="shared" si="0"/>
        <v>1.3875966793123891</v>
      </c>
      <c r="D30">
        <f>IF('5.Survival'!$C$3="No",pDeath,(1-EXP(C29-C30)))</f>
        <v>6.016107302399476E-2</v>
      </c>
      <c r="F30">
        <f t="shared" si="1"/>
        <v>0.22120827670537166</v>
      </c>
      <c r="G30">
        <f t="shared" si="2"/>
        <v>7.7421894592911479E-4</v>
      </c>
      <c r="H30">
        <f t="shared" si="12"/>
        <v>1.425709481765163E-2</v>
      </c>
      <c r="I30">
        <f t="shared" si="3"/>
        <v>5122.0578618673053</v>
      </c>
      <c r="J30">
        <f t="shared" si="4"/>
        <v>0.1092006784877133</v>
      </c>
      <c r="K30">
        <f t="shared" si="5"/>
        <v>7.3164454586767916E-2</v>
      </c>
      <c r="N30">
        <f t="shared" si="6"/>
        <v>2.6175451549867664E-2</v>
      </c>
      <c r="O30">
        <f t="shared" si="7"/>
        <v>1.5166851627891999E-3</v>
      </c>
      <c r="P30">
        <f t="shared" si="13"/>
        <v>1.7251052793556196E-3</v>
      </c>
      <c r="Q30">
        <f t="shared" si="8"/>
        <v>530.32558660117286</v>
      </c>
      <c r="R30">
        <f t="shared" si="9"/>
        <v>1.3622696280281791E-2</v>
      </c>
      <c r="S30">
        <f t="shared" si="10"/>
        <v>9.6721143590000717E-3</v>
      </c>
      <c r="U30">
        <f t="shared" si="16"/>
        <v>0.75032536763604285</v>
      </c>
      <c r="V30" t="b">
        <f t="shared" si="14"/>
        <v>1</v>
      </c>
    </row>
    <row r="31" spans="1:22">
      <c r="A31">
        <f t="shared" si="15"/>
        <v>25</v>
      </c>
      <c r="B31">
        <f t="shared" si="11"/>
        <v>9125</v>
      </c>
      <c r="C31">
        <f t="shared" si="0"/>
        <v>1.4498373557999775</v>
      </c>
      <c r="D31">
        <f>IF('5.Survival'!$C$3="No",pDeath,(1-EXP(C30-C31)))</f>
        <v>6.0343293701593415E-2</v>
      </c>
      <c r="F31">
        <f t="shared" si="1"/>
        <v>0.20716665274743332</v>
      </c>
      <c r="G31">
        <f t="shared" si="2"/>
        <v>7.4768769124173532E-4</v>
      </c>
      <c r="H31">
        <f t="shared" si="12"/>
        <v>1.3395154931699125E-2</v>
      </c>
      <c r="I31">
        <f t="shared" si="3"/>
        <v>4659.3406239523038</v>
      </c>
      <c r="J31">
        <f t="shared" si="4"/>
        <v>9.9301046922875905E-2</v>
      </c>
      <c r="K31">
        <f t="shared" si="5"/>
        <v>6.653170143832686E-2</v>
      </c>
      <c r="N31">
        <f t="shared" si="6"/>
        <v>2.5273414282538598E-2</v>
      </c>
      <c r="O31">
        <f t="shared" si="7"/>
        <v>1.4206879721683249E-3</v>
      </c>
      <c r="P31">
        <f t="shared" si="13"/>
        <v>1.6710347388765305E-3</v>
      </c>
      <c r="Q31">
        <f t="shared" si="8"/>
        <v>496.23627104969734</v>
      </c>
      <c r="R31">
        <f t="shared" si="9"/>
        <v>1.2749251903288253E-2</v>
      </c>
      <c r="S31">
        <f t="shared" si="10"/>
        <v>9.0519688513346595E-3</v>
      </c>
      <c r="U31">
        <f t="shared" si="16"/>
        <v>0.76539155730661845</v>
      </c>
      <c r="V31" t="b">
        <f t="shared" si="14"/>
        <v>1</v>
      </c>
    </row>
    <row r="32" spans="1:22">
      <c r="A32">
        <f t="shared" si="15"/>
        <v>26</v>
      </c>
      <c r="B32">
        <f t="shared" si="11"/>
        <v>9490</v>
      </c>
      <c r="C32">
        <f t="shared" si="0"/>
        <v>1.5122647459296721</v>
      </c>
      <c r="D32">
        <f>IF('5.Survival'!$C$3="No",pDeath,(1-EXP(C31-C32)))</f>
        <v>6.0518724049426487E-2</v>
      </c>
      <c r="F32">
        <f t="shared" si="1"/>
        <v>0.19400097806494085</v>
      </c>
      <c r="G32">
        <f t="shared" si="2"/>
        <v>7.2074076087708691E-4</v>
      </c>
      <c r="H32">
        <f t="shared" si="12"/>
        <v>1.258271059492669E-2</v>
      </c>
      <c r="I32">
        <f t="shared" si="3"/>
        <v>4238.1463573945348</v>
      </c>
      <c r="J32">
        <f t="shared" si="4"/>
        <v>9.0291434337294751E-2</v>
      </c>
      <c r="K32">
        <f t="shared" si="5"/>
        <v>6.049526100598749E-2</v>
      </c>
      <c r="N32">
        <f t="shared" si="6"/>
        <v>2.4357868485730055E-2</v>
      </c>
      <c r="O32">
        <f t="shared" si="7"/>
        <v>1.3306517788075204E-3</v>
      </c>
      <c r="P32">
        <f t="shared" si="13"/>
        <v>1.6154930080997817E-3</v>
      </c>
      <c r="Q32">
        <f t="shared" si="8"/>
        <v>463.55955480051318</v>
      </c>
      <c r="R32">
        <f t="shared" si="9"/>
        <v>1.1911631402363249E-2</v>
      </c>
      <c r="S32">
        <f t="shared" si="10"/>
        <v>8.4572582956779063E-3</v>
      </c>
      <c r="U32">
        <f t="shared" si="16"/>
        <v>0.77958976090964494</v>
      </c>
      <c r="V32" t="b">
        <f t="shared" si="14"/>
        <v>1</v>
      </c>
    </row>
    <row r="33" spans="1:22">
      <c r="A33">
        <f t="shared" si="15"/>
        <v>27</v>
      </c>
      <c r="B33">
        <f t="shared" si="11"/>
        <v>9855</v>
      </c>
      <c r="C33">
        <f t="shared" si="0"/>
        <v>1.5748721931076997</v>
      </c>
      <c r="D33">
        <f>IF('5.Survival'!$C$3="No",pDeath,(1-EXP(C32-C33)))</f>
        <v>6.0687869046606835E-2</v>
      </c>
      <c r="F33">
        <f t="shared" si="1"/>
        <v>0.18165825365270127</v>
      </c>
      <c r="G33">
        <f t="shared" si="2"/>
        <v>6.9359004714251451E-4</v>
      </c>
      <c r="H33">
        <f t="shared" si="12"/>
        <v>1.1817246172631435E-2</v>
      </c>
      <c r="I33">
        <f t="shared" si="3"/>
        <v>3854.7893236171994</v>
      </c>
      <c r="J33">
        <f t="shared" si="4"/>
        <v>8.2092804332337704E-2</v>
      </c>
      <c r="K33">
        <f t="shared" si="5"/>
        <v>5.5002178902666267E-2</v>
      </c>
      <c r="N33">
        <f t="shared" si="6"/>
        <v>2.3435948663579696E-2</v>
      </c>
      <c r="O33">
        <f t="shared" si="7"/>
        <v>1.2462190004852349E-3</v>
      </c>
      <c r="P33">
        <f t="shared" si="13"/>
        <v>1.5589815538153624E-3</v>
      </c>
      <c r="Q33">
        <f t="shared" si="8"/>
        <v>432.3629931552648</v>
      </c>
      <c r="R33">
        <f t="shared" si="9"/>
        <v>1.1111641754932096E-2</v>
      </c>
      <c r="S33">
        <f t="shared" si="10"/>
        <v>7.889265646001788E-3</v>
      </c>
      <c r="U33">
        <f t="shared" si="16"/>
        <v>0.7929659886360918</v>
      </c>
      <c r="V33" t="b">
        <f t="shared" si="14"/>
        <v>1</v>
      </c>
    </row>
    <row r="34" spans="1:22">
      <c r="A34">
        <f t="shared" si="15"/>
        <v>28</v>
      </c>
      <c r="B34">
        <f t="shared" si="11"/>
        <v>10220</v>
      </c>
      <c r="C34">
        <f t="shared" si="0"/>
        <v>1.6376535163666213</v>
      </c>
      <c r="D34">
        <f>IF('5.Survival'!$C$3="No",pDeath,(1-EXP(C33-C34)))</f>
        <v>6.0851178760435332E-2</v>
      </c>
      <c r="F34">
        <f t="shared" si="1"/>
        <v>0.17008846726189064</v>
      </c>
      <c r="G34">
        <f t="shared" si="2"/>
        <v>6.664185269297532E-4</v>
      </c>
      <c r="H34">
        <f t="shared" si="12"/>
        <v>1.1096324638274157E-2</v>
      </c>
      <c r="I34">
        <f t="shared" si="3"/>
        <v>3505.9044678447458</v>
      </c>
      <c r="J34">
        <f t="shared" si="4"/>
        <v>7.4632991068564469E-2</v>
      </c>
      <c r="K34">
        <f t="shared" si="5"/>
        <v>5.0004104015938196E-2</v>
      </c>
      <c r="N34">
        <f t="shared" si="6"/>
        <v>2.2513810140414127E-2</v>
      </c>
      <c r="O34">
        <f t="shared" si="7"/>
        <v>1.1670517996790002E-3</v>
      </c>
      <c r="P34">
        <f t="shared" si="13"/>
        <v>1.5019389967210518E-3</v>
      </c>
      <c r="Q34">
        <f t="shared" si="8"/>
        <v>402.68588177863643</v>
      </c>
      <c r="R34">
        <f t="shared" si="9"/>
        <v>1.0350354249053008E-2</v>
      </c>
      <c r="S34">
        <f t="shared" si="10"/>
        <v>7.3487515168276351E-3</v>
      </c>
      <c r="U34">
        <f t="shared" si="16"/>
        <v>0.80556425227108697</v>
      </c>
      <c r="V34" t="b">
        <f t="shared" si="14"/>
        <v>1</v>
      </c>
    </row>
    <row r="35" spans="1:22">
      <c r="A35">
        <f t="shared" si="15"/>
        <v>29</v>
      </c>
      <c r="B35">
        <f t="shared" si="11"/>
        <v>10585</v>
      </c>
      <c r="C35">
        <f t="shared" si="0"/>
        <v>1.7006029605648172</v>
      </c>
      <c r="D35">
        <f>IF('5.Survival'!$C$3="No",pDeath,(1-EXP(C34-C35)))</f>
        <v>6.1009056070767786E-2</v>
      </c>
      <c r="F35">
        <f t="shared" si="1"/>
        <v>0.15924446011832424</v>
      </c>
      <c r="G35">
        <f t="shared" si="2"/>
        <v>6.3938327238251443E-4</v>
      </c>
      <c r="H35">
        <f t="shared" si="12"/>
        <v>1.0417594401447693E-2</v>
      </c>
      <c r="I35">
        <f t="shared" si="3"/>
        <v>3188.4206605978784</v>
      </c>
      <c r="J35">
        <f t="shared" si="4"/>
        <v>6.7846127333610617E-2</v>
      </c>
      <c r="K35">
        <f t="shared" si="5"/>
        <v>4.5456905313519119E-2</v>
      </c>
      <c r="N35">
        <f t="shared" si="6"/>
        <v>2.1596731633803358E-2</v>
      </c>
      <c r="O35">
        <f t="shared" si="7"/>
        <v>1.0928312690484507E-3</v>
      </c>
      <c r="P35">
        <f t="shared" si="13"/>
        <v>1.4447470339072524E-3</v>
      </c>
      <c r="Q35">
        <f t="shared" si="8"/>
        <v>374.54423073044848</v>
      </c>
      <c r="R35">
        <f t="shared" si="9"/>
        <v>9.6282334800335979E-3</v>
      </c>
      <c r="S35">
        <f t="shared" si="10"/>
        <v>6.8360457708238542E-3</v>
      </c>
      <c r="U35">
        <f t="shared" si="16"/>
        <v>0.817426593706442</v>
      </c>
      <c r="V35" t="b">
        <f t="shared" si="14"/>
        <v>1</v>
      </c>
    </row>
    <row r="36" spans="1:22">
      <c r="A36">
        <f t="shared" si="15"/>
        <v>30</v>
      </c>
      <c r="B36">
        <f t="shared" si="11"/>
        <v>10950</v>
      </c>
      <c r="C36">
        <f t="shared" si="0"/>
        <v>1.7637151533425666</v>
      </c>
      <c r="D36">
        <f>IF('5.Survival'!$C$3="No",pDeath,(1-EXP(C35-C36)))</f>
        <v>6.1161863078206813E-2</v>
      </c>
      <c r="F36">
        <f t="shared" si="1"/>
        <v>0.14908179305512639</v>
      </c>
      <c r="G36">
        <f t="shared" si="2"/>
        <v>6.1261819837699874E-4</v>
      </c>
      <c r="H36">
        <f t="shared" si="12"/>
        <v>9.7787937378798692E-3</v>
      </c>
      <c r="I36">
        <f t="shared" si="3"/>
        <v>2899.535951299858</v>
      </c>
      <c r="J36">
        <f t="shared" si="4"/>
        <v>6.1672115409972368E-2</v>
      </c>
      <c r="K36">
        <f t="shared" si="5"/>
        <v>4.1320317324681492E-2</v>
      </c>
      <c r="N36">
        <f t="shared" si="6"/>
        <v>2.0689208764906226E-2</v>
      </c>
      <c r="O36">
        <f t="shared" si="7"/>
        <v>1.0232565977005234E-3</v>
      </c>
      <c r="P36">
        <f t="shared" si="13"/>
        <v>1.3877359395685828E-3</v>
      </c>
      <c r="Q36">
        <f t="shared" si="8"/>
        <v>347.93503938787495</v>
      </c>
      <c r="R36">
        <f t="shared" si="9"/>
        <v>8.9452482458417266E-3</v>
      </c>
      <c r="S36">
        <f t="shared" si="10"/>
        <v>6.3511262545476255E-3</v>
      </c>
      <c r="U36">
        <f t="shared" si="16"/>
        <v>0.82859312338389035</v>
      </c>
      <c r="V36" t="b">
        <f t="shared" si="14"/>
        <v>1</v>
      </c>
    </row>
    <row r="37" spans="1:22">
      <c r="A37">
        <f t="shared" si="15"/>
        <v>31</v>
      </c>
      <c r="B37">
        <f t="shared" si="11"/>
        <v>11315</v>
      </c>
      <c r="C37">
        <f t="shared" si="0"/>
        <v>1.8269850677227051</v>
      </c>
      <c r="D37">
        <f>IF('5.Survival'!$C$3="No",pDeath,(1-EXP(C36-C37)))</f>
        <v>6.1309926456842523E-2</v>
      </c>
      <c r="F37">
        <f t="shared" si="1"/>
        <v>0.13955861367652833</v>
      </c>
      <c r="G37">
        <f t="shared" si="2"/>
        <v>5.8623656479038228E-4</v>
      </c>
      <c r="H37">
        <f t="shared" si="12"/>
        <v>9.1777533449526327E-3</v>
      </c>
      <c r="I37">
        <f t="shared" si="3"/>
        <v>2636.6947296956287</v>
      </c>
      <c r="J37">
        <f t="shared" si="4"/>
        <v>5.6056138557051403E-2</v>
      </c>
      <c r="K37">
        <f t="shared" si="5"/>
        <v>3.7557612833224445E-2</v>
      </c>
      <c r="N37">
        <f t="shared" si="6"/>
        <v>1.9795039143238206E-2</v>
      </c>
      <c r="O37">
        <f t="shared" si="7"/>
        <v>9.5804423202242169E-4</v>
      </c>
      <c r="P37">
        <f t="shared" si="13"/>
        <v>1.3311896545781605E-3</v>
      </c>
      <c r="Q37">
        <f t="shared" si="8"/>
        <v>322.83995853138009</v>
      </c>
      <c r="R37">
        <f t="shared" si="9"/>
        <v>8.3009665725602561E-3</v>
      </c>
      <c r="S37">
        <f t="shared" si="10"/>
        <v>5.8936862665177813E-3</v>
      </c>
      <c r="U37">
        <f t="shared" si="16"/>
        <v>0.83910206638342111</v>
      </c>
      <c r="V37" t="b">
        <f t="shared" si="14"/>
        <v>1</v>
      </c>
    </row>
    <row r="38" spans="1:22">
      <c r="A38">
        <f t="shared" si="15"/>
        <v>32</v>
      </c>
      <c r="B38">
        <f t="shared" si="11"/>
        <v>11680</v>
      </c>
      <c r="C38">
        <f t="shared" ref="C38:C69" si="17">lambda*B38^gamma</f>
        <v>1.890407989456875</v>
      </c>
      <c r="D38">
        <f>IF('5.Survival'!$C$3="No",pDeath,(1-EXP(C37-C38)))</f>
        <v>6.1453541953857216E-2</v>
      </c>
      <c r="F38">
        <f t="shared" ref="F38:F69" si="18">SUM(E37:G37)*(1-D38-pHDtoPD)</f>
        <v>0.13063552576585236</v>
      </c>
      <c r="G38">
        <f t="shared" ref="G38:G69" si="19">SUM(M37:O37)*pPDtoHD</f>
        <v>5.6033325113203692E-4</v>
      </c>
      <c r="H38">
        <f t="shared" si="12"/>
        <v>8.6123974339219148E-3</v>
      </c>
      <c r="I38">
        <f t="shared" ref="I38:I69" si="20">((E38+G38)*(cMedHD1+cNonMedHD)+(F38*(cMedHD2+cNonMedHD))/(1+cDC)^A38)</f>
        <v>2397.5666845429309</v>
      </c>
      <c r="J38">
        <f t="shared" ref="J38:J69" si="21">(E38+F38+G38)/(1+cDO)^A38</f>
        <v>5.0948210781707207E-2</v>
      </c>
      <c r="K38">
        <f t="shared" ref="K38:K69" si="22">J38*uHD</f>
        <v>3.4135301223743829E-2</v>
      </c>
      <c r="N38">
        <f t="shared" ref="N38:N69" si="23">SUM(M37:O37)*(1-D38-pPDtoHD)</f>
        <v>1.8917399644255112E-2</v>
      </c>
      <c r="O38">
        <f t="shared" ref="O38:O69" si="24">SUM(E37:G37)*pHDtoPD</f>
        <v>8.9692704154443971E-4</v>
      </c>
      <c r="P38">
        <f t="shared" si="13"/>
        <v>1.2753504798734756E-3</v>
      </c>
      <c r="Q38">
        <f t="shared" ref="Q38:Q69" si="25">(((M38+O38)*(cMedPD1+cNonMedPD))+(N38*(cMedPD2+cNonMedPD)))/(1+cDC)^A38</f>
        <v>299.22841647674085</v>
      </c>
      <c r="R38">
        <f t="shared" ref="R38:R69" si="26">(M38+N38+O38)/(1+cDO)^A38</f>
        <v>7.6946368585843316E-3</v>
      </c>
      <c r="S38">
        <f t="shared" ref="S38:S69" si="27">R38*uPD</f>
        <v>5.463192169594875E-3</v>
      </c>
      <c r="U38">
        <f t="shared" si="16"/>
        <v>0.84898981429721654</v>
      </c>
      <c r="V38" t="b">
        <f t="shared" si="14"/>
        <v>1</v>
      </c>
    </row>
    <row r="39" spans="1:22">
      <c r="A39">
        <f t="shared" si="15"/>
        <v>33</v>
      </c>
      <c r="B39">
        <f t="shared" si="11"/>
        <v>12045</v>
      </c>
      <c r="C39">
        <f t="shared" si="17"/>
        <v>1.9539794883854038</v>
      </c>
      <c r="D39">
        <f>IF('5.Survival'!$C$3="No",pDeath,(1-EXP(C38-C39)))</f>
        <v>6.1592978194589865E-2</v>
      </c>
      <c r="F39">
        <f t="shared" si="18"/>
        <v>0.12227546183562209</v>
      </c>
      <c r="G39">
        <f t="shared" si="19"/>
        <v>5.3498682051658793E-4</v>
      </c>
      <c r="H39">
        <f t="shared" si="12"/>
        <v>8.0807436836536056E-3</v>
      </c>
      <c r="I39">
        <f t="shared" si="20"/>
        <v>2180.0274467371087</v>
      </c>
      <c r="J39">
        <f t="shared" si="21"/>
        <v>4.6302762516655334E-2</v>
      </c>
      <c r="K39">
        <f t="shared" si="22"/>
        <v>3.1022850886159074E-2</v>
      </c>
      <c r="N39">
        <f t="shared" si="23"/>
        <v>1.8058916473784034E-2</v>
      </c>
      <c r="O39">
        <f t="shared" si="24"/>
        <v>8.3965349770870009E-4</v>
      </c>
      <c r="P39">
        <f t="shared" si="13"/>
        <v>1.220423391498932E-3</v>
      </c>
      <c r="Q39">
        <f t="shared" si="25"/>
        <v>277.06027757161513</v>
      </c>
      <c r="R39">
        <f t="shared" si="26"/>
        <v>7.1252569050091344E-3</v>
      </c>
      <c r="S39">
        <f t="shared" si="27"/>
        <v>5.058932402556485E-3</v>
      </c>
      <c r="U39">
        <f t="shared" si="16"/>
        <v>0.85829098137236914</v>
      </c>
      <c r="V39" t="b">
        <f t="shared" si="14"/>
        <v>1</v>
      </c>
    </row>
    <row r="40" spans="1:22">
      <c r="A40">
        <f>A39+1</f>
        <v>34</v>
      </c>
      <c r="B40">
        <f t="shared" si="11"/>
        <v>12410</v>
      </c>
      <c r="C40">
        <f t="shared" si="17"/>
        <v>2.0176953932104325</v>
      </c>
      <c r="D40">
        <f>IF('5.Survival'!$C$3="No",pDeath,(1-EXP(C39-C40)))</f>
        <v>6.1728479917996126E-2</v>
      </c>
      <c r="F40">
        <f t="shared" si="18"/>
        <v>0.11444355947114884</v>
      </c>
      <c r="G40">
        <f t="shared" si="19"/>
        <v>5.1026138923030383E-4</v>
      </c>
      <c r="H40">
        <f t="shared" si="12"/>
        <v>7.5809023135905507E-3</v>
      </c>
      <c r="I40">
        <f t="shared" si="20"/>
        <v>1982.1408045388023</v>
      </c>
      <c r="J40">
        <f t="shared" si="21"/>
        <v>4.2078259831870773E-2</v>
      </c>
      <c r="K40">
        <f t="shared" si="22"/>
        <v>2.8192434087353418E-2</v>
      </c>
      <c r="N40">
        <f t="shared" si="23"/>
        <v>1.7221728585298295E-2</v>
      </c>
      <c r="O40">
        <f t="shared" si="24"/>
        <v>7.859868713992876E-4</v>
      </c>
      <c r="P40">
        <f t="shared" si="13"/>
        <v>1.1665799969641339E-3</v>
      </c>
      <c r="Q40">
        <f t="shared" si="25"/>
        <v>256.28809360803587</v>
      </c>
      <c r="R40">
        <f t="shared" si="26"/>
        <v>6.5916323989408379E-3</v>
      </c>
      <c r="S40">
        <f t="shared" si="27"/>
        <v>4.6800590032479951E-3</v>
      </c>
      <c r="U40">
        <f t="shared" si="16"/>
        <v>0.86703846368292381</v>
      </c>
      <c r="V40" t="b">
        <f t="shared" si="14"/>
        <v>1</v>
      </c>
    </row>
    <row r="41" spans="1:22">
      <c r="A41">
        <f t="shared" si="15"/>
        <v>35</v>
      </c>
      <c r="B41">
        <f t="shared" si="11"/>
        <v>12775</v>
      </c>
      <c r="C41">
        <f t="shared" si="17"/>
        <v>2.0815517691868917</v>
      </c>
      <c r="D41">
        <f>IF('5.Survival'!$C$3="No",pDeath,(1-EXP(C40-C41)))</f>
        <v>6.1860270742155388E-2</v>
      </c>
      <c r="F41">
        <f t="shared" si="18"/>
        <v>0.10710704192560444</v>
      </c>
      <c r="G41">
        <f t="shared" si="19"/>
        <v>4.8620831733083475E-4</v>
      </c>
      <c r="H41">
        <f t="shared" si="12"/>
        <v>7.1110744812682833E-3</v>
      </c>
      <c r="I41">
        <f t="shared" si="20"/>
        <v>1802.1423810426143</v>
      </c>
      <c r="J41">
        <f t="shared" si="21"/>
        <v>3.8236854852582436E-2</v>
      </c>
      <c r="K41">
        <f t="shared" si="22"/>
        <v>2.5618692751230233E-2</v>
      </c>
      <c r="N41">
        <f t="shared" si="23"/>
        <v>1.6407544985767738E-2</v>
      </c>
      <c r="O41">
        <f t="shared" si="24"/>
        <v>7.3570445350642653E-4</v>
      </c>
      <c r="P41">
        <f t="shared" si="13"/>
        <v>1.1139621535990088E-3</v>
      </c>
      <c r="Q41">
        <f t="shared" si="25"/>
        <v>236.85900168959728</v>
      </c>
      <c r="R41">
        <f t="shared" si="26"/>
        <v>6.0924262352059838E-3</v>
      </c>
      <c r="S41">
        <f t="shared" si="27"/>
        <v>4.3256226269962486E-3</v>
      </c>
      <c r="U41">
        <f t="shared" si="16"/>
        <v>0.8752635003177911</v>
      </c>
      <c r="V41" t="b">
        <f t="shared" si="14"/>
        <v>1</v>
      </c>
    </row>
    <row r="42" spans="1:22">
      <c r="A42">
        <f t="shared" si="15"/>
        <v>36</v>
      </c>
      <c r="B42">
        <f t="shared" si="11"/>
        <v>13140</v>
      </c>
      <c r="C42">
        <f t="shared" si="17"/>
        <v>2.1455448983198608</v>
      </c>
      <c r="D42">
        <f>IF('5.Survival'!$C$3="No",pDeath,(1-EXP(C41-C42)))</f>
        <v>6.1988555539503332E-2</v>
      </c>
      <c r="F42">
        <f t="shared" si="18"/>
        <v>0.10023510327302061</v>
      </c>
      <c r="G42">
        <f t="shared" si="19"/>
        <v>4.6286773486040245E-4</v>
      </c>
      <c r="H42">
        <f t="shared" si="12"/>
        <v>6.6695501683598736E-3</v>
      </c>
      <c r="I42">
        <f t="shared" si="20"/>
        <v>1638.4246678348716</v>
      </c>
      <c r="J42">
        <f t="shared" si="21"/>
        <v>3.4744065135137121E-2</v>
      </c>
      <c r="K42">
        <f t="shared" si="22"/>
        <v>2.3278523640541872E-2</v>
      </c>
      <c r="N42">
        <f t="shared" si="23"/>
        <v>1.5617696434419756E-2</v>
      </c>
      <c r="O42">
        <f t="shared" si="24"/>
        <v>6.8859680155478574E-4</v>
      </c>
      <c r="P42">
        <f t="shared" si="13"/>
        <v>1.0626852699940059E-3</v>
      </c>
      <c r="Q42">
        <f t="shared" si="25"/>
        <v>218.71631578544307</v>
      </c>
      <c r="R42">
        <f t="shared" si="26"/>
        <v>5.6261998988937443E-3</v>
      </c>
      <c r="S42">
        <f t="shared" si="27"/>
        <v>3.9946019282145586E-3</v>
      </c>
      <c r="U42">
        <f t="shared" si="16"/>
        <v>0.88299573575614498</v>
      </c>
      <c r="V42" t="b">
        <f t="shared" si="14"/>
        <v>1</v>
      </c>
    </row>
    <row r="43" spans="1:22">
      <c r="A43">
        <f t="shared" si="15"/>
        <v>37</v>
      </c>
      <c r="B43">
        <f t="shared" si="11"/>
        <v>13505</v>
      </c>
      <c r="C43">
        <f t="shared" si="17"/>
        <v>2.2096712617248224</v>
      </c>
      <c r="D43">
        <f>IF('5.Survival'!$C$3="No",pDeath,(1-EXP(C42-C43)))</f>
        <v>6.2113522486301642E-2</v>
      </c>
      <c r="F43">
        <f t="shared" si="18"/>
        <v>9.3798798306907613E-2</v>
      </c>
      <c r="G43">
        <f t="shared" si="19"/>
        <v>4.4026991737131262E-4</v>
      </c>
      <c r="H43">
        <f t="shared" si="12"/>
        <v>6.254705686522968E-3</v>
      </c>
      <c r="I43">
        <f t="shared" si="20"/>
        <v>1489.5233134785253</v>
      </c>
      <c r="J43">
        <f t="shared" si="21"/>
        <v>3.1568479849034478E-2</v>
      </c>
      <c r="K43">
        <f t="shared" si="22"/>
        <v>2.1150881498853101E-2</v>
      </c>
      <c r="N43">
        <f t="shared" si="23"/>
        <v>1.4853182007022295E-2</v>
      </c>
      <c r="O43">
        <f t="shared" si="24"/>
        <v>6.4446701445043848E-4</v>
      </c>
      <c r="P43">
        <f t="shared" si="13"/>
        <v>1.0128413115809331E-3</v>
      </c>
      <c r="Q43">
        <f t="shared" si="25"/>
        <v>201.80085355043016</v>
      </c>
      <c r="R43">
        <f t="shared" si="26"/>
        <v>5.1914479850059484E-3</v>
      </c>
      <c r="S43">
        <f t="shared" si="27"/>
        <v>3.6859280693542231E-3</v>
      </c>
      <c r="U43">
        <f t="shared" si="16"/>
        <v>0.89026328275424893</v>
      </c>
      <c r="V43" t="b">
        <f t="shared" si="14"/>
        <v>1</v>
      </c>
    </row>
    <row r="44" spans="1:22">
      <c r="A44">
        <f t="shared" si="15"/>
        <v>38</v>
      </c>
      <c r="B44">
        <f t="shared" si="11"/>
        <v>13870</v>
      </c>
      <c r="C44">
        <f t="shared" si="17"/>
        <v>2.2739275238623429</v>
      </c>
      <c r="D44">
        <f>IF('5.Survival'!$C$3="No",pDeath,(1-EXP(C43-C44)))</f>
        <v>6.223534483855897E-2</v>
      </c>
      <c r="F44">
        <f t="shared" si="18"/>
        <v>8.7770937279441061E-2</v>
      </c>
      <c r="G44">
        <f t="shared" si="19"/>
        <v>4.184365235797638E-4</v>
      </c>
      <c r="H44">
        <f t="shared" si="12"/>
        <v>5.8650009082024841E-3</v>
      </c>
      <c r="I44">
        <f t="shared" si="20"/>
        <v>1354.1045706943896</v>
      </c>
      <c r="J44">
        <f t="shared" si="21"/>
        <v>2.8681490722487435E-2</v>
      </c>
      <c r="K44">
        <f t="shared" si="22"/>
        <v>1.9216598784066584E-2</v>
      </c>
      <c r="N44">
        <f t="shared" si="23"/>
        <v>1.4114710966854658E-2</v>
      </c>
      <c r="O44">
        <f t="shared" si="24"/>
        <v>6.0313003663538516E-4</v>
      </c>
      <c r="P44">
        <f t="shared" si="13"/>
        <v>9.6450153103831162E-4</v>
      </c>
      <c r="Q44">
        <f t="shared" si="25"/>
        <v>186.05203493949654</v>
      </c>
      <c r="R44">
        <f t="shared" si="26"/>
        <v>4.7866268008605059E-3</v>
      </c>
      <c r="S44">
        <f t="shared" si="27"/>
        <v>3.3985050286109591E-3</v>
      </c>
      <c r="U44">
        <f t="shared" si="16"/>
        <v>0.89709278519348978</v>
      </c>
      <c r="V44" t="b">
        <f t="shared" si="14"/>
        <v>1</v>
      </c>
    </row>
    <row r="45" spans="1:22">
      <c r="A45">
        <f t="shared" si="15"/>
        <v>39</v>
      </c>
      <c r="B45">
        <f t="shared" si="11"/>
        <v>14235</v>
      </c>
      <c r="C45">
        <f t="shared" si="17"/>
        <v>2.3383105184038318</v>
      </c>
      <c r="D45">
        <f>IF('5.Survival'!$C$3="No",pDeath,(1-EXP(C44-C45)))</f>
        <v>6.2354182477215248E-2</v>
      </c>
      <c r="F45">
        <f t="shared" si="18"/>
        <v>8.2125985504016577E-2</v>
      </c>
      <c r="G45">
        <f t="shared" si="19"/>
        <v>3.9738170709423119E-4</v>
      </c>
      <c r="H45">
        <f t="shared" si="12"/>
        <v>5.4989763066649062E-3</v>
      </c>
      <c r="I45">
        <f t="shared" si="20"/>
        <v>1230.9538116294514</v>
      </c>
      <c r="J45">
        <f t="shared" si="21"/>
        <v>2.6057045824522531E-2</v>
      </c>
      <c r="K45">
        <f t="shared" si="22"/>
        <v>1.7458220702430097E-2</v>
      </c>
      <c r="N45">
        <f t="shared" si="23"/>
        <v>1.3402740352793553E-2</v>
      </c>
      <c r="O45">
        <f t="shared" si="24"/>
        <v>5.6441199233933322E-4</v>
      </c>
      <c r="P45">
        <f t="shared" si="13"/>
        <v>9.1771894360225892E-4</v>
      </c>
      <c r="Q45">
        <f t="shared" si="25"/>
        <v>171.40878464231298</v>
      </c>
      <c r="R45">
        <f t="shared" si="26"/>
        <v>4.4101778804563167E-3</v>
      </c>
      <c r="S45">
        <f t="shared" si="27"/>
        <v>3.1312262951239847E-3</v>
      </c>
      <c r="U45">
        <f t="shared" si="16"/>
        <v>0.90350948044375701</v>
      </c>
      <c r="V45" t="b">
        <f t="shared" si="14"/>
        <v>1</v>
      </c>
    </row>
    <row r="46" spans="1:22">
      <c r="A46">
        <f t="shared" si="15"/>
        <v>40</v>
      </c>
      <c r="B46">
        <f t="shared" si="11"/>
        <v>14600</v>
      </c>
      <c r="C46">
        <f t="shared" si="17"/>
        <v>2.4028172355220399</v>
      </c>
      <c r="D46">
        <f>IF('5.Survival'!$C$3="No",pDeath,(1-EXP(C45-C46)))</f>
        <v>6.2470183257703482E-2</v>
      </c>
      <c r="F46">
        <f t="shared" si="18"/>
        <v>7.6839967788238858E-2</v>
      </c>
      <c r="G46">
        <f t="shared" si="19"/>
        <v>3.771131133185879E-4</v>
      </c>
      <c r="H46">
        <f t="shared" si="12"/>
        <v>5.1552498727208511E-3</v>
      </c>
      <c r="I46">
        <f t="shared" si="20"/>
        <v>1118.9650262326409</v>
      </c>
      <c r="J46">
        <f t="shared" si="21"/>
        <v>2.3671424374956909E-2</v>
      </c>
      <c r="K46">
        <f t="shared" si="22"/>
        <v>1.585985433122113E-2</v>
      </c>
      <c r="N46">
        <f t="shared" si="23"/>
        <v>1.2717508665225584E-2</v>
      </c>
      <c r="O46">
        <f t="shared" si="24"/>
        <v>5.2814955015110924E-4</v>
      </c>
      <c r="P46">
        <f t="shared" si="13"/>
        <v>8.7253056658871436E-4</v>
      </c>
      <c r="Q46">
        <f t="shared" si="25"/>
        <v>157.81026636183017</v>
      </c>
      <c r="R46">
        <f t="shared" si="26"/>
        <v>4.0605471364754996E-3</v>
      </c>
      <c r="S46">
        <f t="shared" si="27"/>
        <v>2.8829884668976047E-3</v>
      </c>
      <c r="U46">
        <f t="shared" si="16"/>
        <v>0.90953726088306663</v>
      </c>
      <c r="V46" t="b">
        <f t="shared" si="14"/>
        <v>1</v>
      </c>
    </row>
    <row r="47" spans="1:22">
      <c r="A47">
        <f t="shared" si="15"/>
        <v>41</v>
      </c>
      <c r="B47">
        <f t="shared" si="11"/>
        <v>14965</v>
      </c>
      <c r="C47">
        <f t="shared" si="17"/>
        <v>2.4674448104305822</v>
      </c>
      <c r="D47">
        <f>IF('5.Survival'!$C$3="No",pDeath,(1-EXP(C46-C47)))</f>
        <v>6.2583484192939132E-2</v>
      </c>
      <c r="F47">
        <f t="shared" si="18"/>
        <v>7.1890377621759954E-2</v>
      </c>
      <c r="G47">
        <f t="shared" si="19"/>
        <v>3.5763277181517067E-4</v>
      </c>
      <c r="H47">
        <f t="shared" si="12"/>
        <v>4.8325139620275228E-3</v>
      </c>
      <c r="I47">
        <f t="shared" si="20"/>
        <v>1017.1312243638223</v>
      </c>
      <c r="J47">
        <f t="shared" si="21"/>
        <v>2.150303089169665E-2</v>
      </c>
      <c r="K47">
        <f t="shared" si="22"/>
        <v>1.4407030697436757E-2</v>
      </c>
      <c r="N47">
        <f t="shared" si="23"/>
        <v>1.205906600201442E-2</v>
      </c>
      <c r="O47">
        <f t="shared" si="24"/>
        <v>4.941893177699677E-4</v>
      </c>
      <c r="P47">
        <f t="shared" si="13"/>
        <v>8.2895944154710161E-4</v>
      </c>
      <c r="Q47">
        <f t="shared" si="25"/>
        <v>145.19647340987498</v>
      </c>
      <c r="R47">
        <f t="shared" si="26"/>
        <v>3.7362002837476563E-3</v>
      </c>
      <c r="S47">
        <f t="shared" si="27"/>
        <v>2.6527022014608357E-3</v>
      </c>
      <c r="U47">
        <f t="shared" si="16"/>
        <v>0.91519873428664134</v>
      </c>
      <c r="V47" t="b">
        <f t="shared" si="14"/>
        <v>1</v>
      </c>
    </row>
    <row r="48" spans="1:22">
      <c r="A48">
        <f t="shared" si="15"/>
        <v>42</v>
      </c>
      <c r="B48">
        <f t="shared" si="11"/>
        <v>15330</v>
      </c>
      <c r="C48">
        <f t="shared" si="17"/>
        <v>2.5321905130222371</v>
      </c>
      <c r="D48">
        <f>IF('5.Survival'!$C$3="No",pDeath,(1-EXP(C47-C48)))</f>
        <v>6.2694212493895396E-2</v>
      </c>
      <c r="F48">
        <f t="shared" si="18"/>
        <v>6.7256091011180283E-2</v>
      </c>
      <c r="G48">
        <f t="shared" si="19"/>
        <v>3.3893789363417847E-4</v>
      </c>
      <c r="H48">
        <f t="shared" si="12"/>
        <v>4.5295321158759618E-3</v>
      </c>
      <c r="I48">
        <f t="shared" si="20"/>
        <v>924.53566774878641</v>
      </c>
      <c r="J48">
        <f t="shared" si="21"/>
        <v>1.9532207100644808E-2</v>
      </c>
      <c r="K48">
        <f t="shared" si="22"/>
        <v>1.3086578757432021E-2</v>
      </c>
      <c r="N48">
        <f t="shared" si="23"/>
        <v>1.1427300969641523E-2</v>
      </c>
      <c r="O48">
        <f t="shared" si="24"/>
        <v>4.6238726651888078E-4</v>
      </c>
      <c r="P48">
        <f t="shared" si="13"/>
        <v>7.8701645650868521E-4</v>
      </c>
      <c r="Q48">
        <f t="shared" si="25"/>
        <v>133.50869695004258</v>
      </c>
      <c r="R48">
        <f t="shared" si="26"/>
        <v>3.4356350866837867E-3</v>
      </c>
      <c r="S48">
        <f t="shared" si="27"/>
        <v>2.4393009115454885E-3</v>
      </c>
      <c r="U48">
        <f t="shared" si="16"/>
        <v>0.92051528285902595</v>
      </c>
      <c r="V48" t="b">
        <f t="shared" si="14"/>
        <v>1</v>
      </c>
    </row>
    <row r="49" spans="1:22">
      <c r="A49">
        <f>A48+1</f>
        <v>43</v>
      </c>
      <c r="B49">
        <f t="shared" si="11"/>
        <v>15695</v>
      </c>
      <c r="C49">
        <f t="shared" si="17"/>
        <v>2.5970517384769476</v>
      </c>
      <c r="D49">
        <f>IF('5.Survival'!$C$3="No",pDeath,(1-EXP(C48-C49)))</f>
        <v>6.2802486487845366E-2</v>
      </c>
      <c r="F49">
        <f t="shared" si="18"/>
        <v>6.291728483038353E-2</v>
      </c>
      <c r="G49">
        <f t="shared" si="19"/>
        <v>3.2102158237633092E-4</v>
      </c>
      <c r="H49">
        <f t="shared" si="12"/>
        <v>4.2451358894401272E-3</v>
      </c>
      <c r="I49">
        <f t="shared" si="20"/>
        <v>840.3438631964068</v>
      </c>
      <c r="J49">
        <f t="shared" si="21"/>
        <v>1.7741060145655442E-2</v>
      </c>
      <c r="K49">
        <f t="shared" si="22"/>
        <v>1.1886510297589147E-2</v>
      </c>
      <c r="N49">
        <f t="shared" si="23"/>
        <v>1.0821964668987915E-2</v>
      </c>
      <c r="O49">
        <f t="shared" si="24"/>
        <v>4.3260818499081256E-4</v>
      </c>
      <c r="P49">
        <f t="shared" si="13"/>
        <v>7.4670198479615782E-4</v>
      </c>
      <c r="Q49">
        <f t="shared" si="25"/>
        <v>122.68989044148694</v>
      </c>
      <c r="R49">
        <f t="shared" si="26"/>
        <v>3.1573909113386651E-3</v>
      </c>
      <c r="S49">
        <f t="shared" si="27"/>
        <v>2.2417475470504519E-3</v>
      </c>
      <c r="U49">
        <f t="shared" si="16"/>
        <v>0.92550712073326225</v>
      </c>
      <c r="V49" t="b">
        <f t="shared" si="14"/>
        <v>1</v>
      </c>
    </row>
    <row r="50" spans="1:22">
      <c r="A50">
        <f t="shared" si="15"/>
        <v>44</v>
      </c>
      <c r="B50">
        <f t="shared" si="11"/>
        <v>16060</v>
      </c>
      <c r="C50">
        <f t="shared" si="17"/>
        <v>2.6620259987282973</v>
      </c>
      <c r="D50">
        <f>IF('5.Survival'!$C$3="No",pDeath,(1-EXP(C49-C50)))</f>
        <v>6.2908416431198377E-2</v>
      </c>
      <c r="F50">
        <f t="shared" si="18"/>
        <v>5.8855359537500582E-2</v>
      </c>
      <c r="G50">
        <f t="shared" si="19"/>
        <v>3.0387346705742564E-4</v>
      </c>
      <c r="H50">
        <f t="shared" si="12"/>
        <v>3.9782217142176205E-3</v>
      </c>
      <c r="I50">
        <f t="shared" si="20"/>
        <v>763.79625356989015</v>
      </c>
      <c r="J50">
        <f t="shared" si="21"/>
        <v>1.6113305743452003E-2</v>
      </c>
      <c r="K50">
        <f t="shared" si="22"/>
        <v>1.0795914848112842E-2</v>
      </c>
      <c r="N50">
        <f t="shared" si="23"/>
        <v>1.0242692031067946E-2</v>
      </c>
      <c r="O50">
        <f t="shared" si="24"/>
        <v>4.0472516104166312E-4</v>
      </c>
      <c r="P50">
        <f t="shared" si="13"/>
        <v>7.0800735585335457E-4</v>
      </c>
      <c r="Q50">
        <f t="shared" si="25"/>
        <v>112.68494638873005</v>
      </c>
      <c r="R50">
        <f t="shared" si="26"/>
        <v>2.9000559993962545E-3</v>
      </c>
      <c r="S50">
        <f t="shared" si="27"/>
        <v>2.0590397595713406E-3</v>
      </c>
      <c r="U50">
        <f t="shared" si="16"/>
        <v>0.93019334980333312</v>
      </c>
      <c r="V50" t="b">
        <f t="shared" si="14"/>
        <v>1</v>
      </c>
    </row>
    <row r="51" spans="1:22">
      <c r="A51">
        <f t="shared" si="15"/>
        <v>45</v>
      </c>
      <c r="B51">
        <f t="shared" si="11"/>
        <v>16425</v>
      </c>
      <c r="C51">
        <f t="shared" si="17"/>
        <v>2.7271109146922812</v>
      </c>
      <c r="D51">
        <f>IF('5.Survival'!$C$3="No",pDeath,(1-EXP(C50-C51)))</f>
        <v>6.3012105231196824E-2</v>
      </c>
      <c r="F51">
        <f t="shared" si="18"/>
        <v>5.5052866097848735E-2</v>
      </c>
      <c r="G51">
        <f t="shared" si="19"/>
        <v>2.8748026418695942E-4</v>
      </c>
      <c r="H51">
        <f t="shared" si="12"/>
        <v>3.7277478154801014E-3</v>
      </c>
      <c r="I51">
        <f t="shared" si="20"/>
        <v>694.20154782476402</v>
      </c>
      <c r="J51">
        <f t="shared" si="21"/>
        <v>1.4634125030629866E-2</v>
      </c>
      <c r="K51">
        <f t="shared" si="22"/>
        <v>9.8048637705220112E-3</v>
      </c>
      <c r="N51">
        <f t="shared" si="23"/>
        <v>9.6890207553729842E-3</v>
      </c>
      <c r="O51">
        <f t="shared" si="24"/>
        <v>3.7861909122917126E-4</v>
      </c>
      <c r="P51">
        <f t="shared" si="13"/>
        <v>6.709161725496649E-4</v>
      </c>
      <c r="Q51">
        <f t="shared" si="25"/>
        <v>103.44089934742864</v>
      </c>
      <c r="R51">
        <f t="shared" si="26"/>
        <v>2.6622728255925516E-3</v>
      </c>
      <c r="S51">
        <f t="shared" si="27"/>
        <v>1.8902137061707115E-3</v>
      </c>
      <c r="U51">
        <f t="shared" si="16"/>
        <v>0.93459201379136292</v>
      </c>
      <c r="V51" t="b">
        <f t="shared" si="14"/>
        <v>1</v>
      </c>
    </row>
    <row r="52" spans="1:22">
      <c r="A52">
        <f t="shared" si="15"/>
        <v>46</v>
      </c>
      <c r="B52">
        <f t="shared" si="11"/>
        <v>16790</v>
      </c>
      <c r="C52">
        <f t="shared" si="17"/>
        <v>2.7923042091747354</v>
      </c>
      <c r="D52">
        <f>IF('5.Survival'!$C$3="No",pDeath,(1-EXP(C51-C52)))</f>
        <v>6.3113649088370805E-2</v>
      </c>
      <c r="F52">
        <f t="shared" si="18"/>
        <v>5.1493436944596245E-2</v>
      </c>
      <c r="G52">
        <f t="shared" si="19"/>
        <v>2.7182627585825819E-4</v>
      </c>
      <c r="H52">
        <f t="shared" si="12"/>
        <v>3.4927312007224185E-3</v>
      </c>
      <c r="I52">
        <f t="shared" si="20"/>
        <v>630.93063597660421</v>
      </c>
      <c r="J52">
        <f t="shared" si="21"/>
        <v>1.3290033946433317E-2</v>
      </c>
      <c r="K52">
        <f t="shared" si="22"/>
        <v>8.9043227441103229E-3</v>
      </c>
      <c r="N52">
        <f t="shared" si="23"/>
        <v>9.1604080823173492E-3</v>
      </c>
      <c r="O52">
        <f t="shared" si="24"/>
        <v>3.5417821671702846E-4</v>
      </c>
      <c r="P52">
        <f t="shared" si="13"/>
        <v>6.3540548842654782E-4</v>
      </c>
      <c r="Q52">
        <f t="shared" si="25"/>
        <v>94.907067242376726</v>
      </c>
      <c r="R52">
        <f t="shared" si="26"/>
        <v>2.442741851073427E-3</v>
      </c>
      <c r="S52">
        <f t="shared" si="27"/>
        <v>1.7343467142621331E-3</v>
      </c>
      <c r="U52">
        <f t="shared" si="16"/>
        <v>0.93872015048051194</v>
      </c>
      <c r="V52" t="b">
        <f t="shared" si="14"/>
        <v>1</v>
      </c>
    </row>
    <row r="53" spans="1:22">
      <c r="A53">
        <f t="shared" si="15"/>
        <v>47</v>
      </c>
      <c r="B53">
        <f t="shared" si="11"/>
        <v>17155</v>
      </c>
      <c r="C53">
        <f t="shared" si="17"/>
        <v>2.857603700384769</v>
      </c>
      <c r="D53">
        <f>IF('5.Survival'!$C$3="No",pDeath,(1-EXP(C52-C53)))</f>
        <v>6.3213138070155606E-2</v>
      </c>
      <c r="F53">
        <f t="shared" si="18"/>
        <v>4.8161720804651059E-2</v>
      </c>
      <c r="G53">
        <f t="shared" si="19"/>
        <v>2.5689383007392817E-4</v>
      </c>
      <c r="H53">
        <f t="shared" si="12"/>
        <v>3.272244731192538E-3</v>
      </c>
      <c r="I53">
        <f t="shared" si="20"/>
        <v>573.41103913464678</v>
      </c>
      <c r="J53">
        <f t="shared" si="21"/>
        <v>1.2068764085769108E-2</v>
      </c>
      <c r="K53">
        <f t="shared" si="22"/>
        <v>8.0860719374653035E-3</v>
      </c>
      <c r="N53">
        <f t="shared" si="23"/>
        <v>8.6562456115591782E-3</v>
      </c>
      <c r="O53">
        <f t="shared" si="24"/>
        <v>3.312976846109088E-4</v>
      </c>
      <c r="P53">
        <f t="shared" si="13"/>
        <v>6.0144685740127091E-4</v>
      </c>
      <c r="Q53">
        <f t="shared" si="25"/>
        <v>87.035141392980734</v>
      </c>
      <c r="R53">
        <f t="shared" si="26"/>
        <v>2.2402239421844324E-3</v>
      </c>
      <c r="S53">
        <f t="shared" si="27"/>
        <v>1.5905589989509469E-3</v>
      </c>
      <c r="U53">
        <f t="shared" si="16"/>
        <v>0.94259384206910579</v>
      </c>
      <c r="V53" t="b">
        <f t="shared" si="14"/>
        <v>1</v>
      </c>
    </row>
    <row r="54" spans="1:22">
      <c r="A54">
        <f t="shared" si="15"/>
        <v>48</v>
      </c>
      <c r="B54">
        <f t="shared" si="11"/>
        <v>17520</v>
      </c>
      <c r="C54">
        <f t="shared" si="17"/>
        <v>2.9230072959905051</v>
      </c>
      <c r="D54">
        <f>IF('5.Survival'!$C$3="No",pDeath,(1-EXP(C53-C54)))</f>
        <v>6.3310656624175787E-2</v>
      </c>
      <c r="F54">
        <f t="shared" si="18"/>
        <v>4.5043321215705381E-2</v>
      </c>
      <c r="G54">
        <f t="shared" si="19"/>
        <v>2.4266366899659237E-4</v>
      </c>
      <c r="H54">
        <f t="shared" si="12"/>
        <v>3.065414285357366E-3</v>
      </c>
      <c r="I54">
        <f t="shared" si="20"/>
        <v>521.12184873415197</v>
      </c>
      <c r="J54">
        <f t="shared" si="21"/>
        <v>1.095915404189015E-2</v>
      </c>
      <c r="K54">
        <f t="shared" si="22"/>
        <v>7.3426332080664012E-3</v>
      </c>
      <c r="N54">
        <f t="shared" si="23"/>
        <v>8.1758723596547581E-3</v>
      </c>
      <c r="O54">
        <f t="shared" si="24"/>
        <v>3.0987913366223991E-4</v>
      </c>
      <c r="P54">
        <f t="shared" si="13"/>
        <v>5.6900726751873748E-4</v>
      </c>
      <c r="Q54">
        <f t="shared" si="25"/>
        <v>79.779234187017209</v>
      </c>
      <c r="R54">
        <f t="shared" si="26"/>
        <v>2.0535416865334753E-3</v>
      </c>
      <c r="S54">
        <f t="shared" si="27"/>
        <v>1.4580145974387674E-3</v>
      </c>
      <c r="U54">
        <f t="shared" si="16"/>
        <v>0.94622826362198187</v>
      </c>
      <c r="V54" t="b">
        <f t="shared" si="14"/>
        <v>1</v>
      </c>
    </row>
    <row r="55" spans="1:22">
      <c r="A55">
        <f t="shared" si="15"/>
        <v>49</v>
      </c>
      <c r="B55">
        <f t="shared" si="11"/>
        <v>17885</v>
      </c>
      <c r="C55">
        <f t="shared" si="17"/>
        <v>2.9885129876615206</v>
      </c>
      <c r="D55">
        <f>IF('5.Survival'!$C$3="No",pDeath,(1-EXP(C54-C55)))</f>
        <v>6.3406284038849181E-2</v>
      </c>
      <c r="F55">
        <f t="shared" si="18"/>
        <v>4.2124738560861436E-2</v>
      </c>
      <c r="G55">
        <f t="shared" si="19"/>
        <v>2.2911529031955895E-4</v>
      </c>
      <c r="H55">
        <f t="shared" si="12"/>
        <v>2.8714160205784438E-3</v>
      </c>
      <c r="I55">
        <f t="shared" si="20"/>
        <v>473.5891128249724</v>
      </c>
      <c r="J55">
        <f t="shared" si="21"/>
        <v>9.9510503374299706E-3</v>
      </c>
      <c r="K55">
        <f t="shared" si="22"/>
        <v>6.6672037260780805E-3</v>
      </c>
      <c r="N55">
        <f t="shared" si="23"/>
        <v>7.7185862335290931E-3</v>
      </c>
      <c r="O55">
        <f t="shared" si="24"/>
        <v>2.8983030326209267E-4</v>
      </c>
      <c r="P55">
        <f t="shared" si="13"/>
        <v>5.3804996946834618E-4</v>
      </c>
      <c r="Q55">
        <f t="shared" si="25"/>
        <v>73.095892072081199</v>
      </c>
      <c r="R55">
        <f t="shared" si="26"/>
        <v>1.8815798052458344E-3</v>
      </c>
      <c r="S55">
        <f t="shared" si="27"/>
        <v>1.3359216617245425E-3</v>
      </c>
      <c r="U55">
        <f t="shared" si="16"/>
        <v>0.94963772961202875</v>
      </c>
      <c r="V55" t="b">
        <f t="shared" si="14"/>
        <v>1</v>
      </c>
    </row>
    <row r="56" spans="1:22">
      <c r="A56">
        <f t="shared" si="15"/>
        <v>50</v>
      </c>
      <c r="B56">
        <f t="shared" si="11"/>
        <v>18250</v>
      </c>
      <c r="C56">
        <f t="shared" si="17"/>
        <v>3.0541188460489606</v>
      </c>
      <c r="D56">
        <f>IF('5.Survival'!$C$3="No",pDeath,(1-EXP(C55-C56)))</f>
        <v>6.3500094857561473E-2</v>
      </c>
      <c r="F56">
        <f t="shared" si="18"/>
        <v>3.9393315449400154E-2</v>
      </c>
      <c r="G56">
        <f t="shared" si="19"/>
        <v>2.1622724649336201E-4</v>
      </c>
      <c r="H56">
        <f t="shared" si="12"/>
        <v>2.6894737371332888E-3</v>
      </c>
      <c r="I56">
        <f t="shared" si="20"/>
        <v>430.38163073514676</v>
      </c>
      <c r="J56">
        <f t="shared" si="21"/>
        <v>9.0352171161678478E-3</v>
      </c>
      <c r="K56">
        <f t="shared" si="22"/>
        <v>6.0535954678324587E-3</v>
      </c>
      <c r="N56">
        <f t="shared" si="23"/>
        <v>7.2836540805527187E-3</v>
      </c>
      <c r="O56">
        <f t="shared" si="24"/>
        <v>2.710646646475584E-4</v>
      </c>
      <c r="P56">
        <f t="shared" si="13"/>
        <v>5.0853520974510416E-4</v>
      </c>
      <c r="Q56">
        <f t="shared" si="25"/>
        <v>66.944080424723182</v>
      </c>
      <c r="R56">
        <f t="shared" si="26"/>
        <v>1.7232848316005495E-3</v>
      </c>
      <c r="S56">
        <f t="shared" si="27"/>
        <v>1.2235322304363901E-3</v>
      </c>
      <c r="U56">
        <f t="shared" si="16"/>
        <v>0.95283573855890713</v>
      </c>
      <c r="V56" t="b">
        <f t="shared" si="14"/>
        <v>1</v>
      </c>
    </row>
    <row r="57" spans="1:22">
      <c r="A57">
        <f>A56+1</f>
        <v>51</v>
      </c>
      <c r="B57">
        <f t="shared" si="11"/>
        <v>18615</v>
      </c>
      <c r="C57">
        <f t="shared" si="17"/>
        <v>3.1198230161601086</v>
      </c>
      <c r="D57">
        <f>IF('5.Survival'!$C$3="No",pDeath,(1-EXP(C56-C57)))</f>
        <v>6.3592159251909641E-2</v>
      </c>
      <c r="F57">
        <f t="shared" si="18"/>
        <v>3.6837185275627224E-2</v>
      </c>
      <c r="G57">
        <f t="shared" si="19"/>
        <v>2.0397740612040747E-4</v>
      </c>
      <c r="H57">
        <f t="shared" si="12"/>
        <v>2.5188563470125748E-3</v>
      </c>
      <c r="I57">
        <f t="shared" si="20"/>
        <v>391.10712063673748</v>
      </c>
      <c r="J57">
        <f t="shared" si="21"/>
        <v>8.2032538362627801E-3</v>
      </c>
      <c r="K57">
        <f t="shared" si="22"/>
        <v>5.4961800702960631E-3</v>
      </c>
      <c r="N57">
        <f t="shared" si="23"/>
        <v>6.8703204615317062E-3</v>
      </c>
      <c r="O57">
        <f t="shared" si="24"/>
        <v>2.5350107325371852E-4</v>
      </c>
      <c r="P57">
        <f t="shared" si="13"/>
        <v>4.8042087754816295E-4</v>
      </c>
      <c r="Q57">
        <f t="shared" si="25"/>
        <v>61.285145890873416</v>
      </c>
      <c r="R57">
        <f t="shared" si="26"/>
        <v>1.5776642012070548E-3</v>
      </c>
      <c r="S57">
        <f t="shared" si="27"/>
        <v>1.1201415828570088E-3</v>
      </c>
      <c r="U57">
        <f t="shared" si="16"/>
        <v>0.95583501578346786</v>
      </c>
      <c r="V57" t="b">
        <f t="shared" si="14"/>
        <v>1</v>
      </c>
    </row>
    <row r="58" spans="1:22">
      <c r="A58">
        <f t="shared" si="15"/>
        <v>52</v>
      </c>
      <c r="B58">
        <f t="shared" si="11"/>
        <v>18980</v>
      </c>
      <c r="C58">
        <f t="shared" si="17"/>
        <v>3.1856237130894032</v>
      </c>
      <c r="D58">
        <f>IF('5.Survival'!$C$3="No",pDeath,(1-EXP(C57-C58)))</f>
        <v>6.3682543358949295E-2</v>
      </c>
      <c r="F58">
        <f t="shared" si="18"/>
        <v>3.4445223792038161E-2</v>
      </c>
      <c r="G58">
        <f t="shared" si="19"/>
        <v>1.9234318143920647E-4</v>
      </c>
      <c r="H58">
        <f t="shared" si="12"/>
        <v>2.3588754485462881E-3</v>
      </c>
      <c r="I58">
        <f t="shared" si="20"/>
        <v>355.40872750876139</v>
      </c>
      <c r="J58">
        <f t="shared" si="21"/>
        <v>7.4475202689621538E-3</v>
      </c>
      <c r="K58">
        <f t="shared" si="22"/>
        <v>4.9898385802046429E-3</v>
      </c>
      <c r="N58">
        <f t="shared" si="23"/>
        <v>6.4778152795758291E-3</v>
      </c>
      <c r="O58">
        <f t="shared" si="24"/>
        <v>2.3706344116318487E-4</v>
      </c>
      <c r="P58">
        <f t="shared" si="13"/>
        <v>4.5366307377038952E-4</v>
      </c>
      <c r="Q58">
        <f t="shared" si="25"/>
        <v>56.082760950856496</v>
      </c>
      <c r="R58">
        <f t="shared" si="26"/>
        <v>1.4437848771138989E-3</v>
      </c>
      <c r="S58">
        <f t="shared" si="27"/>
        <v>1.0250872627508682E-3</v>
      </c>
      <c r="U58">
        <f t="shared" si="16"/>
        <v>0.95864755430578452</v>
      </c>
      <c r="V58" t="b">
        <f t="shared" si="14"/>
        <v>1</v>
      </c>
    </row>
    <row r="59" spans="1:22">
      <c r="A59">
        <f t="shared" si="15"/>
        <v>53</v>
      </c>
      <c r="B59">
        <f t="shared" si="11"/>
        <v>19345</v>
      </c>
      <c r="C59">
        <f t="shared" si="17"/>
        <v>3.2515192180719517</v>
      </c>
      <c r="D59">
        <f>IF('5.Survival'!$C$3="No",pDeath,(1-EXP(C58-C59)))</f>
        <v>6.3771309586297953E-2</v>
      </c>
      <c r="F59">
        <f t="shared" si="18"/>
        <v>3.2207003538065361E-2</v>
      </c>
      <c r="G59">
        <f t="shared" si="19"/>
        <v>1.8130172545995337E-4</v>
      </c>
      <c r="H59">
        <f t="shared" si="12"/>
        <v>2.2088830067817549E-3</v>
      </c>
      <c r="I59">
        <f t="shared" si="20"/>
        <v>322.96184173221673</v>
      </c>
      <c r="J59">
        <f t="shared" si="21"/>
        <v>6.7610681652433575E-3</v>
      </c>
      <c r="K59">
        <f t="shared" si="22"/>
        <v>4.52991567071305E-3</v>
      </c>
      <c r="N59">
        <f t="shared" si="23"/>
        <v>6.1053603855443688E-3</v>
      </c>
      <c r="O59">
        <f t="shared" si="24"/>
        <v>2.2168042863025518E-4</v>
      </c>
      <c r="P59">
        <f t="shared" si="13"/>
        <v>4.2821660973469202E-4</v>
      </c>
      <c r="Q59">
        <f t="shared" si="25"/>
        <v>51.30285473305576</v>
      </c>
      <c r="R59">
        <f t="shared" si="26"/>
        <v>1.3207716143482876E-3</v>
      </c>
      <c r="S59">
        <f t="shared" si="27"/>
        <v>9.3774784618728415E-4</v>
      </c>
      <c r="U59">
        <f t="shared" si="16"/>
        <v>0.961284653922301</v>
      </c>
      <c r="V59" t="b">
        <f t="shared" si="14"/>
        <v>1</v>
      </c>
    </row>
    <row r="60" spans="1:22">
      <c r="A60">
        <f t="shared" si="15"/>
        <v>54</v>
      </c>
      <c r="B60">
        <f t="shared" si="11"/>
        <v>19710</v>
      </c>
      <c r="C60">
        <f t="shared" si="17"/>
        <v>3.3175078748296865</v>
      </c>
      <c r="D60">
        <f>IF('5.Survival'!$C$3="No",pDeath,(1-EXP(C59-C60)))</f>
        <v>6.3858516888969707E-2</v>
      </c>
      <c r="F60">
        <f t="shared" si="18"/>
        <v>3.0112750971162814E-2</v>
      </c>
      <c r="G60">
        <f t="shared" si="19"/>
        <v>1.7083010198271485E-4</v>
      </c>
      <c r="H60">
        <f t="shared" si="12"/>
        <v>2.0682691386759377E-3</v>
      </c>
      <c r="I60">
        <f t="shared" si="20"/>
        <v>293.4712010778826</v>
      </c>
      <c r="J60">
        <f t="shared" si="21"/>
        <v>6.1375790067529461E-3</v>
      </c>
      <c r="K60">
        <f t="shared" si="22"/>
        <v>4.1121779345244741E-3</v>
      </c>
      <c r="N60">
        <f t="shared" si="23"/>
        <v>5.7521752695027387E-3</v>
      </c>
      <c r="O60">
        <f t="shared" si="24"/>
        <v>2.0728515368656202E-4</v>
      </c>
      <c r="P60">
        <f t="shared" si="13"/>
        <v>4.0403544268917087E-4</v>
      </c>
      <c r="Q60">
        <f t="shared" si="25"/>
        <v>46.91353346858623</v>
      </c>
      <c r="R60">
        <f t="shared" si="26"/>
        <v>1.207804952016611E-3</v>
      </c>
      <c r="S60">
        <f t="shared" si="27"/>
        <v>8.5754151593179378E-4</v>
      </c>
      <c r="U60">
        <f t="shared" si="16"/>
        <v>0.96375695850366616</v>
      </c>
      <c r="V60" t="b">
        <f t="shared" si="14"/>
        <v>1</v>
      </c>
    </row>
    <row r="61" spans="1:22">
      <c r="A61">
        <f t="shared" si="15"/>
        <v>55</v>
      </c>
      <c r="B61">
        <f t="shared" si="11"/>
        <v>20075</v>
      </c>
      <c r="C61">
        <f t="shared" si="17"/>
        <v>3.3835880861833556</v>
      </c>
      <c r="D61">
        <f>IF('5.Survival'!$C$3="No",pDeath,(1-EXP(C60-C61)))</f>
        <v>6.3944221020829972E-2</v>
      </c>
      <c r="F61">
        <f t="shared" si="18"/>
        <v>2.8153306152833957E-2</v>
      </c>
      <c r="G61">
        <f t="shared" si="19"/>
        <v>1.6090543142611112E-4</v>
      </c>
      <c r="H61">
        <f t="shared" si="12"/>
        <v>1.9364600014434409E-3</v>
      </c>
      <c r="I61">
        <f t="shared" si="20"/>
        <v>266.66825117276272</v>
      </c>
      <c r="J61">
        <f t="shared" si="21"/>
        <v>5.5713073070617078E-3</v>
      </c>
      <c r="K61">
        <f t="shared" si="22"/>
        <v>3.7327758957313444E-3</v>
      </c>
      <c r="N61">
        <f t="shared" si="23"/>
        <v>5.4174819372978843E-3</v>
      </c>
      <c r="O61">
        <f t="shared" si="24"/>
        <v>1.938149188681314E-4</v>
      </c>
      <c r="P61">
        <f t="shared" si="13"/>
        <v>3.8107305446530559E-4</v>
      </c>
      <c r="Q61">
        <f t="shared" si="25"/>
        <v>42.884993433309859</v>
      </c>
      <c r="R61">
        <f t="shared" si="26"/>
        <v>1.1041190069452215E-3</v>
      </c>
      <c r="S61">
        <f t="shared" si="27"/>
        <v>7.8392449493110724E-4</v>
      </c>
      <c r="U61">
        <f t="shared" si="16"/>
        <v>0.96607449155957492</v>
      </c>
      <c r="V61" t="b">
        <f t="shared" si="14"/>
        <v>1</v>
      </c>
    </row>
    <row r="62" spans="1:22">
      <c r="A62">
        <f t="shared" si="15"/>
        <v>56</v>
      </c>
      <c r="B62">
        <f t="shared" si="11"/>
        <v>20440</v>
      </c>
      <c r="C62">
        <f t="shared" si="17"/>
        <v>3.4497583109064807</v>
      </c>
      <c r="D62">
        <f>IF('5.Survival'!$C$3="No",pDeath,(1-EXP(C61-C62)))</f>
        <v>6.4028474763455967E-2</v>
      </c>
      <c r="F62">
        <f t="shared" si="18"/>
        <v>2.6320084848250856E-2</v>
      </c>
      <c r="G62">
        <f t="shared" si="19"/>
        <v>1.5150501511648241E-4</v>
      </c>
      <c r="H62">
        <f t="shared" si="12"/>
        <v>1.8129157818699484E-3</v>
      </c>
      <c r="I62">
        <f t="shared" si="20"/>
        <v>242.30874166876657</v>
      </c>
      <c r="J62">
        <f t="shared" si="21"/>
        <v>5.0570289749265803E-3</v>
      </c>
      <c r="K62">
        <f t="shared" si="22"/>
        <v>3.3882094132008092E-3</v>
      </c>
      <c r="N62">
        <f t="shared" si="23"/>
        <v>5.1005090619042478E-3</v>
      </c>
      <c r="O62">
        <f t="shared" si="24"/>
        <v>1.8121095413926443E-4</v>
      </c>
      <c r="P62">
        <f t="shared" si="13"/>
        <v>3.5928277914528556E-4</v>
      </c>
      <c r="Q62">
        <f t="shared" si="25"/>
        <v>39.189428752524883</v>
      </c>
      <c r="R62">
        <f t="shared" si="26"/>
        <v>1.0089991306318946E-3</v>
      </c>
      <c r="S62">
        <f t="shared" si="27"/>
        <v>7.1638938274864517E-4</v>
      </c>
      <c r="U62">
        <f t="shared" si="16"/>
        <v>0.96824669012059017</v>
      </c>
      <c r="V62" t="b">
        <f t="shared" si="14"/>
        <v>1</v>
      </c>
    </row>
    <row r="63" spans="1:22">
      <c r="A63">
        <f t="shared" si="15"/>
        <v>57</v>
      </c>
      <c r="B63">
        <f t="shared" si="11"/>
        <v>20805</v>
      </c>
      <c r="C63">
        <f t="shared" si="17"/>
        <v>3.5160170608001273</v>
      </c>
      <c r="D63">
        <f>IF('5.Survival'!$C$3="No",pDeath,(1-EXP(C62-C63)))</f>
        <v>6.4111328134972445E-2</v>
      </c>
      <c r="F63">
        <f t="shared" si="18"/>
        <v>2.4605042904257034E-2</v>
      </c>
      <c r="G63">
        <f t="shared" si="19"/>
        <v>1.4260644043317483E-4</v>
      </c>
      <c r="H63">
        <f t="shared" si="12"/>
        <v>1.6971287839847539E-3</v>
      </c>
      <c r="I63">
        <f t="shared" si="20"/>
        <v>220.17053730060599</v>
      </c>
      <c r="J63">
        <f t="shared" si="21"/>
        <v>4.5899942932179898E-3</v>
      </c>
      <c r="K63">
        <f t="shared" si="22"/>
        <v>3.0752961764560533E-3</v>
      </c>
      <c r="N63">
        <f t="shared" si="23"/>
        <v>4.8004954905447195E-3</v>
      </c>
      <c r="O63">
        <f t="shared" si="24"/>
        <v>1.6941817512555098E-4</v>
      </c>
      <c r="P63">
        <f t="shared" si="13"/>
        <v>3.3861808506561753E-4</v>
      </c>
      <c r="Q63">
        <f t="shared" si="25"/>
        <v>35.800936038317289</v>
      </c>
      <c r="R63">
        <f t="shared" si="26"/>
        <v>9.2177948076943713E-4</v>
      </c>
      <c r="S63">
        <f t="shared" si="27"/>
        <v>6.5446343134630035E-4</v>
      </c>
      <c r="U63">
        <f t="shared" si="16"/>
        <v>0.97028243698964056</v>
      </c>
      <c r="V63" t="b">
        <f t="shared" si="14"/>
        <v>1</v>
      </c>
    </row>
    <row r="64" spans="1:22">
      <c r="A64">
        <f t="shared" si="15"/>
        <v>58</v>
      </c>
      <c r="B64">
        <f t="shared" si="11"/>
        <v>21170</v>
      </c>
      <c r="C64">
        <f t="shared" si="17"/>
        <v>3.582362897969233</v>
      </c>
      <c r="D64">
        <f>IF('5.Survival'!$C$3="No",pDeath,(1-EXP(C63-C64)))</f>
        <v>6.4192828580660666E-2</v>
      </c>
      <c r="F64">
        <f t="shared" si="18"/>
        <v>2.3000642776726195E-2</v>
      </c>
      <c r="G64">
        <f t="shared" si="19"/>
        <v>1.3418766897309732E-4</v>
      </c>
      <c r="H64">
        <f t="shared" si="12"/>
        <v>1.588621612157998E-3</v>
      </c>
      <c r="I64">
        <f t="shared" si="20"/>
        <v>200.05162482159685</v>
      </c>
      <c r="J64">
        <f t="shared" si="21"/>
        <v>4.1658851057004035E-3</v>
      </c>
      <c r="K64">
        <f t="shared" si="22"/>
        <v>2.7911430208192706E-3</v>
      </c>
      <c r="N64">
        <f t="shared" si="23"/>
        <v>4.5166931806961191E-3</v>
      </c>
      <c r="O64">
        <f t="shared" si="24"/>
        <v>1.5838495580601736E-4</v>
      </c>
      <c r="P64">
        <f t="shared" si="13"/>
        <v>3.1903281600105456E-4</v>
      </c>
      <c r="Q64">
        <f t="shared" si="25"/>
        <v>32.695417481599499</v>
      </c>
      <c r="R64">
        <f t="shared" si="26"/>
        <v>8.4184054957966471E-4</v>
      </c>
      <c r="S64">
        <f t="shared" si="27"/>
        <v>5.9770679020156189E-4</v>
      </c>
      <c r="U64">
        <f t="shared" si="16"/>
        <v>0.97219009141779966</v>
      </c>
      <c r="V64" t="b">
        <f t="shared" si="14"/>
        <v>1</v>
      </c>
    </row>
    <row r="65" spans="1:22">
      <c r="A65">
        <f t="shared" si="15"/>
        <v>59</v>
      </c>
      <c r="B65">
        <f t="shared" si="11"/>
        <v>21535</v>
      </c>
      <c r="C65">
        <f t="shared" si="17"/>
        <v>3.6487944322834709</v>
      </c>
      <c r="D65">
        <f>IF('5.Survival'!$C$3="No",pDeath,(1-EXP(C64-C65)))</f>
        <v>6.4273021147459475E-2</v>
      </c>
      <c r="F65">
        <f t="shared" si="18"/>
        <v>2.1499822084367497E-2</v>
      </c>
      <c r="G65">
        <f t="shared" si="19"/>
        <v>1.262271096855577E-4</v>
      </c>
      <c r="H65">
        <f t="shared" si="12"/>
        <v>1.4869454464793198E-3</v>
      </c>
      <c r="I65">
        <f t="shared" si="20"/>
        <v>181.76829845777323</v>
      </c>
      <c r="J65">
        <f t="shared" si="21"/>
        <v>3.7807758391902951E-3</v>
      </c>
      <c r="K65">
        <f t="shared" si="22"/>
        <v>2.5331198122574977E-3</v>
      </c>
      <c r="N65">
        <f t="shared" si="23"/>
        <v>4.2483696308831514E-3</v>
      </c>
      <c r="O65">
        <f t="shared" si="24"/>
        <v>1.4806291485247548E-4</v>
      </c>
      <c r="P65">
        <f t="shared" si="13"/>
        <v>3.0048139593342728E-4</v>
      </c>
      <c r="Q65">
        <f t="shared" si="25"/>
        <v>29.850483722901423</v>
      </c>
      <c r="R65">
        <f t="shared" si="26"/>
        <v>7.6860668346754723E-4</v>
      </c>
      <c r="S65">
        <f t="shared" si="27"/>
        <v>5.4571074526195851E-4</v>
      </c>
      <c r="U65">
        <f t="shared" si="16"/>
        <v>0.97397751826021239</v>
      </c>
      <c r="V65" t="b">
        <f t="shared" si="14"/>
        <v>1</v>
      </c>
    </row>
    <row r="66" spans="1:22">
      <c r="A66">
        <f>A65+1</f>
        <v>60</v>
      </c>
      <c r="B66">
        <f t="shared" si="11"/>
        <v>21900</v>
      </c>
      <c r="C66">
        <f t="shared" si="17"/>
        <v>3.7153103190071284</v>
      </c>
      <c r="D66">
        <f>IF('5.Survival'!$C$3="No",pDeath,(1-EXP(C65-C66)))</f>
        <v>6.4351948643775581E-2</v>
      </c>
      <c r="F66">
        <f t="shared" si="18"/>
        <v>2.0095964072107651E-2</v>
      </c>
      <c r="G66">
        <f t="shared" si="19"/>
        <v>1.1870367873486194E-4</v>
      </c>
      <c r="H66">
        <f t="shared" si="12"/>
        <v>1.3916784071034665E-3</v>
      </c>
      <c r="I66">
        <f t="shared" si="20"/>
        <v>165.15350803408893</v>
      </c>
      <c r="J66">
        <f t="shared" si="21"/>
        <v>3.431098021005728E-3</v>
      </c>
      <c r="K66">
        <f t="shared" si="22"/>
        <v>2.2988356740738379E-3</v>
      </c>
      <c r="N66">
        <f t="shared" si="23"/>
        <v>3.9948098656017623E-3</v>
      </c>
      <c r="O66">
        <f t="shared" si="24"/>
        <v>1.3840671484193956E-4</v>
      </c>
      <c r="P66">
        <f t="shared" si="13"/>
        <v>2.8291900139900262E-4</v>
      </c>
      <c r="Q66">
        <f t="shared" si="25"/>
        <v>27.245357571608654</v>
      </c>
      <c r="R66">
        <f t="shared" si="26"/>
        <v>7.0154362190580106E-4</v>
      </c>
      <c r="S66">
        <f t="shared" si="27"/>
        <v>4.9809597155311871E-4</v>
      </c>
      <c r="U66">
        <f t="shared" si="16"/>
        <v>0.97565211566871479</v>
      </c>
      <c r="V66" t="b">
        <f t="shared" si="14"/>
        <v>1</v>
      </c>
    </row>
    <row r="67" spans="1:22">
      <c r="A67">
        <f t="shared" si="15"/>
        <v>61</v>
      </c>
      <c r="B67">
        <f t="shared" si="11"/>
        <v>22265</v>
      </c>
      <c r="C67">
        <f t="shared" si="17"/>
        <v>3.7819092565842496</v>
      </c>
      <c r="D67">
        <f>IF('5.Survival'!$C$3="No",pDeath,(1-EXP(C66-C67)))</f>
        <v>6.4429651786281572E-2</v>
      </c>
      <c r="F67">
        <f t="shared" si="18"/>
        <v>1.878286987307496E-2</v>
      </c>
      <c r="G67">
        <f t="shared" si="19"/>
        <v>1.1159684767197995E-4</v>
      </c>
      <c r="H67">
        <f t="shared" si="12"/>
        <v>1.3024240041621586E-3</v>
      </c>
      <c r="I67">
        <f t="shared" si="20"/>
        <v>150.05535531196983</v>
      </c>
      <c r="J67">
        <f t="shared" si="21"/>
        <v>3.1136079812861643E-3</v>
      </c>
      <c r="K67">
        <f t="shared" si="22"/>
        <v>2.0861173474617301E-3</v>
      </c>
      <c r="N67">
        <f t="shared" si="23"/>
        <v>3.7553180277364487E-3</v>
      </c>
      <c r="O67">
        <f t="shared" si="24"/>
        <v>1.2937387360539208E-4</v>
      </c>
      <c r="P67">
        <f t="shared" si="13"/>
        <v>2.663017050352732E-4</v>
      </c>
      <c r="Q67">
        <f t="shared" si="25"/>
        <v>24.860779426829815</v>
      </c>
      <c r="R67">
        <f t="shared" si="26"/>
        <v>6.4015607784126557E-4</v>
      </c>
      <c r="S67">
        <f t="shared" si="27"/>
        <v>4.5451081526729853E-4</v>
      </c>
      <c r="U67">
        <f t="shared" si="16"/>
        <v>0.97722084137791221</v>
      </c>
      <c r="V67" t="b">
        <f t="shared" si="14"/>
        <v>1</v>
      </c>
    </row>
    <row r="68" spans="1:22">
      <c r="A68">
        <f t="shared" si="15"/>
        <v>62</v>
      </c>
      <c r="B68">
        <f t="shared" si="11"/>
        <v>22630</v>
      </c>
      <c r="C68">
        <f t="shared" si="17"/>
        <v>3.8485899845663485</v>
      </c>
      <c r="D68">
        <f>IF('5.Survival'!$C$3="No",pDeath,(1-EXP(C67-C68)))</f>
        <v>6.4506169334703767E-2</v>
      </c>
      <c r="F68">
        <f t="shared" si="18"/>
        <v>1.7554732463956734E-2</v>
      </c>
      <c r="G68">
        <f t="shared" si="19"/>
        <v>1.0488668133622969E-4</v>
      </c>
      <c r="H68">
        <f t="shared" si="12"/>
        <v>1.218809669777427E-3</v>
      </c>
      <c r="I68">
        <f t="shared" si="20"/>
        <v>136.33572534535372</v>
      </c>
      <c r="J68">
        <f t="shared" si="21"/>
        <v>2.8253574569173951E-3</v>
      </c>
      <c r="K68">
        <f t="shared" si="22"/>
        <v>1.8929894961346549E-3</v>
      </c>
      <c r="N68">
        <f t="shared" si="23"/>
        <v>3.5292186264045018E-3</v>
      </c>
      <c r="O68">
        <f t="shared" si="24"/>
        <v>1.2092458701278042E-4</v>
      </c>
      <c r="P68">
        <f t="shared" si="13"/>
        <v>2.5058659360110909E-4</v>
      </c>
      <c r="Q68">
        <f t="shared" si="25"/>
        <v>22.678915069453453</v>
      </c>
      <c r="R68">
        <f t="shared" si="26"/>
        <v>5.8398537714748975E-4</v>
      </c>
      <c r="S68">
        <f t="shared" si="27"/>
        <v>4.1462961777471768E-4</v>
      </c>
      <c r="U68">
        <f t="shared" si="16"/>
        <v>0.97869023764129071</v>
      </c>
      <c r="V68" t="b">
        <f t="shared" si="14"/>
        <v>1</v>
      </c>
    </row>
    <row r="69" spans="1:22">
      <c r="A69">
        <f t="shared" si="15"/>
        <v>63</v>
      </c>
      <c r="B69">
        <f t="shared" si="11"/>
        <v>22995</v>
      </c>
      <c r="C69">
        <f t="shared" si="17"/>
        <v>3.9153512816714513</v>
      </c>
      <c r="D69">
        <f>IF('5.Survival'!$C$3="No",pDeath,(1-EXP(C68-C69)))</f>
        <v>6.4581538215973011E-2</v>
      </c>
      <c r="F69">
        <f t="shared" si="18"/>
        <v>1.6406112214051822E-2</v>
      </c>
      <c r="G69">
        <f t="shared" si="19"/>
        <v>9.8553866762266618E-5</v>
      </c>
      <c r="H69">
        <f t="shared" si="12"/>
        <v>1.1404853687112661E-3</v>
      </c>
      <c r="I69">
        <f t="shared" si="20"/>
        <v>123.86904082180376</v>
      </c>
      <c r="J69">
        <f t="shared" si="21"/>
        <v>2.5636668386392336E-3</v>
      </c>
      <c r="K69">
        <f t="shared" si="22"/>
        <v>1.7176567818882867E-3</v>
      </c>
      <c r="N69">
        <f t="shared" si="23"/>
        <v>3.3158574832239328E-3</v>
      </c>
      <c r="O69">
        <f t="shared" si="24"/>
        <v>1.1302156252987496E-4</v>
      </c>
      <c r="P69">
        <f t="shared" si="13"/>
        <v>2.3573186343108275E-4</v>
      </c>
      <c r="Q69">
        <f t="shared" si="25"/>
        <v>20.683266339792574</v>
      </c>
      <c r="R69">
        <f t="shared" si="26"/>
        <v>5.3260717061840649E-4</v>
      </c>
      <c r="S69">
        <f t="shared" si="27"/>
        <v>3.7815109113906859E-4</v>
      </c>
      <c r="U69">
        <f t="shared" si="16"/>
        <v>0.98006645487343302</v>
      </c>
      <c r="V69" t="b">
        <f t="shared" si="14"/>
        <v>1</v>
      </c>
    </row>
    <row r="70" spans="1:22">
      <c r="A70">
        <f t="shared" si="15"/>
        <v>64</v>
      </c>
      <c r="B70">
        <f t="shared" si="11"/>
        <v>23360</v>
      </c>
      <c r="C70">
        <f t="shared" ref="C70:C101" si="28">lambda*B70^gamma</f>
        <v>3.9821919639641941</v>
      </c>
      <c r="D70">
        <f>IF('5.Survival'!$C$3="No",pDeath,(1-EXP(C69-C70)))</f>
        <v>6.4655793638654258E-2</v>
      </c>
      <c r="F70">
        <f t="shared" ref="F70:F105" si="29">SUM(E69:G69)*(1-D70-pHDtoPD)</f>
        <v>1.5331913933700867E-2</v>
      </c>
      <c r="G70">
        <f t="shared" ref="G70:G105" si="30">SUM(M69:O69)*pPDtoHD</f>
        <v>9.2579734235352811E-5</v>
      </c>
      <c r="H70">
        <f t="shared" si="12"/>
        <v>1.0671222841960122E-3</v>
      </c>
      <c r="I70">
        <f t="shared" ref="I70:I105" si="31">((E70+G70)*(cMedHD1+cNonMedHD)+(F70*(cMedHD2+cNonMedHD))/(1+cDC)^A70)</f>
        <v>112.54112841524244</v>
      </c>
      <c r="J70">
        <f t="shared" ref="J70:J105" si="32">(E70+F70+G70)/(1+cDO)^A70</f>
        <v>2.32610082563235E-3</v>
      </c>
      <c r="K70">
        <f t="shared" ref="K70:K101" si="33">J70*uHD</f>
        <v>1.5584875531736745E-3</v>
      </c>
      <c r="N70">
        <f t="shared" ref="N70:N105" si="34">SUM(M69:O69)*(1-D70-pPDtoHD)</f>
        <v>3.1146024155242914E-3</v>
      </c>
      <c r="O70">
        <f t="shared" ref="O70:O105" si="35">SUM(E69:G69)*pHDtoPD</f>
        <v>1.0562986291721018E-4</v>
      </c>
      <c r="P70">
        <f t="shared" si="13"/>
        <v>2.2169689599416394E-4</v>
      </c>
      <c r="Q70">
        <f t="shared" ref="Q70:Q105" si="36">(((M70+O70)*(cMedPD1+cNonMedPD))+(N70*(cMedPD2+cNonMedPD)))/(1+cDC)^A70</f>
        <v>18.858585084689285</v>
      </c>
      <c r="R70">
        <f t="shared" ref="R70:R105" si="37">(M70+N70+O70)/(1+cDO)^A70</f>
        <v>4.8562922860682483E-4</v>
      </c>
      <c r="S70">
        <f t="shared" ref="S70:S101" si="38">R70*uPD</f>
        <v>3.4479675231084559E-4</v>
      </c>
      <c r="U70">
        <f t="shared" si="16"/>
        <v>0.98135527405362322</v>
      </c>
      <c r="V70" t="b">
        <f t="shared" si="14"/>
        <v>1</v>
      </c>
    </row>
    <row r="71" spans="1:22">
      <c r="A71">
        <f t="shared" si="15"/>
        <v>65</v>
      </c>
      <c r="B71">
        <f t="shared" ref="B71:B105" si="39">A71*365</f>
        <v>23725</v>
      </c>
      <c r="C71">
        <f t="shared" si="28"/>
        <v>4.0491108831475557</v>
      </c>
      <c r="D71">
        <f>IF('5.Survival'!$C$3="No",pDeath,(1-EXP(C70-C71)))</f>
        <v>6.4728969198466935E-2</v>
      </c>
      <c r="F71">
        <f t="shared" si="29"/>
        <v>1.4327365332927637E-2</v>
      </c>
      <c r="G71">
        <f t="shared" si="30"/>
        <v>8.6946271517920537E-5</v>
      </c>
      <c r="H71">
        <f t="shared" ref="H71:H104" si="40">SUM(E70:G70)*D71</f>
        <v>9.984115755337919E-4</v>
      </c>
      <c r="I71">
        <f t="shared" si="31"/>
        <v>102.2481871453859</v>
      </c>
      <c r="J71">
        <f t="shared" si="32"/>
        <v>2.11044627264641E-3</v>
      </c>
      <c r="K71">
        <f t="shared" si="33"/>
        <v>1.4139990026730948E-3</v>
      </c>
      <c r="N71">
        <f t="shared" si="34"/>
        <v>2.924843690960432E-3</v>
      </c>
      <c r="O71">
        <f t="shared" si="35"/>
        <v>9.8716759474791807E-5</v>
      </c>
      <c r="P71">
        <f t="shared" ref="P71:P104" si="41">SUM(M70:O70)*D71</f>
        <v>2.0844231596314896E-4</v>
      </c>
      <c r="Q71">
        <f t="shared" si="36"/>
        <v>17.190790648674039</v>
      </c>
      <c r="R71">
        <f t="shared" si="37"/>
        <v>4.4268932557099141E-4</v>
      </c>
      <c r="S71">
        <f t="shared" si="38"/>
        <v>3.1430942115540387E-4</v>
      </c>
      <c r="U71">
        <f t="shared" ref="U71:U105" si="42">U70+H71+P71</f>
        <v>0.98256212794512021</v>
      </c>
      <c r="V71" t="b">
        <f t="shared" ref="V71:V105" si="43">SUM(E71:G71)+SUM(M71:O71)+U71=1</f>
        <v>1</v>
      </c>
    </row>
    <row r="72" spans="1:22">
      <c r="A72">
        <f t="shared" ref="A72:A104" si="44">A71+1</f>
        <v>66</v>
      </c>
      <c r="B72">
        <f t="shared" si="39"/>
        <v>24090</v>
      </c>
      <c r="C72">
        <f t="shared" si="28"/>
        <v>4.1161069249579212</v>
      </c>
      <c r="D72">
        <f>IF('5.Survival'!$C$3="No",pDeath,(1-EXP(C71-C72)))</f>
        <v>6.4801096975945272E-2</v>
      </c>
      <c r="F72">
        <f t="shared" si="29"/>
        <v>1.3387996806055937E-2</v>
      </c>
      <c r="G72">
        <f t="shared" si="30"/>
        <v>8.1636132161751041E-5</v>
      </c>
      <c r="H72">
        <f t="shared" si="40"/>
        <v>9.3406320412116979E-4</v>
      </c>
      <c r="I72">
        <f t="shared" si="31"/>
        <v>92.895849623593762</v>
      </c>
      <c r="J72">
        <f t="shared" si="32"/>
        <v>1.9146920337044736E-3</v>
      </c>
      <c r="K72">
        <f t="shared" si="33"/>
        <v>1.2828436625819974E-3</v>
      </c>
      <c r="N72">
        <f t="shared" si="34"/>
        <v>2.7459942843121869E-3</v>
      </c>
      <c r="O72">
        <f t="shared" si="35"/>
        <v>9.2251594268451568E-5</v>
      </c>
      <c r="P72">
        <f t="shared" si="41"/>
        <v>1.9593003396128569E-4</v>
      </c>
      <c r="Q72">
        <f t="shared" si="36"/>
        <v>15.666891092788291</v>
      </c>
      <c r="R72">
        <f t="shared" si="37"/>
        <v>4.0345321942618449E-4</v>
      </c>
      <c r="S72">
        <f t="shared" si="38"/>
        <v>2.8645178579259095E-4</v>
      </c>
      <c r="U72">
        <f t="shared" si="42"/>
        <v>0.98369212118320259</v>
      </c>
      <c r="V72" t="b">
        <f t="shared" si="43"/>
        <v>1</v>
      </c>
    </row>
    <row r="73" spans="1:22">
      <c r="A73">
        <f t="shared" si="44"/>
        <v>67</v>
      </c>
      <c r="B73">
        <f t="shared" si="39"/>
        <v>24455</v>
      </c>
      <c r="C73">
        <f t="shared" si="28"/>
        <v>4.1831790076555482</v>
      </c>
      <c r="D73">
        <f>IF('5.Survival'!$C$3="No",pDeath,(1-EXP(C72-C73)))</f>
        <v>6.4872207626604506E-2</v>
      </c>
      <c r="F73">
        <f t="shared" si="29"/>
        <v>1.2509622462790887E-2</v>
      </c>
      <c r="G73">
        <f t="shared" si="30"/>
        <v>7.6632638721677241E-5</v>
      </c>
      <c r="H73">
        <f t="shared" si="40"/>
        <v>8.7380482462220879E-4</v>
      </c>
      <c r="I73">
        <f t="shared" si="31"/>
        <v>84.398327872682557</v>
      </c>
      <c r="J73">
        <f t="shared" si="32"/>
        <v>1.7370106237493107E-3</v>
      </c>
      <c r="K73">
        <f t="shared" si="33"/>
        <v>1.1637971179120383E-3</v>
      </c>
      <c r="N73">
        <f t="shared" si="34"/>
        <v>2.5774899639283235E-3</v>
      </c>
      <c r="O73">
        <f t="shared" si="35"/>
        <v>8.6205650804593205E-5</v>
      </c>
      <c r="P73">
        <f t="shared" si="41"/>
        <v>1.841232759306377E-4</v>
      </c>
      <c r="Q73">
        <f t="shared" si="36"/>
        <v>14.274908249428533</v>
      </c>
      <c r="R73">
        <f t="shared" si="37"/>
        <v>3.6761272863995015E-4</v>
      </c>
      <c r="S73">
        <f t="shared" si="38"/>
        <v>2.6100503733436458E-4</v>
      </c>
      <c r="U73">
        <f t="shared" si="42"/>
        <v>0.98475004928375542</v>
      </c>
      <c r="V73" t="b">
        <f t="shared" si="43"/>
        <v>1</v>
      </c>
    </row>
    <row r="74" spans="1:22">
      <c r="A74">
        <f t="shared" si="44"/>
        <v>68</v>
      </c>
      <c r="B74">
        <f t="shared" si="39"/>
        <v>24820</v>
      </c>
      <c r="C74">
        <f t="shared" si="28"/>
        <v>4.2503260806036991</v>
      </c>
      <c r="D74">
        <f>IF('5.Survival'!$C$3="No",pDeath,(1-EXP(C73-C74)))</f>
        <v>6.494233046472897E-2</v>
      </c>
      <c r="F74">
        <f t="shared" si="29"/>
        <v>1.1688322330747075E-2</v>
      </c>
      <c r="G74">
        <f t="shared" si="30"/>
        <v>7.1919781597788756E-5</v>
      </c>
      <c r="H74">
        <f t="shared" si="40"/>
        <v>8.1738073811580983E-4</v>
      </c>
      <c r="I74">
        <f t="shared" si="31"/>
        <v>76.677636145576884</v>
      </c>
      <c r="J74">
        <f t="shared" si="32"/>
        <v>1.575741535419729E-3</v>
      </c>
      <c r="K74">
        <f t="shared" si="33"/>
        <v>1.0557468287312186E-3</v>
      </c>
      <c r="N74">
        <f t="shared" si="34"/>
        <v>2.4187892322656934E-3</v>
      </c>
      <c r="O74">
        <f t="shared" si="35"/>
        <v>8.0552032649680415E-5</v>
      </c>
      <c r="P74">
        <f t="shared" si="41"/>
        <v>1.7298660086943445E-4</v>
      </c>
      <c r="Q74">
        <f t="shared" si="36"/>
        <v>13.003806659777858</v>
      </c>
      <c r="R74">
        <f t="shared" si="37"/>
        <v>3.3488390840028225E-4</v>
      </c>
      <c r="S74">
        <f t="shared" si="38"/>
        <v>2.3776757496420038E-4</v>
      </c>
      <c r="U74">
        <f t="shared" si="42"/>
        <v>0.98574041662274059</v>
      </c>
      <c r="V74" t="b">
        <f t="shared" si="43"/>
        <v>1</v>
      </c>
    </row>
    <row r="75" spans="1:22">
      <c r="A75">
        <f t="shared" si="44"/>
        <v>69</v>
      </c>
      <c r="B75">
        <f t="shared" si="39"/>
        <v>25185</v>
      </c>
      <c r="C75">
        <f t="shared" si="28"/>
        <v>4.3175471229296472</v>
      </c>
      <c r="D75">
        <f>IF('5.Survival'!$C$3="No",pDeath,(1-EXP(C74-C75)))</f>
        <v>6.5011493540742538E-2</v>
      </c>
      <c r="F75">
        <f t="shared" si="29"/>
        <v>1.092042565870158E-2</v>
      </c>
      <c r="G75">
        <f t="shared" si="30"/>
        <v>6.7482214152715094E-5</v>
      </c>
      <c r="H75">
        <f t="shared" si="40"/>
        <v>7.6455090412427644E-4</v>
      </c>
      <c r="I75">
        <f t="shared" si="31"/>
        <v>69.662883840644099</v>
      </c>
      <c r="J75">
        <f t="shared" si="32"/>
        <v>1.4293760625903216E-3</v>
      </c>
      <c r="K75">
        <f t="shared" si="33"/>
        <v>9.5768196193551556E-4</v>
      </c>
      <c r="N75">
        <f t="shared" si="34"/>
        <v>2.2693731422625016E-3</v>
      </c>
      <c r="O75">
        <f t="shared" si="35"/>
        <v>7.5265549519007126E-5</v>
      </c>
      <c r="P75">
        <f t="shared" si="41"/>
        <v>1.624859085001571E-4</v>
      </c>
      <c r="Q75">
        <f t="shared" si="36"/>
        <v>11.843426390137596</v>
      </c>
      <c r="R75">
        <f t="shared" si="37"/>
        <v>3.0500532587601688E-4</v>
      </c>
      <c r="S75">
        <f t="shared" si="38"/>
        <v>2.1655378137197198E-4</v>
      </c>
      <c r="U75">
        <f t="shared" si="42"/>
        <v>0.9866674534353651</v>
      </c>
      <c r="V75" t="b">
        <f t="shared" si="43"/>
        <v>1</v>
      </c>
    </row>
    <row r="76" spans="1:22">
      <c r="A76">
        <f t="shared" si="44"/>
        <v>70</v>
      </c>
      <c r="B76">
        <f t="shared" si="39"/>
        <v>25550</v>
      </c>
      <c r="C76">
        <f t="shared" si="28"/>
        <v>4.3848411422621041</v>
      </c>
      <c r="D76">
        <f>IF('5.Survival'!$C$3="No",pDeath,(1-EXP(C75-C76)))</f>
        <v>6.507972371341697E-2</v>
      </c>
      <c r="F76">
        <f t="shared" si="29"/>
        <v>1.0202495253914192E-2</v>
      </c>
      <c r="G76">
        <f t="shared" si="30"/>
        <v>6.3305244678100742E-5</v>
      </c>
      <c r="H76">
        <f t="shared" si="40"/>
        <v>7.1509000855383672E-4</v>
      </c>
      <c r="I76">
        <f t="shared" si="31"/>
        <v>63.289632225421279</v>
      </c>
      <c r="J76">
        <f t="shared" si="32"/>
        <v>1.2965434954878116E-3</v>
      </c>
      <c r="K76">
        <f t="shared" si="33"/>
        <v>8.6868414197683382E-4</v>
      </c>
      <c r="N76">
        <f t="shared" si="34"/>
        <v>2.1287450088344801E-3</v>
      </c>
      <c r="O76">
        <f t="shared" si="35"/>
        <v>7.0322610386267499E-5</v>
      </c>
      <c r="P76">
        <f t="shared" si="41"/>
        <v>1.5258843826892801E-4</v>
      </c>
      <c r="Q76">
        <f t="shared" si="36"/>
        <v>10.784419683013169</v>
      </c>
      <c r="R76">
        <f t="shared" si="37"/>
        <v>2.7773643353282579E-4</v>
      </c>
      <c r="S76">
        <f t="shared" si="38"/>
        <v>1.9719286780830631E-4</v>
      </c>
      <c r="U76">
        <f t="shared" si="42"/>
        <v>0.98753513188218789</v>
      </c>
      <c r="V76" t="b">
        <f t="shared" si="43"/>
        <v>1</v>
      </c>
    </row>
    <row r="77" spans="1:22">
      <c r="A77">
        <f t="shared" si="44"/>
        <v>71</v>
      </c>
      <c r="B77">
        <f t="shared" si="39"/>
        <v>25915</v>
      </c>
      <c r="C77">
        <f t="shared" si="28"/>
        <v>4.4522071735393336</v>
      </c>
      <c r="D77">
        <f>IF('5.Survival'!$C$3="No",pDeath,(1-EXP(C76-C77)))</f>
        <v>6.5147046716660384E-2</v>
      </c>
      <c r="F77">
        <f t="shared" si="29"/>
        <v>9.5313127907355952E-3</v>
      </c>
      <c r="G77">
        <f t="shared" si="30"/>
        <v>5.9374825718960178E-5</v>
      </c>
      <c r="H77">
        <f t="shared" si="40"/>
        <v>6.6878658466570755E-4</v>
      </c>
      <c r="I77">
        <f t="shared" si="31"/>
        <v>57.499309240497489</v>
      </c>
      <c r="J77">
        <f t="shared" si="32"/>
        <v>1.175998564224611E-3</v>
      </c>
      <c r="K77">
        <f t="shared" si="33"/>
        <v>7.8791903803048945E-4</v>
      </c>
      <c r="N77">
        <f t="shared" si="34"/>
        <v>1.9964300325793181E-3</v>
      </c>
      <c r="O77">
        <f t="shared" si="35"/>
        <v>6.5701123190990679E-5</v>
      </c>
      <c r="P77">
        <f t="shared" si="41"/>
        <v>1.4326276092246917E-4</v>
      </c>
      <c r="Q77">
        <f t="shared" si="36"/>
        <v>9.8181913667143839</v>
      </c>
      <c r="R77">
        <f t="shared" si="37"/>
        <v>2.5285603862939789E-4</v>
      </c>
      <c r="S77">
        <f t="shared" si="38"/>
        <v>1.795277874268725E-4</v>
      </c>
      <c r="U77">
        <f t="shared" si="42"/>
        <v>0.98834718122777609</v>
      </c>
      <c r="V77" t="b">
        <f t="shared" si="43"/>
        <v>1</v>
      </c>
    </row>
    <row r="78" spans="1:22">
      <c r="A78">
        <f t="shared" si="44"/>
        <v>72</v>
      </c>
      <c r="B78">
        <f t="shared" si="39"/>
        <v>26280</v>
      </c>
      <c r="C78">
        <f t="shared" si="28"/>
        <v>4.5196442778833372</v>
      </c>
      <c r="D78">
        <f>IF('5.Survival'!$C$3="No",pDeath,(1-EXP(C77-C78)))</f>
        <v>6.521348722193987E-2</v>
      </c>
      <c r="F78">
        <f t="shared" si="29"/>
        <v>8.9038650313839705E-3</v>
      </c>
      <c r="G78">
        <f t="shared" si="30"/>
        <v>5.5677541205798346E-5</v>
      </c>
      <c r="H78">
        <f t="shared" si="40"/>
        <v>6.25442184325276E-4</v>
      </c>
      <c r="I78">
        <f t="shared" si="31"/>
        <v>52.23867716595197</v>
      </c>
      <c r="J78">
        <f t="shared" si="32"/>
        <v>1.0666100185587244E-3</v>
      </c>
      <c r="K78">
        <f t="shared" si="33"/>
        <v>7.1462871243434538E-4</v>
      </c>
      <c r="N78">
        <f t="shared" si="34"/>
        <v>1.8719748507877196E-3</v>
      </c>
      <c r="O78">
        <f t="shared" si="35"/>
        <v>6.1380400745309155E-5</v>
      </c>
      <c r="P78">
        <f t="shared" si="41"/>
        <v>1.3447876377679113E-4</v>
      </c>
      <c r="Q78">
        <f t="shared" si="36"/>
        <v>8.9368429221785775</v>
      </c>
      <c r="R78">
        <f t="shared" si="37"/>
        <v>2.301608663624205E-4</v>
      </c>
      <c r="S78">
        <f t="shared" si="38"/>
        <v>1.6341421511731856E-4</v>
      </c>
      <c r="U78">
        <f t="shared" si="42"/>
        <v>0.98910710217587816</v>
      </c>
      <c r="V78" t="b">
        <f t="shared" si="43"/>
        <v>1</v>
      </c>
    </row>
    <row r="79" spans="1:22">
      <c r="A79">
        <f t="shared" si="44"/>
        <v>73</v>
      </c>
      <c r="B79">
        <f t="shared" si="39"/>
        <v>26645</v>
      </c>
      <c r="C79">
        <f t="shared" si="28"/>
        <v>4.5871515415353556</v>
      </c>
      <c r="D79">
        <f>IF('5.Survival'!$C$3="No",pDeath,(1-EXP(C78-C79)))</f>
        <v>6.5279068896208603E-2</v>
      </c>
      <c r="F79">
        <f t="shared" si="29"/>
        <v>8.3173309032505919E-3</v>
      </c>
      <c r="G79">
        <f t="shared" si="30"/>
        <v>5.2200591791391771E-5</v>
      </c>
      <c r="H79">
        <f t="shared" si="40"/>
        <v>5.8487059687460153E-4</v>
      </c>
      <c r="I79">
        <f t="shared" si="31"/>
        <v>47.459348398420943</v>
      </c>
      <c r="J79">
        <f t="shared" si="32"/>
        <v>9.6735024169403161E-4</v>
      </c>
      <c r="K79">
        <f t="shared" si="33"/>
        <v>6.481246619350012E-4</v>
      </c>
      <c r="N79">
        <f t="shared" si="34"/>
        <v>1.7549470290759656E-3</v>
      </c>
      <c r="O79">
        <f t="shared" si="35"/>
        <v>5.7341072464574521E-5</v>
      </c>
      <c r="P79">
        <f t="shared" si="41"/>
        <v>1.262076306656713E-4</v>
      </c>
      <c r="Q79">
        <f t="shared" si="36"/>
        <v>8.1331200866443929</v>
      </c>
      <c r="R79">
        <f t="shared" si="37"/>
        <v>2.0946421362808492E-4</v>
      </c>
      <c r="S79">
        <f t="shared" si="38"/>
        <v>1.4871959167594029E-4</v>
      </c>
      <c r="U79">
        <f t="shared" si="42"/>
        <v>0.9898181804034184</v>
      </c>
      <c r="V79" t="b">
        <f t="shared" si="43"/>
        <v>1</v>
      </c>
    </row>
    <row r="80" spans="1:22">
      <c r="A80">
        <f t="shared" si="44"/>
        <v>74</v>
      </c>
      <c r="B80">
        <f t="shared" si="39"/>
        <v>27010</v>
      </c>
      <c r="C80">
        <f t="shared" si="28"/>
        <v>4.6547280748486966</v>
      </c>
      <c r="D80">
        <f>IF('5.Survival'!$C$3="No",pDeath,(1-EXP(C79-C80)))</f>
        <v>6.5343814456059857E-2</v>
      </c>
      <c r="F80">
        <f t="shared" si="29"/>
        <v>7.7690693803775437E-3</v>
      </c>
      <c r="G80">
        <f t="shared" si="30"/>
        <v>4.8931778741594582E-5</v>
      </c>
      <c r="H80">
        <f t="shared" si="40"/>
        <v>5.4689711309617269E-4</v>
      </c>
      <c r="I80">
        <f t="shared" si="31"/>
        <v>43.11734501132797</v>
      </c>
      <c r="J80">
        <f t="shared" si="32"/>
        <v>8.7728580505618328E-4</v>
      </c>
      <c r="K80">
        <f t="shared" si="33"/>
        <v>5.8778148938764283E-4</v>
      </c>
      <c r="N80">
        <f t="shared" si="34"/>
        <v>1.6449345053509555E-3</v>
      </c>
      <c r="O80">
        <f t="shared" si="35"/>
        <v>5.3565001568268701E-5</v>
      </c>
      <c r="P80">
        <f t="shared" si="41"/>
        <v>1.1842181744799002E-4</v>
      </c>
      <c r="Q80">
        <f t="shared" si="36"/>
        <v>7.4003638597123551</v>
      </c>
      <c r="R80">
        <f t="shared" si="37"/>
        <v>1.9059468999657321E-4</v>
      </c>
      <c r="S80">
        <f t="shared" si="38"/>
        <v>1.3532222989756697E-4</v>
      </c>
      <c r="U80">
        <f t="shared" si="42"/>
        <v>0.99048349933396262</v>
      </c>
      <c r="V80" t="b">
        <f t="shared" si="43"/>
        <v>1</v>
      </c>
    </row>
    <row r="81" spans="1:22">
      <c r="A81">
        <f t="shared" si="44"/>
        <v>75</v>
      </c>
      <c r="B81">
        <f t="shared" si="39"/>
        <v>27375</v>
      </c>
      <c r="C81">
        <f t="shared" si="28"/>
        <v>4.7223730113350051</v>
      </c>
      <c r="D81">
        <f>IF('5.Survival'!$C$3="No",pDeath,(1-EXP(C80-C81)))</f>
        <v>6.5407745718209398E-2</v>
      </c>
      <c r="F81">
        <f t="shared" si="29"/>
        <v>7.2566081198604448E-3</v>
      </c>
      <c r="G81">
        <f t="shared" si="30"/>
        <v>4.5859486686819056E-5</v>
      </c>
      <c r="H81">
        <f t="shared" si="40"/>
        <v>5.1135783184033093E-4</v>
      </c>
      <c r="I81">
        <f t="shared" si="31"/>
        <v>39.172698157737855</v>
      </c>
      <c r="J81">
        <f t="shared" si="32"/>
        <v>7.9556887929555507E-4</v>
      </c>
      <c r="K81">
        <f t="shared" si="33"/>
        <v>5.3303114912802189E-4</v>
      </c>
      <c r="N81">
        <f t="shared" si="34"/>
        <v>1.5415449963813285E-3</v>
      </c>
      <c r="O81">
        <f t="shared" si="35"/>
        <v>5.0035207418362486E-5</v>
      </c>
      <c r="P81">
        <f t="shared" si="41"/>
        <v>1.1109502385107666E-4</v>
      </c>
      <c r="Q81">
        <f t="shared" si="36"/>
        <v>6.7324647674206721</v>
      </c>
      <c r="R81">
        <f t="shared" si="37"/>
        <v>1.7339504223348395E-4</v>
      </c>
      <c r="S81">
        <f t="shared" si="38"/>
        <v>1.231104799857736E-4</v>
      </c>
      <c r="U81">
        <f t="shared" si="42"/>
        <v>0.99110595218965403</v>
      </c>
      <c r="V81" t="b">
        <f t="shared" si="43"/>
        <v>1</v>
      </c>
    </row>
    <row r="82" spans="1:22">
      <c r="A82">
        <f t="shared" si="44"/>
        <v>76</v>
      </c>
      <c r="B82">
        <f t="shared" si="39"/>
        <v>27740</v>
      </c>
      <c r="C82">
        <f t="shared" si="28"/>
        <v>4.7900855067604855</v>
      </c>
      <c r="D82">
        <f>IF('5.Survival'!$C$3="No",pDeath,(1-EXP(C81-C82)))</f>
        <v>6.547088364667708E-2</v>
      </c>
      <c r="F82">
        <f t="shared" si="29"/>
        <v>6.7776328068634775E-3</v>
      </c>
      <c r="G82">
        <f t="shared" si="30"/>
        <v>4.2972665502591662E-5</v>
      </c>
      <c r="H82">
        <f t="shared" si="40"/>
        <v>4.7809900700188437E-4</v>
      </c>
      <c r="I82">
        <f t="shared" si="31"/>
        <v>35.589083727904303</v>
      </c>
      <c r="J82">
        <f t="shared" si="32"/>
        <v>7.2142942434863218E-4</v>
      </c>
      <c r="K82">
        <f t="shared" si="33"/>
        <v>4.8335771431358361E-4</v>
      </c>
      <c r="N82">
        <f t="shared" si="34"/>
        <v>1.4444053759597752E-3</v>
      </c>
      <c r="O82">
        <f t="shared" si="35"/>
        <v>4.6735792681902491E-5</v>
      </c>
      <c r="P82">
        <f t="shared" si="41"/>
        <v>1.0420216233732417E-4</v>
      </c>
      <c r="Q82">
        <f t="shared" si="36"/>
        <v>6.1238202335227863</v>
      </c>
      <c r="R82">
        <f t="shared" si="37"/>
        <v>1.5772105852979843E-4</v>
      </c>
      <c r="S82">
        <f t="shared" si="38"/>
        <v>1.1198195155615688E-4</v>
      </c>
      <c r="U82">
        <f t="shared" si="42"/>
        <v>0.99168825335899324</v>
      </c>
      <c r="V82" t="b">
        <f t="shared" si="43"/>
        <v>1</v>
      </c>
    </row>
    <row r="83" spans="1:22">
      <c r="A83">
        <f t="shared" si="44"/>
        <v>77</v>
      </c>
      <c r="B83">
        <f t="shared" si="39"/>
        <v>28105</v>
      </c>
      <c r="C83">
        <f t="shared" si="28"/>
        <v>4.8578647382888382</v>
      </c>
      <c r="D83">
        <f>IF('5.Survival'!$C$3="No",pDeath,(1-EXP(C82-C83)))</f>
        <v>6.5533248396909882E-2</v>
      </c>
      <c r="F83">
        <f t="shared" si="29"/>
        <v>6.3299771647050383E-3</v>
      </c>
      <c r="G83">
        <f t="shared" si="30"/>
        <v>4.0260811553325299E-5</v>
      </c>
      <c r="H83">
        <f t="shared" si="40"/>
        <v>4.4697643263788848E-4</v>
      </c>
      <c r="I83">
        <f t="shared" si="31"/>
        <v>32.333490994894504</v>
      </c>
      <c r="J83">
        <f t="shared" si="32"/>
        <v>6.5416808829750191E-4</v>
      </c>
      <c r="K83">
        <f t="shared" si="33"/>
        <v>4.3829261915932631E-4</v>
      </c>
      <c r="N83">
        <f t="shared" si="34"/>
        <v>1.3531610324888988E-3</v>
      </c>
      <c r="O83">
        <f t="shared" si="35"/>
        <v>4.3651875023142844E-5</v>
      </c>
      <c r="P83">
        <f t="shared" si="41"/>
        <v>9.7719324599453562E-5</v>
      </c>
      <c r="Q83">
        <f t="shared" si="36"/>
        <v>5.5692949035740247</v>
      </c>
      <c r="R83">
        <f t="shared" si="37"/>
        <v>1.4344054850414396E-4</v>
      </c>
      <c r="S83">
        <f t="shared" si="38"/>
        <v>1.018427894379422E-4</v>
      </c>
      <c r="U83">
        <f t="shared" si="42"/>
        <v>0.99223294911623061</v>
      </c>
      <c r="V83" t="b">
        <f t="shared" si="43"/>
        <v>1</v>
      </c>
    </row>
    <row r="84" spans="1:22">
      <c r="A84">
        <f t="shared" si="44"/>
        <v>78</v>
      </c>
      <c r="B84">
        <f t="shared" si="39"/>
        <v>28470</v>
      </c>
      <c r="C84">
        <f t="shared" si="28"/>
        <v>4.9257099036679106</v>
      </c>
      <c r="D84">
        <f>IF('5.Survival'!$C$3="No",pDeath,(1-EXP(C83-C84)))</f>
        <v>6.5594859357066326E-2</v>
      </c>
      <c r="F84">
        <f t="shared" si="29"/>
        <v>5.9116135890866003E-3</v>
      </c>
      <c r="G84">
        <f t="shared" si="30"/>
        <v>3.7713948502825127E-5</v>
      </c>
      <c r="H84">
        <f t="shared" si="40"/>
        <v>4.178548641237102E-4</v>
      </c>
      <c r="I84">
        <f t="shared" si="31"/>
        <v>29.375921274430887</v>
      </c>
      <c r="J84">
        <f t="shared" si="32"/>
        <v>5.931497510623826E-4</v>
      </c>
      <c r="K84">
        <f t="shared" si="33"/>
        <v>3.9741033321179638E-4</v>
      </c>
      <c r="N84">
        <f t="shared" si="34"/>
        <v>1.2674752127928293E-3</v>
      </c>
      <c r="O84">
        <f t="shared" si="35"/>
        <v>4.0769523048053534E-5</v>
      </c>
      <c r="P84">
        <f t="shared" si="41"/>
        <v>9.1623746216387266E-5</v>
      </c>
      <c r="Q84">
        <f t="shared" si="36"/>
        <v>5.0641837661976847</v>
      </c>
      <c r="R84">
        <f t="shared" si="37"/>
        <v>1.3043239500427794E-4</v>
      </c>
      <c r="S84">
        <f t="shared" si="38"/>
        <v>9.2607000453037337E-5</v>
      </c>
      <c r="U84">
        <f t="shared" si="42"/>
        <v>0.99274242772657073</v>
      </c>
      <c r="V84" t="b">
        <f t="shared" si="43"/>
        <v>1</v>
      </c>
    </row>
    <row r="85" spans="1:22">
      <c r="A85">
        <f t="shared" si="44"/>
        <v>79</v>
      </c>
      <c r="B85">
        <f t="shared" si="39"/>
        <v>28835</v>
      </c>
      <c r="C85">
        <f t="shared" si="28"/>
        <v>4.9936202204572622</v>
      </c>
      <c r="D85">
        <f>IF('5.Survival'!$C$3="No",pDeath,(1-EXP(C84-C85)))</f>
        <v>6.5655735186656683E-2</v>
      </c>
      <c r="F85">
        <f t="shared" si="29"/>
        <v>5.5206443680021972E-3</v>
      </c>
      <c r="G85">
        <f t="shared" si="30"/>
        <v>3.5322607867703836E-5</v>
      </c>
      <c r="H85">
        <f t="shared" si="40"/>
        <v>3.9060747334665556E-4</v>
      </c>
      <c r="I85">
        <f t="shared" si="31"/>
        <v>26.689113891795152</v>
      </c>
      <c r="J85">
        <f t="shared" si="32"/>
        <v>5.3779765469797651E-4</v>
      </c>
      <c r="K85">
        <f t="shared" si="33"/>
        <v>3.6032442864764426E-4</v>
      </c>
      <c r="N85">
        <f t="shared" si="34"/>
        <v>1.1870283580374724E-3</v>
      </c>
      <c r="O85">
        <f t="shared" si="35"/>
        <v>3.807569624057232E-5</v>
      </c>
      <c r="P85">
        <f t="shared" si="41"/>
        <v>8.5893769935706634E-5</v>
      </c>
      <c r="Q85">
        <f t="shared" si="36"/>
        <v>4.6041779165622678</v>
      </c>
      <c r="R85">
        <f t="shared" si="37"/>
        <v>1.1858567374737808E-4</v>
      </c>
      <c r="S85">
        <f t="shared" si="38"/>
        <v>8.4195828360638441E-5</v>
      </c>
      <c r="U85">
        <f t="shared" si="42"/>
        <v>0.99321892896985309</v>
      </c>
      <c r="V85" t="b">
        <f t="shared" si="43"/>
        <v>1</v>
      </c>
    </row>
    <row r="86" spans="1:22">
      <c r="A86">
        <f t="shared" si="44"/>
        <v>80</v>
      </c>
      <c r="B86">
        <f t="shared" si="39"/>
        <v>29200</v>
      </c>
      <c r="C86">
        <f t="shared" si="28"/>
        <v>5.0615949252941901</v>
      </c>
      <c r="D86">
        <f>IF('5.Survival'!$C$3="No",pDeath,(1-EXP(C85-C86)))</f>
        <v>6.5715893852861917E-2</v>
      </c>
      <c r="F86">
        <f t="shared" si="29"/>
        <v>5.1552934511880618E-3</v>
      </c>
      <c r="G86">
        <f t="shared" si="30"/>
        <v>3.3077809465507212E-5</v>
      </c>
      <c r="H86">
        <f t="shared" si="40"/>
        <v>3.6511533603627265E-4</v>
      </c>
      <c r="I86">
        <f t="shared" si="31"/>
        <v>24.248296991584809</v>
      </c>
      <c r="J86">
        <f t="shared" si="32"/>
        <v>4.8758806728994028E-4</v>
      </c>
      <c r="K86">
        <f t="shared" si="33"/>
        <v>3.2668400508425999E-4</v>
      </c>
      <c r="N86">
        <f t="shared" si="34"/>
        <v>1.1115174368228908E-3</v>
      </c>
      <c r="O86">
        <f t="shared" si="35"/>
        <v>3.5558188645567369E-5</v>
      </c>
      <c r="P86">
        <f t="shared" si="41"/>
        <v>8.0508807989646783E-5</v>
      </c>
      <c r="Q86">
        <f t="shared" si="36"/>
        <v>4.1853328092832882</v>
      </c>
      <c r="R86">
        <f t="shared" si="37"/>
        <v>1.0779883689108073E-4</v>
      </c>
      <c r="S86">
        <f t="shared" si="38"/>
        <v>7.6537174192667319E-5</v>
      </c>
      <c r="U86">
        <f t="shared" si="42"/>
        <v>0.99366455311387891</v>
      </c>
      <c r="V86" t="b">
        <f t="shared" si="43"/>
        <v>1</v>
      </c>
    </row>
    <row r="87" spans="1:22">
      <c r="A87">
        <f t="shared" si="44"/>
        <v>81</v>
      </c>
      <c r="B87">
        <f t="shared" si="39"/>
        <v>29565</v>
      </c>
      <c r="C87">
        <f t="shared" si="28"/>
        <v>5.1296332731957834</v>
      </c>
      <c r="D87">
        <f>IF('5.Survival'!$C$3="No",pDeath,(1-EXP(C86-C87)))</f>
        <v>6.5775352664554809E-2</v>
      </c>
      <c r="F87">
        <f t="shared" si="29"/>
        <v>4.813898735161257E-3</v>
      </c>
      <c r="G87">
        <f t="shared" si="30"/>
        <v>3.0971041887648371E-5</v>
      </c>
      <c r="H87">
        <f t="shared" si="40"/>
        <v>3.4126694942412933E-4</v>
      </c>
      <c r="I87">
        <f t="shared" si="31"/>
        <v>22.030960947402917</v>
      </c>
      <c r="J87">
        <f t="shared" si="32"/>
        <v>4.4204543220807696E-4</v>
      </c>
      <c r="K87">
        <f t="shared" si="33"/>
        <v>2.9617043957941156E-4</v>
      </c>
      <c r="N87">
        <f t="shared" si="34"/>
        <v>1.0406552797827073E-3</v>
      </c>
      <c r="O87">
        <f t="shared" si="35"/>
        <v>3.3205576068182839E-5</v>
      </c>
      <c r="P87">
        <f t="shared" si="41"/>
        <v>7.544930379810263E-5</v>
      </c>
      <c r="Q87">
        <f t="shared" si="36"/>
        <v>3.8040388513475873</v>
      </c>
      <c r="R87">
        <f t="shared" si="37"/>
        <v>9.7978956711007294E-5</v>
      </c>
      <c r="S87">
        <f t="shared" si="38"/>
        <v>6.9565059264815171E-5</v>
      </c>
      <c r="U87">
        <f t="shared" si="42"/>
        <v>0.99408126936710117</v>
      </c>
      <c r="V87" t="b">
        <f t="shared" si="43"/>
        <v>1</v>
      </c>
    </row>
    <row r="88" spans="1:22">
      <c r="A88">
        <f t="shared" si="44"/>
        <v>82</v>
      </c>
      <c r="B88">
        <f t="shared" si="39"/>
        <v>29930</v>
      </c>
      <c r="C88">
        <f t="shared" si="28"/>
        <v>5.1977345368947692</v>
      </c>
      <c r="D88">
        <f>IF('5.Survival'!$C$3="No",pDeath,(1-EXP(C87-C88)))</f>
        <v>6.5834128304207984E-2</v>
      </c>
      <c r="F88">
        <f t="shared" si="29"/>
        <v>4.4949048319563754E-3</v>
      </c>
      <c r="G88">
        <f t="shared" si="30"/>
        <v>2.8994243107974036E-5</v>
      </c>
      <c r="H88">
        <f t="shared" si="40"/>
        <v>3.1895777851941715E-4</v>
      </c>
      <c r="I88">
        <f t="shared" si="31"/>
        <v>20.016652330097063</v>
      </c>
      <c r="J88">
        <f t="shared" si="32"/>
        <v>4.0073795880860865E-4</v>
      </c>
      <c r="K88">
        <f t="shared" si="33"/>
        <v>2.684944324017678E-4</v>
      </c>
      <c r="N88">
        <f t="shared" si="34"/>
        <v>9.741699193779621E-4</v>
      </c>
      <c r="O88">
        <f t="shared" si="35"/>
        <v>3.1007166573112992E-5</v>
      </c>
      <c r="P88">
        <f t="shared" si="41"/>
        <v>7.0696693364954104E-5</v>
      </c>
      <c r="Q88">
        <f t="shared" si="36"/>
        <v>3.4569941899714265</v>
      </c>
      <c r="R88">
        <f t="shared" si="37"/>
        <v>8.9041025668657185E-5</v>
      </c>
      <c r="S88">
        <f t="shared" si="38"/>
        <v>6.3219128224746595E-5</v>
      </c>
      <c r="U88">
        <f t="shared" si="42"/>
        <v>0.9944709238389855</v>
      </c>
      <c r="V88" t="b">
        <f t="shared" si="43"/>
        <v>1</v>
      </c>
    </row>
    <row r="89" spans="1:22">
      <c r="A89">
        <f t="shared" si="44"/>
        <v>83</v>
      </c>
      <c r="B89">
        <f t="shared" si="39"/>
        <v>30295</v>
      </c>
      <c r="C89">
        <f t="shared" si="28"/>
        <v>5.2658980062072205</v>
      </c>
      <c r="D89">
        <f>IF('5.Survival'!$C$3="No",pDeath,(1-EXP(C88-C89)))</f>
        <v>6.5892236857977626E-2</v>
      </c>
      <c r="F89">
        <f t="shared" si="29"/>
        <v>4.1968562916082121E-3</v>
      </c>
      <c r="G89">
        <f t="shared" si="30"/>
        <v>2.7139781320679029E-5</v>
      </c>
      <c r="H89">
        <f t="shared" si="40"/>
        <v>2.98089829375726E-4</v>
      </c>
      <c r="I89">
        <f t="shared" si="31"/>
        <v>18.186786576694189</v>
      </c>
      <c r="J89">
        <f t="shared" si="32"/>
        <v>3.6327361462668744E-4</v>
      </c>
      <c r="K89">
        <f t="shared" si="33"/>
        <v>2.4339332179988059E-4</v>
      </c>
      <c r="N89">
        <f t="shared" si="34"/>
        <v>9.1180393799869606E-4</v>
      </c>
      <c r="O89">
        <f t="shared" si="35"/>
        <v>2.8952954080411836E-5</v>
      </c>
      <c r="P89">
        <f t="shared" si="41"/>
        <v>6.6233366631699976E-5</v>
      </c>
      <c r="Q89">
        <f t="shared" si="36"/>
        <v>3.1411795553195656</v>
      </c>
      <c r="R89">
        <f t="shared" si="37"/>
        <v>8.0907309280137975E-5</v>
      </c>
      <c r="S89">
        <f t="shared" si="38"/>
        <v>5.744418958889796E-5</v>
      </c>
      <c r="U89">
        <f t="shared" si="42"/>
        <v>0.99483524703499293</v>
      </c>
      <c r="V89" t="b">
        <f t="shared" si="43"/>
        <v>1</v>
      </c>
    </row>
    <row r="90" spans="1:22">
      <c r="A90">
        <f t="shared" si="44"/>
        <v>84</v>
      </c>
      <c r="B90">
        <f t="shared" si="39"/>
        <v>30660</v>
      </c>
      <c r="C90">
        <f t="shared" si="28"/>
        <v>5.3341229874301481</v>
      </c>
      <c r="D90">
        <f>IF('5.Survival'!$C$3="No",pDeath,(1-EXP(C89-C90)))</f>
        <v>6.5949693843916579E-2</v>
      </c>
      <c r="F90">
        <f t="shared" si="29"/>
        <v>3.9183912502545803E-3</v>
      </c>
      <c r="G90">
        <f t="shared" si="30"/>
        <v>2.5400436086135912E-5</v>
      </c>
      <c r="H90">
        <f t="shared" si="40"/>
        <v>2.7857124780756627E-4</v>
      </c>
      <c r="I90">
        <f t="shared" si="31"/>
        <v>16.524477669309476</v>
      </c>
      <c r="J90">
        <f t="shared" si="32"/>
        <v>3.2929648269654118E-4</v>
      </c>
      <c r="K90">
        <f t="shared" si="33"/>
        <v>2.2062864340668262E-4</v>
      </c>
      <c r="N90">
        <f t="shared" si="34"/>
        <v>8.5331382697880029E-4</v>
      </c>
      <c r="O90">
        <f t="shared" si="35"/>
        <v>2.7033574866744905E-5</v>
      </c>
      <c r="P90">
        <f t="shared" si="41"/>
        <v>6.2042629014171641E-5</v>
      </c>
      <c r="Q90">
        <f t="shared" si="36"/>
        <v>2.8538350235416172</v>
      </c>
      <c r="R90">
        <f t="shared" si="37"/>
        <v>7.3506748336334818E-5</v>
      </c>
      <c r="S90">
        <f t="shared" si="38"/>
        <v>5.2189791318797718E-5</v>
      </c>
      <c r="U90">
        <f t="shared" si="42"/>
        <v>0.99517586091181476</v>
      </c>
      <c r="V90" t="b">
        <f t="shared" si="43"/>
        <v>1</v>
      </c>
    </row>
    <row r="91" spans="1:22">
      <c r="A91">
        <f t="shared" si="44"/>
        <v>85</v>
      </c>
      <c r="B91">
        <f t="shared" si="39"/>
        <v>31025</v>
      </c>
      <c r="C91">
        <f t="shared" si="28"/>
        <v>5.4024088027672663</v>
      </c>
      <c r="D91">
        <f>IF('5.Survival'!$C$3="No",pDeath,(1-EXP(C90-C91)))</f>
        <v>6.6006514238574288E-2</v>
      </c>
      <c r="F91">
        <f t="shared" si="29"/>
        <v>3.6582354774497166E-3</v>
      </c>
      <c r="G91">
        <f t="shared" si="30"/>
        <v>2.376937984982972E-5</v>
      </c>
      <c r="H91">
        <f t="shared" si="40"/>
        <v>2.6031594209841941E-4</v>
      </c>
      <c r="I91">
        <f t="shared" si="31"/>
        <v>15.014383285478917</v>
      </c>
      <c r="J91">
        <f t="shared" si="32"/>
        <v>2.9848345091120653E-4</v>
      </c>
      <c r="K91">
        <f t="shared" si="33"/>
        <v>1.9998391211050839E-4</v>
      </c>
      <c r="N91">
        <f t="shared" si="34"/>
        <v>7.9846935868090562E-4</v>
      </c>
      <c r="O91">
        <f t="shared" si="35"/>
        <v>2.5240266792580587E-5</v>
      </c>
      <c r="P91">
        <f t="shared" si="41"/>
        <v>5.8108663314809858E-5</v>
      </c>
      <c r="Q91">
        <f t="shared" si="36"/>
        <v>2.5924385714624245</v>
      </c>
      <c r="R91">
        <f t="shared" si="37"/>
        <v>6.6774407174580654E-5</v>
      </c>
      <c r="S91">
        <f t="shared" si="38"/>
        <v>4.7409829093952265E-5</v>
      </c>
      <c r="U91">
        <f t="shared" si="42"/>
        <v>0.99549428551722796</v>
      </c>
      <c r="V91" t="b">
        <f t="shared" si="43"/>
        <v>1</v>
      </c>
    </row>
    <row r="92" spans="1:22">
      <c r="A92">
        <f t="shared" si="44"/>
        <v>86</v>
      </c>
      <c r="B92">
        <f t="shared" si="39"/>
        <v>31390</v>
      </c>
      <c r="C92">
        <f t="shared" si="28"/>
        <v>5.4707547897813464</v>
      </c>
      <c r="D92">
        <f>IF('5.Survival'!$C$3="No",pDeath,(1-EXP(C91-C92)))</f>
        <v>6.6062712502095278E-2</v>
      </c>
      <c r="F92">
        <f t="shared" si="29"/>
        <v>3.4151967978937312E-3</v>
      </c>
      <c r="G92">
        <f t="shared" si="30"/>
        <v>2.2240159887784128E-5</v>
      </c>
      <c r="H92">
        <f t="shared" si="40"/>
        <v>2.4324322831909828E-4</v>
      </c>
      <c r="I92">
        <f t="shared" si="31"/>
        <v>13.642564019916271</v>
      </c>
      <c r="J92">
        <f t="shared" si="32"/>
        <v>2.7054120331544489E-4</v>
      </c>
      <c r="K92">
        <f t="shared" si="33"/>
        <v>1.8126260622134809E-4</v>
      </c>
      <c r="N92">
        <f t="shared" si="34"/>
        <v>7.4705297341283851E-4</v>
      </c>
      <c r="O92">
        <f t="shared" si="35"/>
        <v>2.3564831086717099E-5</v>
      </c>
      <c r="P92">
        <f t="shared" si="41"/>
        <v>5.4416492172863495E-5</v>
      </c>
      <c r="Q92">
        <f t="shared" si="36"/>
        <v>2.3546863003654677</v>
      </c>
      <c r="R92">
        <f t="shared" si="37"/>
        <v>6.0650964857307309E-5</v>
      </c>
      <c r="S92">
        <f t="shared" si="38"/>
        <v>4.3062185048688187E-5</v>
      </c>
      <c r="U92">
        <f t="shared" si="42"/>
        <v>0.99579194523771997</v>
      </c>
      <c r="V92" t="b">
        <f t="shared" si="43"/>
        <v>1</v>
      </c>
    </row>
    <row r="93" spans="1:22">
      <c r="A93">
        <f t="shared" si="44"/>
        <v>87</v>
      </c>
      <c r="B93">
        <f t="shared" si="39"/>
        <v>31755</v>
      </c>
      <c r="C93">
        <f t="shared" si="28"/>
        <v>5.5391603008714609</v>
      </c>
      <c r="D93">
        <f>IF('5.Survival'!$C$3="No",pDeath,(1-EXP(C92-C93)))</f>
        <v>6.6118302601716583E-2</v>
      </c>
      <c r="F93">
        <f t="shared" si="29"/>
        <v>3.1881598643027915E-3</v>
      </c>
      <c r="G93">
        <f t="shared" si="30"/>
        <v>2.0806680721488001E-5</v>
      </c>
      <c r="H93">
        <f t="shared" si="40"/>
        <v>2.2727749694892232E-4</v>
      </c>
      <c r="I93">
        <f t="shared" si="31"/>
        <v>12.396355403835779</v>
      </c>
      <c r="J93">
        <f t="shared" si="32"/>
        <v>2.4520348594012634E-4</v>
      </c>
      <c r="K93">
        <f t="shared" si="33"/>
        <v>1.6428633557988466E-4</v>
      </c>
      <c r="N93">
        <f t="shared" si="34"/>
        <v>6.9885918258989549E-4</v>
      </c>
      <c r="O93">
        <f t="shared" si="35"/>
        <v>2.1999596529801701E-5</v>
      </c>
      <c r="P93">
        <f t="shared" si="41"/>
        <v>5.0951941188172091E-5</v>
      </c>
      <c r="Q93">
        <f t="shared" si="36"/>
        <v>2.1384742125236156</v>
      </c>
      <c r="R93">
        <f t="shared" si="37"/>
        <v>5.5082246271706131E-5</v>
      </c>
      <c r="S93">
        <f t="shared" si="38"/>
        <v>3.9108394852911353E-5</v>
      </c>
      <c r="U93">
        <f t="shared" si="42"/>
        <v>0.99607017467585712</v>
      </c>
      <c r="V93" t="b">
        <f t="shared" si="43"/>
        <v>1</v>
      </c>
    </row>
    <row r="94" spans="1:22">
      <c r="A94">
        <f t="shared" si="44"/>
        <v>88</v>
      </c>
      <c r="B94">
        <f t="shared" si="39"/>
        <v>32120</v>
      </c>
      <c r="C94">
        <f t="shared" si="28"/>
        <v>5.6076247027739266</v>
      </c>
      <c r="D94">
        <f>IF('5.Survival'!$C$3="No",pDeath,(1-EXP(C93-C94)))</f>
        <v>6.6173298034137407E-2</v>
      </c>
      <c r="F94">
        <f t="shared" si="29"/>
        <v>2.9760812595706564E-3</v>
      </c>
      <c r="G94">
        <f t="shared" si="30"/>
        <v>1.9463187036231822E-5</v>
      </c>
      <c r="H94">
        <f t="shared" si="40"/>
        <v>2.1234789956546784E-4</v>
      </c>
      <c r="I94">
        <f t="shared" si="31"/>
        <v>11.264251562805695</v>
      </c>
      <c r="J94">
        <f t="shared" si="32"/>
        <v>2.2222862225759253E-4</v>
      </c>
      <c r="K94">
        <f t="shared" si="33"/>
        <v>1.48893176912587E-4</v>
      </c>
      <c r="N94">
        <f t="shared" si="34"/>
        <v>6.5369398925225314E-4</v>
      </c>
      <c r="O94">
        <f t="shared" si="35"/>
        <v>2.053738588815539E-5</v>
      </c>
      <c r="P94">
        <f t="shared" si="41"/>
        <v>4.7701602831212143E-5</v>
      </c>
      <c r="Q94">
        <f t="shared" si="36"/>
        <v>1.9418814303695358</v>
      </c>
      <c r="R94">
        <f t="shared" si="37"/>
        <v>5.0018790323747108E-5</v>
      </c>
      <c r="S94">
        <f t="shared" si="38"/>
        <v>3.5513341129860447E-5</v>
      </c>
      <c r="U94">
        <f t="shared" si="42"/>
        <v>0.99633022417825379</v>
      </c>
      <c r="V94" t="b">
        <f t="shared" si="43"/>
        <v>1</v>
      </c>
    </row>
    <row r="95" spans="1:22">
      <c r="A95">
        <f t="shared" si="44"/>
        <v>89</v>
      </c>
      <c r="B95">
        <f t="shared" si="39"/>
        <v>32485</v>
      </c>
      <c r="C95">
        <f t="shared" si="28"/>
        <v>5.6761473760855203</v>
      </c>
      <c r="D95">
        <f>IF('5.Survival'!$C$3="No",pDeath,(1-EXP(C94-C95)))</f>
        <v>6.6227711846542303E-2</v>
      </c>
      <c r="F95">
        <f t="shared" si="29"/>
        <v>2.7779849077152132E-3</v>
      </c>
      <c r="G95">
        <f t="shared" si="30"/>
        <v>1.8204247128791031E-5</v>
      </c>
      <c r="H95">
        <f t="shared" si="40"/>
        <v>1.9838805443339103E-4</v>
      </c>
      <c r="I95">
        <f t="shared" si="31"/>
        <v>10.235799458631554</v>
      </c>
      <c r="J95">
        <f t="shared" si="32"/>
        <v>2.0139725558733512E-4</v>
      </c>
      <c r="K95">
        <f t="shared" si="33"/>
        <v>1.3493616124351455E-4</v>
      </c>
      <c r="N95">
        <f t="shared" si="34"/>
        <v>6.113743267809205E-4</v>
      </c>
      <c r="O95">
        <f t="shared" si="35"/>
        <v>1.9171484458284087E-5</v>
      </c>
      <c r="P95">
        <f t="shared" si="41"/>
        <v>4.4652801230696941E-5</v>
      </c>
      <c r="Q95">
        <f t="shared" si="36"/>
        <v>1.7631547543909836</v>
      </c>
      <c r="R95">
        <f t="shared" si="37"/>
        <v>4.5415452558233765E-5</v>
      </c>
      <c r="S95">
        <f t="shared" si="38"/>
        <v>3.224497131634597E-5</v>
      </c>
      <c r="U95">
        <f t="shared" si="42"/>
        <v>0.99657326503391785</v>
      </c>
      <c r="V95" t="b">
        <f t="shared" si="43"/>
        <v>1</v>
      </c>
    </row>
    <row r="96" spans="1:22">
      <c r="A96">
        <f t="shared" si="44"/>
        <v>90</v>
      </c>
      <c r="B96">
        <f t="shared" si="39"/>
        <v>32850</v>
      </c>
      <c r="C96">
        <f t="shared" si="28"/>
        <v>5.7447277148076124</v>
      </c>
      <c r="D96">
        <f>IF('5.Survival'!$C$3="No",pDeath,(1-EXP(C95-C96)))</f>
        <v>6.6281556656344165E-2</v>
      </c>
      <c r="F96">
        <f t="shared" si="29"/>
        <v>2.5929577743643547E-3</v>
      </c>
      <c r="G96">
        <f t="shared" si="30"/>
        <v>1.7024736903458523E-5</v>
      </c>
      <c r="H96">
        <f t="shared" si="40"/>
        <v>1.8533576988864796E-4</v>
      </c>
      <c r="I96">
        <f t="shared" si="31"/>
        <v>9.3015027559139689</v>
      </c>
      <c r="J96">
        <f t="shared" si="32"/>
        <v>1.8251029782913035E-4</v>
      </c>
      <c r="K96">
        <f t="shared" si="33"/>
        <v>1.2228189954551733E-4</v>
      </c>
      <c r="N96">
        <f t="shared" si="34"/>
        <v>5.7172751642367418E-4</v>
      </c>
      <c r="O96">
        <f t="shared" si="35"/>
        <v>1.7895610591001626E-5</v>
      </c>
      <c r="P96">
        <f t="shared" si="41"/>
        <v>4.1793557912071832E-5</v>
      </c>
      <c r="Q96">
        <f t="shared" si="36"/>
        <v>1.600694461924018</v>
      </c>
      <c r="R96">
        <f t="shared" si="37"/>
        <v>4.1231039692338167E-5</v>
      </c>
      <c r="S96">
        <f t="shared" si="38"/>
        <v>2.9274038181560098E-5</v>
      </c>
      <c r="U96">
        <f t="shared" si="42"/>
        <v>0.99680039436171863</v>
      </c>
      <c r="V96" t="b">
        <f t="shared" si="43"/>
        <v>1</v>
      </c>
    </row>
    <row r="97" spans="1:22">
      <c r="A97">
        <f t="shared" si="44"/>
        <v>91</v>
      </c>
      <c r="B97">
        <f t="shared" si="39"/>
        <v>33215</v>
      </c>
      <c r="C97">
        <f t="shared" si="28"/>
        <v>5.8133651259103676</v>
      </c>
      <c r="D97">
        <f>IF('5.Survival'!$C$3="No",pDeath,(1-EXP(C96-C97)))</f>
        <v>6.6334844670123516E-2</v>
      </c>
      <c r="F97">
        <f t="shared" si="29"/>
        <v>2.4201458387190099E-3</v>
      </c>
      <c r="G97">
        <f t="shared" si="30"/>
        <v>1.5919824429396246E-5</v>
      </c>
      <c r="H97">
        <f t="shared" si="40"/>
        <v>1.7313278447668928E-4</v>
      </c>
      <c r="I97">
        <f t="shared" si="31"/>
        <v>8.4527344405233418</v>
      </c>
      <c r="J97">
        <f t="shared" si="32"/>
        <v>1.6538706576458618E-4</v>
      </c>
      <c r="K97">
        <f t="shared" si="33"/>
        <v>1.1080933406227275E-4</v>
      </c>
      <c r="N97">
        <f t="shared" si="34"/>
        <v>5.3459074404084851E-4</v>
      </c>
      <c r="O97">
        <f t="shared" si="35"/>
        <v>1.6703888072114005E-5</v>
      </c>
      <c r="P97">
        <f t="shared" si="41"/>
        <v>3.9112558544431031E-5</v>
      </c>
      <c r="Q97">
        <f t="shared" si="36"/>
        <v>1.4530412549556644</v>
      </c>
      <c r="R97">
        <f t="shared" si="37"/>
        <v>3.7427973702109243E-5</v>
      </c>
      <c r="S97">
        <f t="shared" si="38"/>
        <v>2.6573861328497561E-5</v>
      </c>
      <c r="U97">
        <f t="shared" si="42"/>
        <v>0.99701263970473974</v>
      </c>
      <c r="V97" t="b">
        <f t="shared" si="43"/>
        <v>1</v>
      </c>
    </row>
    <row r="98" spans="1:22">
      <c r="A98">
        <f t="shared" si="44"/>
        <v>92</v>
      </c>
      <c r="B98">
        <f t="shared" si="39"/>
        <v>33580</v>
      </c>
      <c r="C98">
        <f t="shared" si="28"/>
        <v>5.8820590289156156</v>
      </c>
      <c r="D98">
        <f>IF('5.Survival'!$C$3="No",pDeath,(1-EXP(C97-C98)))</f>
        <v>6.6387587701248196E-2</v>
      </c>
      <c r="F98">
        <f t="shared" si="29"/>
        <v>2.2587503200459922E-3</v>
      </c>
      <c r="G98">
        <f t="shared" si="30"/>
        <v>1.4884955067049987E-5</v>
      </c>
      <c r="H98">
        <f t="shared" si="40"/>
        <v>1.6172452285826417E-4</v>
      </c>
      <c r="I98">
        <f t="shared" si="31"/>
        <v>7.6816573960597241</v>
      </c>
      <c r="J98">
        <f t="shared" si="32"/>
        <v>1.4986358786461281E-4</v>
      </c>
      <c r="K98">
        <f t="shared" si="33"/>
        <v>1.0040860386929058E-4</v>
      </c>
      <c r="N98">
        <f t="shared" si="34"/>
        <v>4.9981055630728577E-4</v>
      </c>
      <c r="O98">
        <f t="shared" si="35"/>
        <v>1.5590820244149801E-5</v>
      </c>
      <c r="P98">
        <f t="shared" si="41"/>
        <v>3.6599120738626657E-5</v>
      </c>
      <c r="Q98">
        <f t="shared" si="36"/>
        <v>1.3188642708050069</v>
      </c>
      <c r="R98">
        <f t="shared" si="37"/>
        <v>3.3971983248948404E-5</v>
      </c>
      <c r="S98">
        <f t="shared" si="38"/>
        <v>2.4120108106753366E-5</v>
      </c>
      <c r="U98">
        <f t="shared" si="42"/>
        <v>0.99721096334833659</v>
      </c>
      <c r="V98" t="b">
        <f t="shared" si="43"/>
        <v>1</v>
      </c>
    </row>
    <row r="99" spans="1:22">
      <c r="A99">
        <f>A98+1</f>
        <v>93</v>
      </c>
      <c r="B99">
        <f t="shared" si="39"/>
        <v>33945</v>
      </c>
      <c r="C99">
        <f t="shared" si="28"/>
        <v>5.9508088554976091</v>
      </c>
      <c r="D99">
        <f>IF('5.Survival'!$C$3="No",pDeath,(1-EXP(C98-C99)))</f>
        <v>6.6439797186753746E-2</v>
      </c>
      <c r="F99">
        <f t="shared" si="29"/>
        <v>2.1080241427971591E-3</v>
      </c>
      <c r="G99">
        <f t="shared" si="30"/>
        <v>1.3915837166888761E-5</v>
      </c>
      <c r="H99">
        <f t="shared" si="40"/>
        <v>1.5105986655515957E-4</v>
      </c>
      <c r="I99">
        <f t="shared" si="31"/>
        <v>6.9811522160944994</v>
      </c>
      <c r="J99">
        <f t="shared" si="32"/>
        <v>1.3579106608407456E-4</v>
      </c>
      <c r="K99">
        <f t="shared" si="33"/>
        <v>9.0980014276329955E-5</v>
      </c>
      <c r="N99">
        <f t="shared" si="34"/>
        <v>4.6724237645669577E-4</v>
      </c>
      <c r="O99">
        <f t="shared" si="35"/>
        <v>1.455126576072347E-5</v>
      </c>
      <c r="P99">
        <f t="shared" si="41"/>
        <v>3.4243162927851078E-5</v>
      </c>
      <c r="Q99">
        <f t="shared" si="36"/>
        <v>1.1969500750982414</v>
      </c>
      <c r="R99">
        <f t="shared" si="37"/>
        <v>3.0831820375212028E-5</v>
      </c>
      <c r="S99">
        <f t="shared" si="38"/>
        <v>2.1890592466400537E-5</v>
      </c>
      <c r="U99">
        <f t="shared" si="42"/>
        <v>0.99739626637781964</v>
      </c>
      <c r="V99" t="b">
        <f t="shared" si="43"/>
        <v>1</v>
      </c>
    </row>
    <row r="100" spans="1:22">
      <c r="A100">
        <f t="shared" si="44"/>
        <v>94</v>
      </c>
      <c r="B100">
        <f t="shared" si="39"/>
        <v>34310</v>
      </c>
      <c r="C100">
        <f t="shared" si="28"/>
        <v>6.0196140491005741</v>
      </c>
      <c r="D100">
        <f>IF('5.Survival'!$C$3="No",pDeath,(1-EXP(C99-C100)))</f>
        <v>6.6491484203189843E-2</v>
      </c>
      <c r="F100">
        <f t="shared" si="29"/>
        <v>1.9672686254343817E-3</v>
      </c>
      <c r="G100">
        <f t="shared" si="30"/>
        <v>1.3008428339870319E-5</v>
      </c>
      <c r="H100">
        <f t="shared" si="40"/>
        <v>1.4109093865789647E-4</v>
      </c>
      <c r="I100">
        <f t="shared" si="31"/>
        <v>6.3447515952745803</v>
      </c>
      <c r="J100">
        <f t="shared" si="32"/>
        <v>1.2303447852990643E-4</v>
      </c>
      <c r="K100">
        <f t="shared" si="33"/>
        <v>8.2433100615037313E-5</v>
      </c>
      <c r="N100">
        <f t="shared" si="34"/>
        <v>4.3675003952685208E-4</v>
      </c>
      <c r="O100">
        <f t="shared" si="35"/>
        <v>1.3580415871769908E-5</v>
      </c>
      <c r="P100">
        <f t="shared" si="41"/>
        <v>3.2035174350696831E-5</v>
      </c>
      <c r="Q100">
        <f t="shared" si="36"/>
        <v>1.0861925617743606</v>
      </c>
      <c r="R100">
        <f t="shared" si="37"/>
        <v>2.7979000534548918E-5</v>
      </c>
      <c r="S100">
        <f t="shared" si="38"/>
        <v>1.9865090379529731E-5</v>
      </c>
      <c r="U100">
        <f t="shared" si="42"/>
        <v>0.99756939249082821</v>
      </c>
      <c r="V100" t="b">
        <f t="shared" si="43"/>
        <v>1</v>
      </c>
    </row>
    <row r="101" spans="1:22">
      <c r="A101">
        <f t="shared" si="44"/>
        <v>95</v>
      </c>
      <c r="B101">
        <f t="shared" si="39"/>
        <v>34675</v>
      </c>
      <c r="C101">
        <f t="shared" si="28"/>
        <v>6.0884740645722726</v>
      </c>
      <c r="D101">
        <f>IF('5.Survival'!$C$3="No",pDeath,(1-EXP(C100-C101)))</f>
        <v>6.6542659481729438E-2</v>
      </c>
      <c r="F101">
        <f t="shared" si="29"/>
        <v>1.8358303789613143E-3</v>
      </c>
      <c r="G101">
        <f t="shared" si="30"/>
        <v>1.2158922295762794E-5</v>
      </c>
      <c r="H101">
        <f t="shared" si="40"/>
        <v>1.3177290166878247E-4</v>
      </c>
      <c r="I101">
        <f t="shared" si="31"/>
        <v>5.7665807017738535</v>
      </c>
      <c r="J101">
        <f t="shared" si="32"/>
        <v>1.1147131016739818E-4</v>
      </c>
      <c r="K101">
        <f t="shared" si="33"/>
        <v>7.4685777812156785E-5</v>
      </c>
      <c r="N101">
        <f t="shared" si="34"/>
        <v>4.0820534695501656E-4</v>
      </c>
      <c r="O101">
        <f t="shared" si="35"/>
        <v>1.2673773144155213E-5</v>
      </c>
      <c r="P101">
        <f t="shared" si="41"/>
        <v>2.9966186147842651E-5</v>
      </c>
      <c r="Q101">
        <f t="shared" si="36"/>
        <v>0.98558368993882106</v>
      </c>
      <c r="R101">
        <f t="shared" si="37"/>
        <v>2.5387564152910564E-5</v>
      </c>
      <c r="S101">
        <f t="shared" si="38"/>
        <v>1.8025170548566498E-5</v>
      </c>
      <c r="U101">
        <f t="shared" si="42"/>
        <v>0.99773113157864479</v>
      </c>
      <c r="V101" t="b">
        <f t="shared" si="43"/>
        <v>1</v>
      </c>
    </row>
    <row r="102" spans="1:22">
      <c r="A102">
        <f t="shared" si="44"/>
        <v>96</v>
      </c>
      <c r="B102">
        <f t="shared" si="39"/>
        <v>35040</v>
      </c>
      <c r="C102">
        <f t="shared" ref="C102:C105" si="45">lambda*B102^gamma</f>
        <v>6.1573883678127661</v>
      </c>
      <c r="D102">
        <f>IF('5.Survival'!$C$3="No",pDeath,(1-EXP(C101-C102)))</f>
        <v>6.6593333422511503E-2</v>
      </c>
      <c r="F102">
        <f t="shared" si="29"/>
        <v>1.7130984020291853E-3</v>
      </c>
      <c r="G102">
        <f t="shared" si="30"/>
        <v>1.1363736242677637E-5</v>
      </c>
      <c r="H102">
        <f t="shared" si="40"/>
        <v>1.2306376769984659E-4</v>
      </c>
      <c r="I102">
        <f t="shared" si="31"/>
        <v>5.2413029876343114</v>
      </c>
      <c r="J102">
        <f t="shared" si="32"/>
        <v>1.0099039989265409E-4</v>
      </c>
      <c r="K102">
        <f t="shared" ref="K102:K105" si="46">J102*uHD</f>
        <v>6.7663567928078242E-5</v>
      </c>
      <c r="N102">
        <f t="shared" si="34"/>
        <v>3.8148764028115667E-4</v>
      </c>
      <c r="O102">
        <f t="shared" si="35"/>
        <v>1.1827131528045293E-5</v>
      </c>
      <c r="P102">
        <f t="shared" si="41"/>
        <v>2.8027743575337406E-5</v>
      </c>
      <c r="Q102">
        <f t="shared" si="36"/>
        <v>0.89420499221693328</v>
      </c>
      <c r="R102">
        <f t="shared" si="37"/>
        <v>2.3033858040226362E-5</v>
      </c>
      <c r="S102">
        <f t="shared" ref="S102:S105" si="47">R102*uPD</f>
        <v>1.6354039208560718E-5</v>
      </c>
      <c r="U102">
        <f t="shared" si="42"/>
        <v>0.99788222308992003</v>
      </c>
      <c r="V102" t="b">
        <f t="shared" si="43"/>
        <v>1</v>
      </c>
    </row>
    <row r="103" spans="1:22">
      <c r="A103">
        <f t="shared" si="44"/>
        <v>97</v>
      </c>
      <c r="B103">
        <f t="shared" si="39"/>
        <v>35405</v>
      </c>
      <c r="C103">
        <f t="shared" si="45"/>
        <v>6.2263564354374275</v>
      </c>
      <c r="D103">
        <f>IF('5.Survival'!$C$3="No",pDeath,(1-EXP(C102-C103)))</f>
        <v>6.6643516108085499E-2</v>
      </c>
      <c r="F103">
        <f t="shared" si="29"/>
        <v>1.5985013602972185E-3</v>
      </c>
      <c r="G103">
        <f t="shared" si="30"/>
        <v>1.0619498838848453E-5</v>
      </c>
      <c r="H103">
        <f t="shared" si="40"/>
        <v>1.1492422028970446E-4</v>
      </c>
      <c r="I103">
        <f t="shared" si="31"/>
        <v>4.7640709427275363</v>
      </c>
      <c r="J103">
        <f t="shared" si="32"/>
        <v>9.149089335768845E-5</v>
      </c>
      <c r="K103">
        <f t="shared" si="46"/>
        <v>6.1298898549651265E-5</v>
      </c>
      <c r="N103">
        <f t="shared" si="34"/>
        <v>3.5648339363973896E-4</v>
      </c>
      <c r="O103">
        <f t="shared" si="35"/>
        <v>1.1036557684939923E-5</v>
      </c>
      <c r="P103">
        <f t="shared" si="41"/>
        <v>2.6211879330614525E-5</v>
      </c>
      <c r="Q103">
        <f t="shared" si="36"/>
        <v>0.81121979384301868</v>
      </c>
      <c r="R103">
        <f t="shared" si="37"/>
        <v>2.0896335090405877E-5</v>
      </c>
      <c r="S103">
        <f t="shared" si="47"/>
        <v>1.4836397914188172E-5</v>
      </c>
      <c r="U103">
        <f t="shared" si="42"/>
        <v>0.99802335918954033</v>
      </c>
      <c r="V103" t="b">
        <f t="shared" si="43"/>
        <v>1</v>
      </c>
    </row>
    <row r="104" spans="1:22">
      <c r="A104">
        <f t="shared" si="44"/>
        <v>98</v>
      </c>
      <c r="B104">
        <f t="shared" si="39"/>
        <v>35770</v>
      </c>
      <c r="C104">
        <f t="shared" si="45"/>
        <v>6.2953777544536775</v>
      </c>
      <c r="D104">
        <f>IF('5.Survival'!$C$3="No",pDeath,(1-EXP(C103-C104)))</f>
        <v>6.6693217316360021E-2</v>
      </c>
      <c r="F104">
        <f t="shared" si="29"/>
        <v>1.4915050384909465E-3</v>
      </c>
      <c r="G104">
        <f t="shared" si="30"/>
        <v>9.9230386857663295E-6</v>
      </c>
      <c r="H104">
        <f t="shared" si="40"/>
        <v>1.0731744714664965E-4</v>
      </c>
      <c r="I104">
        <f t="shared" si="31"/>
        <v>4.330481342819505</v>
      </c>
      <c r="J104">
        <f t="shared" si="32"/>
        <v>8.288129189754175E-5</v>
      </c>
      <c r="K104">
        <f t="shared" si="46"/>
        <v>5.5530465571352973E-5</v>
      </c>
      <c r="N104">
        <f t="shared" si="34"/>
        <v>3.3308582465711766E-4</v>
      </c>
      <c r="O104">
        <f t="shared" si="35"/>
        <v>1.0298373498470828E-5</v>
      </c>
      <c r="P104">
        <f t="shared" si="41"/>
        <v>2.4511087981794867E-5</v>
      </c>
      <c r="Q104">
        <f t="shared" si="36"/>
        <v>0.73586608605500115</v>
      </c>
      <c r="R104">
        <f t="shared" si="37"/>
        <v>1.8955370818596319E-5</v>
      </c>
      <c r="S104">
        <f t="shared" si="47"/>
        <v>1.3458313281203387E-5</v>
      </c>
      <c r="U104">
        <f t="shared" si="42"/>
        <v>0.99815518772466882</v>
      </c>
      <c r="V104" t="b">
        <f t="shared" si="43"/>
        <v>1</v>
      </c>
    </row>
    <row r="105" spans="1:22">
      <c r="A105">
        <f>A104+1</f>
        <v>99</v>
      </c>
      <c r="B105">
        <f t="shared" si="39"/>
        <v>36135</v>
      </c>
      <c r="C105">
        <f t="shared" si="45"/>
        <v>6.3644518219507189</v>
      </c>
      <c r="D105">
        <f>IF('5.Survival'!$C$3="No",pDeath,(1-EXP(C104-C105)))</f>
        <v>6.6742446532864208E-2</v>
      </c>
      <c r="F105">
        <f t="shared" si="29"/>
        <v>1.3916099543188742E-3</v>
      </c>
      <c r="G105">
        <f t="shared" si="30"/>
        <v>9.2713733502008882E-6</v>
      </c>
      <c r="H105">
        <f t="shared" ref="H105" si="48">SUM(E104:G104)*D105</f>
        <v>1.0020898316390787E-4</v>
      </c>
      <c r="I105">
        <f t="shared" si="31"/>
        <v>3.9365345829420106</v>
      </c>
      <c r="J105">
        <f t="shared" si="32"/>
        <v>7.5078588784906005E-5</v>
      </c>
      <c r="K105">
        <f t="shared" si="46"/>
        <v>5.0302654485887029E-5</v>
      </c>
      <c r="N105">
        <f t="shared" si="34"/>
        <v>3.1119452331975774E-4</v>
      </c>
      <c r="O105">
        <f t="shared" si="35"/>
        <v>9.6091396939309637E-6</v>
      </c>
      <c r="P105">
        <f t="shared" ref="P105" si="49">SUM(M104:O104)*D105</f>
        <v>2.2918301485629813E-5</v>
      </c>
      <c r="Q105">
        <f t="shared" si="36"/>
        <v>0.6674500014510808</v>
      </c>
      <c r="R105">
        <f t="shared" si="37"/>
        <v>1.7193095389580291E-5</v>
      </c>
      <c r="S105">
        <f t="shared" si="47"/>
        <v>1.2207097726602007E-5</v>
      </c>
      <c r="U105">
        <f t="shared" si="42"/>
        <v>0.9982783150093183</v>
      </c>
      <c r="V105" t="b">
        <f t="shared" si="43"/>
        <v>1</v>
      </c>
    </row>
    <row r="107" spans="1:22" ht="15">
      <c r="H107" s="32" t="s">
        <v>275</v>
      </c>
      <c r="I107">
        <f>SUM(I6:I105)</f>
        <v>539618.36159568524</v>
      </c>
      <c r="J107">
        <f t="shared" ref="J107:K107" si="50">SUM(J6:J105)</f>
        <v>11.488776965800929</v>
      </c>
      <c r="K107">
        <f t="shared" si="50"/>
        <v>7.6974805670866164</v>
      </c>
      <c r="P107" t="s">
        <v>275</v>
      </c>
      <c r="Q107">
        <f>SUM(Q6:Q105)</f>
        <v>24969.518734515827</v>
      </c>
      <c r="R107">
        <f t="shared" ref="R107:S107" si="51">SUM(R6:R105)</f>
        <v>0.63729606044622755</v>
      </c>
      <c r="S107">
        <f t="shared" si="51"/>
        <v>0.45248020291682117</v>
      </c>
    </row>
    <row r="108" spans="1:22" ht="15">
      <c r="H108" s="32" t="s">
        <v>276</v>
      </c>
      <c r="I108" s="100">
        <f>I107+Q107</f>
        <v>564587.88033020112</v>
      </c>
      <c r="J108" s="100">
        <f>J107+R107</f>
        <v>12.126073026247155</v>
      </c>
      <c r="K108" s="100">
        <f>K107+S107</f>
        <v>8.1499607700034371</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sheetPr>
  <dimension ref="A1:F101"/>
  <sheetViews>
    <sheetView workbookViewId="0">
      <selection activeCell="I17" sqref="I17"/>
    </sheetView>
  </sheetViews>
  <sheetFormatPr defaultColWidth="10.625" defaultRowHeight="14.25"/>
  <cols>
    <col min="4" max="4" width="4" customWidth="1"/>
  </cols>
  <sheetData>
    <row r="1" spans="1:6">
      <c r="A1" t="s">
        <v>277</v>
      </c>
      <c r="B1" t="s">
        <v>278</v>
      </c>
      <c r="C1" t="s">
        <v>279</v>
      </c>
      <c r="E1" t="s">
        <v>280</v>
      </c>
      <c r="F1" t="s">
        <v>281</v>
      </c>
    </row>
    <row r="2" spans="1:6">
      <c r="A2">
        <v>0</v>
      </c>
      <c r="B2">
        <f>Appendix_11.PolicyOption2Model!U6</f>
        <v>0</v>
      </c>
      <c r="C2">
        <f>1-B2</f>
        <v>1</v>
      </c>
      <c r="E2">
        <f>Appendix_11.PolicyOption3Model!U6</f>
        <v>0</v>
      </c>
      <c r="F2">
        <f>1-E2</f>
        <v>1</v>
      </c>
    </row>
    <row r="3" spans="1:6">
      <c r="A3">
        <f>A2+1</f>
        <v>1</v>
      </c>
      <c r="B3">
        <f>Appendix_11.PolicyOption2Model!U7</f>
        <v>4.4551620466034669E-2</v>
      </c>
      <c r="C3">
        <f t="shared" ref="C3:C66" si="0">1-B3</f>
        <v>0.95544837953396533</v>
      </c>
      <c r="E3">
        <f>Appendix_11.PolicyOption3Model!U7</f>
        <v>4.4551620466034669E-2</v>
      </c>
      <c r="F3">
        <f t="shared" ref="F3:F66" si="1">1-E3</f>
        <v>0.95544837953396533</v>
      </c>
    </row>
    <row r="4" spans="1:6">
      <c r="A4">
        <f t="shared" ref="A4:A67" si="2">A3+1</f>
        <v>2</v>
      </c>
      <c r="B4">
        <f>Appendix_11.PolicyOption2Model!U8</f>
        <v>9.1539542613485556E-2</v>
      </c>
      <c r="C4">
        <f t="shared" si="0"/>
        <v>0.90846045738651449</v>
      </c>
      <c r="E4">
        <f>Appendix_11.PolicyOption3Model!U8</f>
        <v>9.1539542613485569E-2</v>
      </c>
      <c r="F4">
        <f t="shared" si="1"/>
        <v>0.90846045738651449</v>
      </c>
    </row>
    <row r="5" spans="1:6">
      <c r="A5">
        <f t="shared" si="2"/>
        <v>3</v>
      </c>
      <c r="B5">
        <f>Appendix_11.PolicyOption2Model!U9</f>
        <v>0.13795191419711103</v>
      </c>
      <c r="C5">
        <f t="shared" si="0"/>
        <v>0.86204808580288894</v>
      </c>
      <c r="E5">
        <f>Appendix_11.PolicyOption3Model!U9</f>
        <v>0.13795191419711106</v>
      </c>
      <c r="F5">
        <f t="shared" si="1"/>
        <v>0.86204808580288894</v>
      </c>
    </row>
    <row r="6" spans="1:6">
      <c r="A6">
        <f t="shared" si="2"/>
        <v>4</v>
      </c>
      <c r="B6">
        <f>Appendix_11.PolicyOption2Model!U10</f>
        <v>0.1830967937299269</v>
      </c>
      <c r="C6">
        <f t="shared" si="0"/>
        <v>0.81690320627007307</v>
      </c>
      <c r="E6">
        <f>Appendix_11.PolicyOption3Model!U10</f>
        <v>0.18309679372992693</v>
      </c>
      <c r="F6">
        <f t="shared" si="1"/>
        <v>0.81690320627007307</v>
      </c>
    </row>
    <row r="7" spans="1:6">
      <c r="A7">
        <f t="shared" si="2"/>
        <v>5</v>
      </c>
      <c r="B7">
        <f>Appendix_11.PolicyOption2Model!U11</f>
        <v>0.22667191275306153</v>
      </c>
      <c r="C7">
        <f t="shared" si="0"/>
        <v>0.77332808724693847</v>
      </c>
      <c r="E7">
        <f>Appendix_11.PolicyOption3Model!U11</f>
        <v>0.22667191275306153</v>
      </c>
      <c r="F7">
        <f t="shared" si="1"/>
        <v>0.77332808724693847</v>
      </c>
    </row>
    <row r="8" spans="1:6">
      <c r="A8">
        <f t="shared" si="2"/>
        <v>6</v>
      </c>
      <c r="B8">
        <f>Appendix_11.PolicyOption2Model!U12</f>
        <v>0.2685317726811825</v>
      </c>
      <c r="C8">
        <f t="shared" si="0"/>
        <v>0.73146822731881755</v>
      </c>
      <c r="E8">
        <f>Appendix_11.PolicyOption3Model!U12</f>
        <v>0.2685317726811825</v>
      </c>
      <c r="F8">
        <f t="shared" si="1"/>
        <v>0.73146822731881755</v>
      </c>
    </row>
    <row r="9" spans="1:6">
      <c r="A9">
        <f t="shared" si="2"/>
        <v>7</v>
      </c>
      <c r="B9">
        <f>Appendix_11.PolicyOption2Model!U13</f>
        <v>0.30861122647510281</v>
      </c>
      <c r="C9">
        <f t="shared" si="0"/>
        <v>0.69138877352489714</v>
      </c>
      <c r="E9">
        <f>Appendix_11.PolicyOption3Model!U13</f>
        <v>0.30861122647510275</v>
      </c>
      <c r="F9">
        <f t="shared" si="1"/>
        <v>0.69138877352489725</v>
      </c>
    </row>
    <row r="10" spans="1:6">
      <c r="A10">
        <f t="shared" si="2"/>
        <v>8</v>
      </c>
      <c r="B10">
        <f>Appendix_11.PolicyOption2Model!U14</f>
        <v>0.34689176203104249</v>
      </c>
      <c r="C10">
        <f t="shared" si="0"/>
        <v>0.65310823796895745</v>
      </c>
      <c r="E10">
        <f>Appendix_11.PolicyOption3Model!U14</f>
        <v>0.34689176203104244</v>
      </c>
      <c r="F10">
        <f t="shared" si="1"/>
        <v>0.65310823796895756</v>
      </c>
    </row>
    <row r="11" spans="1:6">
      <c r="A11">
        <f t="shared" si="2"/>
        <v>9</v>
      </c>
      <c r="B11">
        <f>Appendix_11.PolicyOption2Model!U15</f>
        <v>0.38338394214739452</v>
      </c>
      <c r="C11">
        <f t="shared" si="0"/>
        <v>0.61661605785260543</v>
      </c>
      <c r="E11">
        <f>Appendix_11.PolicyOption3Model!U15</f>
        <v>0.38338394214739446</v>
      </c>
      <c r="F11">
        <f t="shared" si="1"/>
        <v>0.61661605785260554</v>
      </c>
    </row>
    <row r="12" spans="1:6">
      <c r="A12">
        <f t="shared" si="2"/>
        <v>10</v>
      </c>
      <c r="B12">
        <f>Appendix_11.PolicyOption2Model!U16</f>
        <v>0.41811722146013736</v>
      </c>
      <c r="C12">
        <f t="shared" si="0"/>
        <v>0.58188277853986259</v>
      </c>
      <c r="E12">
        <f>Appendix_11.PolicyOption3Model!U16</f>
        <v>0.41811722146013724</v>
      </c>
      <c r="F12">
        <f t="shared" si="1"/>
        <v>0.58188277853986281</v>
      </c>
    </row>
    <row r="13" spans="1:6">
      <c r="A13">
        <f t="shared" si="2"/>
        <v>11</v>
      </c>
      <c r="B13">
        <f>Appendix_11.PolicyOption2Model!U17</f>
        <v>0.45113358288548899</v>
      </c>
      <c r="C13">
        <f t="shared" si="0"/>
        <v>0.54886641711451101</v>
      </c>
      <c r="E13">
        <f>Appendix_11.PolicyOption3Model!U17</f>
        <v>0.45113358288548888</v>
      </c>
      <c r="F13">
        <f t="shared" si="1"/>
        <v>0.54886641711451112</v>
      </c>
    </row>
    <row r="14" spans="1:6">
      <c r="A14">
        <f t="shared" si="2"/>
        <v>12</v>
      </c>
      <c r="B14">
        <f>Appendix_11.PolicyOption2Model!U18</f>
        <v>0.48248333987698006</v>
      </c>
      <c r="C14">
        <f t="shared" si="0"/>
        <v>0.51751666012301989</v>
      </c>
      <c r="E14">
        <f>Appendix_11.PolicyOption3Model!U18</f>
        <v>0.48248333987697989</v>
      </c>
      <c r="F14">
        <f t="shared" si="1"/>
        <v>0.51751666012302011</v>
      </c>
    </row>
    <row r="15" spans="1:6">
      <c r="A15">
        <f t="shared" si="2"/>
        <v>13</v>
      </c>
      <c r="B15">
        <f>Appendix_11.PolicyOption2Model!U19</f>
        <v>0.51222225445540892</v>
      </c>
      <c r="C15">
        <f t="shared" si="0"/>
        <v>0.48777774554459108</v>
      </c>
      <c r="E15">
        <f>Appendix_11.PolicyOption3Model!U19</f>
        <v>0.51222225445540881</v>
      </c>
      <c r="F15">
        <f t="shared" si="1"/>
        <v>0.48777774554459119</v>
      </c>
    </row>
    <row r="16" spans="1:6">
      <c r="A16">
        <f t="shared" si="2"/>
        <v>14</v>
      </c>
      <c r="B16">
        <f>Appendix_11.PolicyOption2Model!U20</f>
        <v>0.54040949891227685</v>
      </c>
      <c r="C16">
        <f t="shared" si="0"/>
        <v>0.45959050108772315</v>
      </c>
      <c r="E16">
        <f>Appendix_11.PolicyOption3Model!U20</f>
        <v>0.54040949891227674</v>
      </c>
      <c r="F16">
        <f t="shared" si="1"/>
        <v>0.45959050108772326</v>
      </c>
    </row>
    <row r="17" spans="1:6">
      <c r="A17">
        <f t="shared" si="2"/>
        <v>15</v>
      </c>
      <c r="B17">
        <f>Appendix_11.PolicyOption2Model!U21</f>
        <v>0.56710618231821808</v>
      </c>
      <c r="C17">
        <f t="shared" si="0"/>
        <v>0.43289381768178192</v>
      </c>
      <c r="E17">
        <f>Appendix_11.PolicyOption3Model!U21</f>
        <v>0.56710618231821797</v>
      </c>
      <c r="F17">
        <f t="shared" si="1"/>
        <v>0.43289381768178203</v>
      </c>
    </row>
    <row r="18" spans="1:6">
      <c r="A18">
        <f t="shared" si="2"/>
        <v>16</v>
      </c>
      <c r="B18">
        <f>Appendix_11.PolicyOption2Model!U22</f>
        <v>0.59237426860164655</v>
      </c>
      <c r="C18">
        <f t="shared" si="0"/>
        <v>0.40762573139835345</v>
      </c>
      <c r="E18">
        <f>Appendix_11.PolicyOption3Model!U22</f>
        <v>0.59237426860164633</v>
      </c>
      <c r="F18">
        <f t="shared" si="1"/>
        <v>0.40762573139835367</v>
      </c>
    </row>
    <row r="19" spans="1:6">
      <c r="A19">
        <f t="shared" si="2"/>
        <v>17</v>
      </c>
      <c r="B19">
        <f>Appendix_11.PolicyOption2Model!U23</f>
        <v>0.61627577397687994</v>
      </c>
      <c r="C19">
        <f t="shared" si="0"/>
        <v>0.38372422602312006</v>
      </c>
      <c r="E19">
        <f>Appendix_11.PolicyOption3Model!U23</f>
        <v>0.61627577397687971</v>
      </c>
      <c r="F19">
        <f t="shared" si="1"/>
        <v>0.38372422602312029</v>
      </c>
    </row>
    <row r="20" spans="1:6">
      <c r="A20">
        <f t="shared" si="2"/>
        <v>18</v>
      </c>
      <c r="B20">
        <f>Appendix_11.PolicyOption2Model!U24</f>
        <v>0.63887216840764482</v>
      </c>
      <c r="C20">
        <f t="shared" si="0"/>
        <v>0.36112783159235518</v>
      </c>
      <c r="E20">
        <f>Appendix_11.PolicyOption3Model!U24</f>
        <v>0.6388721684076446</v>
      </c>
      <c r="F20">
        <f t="shared" si="1"/>
        <v>0.3611278315923554</v>
      </c>
    </row>
    <row r="21" spans="1:6">
      <c r="A21">
        <f t="shared" si="2"/>
        <v>19</v>
      </c>
      <c r="B21">
        <f>Appendix_11.PolicyOption2Model!U25</f>
        <v>0.66022392901196048</v>
      </c>
      <c r="C21">
        <f t="shared" si="0"/>
        <v>0.33977607098803952</v>
      </c>
      <c r="E21">
        <f>Appendix_11.PolicyOption3Model!U25</f>
        <v>0.66022392901196025</v>
      </c>
      <c r="F21">
        <f t="shared" si="1"/>
        <v>0.33977607098803975</v>
      </c>
    </row>
    <row r="22" spans="1:6">
      <c r="A22">
        <f t="shared" si="2"/>
        <v>20</v>
      </c>
      <c r="B22">
        <f>Appendix_11.PolicyOption2Model!U26</f>
        <v>0.68039020842816</v>
      </c>
      <c r="C22">
        <f t="shared" si="0"/>
        <v>0.31960979157184</v>
      </c>
      <c r="E22">
        <f>Appendix_11.PolicyOption3Model!U26</f>
        <v>0.68039020842815967</v>
      </c>
      <c r="F22">
        <f t="shared" si="1"/>
        <v>0.31960979157184033</v>
      </c>
    </row>
    <row r="23" spans="1:6">
      <c r="A23">
        <f t="shared" si="2"/>
        <v>21</v>
      </c>
      <c r="B23">
        <f>Appendix_11.PolicyOption2Model!U27</f>
        <v>0.69942859129503299</v>
      </c>
      <c r="C23">
        <f t="shared" si="0"/>
        <v>0.30057140870496701</v>
      </c>
      <c r="E23">
        <f>Appendix_11.PolicyOption3Model!U27</f>
        <v>0.69942859129503265</v>
      </c>
      <c r="F23">
        <f t="shared" si="1"/>
        <v>0.30057140870496735</v>
      </c>
    </row>
    <row r="24" spans="1:6">
      <c r="A24">
        <f t="shared" si="2"/>
        <v>22</v>
      </c>
      <c r="B24">
        <f>Appendix_11.PolicyOption2Model!U28</f>
        <v>0.71739491897236418</v>
      </c>
      <c r="C24">
        <f t="shared" si="0"/>
        <v>0.28260508102763582</v>
      </c>
      <c r="E24">
        <f>Appendix_11.PolicyOption3Model!U28</f>
        <v>0.71739491897236385</v>
      </c>
      <c r="F24">
        <f t="shared" si="1"/>
        <v>0.28260508102763615</v>
      </c>
    </row>
    <row r="25" spans="1:6">
      <c r="A25">
        <f t="shared" si="2"/>
        <v>23</v>
      </c>
      <c r="B25">
        <f>Appendix_11.PolicyOption2Model!U29</f>
        <v>0.73434316753903561</v>
      </c>
      <c r="C25">
        <f t="shared" si="0"/>
        <v>0.26565683246096439</v>
      </c>
      <c r="E25">
        <f>Appendix_11.PolicyOption3Model!U29</f>
        <v>0.73434316753903528</v>
      </c>
      <c r="F25">
        <f t="shared" si="1"/>
        <v>0.26565683246096472</v>
      </c>
    </row>
    <row r="26" spans="1:6">
      <c r="A26">
        <f t="shared" si="2"/>
        <v>24</v>
      </c>
      <c r="B26">
        <f>Appendix_11.PolicyOption2Model!U30</f>
        <v>0.75032536763604285</v>
      </c>
      <c r="C26">
        <f t="shared" si="0"/>
        <v>0.24967463236395715</v>
      </c>
      <c r="E26">
        <f>Appendix_11.PolicyOption3Model!U30</f>
        <v>0.75032536763604252</v>
      </c>
      <c r="F26">
        <f t="shared" si="1"/>
        <v>0.24967463236395748</v>
      </c>
    </row>
    <row r="27" spans="1:6">
      <c r="A27">
        <f t="shared" si="2"/>
        <v>25</v>
      </c>
      <c r="B27">
        <f>Appendix_11.PolicyOption2Model!U31</f>
        <v>0.76539155730661845</v>
      </c>
      <c r="C27">
        <f t="shared" si="0"/>
        <v>0.23460844269338155</v>
      </c>
      <c r="E27">
        <f>Appendix_11.PolicyOption3Model!U31</f>
        <v>0.76539155730661823</v>
      </c>
      <c r="F27">
        <f t="shared" si="1"/>
        <v>0.23460844269338177</v>
      </c>
    </row>
    <row r="28" spans="1:6">
      <c r="A28">
        <f t="shared" si="2"/>
        <v>26</v>
      </c>
      <c r="B28">
        <f>Appendix_11.PolicyOption2Model!U32</f>
        <v>0.77958976090964494</v>
      </c>
      <c r="C28">
        <f t="shared" si="0"/>
        <v>0.22041023909035506</v>
      </c>
      <c r="E28">
        <f>Appendix_11.PolicyOption3Model!U32</f>
        <v>0.7795897609096446</v>
      </c>
      <c r="F28">
        <f t="shared" si="1"/>
        <v>0.2204102390903554</v>
      </c>
    </row>
    <row r="29" spans="1:6">
      <c r="A29">
        <f t="shared" si="2"/>
        <v>27</v>
      </c>
      <c r="B29">
        <f>Appendix_11.PolicyOption2Model!U33</f>
        <v>0.7929659886360918</v>
      </c>
      <c r="C29">
        <f t="shared" si="0"/>
        <v>0.2070340113639082</v>
      </c>
      <c r="E29">
        <f>Appendix_11.PolicyOption3Model!U33</f>
        <v>0.79296598863609136</v>
      </c>
      <c r="F29">
        <f t="shared" si="1"/>
        <v>0.20703401136390864</v>
      </c>
    </row>
    <row r="30" spans="1:6">
      <c r="A30">
        <f t="shared" si="2"/>
        <v>28</v>
      </c>
      <c r="B30">
        <f>Appendix_11.PolicyOption2Model!U34</f>
        <v>0.80556425227108697</v>
      </c>
      <c r="C30">
        <f t="shared" si="0"/>
        <v>0.19443574772891303</v>
      </c>
      <c r="E30">
        <f>Appendix_11.PolicyOption3Model!U34</f>
        <v>0.80556425227108652</v>
      </c>
      <c r="F30">
        <f t="shared" si="1"/>
        <v>0.19443574772891348</v>
      </c>
    </row>
    <row r="31" spans="1:6">
      <c r="A31">
        <f t="shared" si="2"/>
        <v>29</v>
      </c>
      <c r="B31">
        <f>Appendix_11.PolicyOption2Model!U35</f>
        <v>0.817426593706442</v>
      </c>
      <c r="C31">
        <f t="shared" si="0"/>
        <v>0.182573406293558</v>
      </c>
      <c r="E31">
        <f>Appendix_11.PolicyOption3Model!U35</f>
        <v>0.81742659370644144</v>
      </c>
      <c r="F31">
        <f t="shared" si="1"/>
        <v>0.18257340629355856</v>
      </c>
    </row>
    <row r="32" spans="1:6">
      <c r="A32">
        <f t="shared" si="2"/>
        <v>30</v>
      </c>
      <c r="B32">
        <f>Appendix_11.PolicyOption2Model!U36</f>
        <v>0.82859312338389035</v>
      </c>
      <c r="C32">
        <f t="shared" si="0"/>
        <v>0.17140687661610965</v>
      </c>
      <c r="E32">
        <f>Appendix_11.PolicyOption3Model!U36</f>
        <v>0.82859312338388991</v>
      </c>
      <c r="F32">
        <f t="shared" si="1"/>
        <v>0.17140687661611009</v>
      </c>
    </row>
    <row r="33" spans="1:6">
      <c r="A33">
        <f t="shared" si="2"/>
        <v>31</v>
      </c>
      <c r="B33">
        <f>Appendix_11.PolicyOption2Model!U37</f>
        <v>0.83910206638342111</v>
      </c>
      <c r="C33">
        <f t="shared" si="0"/>
        <v>0.16089793361657889</v>
      </c>
      <c r="E33">
        <f>Appendix_11.PolicyOption3Model!U37</f>
        <v>0.83910206638342066</v>
      </c>
      <c r="F33">
        <f t="shared" si="1"/>
        <v>0.16089793361657934</v>
      </c>
    </row>
    <row r="34" spans="1:6">
      <c r="A34">
        <f t="shared" si="2"/>
        <v>32</v>
      </c>
      <c r="B34">
        <f>Appendix_11.PolicyOption2Model!U38</f>
        <v>0.84898981429721654</v>
      </c>
      <c r="C34">
        <f t="shared" si="0"/>
        <v>0.15101018570278346</v>
      </c>
      <c r="E34">
        <f>Appendix_11.PolicyOption3Model!U38</f>
        <v>0.84898981429721609</v>
      </c>
      <c r="F34">
        <f t="shared" si="1"/>
        <v>0.15101018570278391</v>
      </c>
    </row>
    <row r="35" spans="1:6">
      <c r="A35">
        <f t="shared" si="2"/>
        <v>33</v>
      </c>
      <c r="B35">
        <f>Appendix_11.PolicyOption2Model!U39</f>
        <v>0.85829098137236914</v>
      </c>
      <c r="C35">
        <f t="shared" si="0"/>
        <v>0.14170901862763086</v>
      </c>
      <c r="E35">
        <f>Appendix_11.PolicyOption3Model!U39</f>
        <v>0.8582909813723687</v>
      </c>
      <c r="F35">
        <f t="shared" si="1"/>
        <v>0.1417090186276313</v>
      </c>
    </row>
    <row r="36" spans="1:6">
      <c r="A36">
        <f t="shared" si="2"/>
        <v>34</v>
      </c>
      <c r="B36">
        <f>Appendix_11.PolicyOption2Model!U40</f>
        <v>0.86703846368292381</v>
      </c>
      <c r="C36">
        <f t="shared" si="0"/>
        <v>0.13296153631707619</v>
      </c>
      <c r="E36">
        <f>Appendix_11.PolicyOption3Model!U40</f>
        <v>0.86703846368292348</v>
      </c>
      <c r="F36">
        <f t="shared" si="1"/>
        <v>0.13296153631707652</v>
      </c>
    </row>
    <row r="37" spans="1:6">
      <c r="A37">
        <f t="shared" si="2"/>
        <v>35</v>
      </c>
      <c r="B37">
        <f>Appendix_11.PolicyOption2Model!U41</f>
        <v>0.8752635003177911</v>
      </c>
      <c r="C37">
        <f t="shared" si="0"/>
        <v>0.1247364996822089</v>
      </c>
      <c r="E37">
        <f>Appendix_11.PolicyOption3Model!U41</f>
        <v>0.87526350031779065</v>
      </c>
      <c r="F37">
        <f t="shared" si="1"/>
        <v>0.12473649968220935</v>
      </c>
    </row>
    <row r="38" spans="1:6">
      <c r="A38">
        <f t="shared" si="2"/>
        <v>36</v>
      </c>
      <c r="B38">
        <f>Appendix_11.PolicyOption2Model!U42</f>
        <v>0.88299573575614498</v>
      </c>
      <c r="C38">
        <f t="shared" si="0"/>
        <v>0.11700426424385502</v>
      </c>
      <c r="E38">
        <f>Appendix_11.PolicyOption3Model!U42</f>
        <v>0.88299573575614454</v>
      </c>
      <c r="F38">
        <f t="shared" si="1"/>
        <v>0.11700426424385546</v>
      </c>
    </row>
    <row r="39" spans="1:6">
      <c r="A39">
        <f t="shared" si="2"/>
        <v>37</v>
      </c>
      <c r="B39">
        <f>Appendix_11.PolicyOption2Model!U43</f>
        <v>0.89026328275424893</v>
      </c>
      <c r="C39">
        <f t="shared" si="0"/>
        <v>0.10973671724575107</v>
      </c>
      <c r="E39">
        <f>Appendix_11.PolicyOption3Model!U43</f>
        <v>0.89026328275424849</v>
      </c>
      <c r="F39">
        <f t="shared" si="1"/>
        <v>0.10973671724575151</v>
      </c>
    </row>
    <row r="40" spans="1:6">
      <c r="A40">
        <f t="shared" si="2"/>
        <v>38</v>
      </c>
      <c r="B40">
        <f>Appendix_11.PolicyOption2Model!U44</f>
        <v>0.89709278519348978</v>
      </c>
      <c r="C40">
        <f t="shared" si="0"/>
        <v>0.10290721480651022</v>
      </c>
      <c r="E40">
        <f>Appendix_11.PolicyOption3Model!U44</f>
        <v>0.89709278519348923</v>
      </c>
      <c r="F40">
        <f t="shared" si="1"/>
        <v>0.10290721480651077</v>
      </c>
    </row>
    <row r="41" spans="1:6">
      <c r="A41">
        <f t="shared" si="2"/>
        <v>39</v>
      </c>
      <c r="B41">
        <f>Appendix_11.PolicyOption2Model!U45</f>
        <v>0.90350948044375701</v>
      </c>
      <c r="C41">
        <f t="shared" si="0"/>
        <v>9.6490519556242993E-2</v>
      </c>
      <c r="E41">
        <f>Appendix_11.PolicyOption3Model!U45</f>
        <v>0.90350948044375634</v>
      </c>
      <c r="F41">
        <f t="shared" si="1"/>
        <v>9.6490519556243659E-2</v>
      </c>
    </row>
    <row r="42" spans="1:6">
      <c r="A42">
        <f t="shared" si="2"/>
        <v>40</v>
      </c>
      <c r="B42">
        <f>Appendix_11.PolicyOption2Model!U46</f>
        <v>0.90953726088306663</v>
      </c>
      <c r="C42">
        <f t="shared" si="0"/>
        <v>9.0462739116933366E-2</v>
      </c>
      <c r="E42">
        <f>Appendix_11.PolicyOption3Model!U46</f>
        <v>0.90953726088306597</v>
      </c>
      <c r="F42">
        <f t="shared" si="1"/>
        <v>9.0462739116934032E-2</v>
      </c>
    </row>
    <row r="43" spans="1:6">
      <c r="A43">
        <f t="shared" si="2"/>
        <v>41</v>
      </c>
      <c r="B43">
        <f>Appendix_11.PolicyOption2Model!U47</f>
        <v>0.91519873428664134</v>
      </c>
      <c r="C43">
        <f t="shared" si="0"/>
        <v>8.4801265713358664E-2</v>
      </c>
      <c r="E43">
        <f>Appendix_11.PolicyOption3Model!U47</f>
        <v>0.91519873428664056</v>
      </c>
      <c r="F43">
        <f t="shared" si="1"/>
        <v>8.4801265713359442E-2</v>
      </c>
    </row>
    <row r="44" spans="1:6">
      <c r="A44">
        <f t="shared" si="2"/>
        <v>42</v>
      </c>
      <c r="B44">
        <f>Appendix_11.PolicyOption2Model!U48</f>
        <v>0.92051528285902595</v>
      </c>
      <c r="C44">
        <f t="shared" si="0"/>
        <v>7.9484717140974048E-2</v>
      </c>
      <c r="E44">
        <f>Appendix_11.PolicyOption3Model!U48</f>
        <v>0.92051528285902517</v>
      </c>
      <c r="F44">
        <f t="shared" si="1"/>
        <v>7.9484717140974825E-2</v>
      </c>
    </row>
    <row r="45" spans="1:6">
      <c r="A45">
        <f t="shared" si="2"/>
        <v>43</v>
      </c>
      <c r="B45">
        <f>Appendix_11.PolicyOption2Model!U49</f>
        <v>0.92550712073326225</v>
      </c>
      <c r="C45">
        <f t="shared" si="0"/>
        <v>7.4492879266737755E-2</v>
      </c>
      <c r="E45">
        <f>Appendix_11.PolicyOption3Model!U49</f>
        <v>0.92550712073326136</v>
      </c>
      <c r="F45">
        <f t="shared" si="1"/>
        <v>7.4492879266738643E-2</v>
      </c>
    </row>
    <row r="46" spans="1:6">
      <c r="A46">
        <f t="shared" si="2"/>
        <v>44</v>
      </c>
      <c r="B46">
        <f>Appendix_11.PolicyOption2Model!U50</f>
        <v>0.93019334980333312</v>
      </c>
      <c r="C46">
        <f t="shared" si="0"/>
        <v>6.9806650196666875E-2</v>
      </c>
      <c r="E46">
        <f>Appendix_11.PolicyOption3Model!U50</f>
        <v>0.93019334980333224</v>
      </c>
      <c r="F46">
        <f t="shared" si="1"/>
        <v>6.9806650196667763E-2</v>
      </c>
    </row>
    <row r="47" spans="1:6">
      <c r="A47">
        <f t="shared" si="2"/>
        <v>45</v>
      </c>
      <c r="B47">
        <f>Appendix_11.PolicyOption2Model!U51</f>
        <v>0.93459201379136292</v>
      </c>
      <c r="C47">
        <f t="shared" si="0"/>
        <v>6.5407986208637081E-2</v>
      </c>
      <c r="E47">
        <f>Appendix_11.PolicyOption3Model!U51</f>
        <v>0.93459201379136203</v>
      </c>
      <c r="F47">
        <f t="shared" si="1"/>
        <v>6.5407986208637969E-2</v>
      </c>
    </row>
    <row r="48" spans="1:6">
      <c r="A48">
        <f t="shared" si="2"/>
        <v>46</v>
      </c>
      <c r="B48">
        <f>Appendix_11.PolicyOption2Model!U52</f>
        <v>0.93872015048051194</v>
      </c>
      <c r="C48">
        <f t="shared" si="0"/>
        <v>6.1279849519488061E-2</v>
      </c>
      <c r="E48">
        <f>Appendix_11.PolicyOption3Model!U52</f>
        <v>0.93872015048051105</v>
      </c>
      <c r="F48">
        <f t="shared" si="1"/>
        <v>6.1279849519488949E-2</v>
      </c>
    </row>
    <row r="49" spans="1:6">
      <c r="A49">
        <f t="shared" si="2"/>
        <v>47</v>
      </c>
      <c r="B49">
        <f>Appendix_11.PolicyOption2Model!U53</f>
        <v>0.94259384206910579</v>
      </c>
      <c r="C49">
        <f t="shared" si="0"/>
        <v>5.7406157930894208E-2</v>
      </c>
      <c r="E49">
        <f>Appendix_11.PolicyOption3Model!U53</f>
        <v>0.94259384206910479</v>
      </c>
      <c r="F49">
        <f t="shared" si="1"/>
        <v>5.7406157930895207E-2</v>
      </c>
    </row>
    <row r="50" spans="1:6">
      <c r="A50">
        <f t="shared" si="2"/>
        <v>48</v>
      </c>
      <c r="B50">
        <f>Appendix_11.PolicyOption2Model!U54</f>
        <v>0.94622826362198187</v>
      </c>
      <c r="C50">
        <f t="shared" si="0"/>
        <v>5.3771736378018131E-2</v>
      </c>
      <c r="E50">
        <f>Appendix_11.PolicyOption3Model!U54</f>
        <v>0.94622826362198087</v>
      </c>
      <c r="F50">
        <f t="shared" si="1"/>
        <v>5.377173637801913E-2</v>
      </c>
    </row>
    <row r="51" spans="1:6">
      <c r="A51">
        <f t="shared" si="2"/>
        <v>49</v>
      </c>
      <c r="B51">
        <f>Appendix_11.PolicyOption2Model!U55</f>
        <v>0.94963772961202875</v>
      </c>
      <c r="C51">
        <f t="shared" si="0"/>
        <v>5.0362270387971253E-2</v>
      </c>
      <c r="E51">
        <f>Appendix_11.PolicyOption3Model!U55</f>
        <v>0.94963772961202764</v>
      </c>
      <c r="F51">
        <f t="shared" si="1"/>
        <v>5.0362270387972363E-2</v>
      </c>
    </row>
    <row r="52" spans="1:6">
      <c r="A52">
        <f t="shared" si="2"/>
        <v>50</v>
      </c>
      <c r="B52">
        <f>Appendix_11.PolicyOption2Model!U56</f>
        <v>0.95283573855890713</v>
      </c>
      <c r="C52">
        <f t="shared" si="0"/>
        <v>4.716426144109287E-2</v>
      </c>
      <c r="E52">
        <f>Appendix_11.PolicyOption3Model!U56</f>
        <v>0.95283573855890602</v>
      </c>
      <c r="F52">
        <f t="shared" si="1"/>
        <v>4.716426144109398E-2</v>
      </c>
    </row>
    <row r="53" spans="1:6">
      <c r="A53">
        <f t="shared" si="2"/>
        <v>51</v>
      </c>
      <c r="B53">
        <f>Appendix_11.PolicyOption2Model!U57</f>
        <v>0.95583501578346786</v>
      </c>
      <c r="C53">
        <f t="shared" si="0"/>
        <v>4.4164984216532144E-2</v>
      </c>
      <c r="E53">
        <f>Appendix_11.PolicyOption3Model!U57</f>
        <v>0.95583501578346675</v>
      </c>
      <c r="F53">
        <f t="shared" si="1"/>
        <v>4.4164984216533254E-2</v>
      </c>
    </row>
    <row r="54" spans="1:6">
      <c r="A54">
        <f t="shared" si="2"/>
        <v>52</v>
      </c>
      <c r="B54">
        <f>Appendix_11.PolicyOption2Model!U58</f>
        <v>0.95864755430578452</v>
      </c>
      <c r="C54">
        <f t="shared" si="0"/>
        <v>4.1352445694215478E-2</v>
      </c>
      <c r="E54">
        <f>Appendix_11.PolicyOption3Model!U58</f>
        <v>0.95864755430578341</v>
      </c>
      <c r="F54">
        <f t="shared" si="1"/>
        <v>4.1352445694216589E-2</v>
      </c>
    </row>
    <row r="55" spans="1:6">
      <c r="A55">
        <f t="shared" si="2"/>
        <v>53</v>
      </c>
      <c r="B55">
        <f>Appendix_11.PolicyOption2Model!U59</f>
        <v>0.961284653922301</v>
      </c>
      <c r="C55">
        <f t="shared" si="0"/>
        <v>3.8715346077698998E-2</v>
      </c>
      <c r="E55">
        <f>Appendix_11.PolicyOption3Model!U59</f>
        <v>0.96128465392229978</v>
      </c>
      <c r="F55">
        <f t="shared" si="1"/>
        <v>3.8715346077700219E-2</v>
      </c>
    </row>
    <row r="56" spans="1:6">
      <c r="A56">
        <f t="shared" si="2"/>
        <v>54</v>
      </c>
      <c r="B56">
        <f>Appendix_11.PolicyOption2Model!U60</f>
        <v>0.96375695850366616</v>
      </c>
      <c r="C56">
        <f t="shared" si="0"/>
        <v>3.6243041496333839E-2</v>
      </c>
      <c r="E56">
        <f>Appendix_11.PolicyOption3Model!U60</f>
        <v>0.96375695850366494</v>
      </c>
      <c r="F56">
        <f t="shared" si="1"/>
        <v>3.624304149633506E-2</v>
      </c>
    </row>
    <row r="57" spans="1:6">
      <c r="A57">
        <f t="shared" si="2"/>
        <v>55</v>
      </c>
      <c r="B57">
        <f>Appendix_11.PolicyOption2Model!U61</f>
        <v>0.96607449155957492</v>
      </c>
      <c r="C57">
        <f t="shared" si="0"/>
        <v>3.3925508440425078E-2</v>
      </c>
      <c r="E57">
        <f>Appendix_11.PolicyOption3Model!U61</f>
        <v>0.9660744915595737</v>
      </c>
      <c r="F57">
        <f t="shared" si="1"/>
        <v>3.39255084404263E-2</v>
      </c>
    </row>
    <row r="58" spans="1:6">
      <c r="A58">
        <f t="shared" si="2"/>
        <v>56</v>
      </c>
      <c r="B58">
        <f>Appendix_11.PolicyOption2Model!U62</f>
        <v>0.96824669012059017</v>
      </c>
      <c r="C58">
        <f t="shared" si="0"/>
        <v>3.175330987940983E-2</v>
      </c>
      <c r="E58">
        <f>Appendix_11.PolicyOption3Model!U62</f>
        <v>0.96824669012058895</v>
      </c>
      <c r="F58">
        <f t="shared" si="1"/>
        <v>3.1753309879411051E-2</v>
      </c>
    </row>
    <row r="59" spans="1:6">
      <c r="A59">
        <f t="shared" si="2"/>
        <v>57</v>
      </c>
      <c r="B59">
        <f>Appendix_11.PolicyOption2Model!U63</f>
        <v>0.97028243698964056</v>
      </c>
      <c r="C59">
        <f t="shared" si="0"/>
        <v>2.9717563010359438E-2</v>
      </c>
      <c r="E59">
        <f>Appendix_11.PolicyOption3Model!U63</f>
        <v>0.97028243698963934</v>
      </c>
      <c r="F59">
        <f t="shared" si="1"/>
        <v>2.9717563010360659E-2</v>
      </c>
    </row>
    <row r="60" spans="1:6">
      <c r="A60">
        <f t="shared" si="2"/>
        <v>58</v>
      </c>
      <c r="B60">
        <f>Appendix_11.PolicyOption2Model!U64</f>
        <v>0.97219009141779966</v>
      </c>
      <c r="C60">
        <f t="shared" si="0"/>
        <v>2.7809908582200338E-2</v>
      </c>
      <c r="E60">
        <f>Appendix_11.PolicyOption3Model!U64</f>
        <v>0.97219009141779833</v>
      </c>
      <c r="F60">
        <f t="shared" si="1"/>
        <v>2.780990858220167E-2</v>
      </c>
    </row>
    <row r="61" spans="1:6">
      <c r="A61">
        <f t="shared" si="2"/>
        <v>59</v>
      </c>
      <c r="B61">
        <f>Appendix_11.PolicyOption2Model!U65</f>
        <v>0.97397751826021239</v>
      </c>
      <c r="C61">
        <f t="shared" si="0"/>
        <v>2.6022481739787606E-2</v>
      </c>
      <c r="E61">
        <f>Appendix_11.PolicyOption3Model!U65</f>
        <v>0.97397751826021106</v>
      </c>
      <c r="F61">
        <f t="shared" si="1"/>
        <v>2.6022481739788939E-2</v>
      </c>
    </row>
    <row r="62" spans="1:6">
      <c r="A62">
        <f t="shared" si="2"/>
        <v>60</v>
      </c>
      <c r="B62">
        <f>Appendix_11.PolicyOption2Model!U66</f>
        <v>0.97565211566871479</v>
      </c>
      <c r="C62">
        <f t="shared" si="0"/>
        <v>2.4347884331285208E-2</v>
      </c>
      <c r="E62">
        <f>Appendix_11.PolicyOption3Model!U66</f>
        <v>0.97565211566871346</v>
      </c>
      <c r="F62">
        <f t="shared" si="1"/>
        <v>2.434788433128654E-2</v>
      </c>
    </row>
    <row r="63" spans="1:6">
      <c r="A63">
        <f t="shared" si="2"/>
        <v>61</v>
      </c>
      <c r="B63">
        <f>Appendix_11.PolicyOption2Model!U67</f>
        <v>0.97722084137791221</v>
      </c>
      <c r="C63">
        <f t="shared" si="0"/>
        <v>2.2779158622087792E-2</v>
      </c>
      <c r="E63">
        <f>Appendix_11.PolicyOption3Model!U67</f>
        <v>0.97722084137791099</v>
      </c>
      <c r="F63">
        <f t="shared" si="1"/>
        <v>2.2779158622089013E-2</v>
      </c>
    </row>
    <row r="64" spans="1:6">
      <c r="A64">
        <f t="shared" si="2"/>
        <v>62</v>
      </c>
      <c r="B64">
        <f>Appendix_11.PolicyOption2Model!U68</f>
        <v>0.97869023764129071</v>
      </c>
      <c r="C64">
        <f t="shared" si="0"/>
        <v>2.1309762358709294E-2</v>
      </c>
      <c r="E64">
        <f>Appendix_11.PolicyOption3Model!U68</f>
        <v>0.97869023764128948</v>
      </c>
      <c r="F64">
        <f t="shared" si="1"/>
        <v>2.1309762358710516E-2</v>
      </c>
    </row>
    <row r="65" spans="1:6">
      <c r="A65">
        <f t="shared" si="2"/>
        <v>63</v>
      </c>
      <c r="B65">
        <f>Appendix_11.PolicyOption2Model!U69</f>
        <v>0.98006645487343302</v>
      </c>
      <c r="C65">
        <f t="shared" si="0"/>
        <v>1.9933545126566976E-2</v>
      </c>
      <c r="E65">
        <f>Appendix_11.PolicyOption3Model!U69</f>
        <v>0.9800664548734318</v>
      </c>
      <c r="F65">
        <f t="shared" si="1"/>
        <v>1.9933545126568197E-2</v>
      </c>
    </row>
    <row r="66" spans="1:6">
      <c r="A66">
        <f t="shared" si="2"/>
        <v>64</v>
      </c>
      <c r="B66">
        <f>Appendix_11.PolicyOption2Model!U70</f>
        <v>0.98135527405362322</v>
      </c>
      <c r="C66">
        <f t="shared" si="0"/>
        <v>1.8644725946376783E-2</v>
      </c>
      <c r="E66">
        <f>Appendix_11.PolicyOption3Model!U70</f>
        <v>0.981355274053622</v>
      </c>
      <c r="F66">
        <f t="shared" si="1"/>
        <v>1.8644725946378005E-2</v>
      </c>
    </row>
    <row r="67" spans="1:6">
      <c r="A67">
        <f t="shared" si="2"/>
        <v>65</v>
      </c>
      <c r="B67">
        <f>Appendix_11.PolicyOption2Model!U71</f>
        <v>0.98256212794512021</v>
      </c>
      <c r="C67">
        <f t="shared" ref="C67:C101" si="3">1-B67</f>
        <v>1.7437872054879788E-2</v>
      </c>
      <c r="E67">
        <f>Appendix_11.PolicyOption3Model!U71</f>
        <v>0.98256212794511899</v>
      </c>
      <c r="F67">
        <f t="shared" ref="F67:F101" si="4">1-E67</f>
        <v>1.743787205488101E-2</v>
      </c>
    </row>
    <row r="68" spans="1:6">
      <c r="A68">
        <f t="shared" ref="A68:A101" si="5">A67+1</f>
        <v>66</v>
      </c>
      <c r="B68">
        <f>Appendix_11.PolicyOption2Model!U72</f>
        <v>0.98369212118320259</v>
      </c>
      <c r="C68">
        <f t="shared" si="3"/>
        <v>1.6307878816797405E-2</v>
      </c>
      <c r="E68">
        <f>Appendix_11.PolicyOption3Model!U72</f>
        <v>0.98369212118320148</v>
      </c>
      <c r="F68">
        <f t="shared" si="4"/>
        <v>1.6307878816798516E-2</v>
      </c>
    </row>
    <row r="69" spans="1:6">
      <c r="A69">
        <f t="shared" si="5"/>
        <v>67</v>
      </c>
      <c r="B69">
        <f>Appendix_11.PolicyOption2Model!U73</f>
        <v>0.98475004928375542</v>
      </c>
      <c r="C69">
        <f t="shared" si="3"/>
        <v>1.5249950716244576E-2</v>
      </c>
      <c r="E69">
        <f>Appendix_11.PolicyOption3Model!U73</f>
        <v>0.98475004928375431</v>
      </c>
      <c r="F69">
        <f t="shared" si="4"/>
        <v>1.5249950716245686E-2</v>
      </c>
    </row>
    <row r="70" spans="1:6">
      <c r="A70">
        <f t="shared" si="5"/>
        <v>68</v>
      </c>
      <c r="B70">
        <f>Appendix_11.PolicyOption2Model!U74</f>
        <v>0.98574041662274059</v>
      </c>
      <c r="C70">
        <f t="shared" si="3"/>
        <v>1.425958337725941E-2</v>
      </c>
      <c r="E70">
        <f>Appendix_11.PolicyOption3Model!U74</f>
        <v>0.98574041662273948</v>
      </c>
      <c r="F70">
        <f t="shared" si="4"/>
        <v>1.4259583377260521E-2</v>
      </c>
    </row>
    <row r="71" spans="1:6">
      <c r="A71">
        <f t="shared" si="5"/>
        <v>69</v>
      </c>
      <c r="B71">
        <f>Appendix_11.PolicyOption2Model!U75</f>
        <v>0.9866674534353651</v>
      </c>
      <c r="C71">
        <f t="shared" si="3"/>
        <v>1.3332546564634895E-2</v>
      </c>
      <c r="E71">
        <f>Appendix_11.PolicyOption3Model!U75</f>
        <v>0.98666745343536388</v>
      </c>
      <c r="F71">
        <f t="shared" si="4"/>
        <v>1.3332546564636116E-2</v>
      </c>
    </row>
    <row r="72" spans="1:6">
      <c r="A72">
        <f t="shared" si="5"/>
        <v>70</v>
      </c>
      <c r="B72">
        <f>Appendix_11.PolicyOption2Model!U76</f>
        <v>0.98753513188218789</v>
      </c>
      <c r="C72">
        <f t="shared" si="3"/>
        <v>1.2464868117812111E-2</v>
      </c>
      <c r="E72">
        <f>Appendix_11.PolicyOption3Model!U76</f>
        <v>0.98753513188218656</v>
      </c>
      <c r="F72">
        <f t="shared" si="4"/>
        <v>1.2464868117813444E-2</v>
      </c>
    </row>
    <row r="73" spans="1:6">
      <c r="A73">
        <f t="shared" si="5"/>
        <v>71</v>
      </c>
      <c r="B73">
        <f>Appendix_11.PolicyOption2Model!U77</f>
        <v>0.98834718122777609</v>
      </c>
      <c r="C73">
        <f t="shared" si="3"/>
        <v>1.1652818772223905E-2</v>
      </c>
      <c r="E73">
        <f>Appendix_11.PolicyOption3Model!U77</f>
        <v>0.98834718122777476</v>
      </c>
      <c r="F73">
        <f t="shared" si="4"/>
        <v>1.1652818772225237E-2</v>
      </c>
    </row>
    <row r="74" spans="1:6">
      <c r="A74">
        <f t="shared" si="5"/>
        <v>72</v>
      </c>
      <c r="B74">
        <f>Appendix_11.PolicyOption2Model!U78</f>
        <v>0.98910710217587816</v>
      </c>
      <c r="C74">
        <f t="shared" si="3"/>
        <v>1.0892897824121839E-2</v>
      </c>
      <c r="E74">
        <f>Appendix_11.PolicyOption3Model!U78</f>
        <v>0.98910710217587683</v>
      </c>
      <c r="F74">
        <f t="shared" si="4"/>
        <v>1.0892897824123171E-2</v>
      </c>
    </row>
    <row r="75" spans="1:6">
      <c r="A75">
        <f t="shared" si="5"/>
        <v>73</v>
      </c>
      <c r="B75">
        <f>Appendix_11.PolicyOption2Model!U79</f>
        <v>0.9898181804034184</v>
      </c>
      <c r="C75">
        <f t="shared" si="3"/>
        <v>1.0181819596581598E-2</v>
      </c>
      <c r="E75">
        <f>Appendix_11.PolicyOption3Model!U79</f>
        <v>0.98981818040341707</v>
      </c>
      <c r="F75">
        <f t="shared" si="4"/>
        <v>1.0181819596582931E-2</v>
      </c>
    </row>
    <row r="76" spans="1:6">
      <c r="A76">
        <f t="shared" si="5"/>
        <v>74</v>
      </c>
      <c r="B76">
        <f>Appendix_11.PolicyOption2Model!U80</f>
        <v>0.99048349933396262</v>
      </c>
      <c r="C76">
        <f t="shared" si="3"/>
        <v>9.5165006660373752E-3</v>
      </c>
      <c r="E76">
        <f>Appendix_11.PolicyOption3Model!U80</f>
        <v>0.99048349933396129</v>
      </c>
      <c r="F76">
        <f t="shared" si="4"/>
        <v>9.5165006660387075E-3</v>
      </c>
    </row>
    <row r="77" spans="1:6">
      <c r="A77">
        <f t="shared" si="5"/>
        <v>75</v>
      </c>
      <c r="B77">
        <f>Appendix_11.PolicyOption2Model!U81</f>
        <v>0.99110595218965403</v>
      </c>
      <c r="C77">
        <f t="shared" si="3"/>
        <v>8.894047810345973E-3</v>
      </c>
      <c r="E77">
        <f>Appendix_11.PolicyOption3Model!U81</f>
        <v>0.99110595218965269</v>
      </c>
      <c r="F77">
        <f t="shared" si="4"/>
        <v>8.8940478103473053E-3</v>
      </c>
    </row>
    <row r="78" spans="1:6">
      <c r="A78">
        <f t="shared" si="5"/>
        <v>76</v>
      </c>
      <c r="B78">
        <f>Appendix_11.PolicyOption2Model!U82</f>
        <v>0.99168825335899324</v>
      </c>
      <c r="C78">
        <f t="shared" si="3"/>
        <v>8.3117466410067564E-3</v>
      </c>
      <c r="E78">
        <f>Appendix_11.PolicyOption3Model!U82</f>
        <v>0.99168825335899191</v>
      </c>
      <c r="F78">
        <f t="shared" si="4"/>
        <v>8.3117466410080887E-3</v>
      </c>
    </row>
    <row r="79" spans="1:6">
      <c r="A79">
        <f t="shared" si="5"/>
        <v>77</v>
      </c>
      <c r="B79">
        <f>Appendix_11.PolicyOption2Model!U83</f>
        <v>0.99223294911623061</v>
      </c>
      <c r="C79">
        <f t="shared" si="3"/>
        <v>7.7670508837693886E-3</v>
      </c>
      <c r="E79">
        <f>Appendix_11.PolicyOption3Model!U83</f>
        <v>0.99223294911622928</v>
      </c>
      <c r="F79">
        <f t="shared" si="4"/>
        <v>7.7670508837707208E-3</v>
      </c>
    </row>
    <row r="80" spans="1:6">
      <c r="A80">
        <f t="shared" si="5"/>
        <v>78</v>
      </c>
      <c r="B80">
        <f>Appendix_11.PolicyOption2Model!U84</f>
        <v>0.99274242772657073</v>
      </c>
      <c r="C80">
        <f t="shared" si="3"/>
        <v>7.2575722734292691E-3</v>
      </c>
      <c r="E80">
        <f>Appendix_11.PolicyOption3Model!U84</f>
        <v>0.9927424277265694</v>
      </c>
      <c r="F80">
        <f t="shared" si="4"/>
        <v>7.2575722734306014E-3</v>
      </c>
    </row>
    <row r="81" spans="1:6">
      <c r="A81">
        <f t="shared" si="5"/>
        <v>79</v>
      </c>
      <c r="B81">
        <f>Appendix_11.PolicyOption2Model!U85</f>
        <v>0.99321892896985309</v>
      </c>
      <c r="C81">
        <f t="shared" si="3"/>
        <v>6.7810710301469124E-3</v>
      </c>
      <c r="E81">
        <f>Appendix_11.PolicyOption3Model!U85</f>
        <v>0.99321892896985176</v>
      </c>
      <c r="F81">
        <f t="shared" si="4"/>
        <v>6.7810710301482446E-3</v>
      </c>
    </row>
    <row r="82" spans="1:6">
      <c r="A82">
        <f t="shared" si="5"/>
        <v>80</v>
      </c>
      <c r="B82">
        <f>Appendix_11.PolicyOption2Model!U86</f>
        <v>0.99366455311387891</v>
      </c>
      <c r="C82">
        <f t="shared" si="3"/>
        <v>6.3354468861210878E-3</v>
      </c>
      <c r="E82">
        <f>Appendix_11.PolicyOption3Model!U86</f>
        <v>0.99366455311387769</v>
      </c>
      <c r="F82">
        <f t="shared" si="4"/>
        <v>6.335446886122309E-3</v>
      </c>
    </row>
    <row r="83" spans="1:6">
      <c r="A83">
        <f t="shared" si="5"/>
        <v>81</v>
      </c>
      <c r="B83">
        <f>Appendix_11.PolicyOption2Model!U87</f>
        <v>0.99408126936710117</v>
      </c>
      <c r="C83">
        <f t="shared" si="3"/>
        <v>5.9187306328988276E-3</v>
      </c>
      <c r="E83">
        <f>Appendix_11.PolicyOption3Model!U87</f>
        <v>0.99408126936709995</v>
      </c>
      <c r="F83">
        <f t="shared" si="4"/>
        <v>5.9187306329000489E-3</v>
      </c>
    </row>
    <row r="84" spans="1:6">
      <c r="A84">
        <f t="shared" si="5"/>
        <v>82</v>
      </c>
      <c r="B84">
        <f>Appendix_11.PolicyOption2Model!U88</f>
        <v>0.9944709238389855</v>
      </c>
      <c r="C84">
        <f t="shared" si="3"/>
        <v>5.5290761610145012E-3</v>
      </c>
      <c r="E84">
        <f>Appendix_11.PolicyOption3Model!U88</f>
        <v>0.99447092383898439</v>
      </c>
      <c r="F84">
        <f t="shared" si="4"/>
        <v>5.5290761610156114E-3</v>
      </c>
    </row>
    <row r="85" spans="1:6">
      <c r="A85">
        <f t="shared" si="5"/>
        <v>83</v>
      </c>
      <c r="B85">
        <f>Appendix_11.PolicyOption2Model!U89</f>
        <v>0.99483524703499293</v>
      </c>
      <c r="C85">
        <f t="shared" si="3"/>
        <v>5.1647529650070689E-3</v>
      </c>
      <c r="E85">
        <f>Appendix_11.PolicyOption3Model!U89</f>
        <v>0.99483524703499182</v>
      </c>
      <c r="F85">
        <f t="shared" si="4"/>
        <v>5.1647529650081792E-3</v>
      </c>
    </row>
    <row r="86" spans="1:6">
      <c r="A86">
        <f t="shared" si="5"/>
        <v>84</v>
      </c>
      <c r="B86">
        <f>Appendix_11.PolicyOption2Model!U90</f>
        <v>0.99517586091181476</v>
      </c>
      <c r="C86">
        <f t="shared" si="3"/>
        <v>4.824139088185242E-3</v>
      </c>
      <c r="E86">
        <f>Appendix_11.PolicyOption3Model!U90</f>
        <v>0.99517586091181354</v>
      </c>
      <c r="F86">
        <f t="shared" si="4"/>
        <v>4.8241390881864632E-3</v>
      </c>
    </row>
    <row r="87" spans="1:6">
      <c r="A87">
        <f t="shared" si="5"/>
        <v>85</v>
      </c>
      <c r="B87">
        <f>Appendix_11.PolicyOption2Model!U91</f>
        <v>0.99549428551722796</v>
      </c>
      <c r="C87">
        <f t="shared" si="3"/>
        <v>4.5057144827720386E-3</v>
      </c>
      <c r="E87">
        <f>Appendix_11.PolicyOption3Model!U91</f>
        <v>0.99549428551722674</v>
      </c>
      <c r="F87">
        <f t="shared" si="4"/>
        <v>4.5057144827732598E-3</v>
      </c>
    </row>
    <row r="88" spans="1:6">
      <c r="A88">
        <f t="shared" si="5"/>
        <v>86</v>
      </c>
      <c r="B88">
        <f>Appendix_11.PolicyOption2Model!U92</f>
        <v>0.99579194523771997</v>
      </c>
      <c r="C88">
        <f t="shared" si="3"/>
        <v>4.2080547622800335E-3</v>
      </c>
      <c r="E88">
        <f>Appendix_11.PolicyOption3Model!U92</f>
        <v>0.99579194523771863</v>
      </c>
      <c r="F88">
        <f t="shared" si="4"/>
        <v>4.2080547622813658E-3</v>
      </c>
    </row>
    <row r="89" spans="1:6">
      <c r="A89">
        <f t="shared" si="5"/>
        <v>87</v>
      </c>
      <c r="B89">
        <f>Appendix_11.PolicyOption2Model!U93</f>
        <v>0.99607017467585712</v>
      </c>
      <c r="C89">
        <f t="shared" si="3"/>
        <v>3.9298253241428771E-3</v>
      </c>
      <c r="E89">
        <f>Appendix_11.PolicyOption3Model!U93</f>
        <v>0.99607017467585568</v>
      </c>
      <c r="F89">
        <f t="shared" si="4"/>
        <v>3.9298253241443204E-3</v>
      </c>
    </row>
    <row r="90" spans="1:6">
      <c r="A90">
        <f t="shared" si="5"/>
        <v>88</v>
      </c>
      <c r="B90">
        <f>Appendix_11.PolicyOption2Model!U94</f>
        <v>0.99633022417825379</v>
      </c>
      <c r="C90">
        <f t="shared" si="3"/>
        <v>3.6697758217462129E-3</v>
      </c>
      <c r="E90">
        <f>Appendix_11.PolicyOption3Model!U94</f>
        <v>0.99633022417825234</v>
      </c>
      <c r="F90">
        <f t="shared" si="4"/>
        <v>3.6697758217476562E-3</v>
      </c>
    </row>
    <row r="91" spans="1:6">
      <c r="A91">
        <f t="shared" si="5"/>
        <v>89</v>
      </c>
      <c r="B91">
        <f>Appendix_11.PolicyOption2Model!U95</f>
        <v>0.99657326503391785</v>
      </c>
      <c r="C91">
        <f t="shared" si="3"/>
        <v>3.4267349660821456E-3</v>
      </c>
      <c r="E91">
        <f>Appendix_11.PolicyOption3Model!U95</f>
        <v>0.99657326503391641</v>
      </c>
      <c r="F91">
        <f t="shared" si="4"/>
        <v>3.4267349660835889E-3</v>
      </c>
    </row>
    <row r="92" spans="1:6">
      <c r="A92">
        <f t="shared" si="5"/>
        <v>90</v>
      </c>
      <c r="B92">
        <f>Appendix_11.PolicyOption2Model!U96</f>
        <v>0.99680039436171863</v>
      </c>
      <c r="C92">
        <f t="shared" si="3"/>
        <v>3.1996056382813665E-3</v>
      </c>
      <c r="E92">
        <f>Appendix_11.PolicyOption3Model!U96</f>
        <v>0.99680039436171708</v>
      </c>
      <c r="F92">
        <f t="shared" si="4"/>
        <v>3.1996056382829208E-3</v>
      </c>
    </row>
    <row r="93" spans="1:6">
      <c r="A93">
        <f t="shared" si="5"/>
        <v>91</v>
      </c>
      <c r="B93">
        <f>Appendix_11.PolicyOption2Model!U97</f>
        <v>0.99701263970473974</v>
      </c>
      <c r="C93">
        <f t="shared" si="3"/>
        <v>2.9873602952602551E-3</v>
      </c>
      <c r="E93">
        <f>Appendix_11.PolicyOption3Model!U97</f>
        <v>0.99701263970473819</v>
      </c>
      <c r="F93">
        <f t="shared" si="4"/>
        <v>2.9873602952618095E-3</v>
      </c>
    </row>
    <row r="94" spans="1:6">
      <c r="A94">
        <f t="shared" si="5"/>
        <v>92</v>
      </c>
      <c r="B94">
        <f>Appendix_11.PolicyOption2Model!U98</f>
        <v>0.99721096334833659</v>
      </c>
      <c r="C94">
        <f t="shared" si="3"/>
        <v>2.7890366516634124E-3</v>
      </c>
      <c r="E94">
        <f>Appendix_11.PolicyOption3Model!U98</f>
        <v>0.99721096334833503</v>
      </c>
      <c r="F94">
        <f t="shared" si="4"/>
        <v>2.7890366516649667E-3</v>
      </c>
    </row>
    <row r="95" spans="1:6">
      <c r="A95">
        <f t="shared" si="5"/>
        <v>93</v>
      </c>
      <c r="B95">
        <f>Appendix_11.PolicyOption2Model!U99</f>
        <v>0.99739626637781964</v>
      </c>
      <c r="C95">
        <f t="shared" si="3"/>
        <v>2.6037336221803598E-3</v>
      </c>
      <c r="E95">
        <f>Appendix_11.PolicyOption3Model!U99</f>
        <v>0.99739626637781797</v>
      </c>
      <c r="F95">
        <f t="shared" si="4"/>
        <v>2.6037336221820251E-3</v>
      </c>
    </row>
    <row r="96" spans="1:6">
      <c r="A96">
        <f t="shared" si="5"/>
        <v>94</v>
      </c>
      <c r="B96">
        <f>Appendix_11.PolicyOption2Model!U100</f>
        <v>0.99756939249082821</v>
      </c>
      <c r="C96">
        <f t="shared" si="3"/>
        <v>2.4306075091717894E-3</v>
      </c>
      <c r="E96">
        <f>Appendix_11.PolicyOption3Model!U100</f>
        <v>0.99756939249082655</v>
      </c>
      <c r="F96">
        <f t="shared" si="4"/>
        <v>2.4306075091734547E-3</v>
      </c>
    </row>
    <row r="97" spans="1:6">
      <c r="A97">
        <f t="shared" si="5"/>
        <v>95</v>
      </c>
      <c r="B97">
        <f>Appendix_11.PolicyOption2Model!U101</f>
        <v>0.99773113157864479</v>
      </c>
      <c r="C97">
        <f t="shared" si="3"/>
        <v>2.2688684213552079E-3</v>
      </c>
      <c r="E97">
        <f>Appendix_11.PolicyOption3Model!U101</f>
        <v>0.99773113157864324</v>
      </c>
      <c r="F97">
        <f t="shared" si="4"/>
        <v>2.2688684213567623E-3</v>
      </c>
    </row>
    <row r="98" spans="1:6">
      <c r="A98">
        <f t="shared" si="5"/>
        <v>96</v>
      </c>
      <c r="B98">
        <f>Appendix_11.PolicyOption2Model!U102</f>
        <v>0.99788222308992003</v>
      </c>
      <c r="C98">
        <f t="shared" si="3"/>
        <v>2.1177769100799715E-3</v>
      </c>
      <c r="E98">
        <f>Appendix_11.PolicyOption3Model!U102</f>
        <v>0.99788222308991836</v>
      </c>
      <c r="F98">
        <f t="shared" si="4"/>
        <v>2.1177769100816368E-3</v>
      </c>
    </row>
    <row r="99" spans="1:6">
      <c r="A99">
        <f t="shared" si="5"/>
        <v>97</v>
      </c>
      <c r="B99">
        <f>Appendix_11.PolicyOption2Model!U103</f>
        <v>0.99802335918954033</v>
      </c>
      <c r="C99">
        <f t="shared" si="3"/>
        <v>1.9766408104596733E-3</v>
      </c>
      <c r="E99">
        <f>Appendix_11.PolicyOption3Model!U103</f>
        <v>0.99802335918953866</v>
      </c>
      <c r="F99">
        <f t="shared" si="4"/>
        <v>1.9766408104613387E-3</v>
      </c>
    </row>
    <row r="100" spans="1:6">
      <c r="A100">
        <f t="shared" si="5"/>
        <v>98</v>
      </c>
      <c r="B100">
        <f>Appendix_11.PolicyOption2Model!U104</f>
        <v>0.99815518772466882</v>
      </c>
      <c r="C100">
        <f t="shared" si="3"/>
        <v>1.8448122753311758E-3</v>
      </c>
      <c r="E100">
        <f>Appendix_11.PolicyOption3Model!U104</f>
        <v>0.99815518772466716</v>
      </c>
      <c r="F100">
        <f t="shared" si="4"/>
        <v>1.8448122753328411E-3</v>
      </c>
    </row>
    <row r="101" spans="1:6">
      <c r="A101">
        <f t="shared" si="5"/>
        <v>99</v>
      </c>
      <c r="B101">
        <f>Appendix_11.PolicyOption2Model!U105</f>
        <v>0.9982783150093183</v>
      </c>
      <c r="C101">
        <f t="shared" si="3"/>
        <v>1.7216849906817044E-3</v>
      </c>
      <c r="E101">
        <f>Appendix_11.PolicyOption3Model!U105</f>
        <v>0.99827831500931674</v>
      </c>
      <c r="F101">
        <f t="shared" si="4"/>
        <v>1.7216849906832588E-3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theme="2" tint="-9.9978637043366805E-2"/>
  </sheetPr>
  <dimension ref="A1:V108"/>
  <sheetViews>
    <sheetView topLeftCell="A63" workbookViewId="0">
      <selection activeCell="A11" sqref="A11"/>
    </sheetView>
  </sheetViews>
  <sheetFormatPr defaultColWidth="8.625" defaultRowHeight="14.25"/>
  <cols>
    <col min="1" max="1" width="18" customWidth="1"/>
    <col min="9" max="9" width="10" bestFit="1" customWidth="1"/>
    <col min="10" max="10" width="11" bestFit="1" customWidth="1"/>
    <col min="11" max="11" width="10" customWidth="1"/>
    <col min="12" max="12" width="1.625" customWidth="1"/>
    <col min="20" max="20" width="2.625" customWidth="1"/>
  </cols>
  <sheetData>
    <row r="1" spans="1:22" s="123" customFormat="1" ht="20.25">
      <c r="A1" s="124" t="s">
        <v>248</v>
      </c>
    </row>
    <row r="2" spans="1:22" s="90" customFormat="1" ht="49.15" customHeight="1">
      <c r="A2" s="64" t="s">
        <v>282</v>
      </c>
      <c r="B2" s="65"/>
      <c r="C2" s="65"/>
      <c r="D2" s="65"/>
      <c r="E2" s="65"/>
      <c r="F2" s="65"/>
      <c r="G2" s="65"/>
      <c r="H2" s="65"/>
      <c r="I2" s="65"/>
      <c r="J2" s="65"/>
      <c r="K2" s="65"/>
      <c r="L2" s="65"/>
      <c r="M2" s="65"/>
      <c r="N2" s="65"/>
      <c r="O2" s="65"/>
      <c r="P2" s="65"/>
      <c r="Q2" s="65"/>
    </row>
    <row r="3" spans="1:22">
      <c r="E3" s="100"/>
      <c r="F3" s="100"/>
      <c r="G3" s="100" t="s">
        <v>261</v>
      </c>
      <c r="H3" s="100"/>
      <c r="I3" s="100"/>
      <c r="J3" s="100"/>
      <c r="K3" s="100"/>
      <c r="M3" s="101"/>
      <c r="N3" s="101"/>
      <c r="O3" s="101" t="s">
        <v>46</v>
      </c>
      <c r="P3" s="101"/>
      <c r="Q3" s="101"/>
      <c r="R3" s="101"/>
      <c r="S3" s="101"/>
    </row>
    <row r="4" spans="1:22" ht="28.5">
      <c r="A4" s="9" t="s">
        <v>262</v>
      </c>
      <c r="B4" t="s">
        <v>263</v>
      </c>
      <c r="C4" t="s">
        <v>264</v>
      </c>
      <c r="D4" t="s">
        <v>265</v>
      </c>
      <c r="E4" t="s">
        <v>266</v>
      </c>
      <c r="F4" t="s">
        <v>42</v>
      </c>
      <c r="G4" t="s">
        <v>267</v>
      </c>
      <c r="H4" t="s">
        <v>268</v>
      </c>
      <c r="I4" t="s">
        <v>269</v>
      </c>
      <c r="J4" t="s">
        <v>49</v>
      </c>
      <c r="K4" t="s">
        <v>51</v>
      </c>
      <c r="M4" t="s">
        <v>270</v>
      </c>
      <c r="N4" t="s">
        <v>45</v>
      </c>
      <c r="O4" t="s">
        <v>271</v>
      </c>
      <c r="P4" t="s">
        <v>272</v>
      </c>
      <c r="Q4" t="s">
        <v>269</v>
      </c>
      <c r="R4" t="s">
        <v>49</v>
      </c>
      <c r="S4" t="s">
        <v>51</v>
      </c>
      <c r="U4" t="s">
        <v>273</v>
      </c>
      <c r="V4" t="s">
        <v>274</v>
      </c>
    </row>
    <row r="5" spans="1:22">
      <c r="A5" s="9"/>
    </row>
    <row r="6" spans="1:22">
      <c r="A6">
        <v>0</v>
      </c>
      <c r="B6">
        <f>A6*365</f>
        <v>0</v>
      </c>
      <c r="C6">
        <f t="shared" ref="C6:C37" si="0">lambda*B6^gamma</f>
        <v>0</v>
      </c>
      <c r="D6">
        <f>(1-EXP(C5-C6))</f>
        <v>0</v>
      </c>
      <c r="E6">
        <v>0</v>
      </c>
      <c r="F6">
        <f t="shared" ref="F6:F37" si="1">SUM(E5:G5)*(1-D6-pHDtoPD)</f>
        <v>0</v>
      </c>
      <c r="G6">
        <f t="shared" ref="G6:G37" si="2">SUM(M5:O5)*pPDtoHD</f>
        <v>0</v>
      </c>
      <c r="H6">
        <f>SUM(E5:G5)*D6</f>
        <v>0</v>
      </c>
      <c r="I6">
        <f t="shared" ref="I6:I37" si="3">((E6+G6)*(cMedHD1+cNonMedHD)+(F6*(cMedHD2+cNonMedHD))/(1+cDC)^A6)</f>
        <v>0</v>
      </c>
      <c r="J6">
        <f t="shared" ref="J6:J37" si="4">(E6+F6+G6)/(1+cDO)^A6</f>
        <v>0</v>
      </c>
      <c r="K6">
        <f t="shared" ref="K6:K37" si="5">J6*uHD</f>
        <v>0</v>
      </c>
      <c r="M6">
        <v>1</v>
      </c>
      <c r="N6">
        <f t="shared" ref="N6:N37" si="6">SUM(M5:O5)*(1-D6-pPDtoHD)</f>
        <v>0</v>
      </c>
      <c r="O6">
        <f t="shared" ref="O6:O37" si="7">SUM(E5:G5)*pHDtoPD</f>
        <v>0</v>
      </c>
      <c r="P6">
        <f>SUM(M5:O5)*D6</f>
        <v>0</v>
      </c>
      <c r="Q6">
        <f t="shared" ref="Q6:Q37" si="8">(((M6+O6)*(cMedPD1+cNonMedPD))+(N6*(cMedPD2+cNonMedPD)))/(1+cDC)^A6</f>
        <v>43071.561000000002</v>
      </c>
      <c r="R6">
        <f t="shared" ref="R6:R37" si="9">(M6+N6+O6)/(1+cDO)^A6</f>
        <v>1</v>
      </c>
      <c r="S6">
        <f t="shared" ref="S6:S37" si="10">R6*uPD</f>
        <v>0.71</v>
      </c>
      <c r="U6">
        <f>U5+H6+P6</f>
        <v>0</v>
      </c>
      <c r="V6" t="b">
        <f>SUM(E6:G6)+SUM(M6:O6)+U6=1</f>
        <v>1</v>
      </c>
    </row>
    <row r="7" spans="1:22">
      <c r="A7">
        <f>A6+1</f>
        <v>1</v>
      </c>
      <c r="B7">
        <f t="shared" ref="B7:B70" si="11">A7*365</f>
        <v>365</v>
      </c>
      <c r="C7">
        <f t="shared" si="0"/>
        <v>4.557454132009435E-2</v>
      </c>
      <c r="D7">
        <f>IF('5.Survival'!$C$3="No",pDeath,(1-EXP(C6-C7)))</f>
        <v>4.4551620466034669E-2</v>
      </c>
      <c r="F7">
        <f t="shared" si="1"/>
        <v>0</v>
      </c>
      <c r="G7">
        <f t="shared" si="2"/>
        <v>2.7E-2</v>
      </c>
      <c r="H7">
        <f t="shared" ref="H7:H70" si="12">SUM(E6:G6)*D7</f>
        <v>0</v>
      </c>
      <c r="I7">
        <f t="shared" si="3"/>
        <v>1316.0174219999997</v>
      </c>
      <c r="J7">
        <f t="shared" si="4"/>
        <v>2.6213592233009706E-2</v>
      </c>
      <c r="K7">
        <f t="shared" si="5"/>
        <v>1.7563106796116505E-2</v>
      </c>
      <c r="N7">
        <f t="shared" si="6"/>
        <v>0.92844837953396531</v>
      </c>
      <c r="O7">
        <f t="shared" si="7"/>
        <v>0</v>
      </c>
      <c r="P7">
        <f t="shared" ref="P7:P70" si="13">SUM(M6:O6)*D7</f>
        <v>4.4551620466034669E-2</v>
      </c>
      <c r="Q7">
        <f t="shared" si="8"/>
        <v>34875.009917796604</v>
      </c>
      <c r="R7">
        <f t="shared" si="9"/>
        <v>0.90140619372229636</v>
      </c>
      <c r="S7">
        <f t="shared" si="10"/>
        <v>0.63999839754283039</v>
      </c>
      <c r="U7">
        <f>U6+H7+P7</f>
        <v>4.4551620466034669E-2</v>
      </c>
      <c r="V7" t="b">
        <f t="shared" ref="V7:V70" si="14">SUM(E7:G7)+SUM(M7:O7)+U7=1</f>
        <v>1</v>
      </c>
    </row>
    <row r="8" spans="1:22">
      <c r="A8">
        <f t="shared" ref="A8:A71" si="15">A7+1</f>
        <v>2</v>
      </c>
      <c r="B8">
        <f t="shared" si="11"/>
        <v>730</v>
      </c>
      <c r="C8">
        <f t="shared" si="0"/>
        <v>9.6003917259350882E-2</v>
      </c>
      <c r="D8">
        <f>IF('5.Survival'!$C$3="No",pDeath,(1-EXP(C7-C8)))</f>
        <v>4.9178922853341356E-2</v>
      </c>
      <c r="F8">
        <f t="shared" si="1"/>
        <v>2.5499369082959786E-2</v>
      </c>
      <c r="G8">
        <f t="shared" si="2"/>
        <v>2.5068106247417062E-2</v>
      </c>
      <c r="H8">
        <f t="shared" si="12"/>
        <v>1.3278309170402167E-3</v>
      </c>
      <c r="I8">
        <f t="shared" si="3"/>
        <v>2344.8548697682591</v>
      </c>
      <c r="J8">
        <f t="shared" si="4"/>
        <v>4.7664695381635265E-2</v>
      </c>
      <c r="K8">
        <f t="shared" si="5"/>
        <v>3.1935345905695627E-2</v>
      </c>
      <c r="N8">
        <f t="shared" si="6"/>
        <v>0.85772018205613754</v>
      </c>
      <c r="O8">
        <f t="shared" si="7"/>
        <v>1.728E-4</v>
      </c>
      <c r="P8">
        <f t="shared" si="13"/>
        <v>4.5660091230410677E-2</v>
      </c>
      <c r="Q8">
        <f t="shared" si="8"/>
        <v>31286.8885571994</v>
      </c>
      <c r="R8">
        <f t="shared" si="9"/>
        <v>0.80864641536067261</v>
      </c>
      <c r="S8">
        <f t="shared" si="10"/>
        <v>0.57413895490607747</v>
      </c>
      <c r="U8">
        <f t="shared" ref="U8:U71" si="16">U7+H8+P8</f>
        <v>9.1539542613485569E-2</v>
      </c>
      <c r="V8" t="b">
        <f t="shared" si="14"/>
        <v>1</v>
      </c>
    </row>
    <row r="9" spans="1:22">
      <c r="A9">
        <f t="shared" si="15"/>
        <v>3</v>
      </c>
      <c r="B9">
        <f t="shared" si="11"/>
        <v>1095</v>
      </c>
      <c r="C9">
        <f t="shared" si="0"/>
        <v>0.14844422588024236</v>
      </c>
      <c r="D9">
        <f>IF('5.Survival'!$C$3="No",pDeath,(1-EXP(C8-C9)))</f>
        <v>5.108903883075544E-2</v>
      </c>
      <c r="F9">
        <f t="shared" si="1"/>
        <v>4.7660399777535549E-2</v>
      </c>
      <c r="G9">
        <f t="shared" si="2"/>
        <v>2.3163110515515714E-2</v>
      </c>
      <c r="H9">
        <f t="shared" si="12"/>
        <v>2.5834437107268909E-3</v>
      </c>
      <c r="I9">
        <f t="shared" si="3"/>
        <v>3166.8465084390755</v>
      </c>
      <c r="J9">
        <f t="shared" si="4"/>
        <v>6.4813544730798506E-2</v>
      </c>
      <c r="K9">
        <f t="shared" si="5"/>
        <v>4.3425074969634998E-2</v>
      </c>
      <c r="N9">
        <f t="shared" si="6"/>
        <v>0.79090094366772323</v>
      </c>
      <c r="O9">
        <f t="shared" si="7"/>
        <v>3.2363184211441185E-4</v>
      </c>
      <c r="P9">
        <f t="shared" si="13"/>
        <v>4.382892787289859E-2</v>
      </c>
      <c r="Q9">
        <f t="shared" si="8"/>
        <v>28015.734610400508</v>
      </c>
      <c r="R9">
        <f t="shared" si="9"/>
        <v>0.72408257095307205</v>
      </c>
      <c r="S9">
        <f t="shared" si="10"/>
        <v>0.51409862537668116</v>
      </c>
      <c r="U9">
        <f t="shared" si="16"/>
        <v>0.13795191419711106</v>
      </c>
      <c r="V9" t="b">
        <f t="shared" si="14"/>
        <v>1</v>
      </c>
    </row>
    <row r="10" spans="1:22">
      <c r="A10">
        <f t="shared" si="15"/>
        <v>4</v>
      </c>
      <c r="B10">
        <f t="shared" si="11"/>
        <v>1460</v>
      </c>
      <c r="C10">
        <f t="shared" si="0"/>
        <v>0.20223466571843518</v>
      </c>
      <c r="D10">
        <f>IF('5.Survival'!$C$3="No",pDeath,(1-EXP(C9-C10)))</f>
        <v>5.2369328667749571E-2</v>
      </c>
      <c r="F10">
        <f t="shared" si="1"/>
        <v>6.6661260139235179E-2</v>
      </c>
      <c r="G10">
        <f t="shared" si="2"/>
        <v>2.1363063538765614E-2</v>
      </c>
      <c r="H10">
        <f t="shared" si="12"/>
        <v>3.7089796879405459E-3</v>
      </c>
      <c r="I10">
        <f t="shared" si="3"/>
        <v>3808.5232096304189</v>
      </c>
      <c r="J10">
        <f t="shared" si="4"/>
        <v>7.8208471489442002E-2</v>
      </c>
      <c r="K10">
        <f t="shared" si="5"/>
        <v>5.2399675897926143E-2</v>
      </c>
      <c r="N10">
        <f t="shared" si="6"/>
        <v>0.72842561212619661</v>
      </c>
      <c r="O10">
        <f t="shared" si="7"/>
        <v>4.5327046587552807E-4</v>
      </c>
      <c r="P10">
        <f t="shared" si="13"/>
        <v>4.1435899844875321E-2</v>
      </c>
      <c r="Q10">
        <f t="shared" si="8"/>
        <v>25057.103036660621</v>
      </c>
      <c r="R10">
        <f t="shared" si="9"/>
        <v>0.64759944668231617</v>
      </c>
      <c r="S10">
        <f t="shared" si="10"/>
        <v>0.45979560714444445</v>
      </c>
      <c r="U10">
        <f t="shared" si="16"/>
        <v>0.18309679372992693</v>
      </c>
      <c r="V10" t="b">
        <f t="shared" si="14"/>
        <v>1</v>
      </c>
    </row>
    <row r="11" spans="1:22">
      <c r="A11">
        <f t="shared" si="15"/>
        <v>5</v>
      </c>
      <c r="B11">
        <f t="shared" si="11"/>
        <v>1825</v>
      </c>
      <c r="C11">
        <f t="shared" si="0"/>
        <v>0.25705188674530788</v>
      </c>
      <c r="D11">
        <f>IF('5.Survival'!$C$3="No",pDeath,(1-EXP(C10-C11)))</f>
        <v>5.3341838651969287E-2</v>
      </c>
      <c r="F11">
        <f t="shared" si="1"/>
        <v>8.2765588735380952E-2</v>
      </c>
      <c r="G11">
        <f t="shared" si="2"/>
        <v>1.9679729829985948E-2</v>
      </c>
      <c r="H11">
        <f t="shared" si="12"/>
        <v>4.6953792710806384E-3</v>
      </c>
      <c r="I11">
        <f t="shared" si="3"/>
        <v>4294.9304669169842</v>
      </c>
      <c r="J11">
        <f t="shared" si="4"/>
        <v>8.8370231713519584E-2</v>
      </c>
      <c r="K11">
        <f t="shared" si="5"/>
        <v>5.9208055248058125E-2</v>
      </c>
      <c r="N11">
        <f t="shared" si="6"/>
        <v>0.67031941301003217</v>
      </c>
      <c r="O11">
        <f t="shared" si="7"/>
        <v>5.6335567153920508E-4</v>
      </c>
      <c r="P11">
        <f t="shared" si="13"/>
        <v>3.8879739752053978E-2</v>
      </c>
      <c r="Q11">
        <f t="shared" si="8"/>
        <v>22392.140911959697</v>
      </c>
      <c r="R11">
        <f t="shared" si="9"/>
        <v>0.57870936955669261</v>
      </c>
      <c r="S11">
        <f t="shared" si="10"/>
        <v>0.41088365238525171</v>
      </c>
      <c r="U11">
        <f t="shared" si="16"/>
        <v>0.22667191275306153</v>
      </c>
      <c r="V11" t="b">
        <f t="shared" si="14"/>
        <v>1</v>
      </c>
    </row>
    <row r="12" spans="1:22">
      <c r="A12">
        <f t="shared" si="15"/>
        <v>6</v>
      </c>
      <c r="B12">
        <f t="shared" si="11"/>
        <v>2190</v>
      </c>
      <c r="C12">
        <f t="shared" si="0"/>
        <v>0.31270149443614148</v>
      </c>
      <c r="D12">
        <f>IF('5.Survival'!$C$3="No",pDeath,(1-EXP(C11-C12)))</f>
        <v>5.4129496417416822E-2</v>
      </c>
      <c r="F12">
        <f t="shared" si="1"/>
        <v>9.6244355022283401E-2</v>
      </c>
      <c r="G12">
        <f t="shared" si="2"/>
        <v>1.8113834754402428E-2</v>
      </c>
      <c r="H12">
        <f t="shared" si="12"/>
        <v>5.5453135042651527E-3</v>
      </c>
      <c r="I12">
        <f t="shared" si="3"/>
        <v>4648.8640636967957</v>
      </c>
      <c r="J12">
        <f t="shared" si="4"/>
        <v>9.5773183560816016E-2</v>
      </c>
      <c r="K12">
        <f t="shared" si="5"/>
        <v>6.4168032985746734E-2</v>
      </c>
      <c r="N12">
        <f t="shared" si="6"/>
        <v>0.61645438750331316</v>
      </c>
      <c r="O12">
        <f t="shared" si="7"/>
        <v>6.5565003881834819E-4</v>
      </c>
      <c r="P12">
        <f t="shared" si="13"/>
        <v>3.6314546423855794E-2</v>
      </c>
      <c r="Q12">
        <f t="shared" si="8"/>
        <v>19997.942777784148</v>
      </c>
      <c r="R12">
        <f t="shared" si="9"/>
        <v>0.51681994108299412</v>
      </c>
      <c r="S12">
        <f t="shared" si="10"/>
        <v>0.36694215816892578</v>
      </c>
      <c r="U12">
        <f t="shared" si="16"/>
        <v>0.2685317726811825</v>
      </c>
      <c r="V12" t="b">
        <f t="shared" si="14"/>
        <v>1</v>
      </c>
    </row>
    <row r="13" spans="1:22">
      <c r="A13">
        <f t="shared" si="15"/>
        <v>7</v>
      </c>
      <c r="B13">
        <f t="shared" si="11"/>
        <v>2555</v>
      </c>
      <c r="C13">
        <f t="shared" si="0"/>
        <v>0.36905298893494787</v>
      </c>
      <c r="D13">
        <f>IF('5.Survival'!$C$3="No",pDeath,(1-EXP(C12-C13)))</f>
        <v>5.4793157511202839E-2</v>
      </c>
      <c r="F13">
        <f t="shared" si="1"/>
        <v>0.10736025105698507</v>
      </c>
      <c r="G13">
        <f t="shared" si="2"/>
        <v>1.6661971013637551E-2</v>
      </c>
      <c r="H13">
        <f t="shared" si="12"/>
        <v>6.2660463051299724E-3</v>
      </c>
      <c r="I13">
        <f t="shared" si="3"/>
        <v>4890.6979181603729</v>
      </c>
      <c r="J13">
        <f t="shared" si="4"/>
        <v>0.1008414159835636</v>
      </c>
      <c r="K13">
        <f t="shared" si="5"/>
        <v>6.7563748708987612E-2</v>
      </c>
      <c r="N13">
        <f t="shared" si="6"/>
        <v>0.56663465903970367</v>
      </c>
      <c r="O13">
        <f t="shared" si="7"/>
        <v>7.3189241457078931E-4</v>
      </c>
      <c r="P13">
        <f t="shared" si="13"/>
        <v>3.381340748879031E-2</v>
      </c>
      <c r="Q13">
        <f t="shared" si="8"/>
        <v>17850.911846822699</v>
      </c>
      <c r="R13">
        <f t="shared" si="9"/>
        <v>0.46132092680762277</v>
      </c>
      <c r="S13">
        <f t="shared" si="10"/>
        <v>0.32753785803341212</v>
      </c>
      <c r="U13">
        <f t="shared" si="16"/>
        <v>0.30861122647510275</v>
      </c>
      <c r="V13" t="b">
        <f t="shared" si="14"/>
        <v>1</v>
      </c>
    </row>
    <row r="14" spans="1:22">
      <c r="A14">
        <f t="shared" si="15"/>
        <v>8</v>
      </c>
      <c r="B14">
        <f t="shared" si="11"/>
        <v>2920</v>
      </c>
      <c r="C14">
        <f t="shared" si="0"/>
        <v>0.42601240851204558</v>
      </c>
      <c r="D14">
        <f>IF('5.Survival'!$C$3="No",pDeath,(1-EXP(C13-C14)))</f>
        <v>5.5367597828895332E-2</v>
      </c>
      <c r="F14">
        <f t="shared" si="1"/>
        <v>0.11636166733591846</v>
      </c>
      <c r="G14">
        <f t="shared" si="2"/>
        <v>1.5318896889265412E-2</v>
      </c>
      <c r="H14">
        <f t="shared" si="12"/>
        <v>6.86681251345218E-3</v>
      </c>
      <c r="I14">
        <f t="shared" si="3"/>
        <v>5038.4412958069097</v>
      </c>
      <c r="J14">
        <f t="shared" si="4"/>
        <v>0.10394985337902944</v>
      </c>
      <c r="K14">
        <f t="shared" si="5"/>
        <v>6.9646401763949733E-2</v>
      </c>
      <c r="N14">
        <f t="shared" si="6"/>
        <v>0.52063393152252158</v>
      </c>
      <c r="O14">
        <f t="shared" si="7"/>
        <v>7.9374222125198478E-4</v>
      </c>
      <c r="P14">
        <f t="shared" si="13"/>
        <v>3.1413723042487518E-2</v>
      </c>
      <c r="Q14">
        <f t="shared" si="8"/>
        <v>15928.13586717269</v>
      </c>
      <c r="R14">
        <f t="shared" si="9"/>
        <v>0.41161982068016895</v>
      </c>
      <c r="S14">
        <f t="shared" si="10"/>
        <v>0.29225007268291991</v>
      </c>
      <c r="U14">
        <f t="shared" si="16"/>
        <v>0.34689176203104244</v>
      </c>
      <c r="V14" t="b">
        <f t="shared" si="14"/>
        <v>1</v>
      </c>
    </row>
    <row r="15" spans="1:22">
      <c r="A15">
        <f t="shared" si="15"/>
        <v>9</v>
      </c>
      <c r="B15">
        <f t="shared" si="11"/>
        <v>3285</v>
      </c>
      <c r="C15">
        <f t="shared" si="0"/>
        <v>0.48350872129279349</v>
      </c>
      <c r="D15">
        <f>IF('5.Survival'!$C$3="No",pDeath,(1-EXP(C14-C15)))</f>
        <v>5.5874628422749262E-2</v>
      </c>
      <c r="F15">
        <f t="shared" si="1"/>
        <v>0.12348020601756259</v>
      </c>
      <c r="G15">
        <f t="shared" si="2"/>
        <v>1.4078547191081885E-2</v>
      </c>
      <c r="H15">
        <f t="shared" si="12"/>
        <v>7.3576025965801182E-3</v>
      </c>
      <c r="I15">
        <f t="shared" si="3"/>
        <v>5107.8881769061918</v>
      </c>
      <c r="J15">
        <f t="shared" si="4"/>
        <v>0.1054273301394327</v>
      </c>
      <c r="K15">
        <f t="shared" si="5"/>
        <v>7.0636311193419912E-2</v>
      </c>
      <c r="N15">
        <f t="shared" si="6"/>
        <v>0.47821454903291977</v>
      </c>
      <c r="O15">
        <f t="shared" si="7"/>
        <v>8.4275561104117679E-4</v>
      </c>
      <c r="P15">
        <f t="shared" si="13"/>
        <v>2.9134577519771877E-2</v>
      </c>
      <c r="Q15">
        <f t="shared" si="8"/>
        <v>14207.99415205623</v>
      </c>
      <c r="R15">
        <f t="shared" si="9"/>
        <v>0.36715753403057</v>
      </c>
      <c r="S15">
        <f t="shared" si="10"/>
        <v>0.26068184916170467</v>
      </c>
      <c r="U15">
        <f t="shared" si="16"/>
        <v>0.38338394214739446</v>
      </c>
      <c r="V15" t="b">
        <f t="shared" si="14"/>
        <v>1</v>
      </c>
    </row>
    <row r="16" spans="1:22">
      <c r="A16">
        <f t="shared" si="15"/>
        <v>10</v>
      </c>
      <c r="B16">
        <f t="shared" si="11"/>
        <v>3650</v>
      </c>
      <c r="C16">
        <f t="shared" si="0"/>
        <v>0.54148626298024283</v>
      </c>
      <c r="D16">
        <f>IF('5.Survival'!$C$3="No",pDeath,(1-EXP(C15-C16)))</f>
        <v>5.6328859539764631E-2</v>
      </c>
      <c r="F16">
        <f t="shared" si="1"/>
        <v>0.12892984950015426</v>
      </c>
      <c r="G16">
        <f t="shared" si="2"/>
        <v>1.2934547225386946E-2</v>
      </c>
      <c r="H16">
        <f t="shared" si="12"/>
        <v>7.7485276879548813E-3</v>
      </c>
      <c r="I16">
        <f t="shared" si="3"/>
        <v>5112.8026792311612</v>
      </c>
      <c r="J16">
        <f t="shared" si="4"/>
        <v>0.10556043434397012</v>
      </c>
      <c r="K16">
        <f t="shared" si="5"/>
        <v>7.0725491010459982E-2</v>
      </c>
      <c r="N16">
        <f t="shared" si="6"/>
        <v>0.43913800579378609</v>
      </c>
      <c r="O16">
        <f t="shared" si="7"/>
        <v>8.8037602053532462E-4</v>
      </c>
      <c r="P16">
        <f t="shared" si="13"/>
        <v>2.698475162478791E-2</v>
      </c>
      <c r="Q16">
        <f t="shared" si="8"/>
        <v>12670.413199635765</v>
      </c>
      <c r="R16">
        <f t="shared" si="9"/>
        <v>0.32741500035074039</v>
      </c>
      <c r="S16">
        <f t="shared" si="10"/>
        <v>0.23246465024902566</v>
      </c>
      <c r="U16">
        <f t="shared" si="16"/>
        <v>0.41811722146013724</v>
      </c>
      <c r="V16" t="b">
        <f t="shared" si="14"/>
        <v>1</v>
      </c>
    </row>
    <row r="17" spans="1:22">
      <c r="A17">
        <f t="shared" si="15"/>
        <v>11</v>
      </c>
      <c r="B17">
        <f t="shared" si="11"/>
        <v>4015</v>
      </c>
      <c r="C17">
        <f t="shared" si="0"/>
        <v>0.59990018745410834</v>
      </c>
      <c r="D17">
        <f>IF('5.Survival'!$C$3="No",pDeath,(1-EXP(C16-C17)))</f>
        <v>5.6740571542950091E-2</v>
      </c>
      <c r="F17">
        <f t="shared" si="1"/>
        <v>0.13290699763469474</v>
      </c>
      <c r="G17">
        <f t="shared" si="2"/>
        <v>1.1880496308986677E-2</v>
      </c>
      <c r="H17">
        <f t="shared" si="12"/>
        <v>8.0494669518030252E-3</v>
      </c>
      <c r="I17">
        <f t="shared" si="3"/>
        <v>5065.1144081787552</v>
      </c>
      <c r="J17">
        <f t="shared" si="4"/>
        <v>0.1045975662103299</v>
      </c>
      <c r="K17">
        <f t="shared" si="5"/>
        <v>7.0080369360921033E-2</v>
      </c>
      <c r="N17">
        <f t="shared" si="6"/>
        <v>0.40317099103178611</v>
      </c>
      <c r="O17">
        <f t="shared" si="7"/>
        <v>9.0793213904346378E-4</v>
      </c>
      <c r="P17">
        <f t="shared" si="13"/>
        <v>2.4966894473548634E-2</v>
      </c>
      <c r="Q17">
        <f t="shared" si="8"/>
        <v>11296.945578481902</v>
      </c>
      <c r="R17">
        <f t="shared" si="9"/>
        <v>0.29191521152372385</v>
      </c>
      <c r="S17">
        <f t="shared" si="10"/>
        <v>0.20725980018184392</v>
      </c>
      <c r="U17">
        <f t="shared" si="16"/>
        <v>0.45113358288548888</v>
      </c>
      <c r="V17" t="b">
        <f t="shared" si="14"/>
        <v>1</v>
      </c>
    </row>
    <row r="18" spans="1:22">
      <c r="A18">
        <f t="shared" si="15"/>
        <v>12</v>
      </c>
      <c r="B18">
        <f t="shared" si="11"/>
        <v>4380</v>
      </c>
      <c r="C18">
        <f t="shared" si="0"/>
        <v>0.65871356088637689</v>
      </c>
      <c r="D18">
        <f>IF('5.Survival'!$C$3="No",pDeath,(1-EXP(C17-C18)))</f>
        <v>5.7117280296182682E-2</v>
      </c>
      <c r="F18">
        <f t="shared" si="1"/>
        <v>0.13559098610747877</v>
      </c>
      <c r="G18">
        <f t="shared" si="2"/>
        <v>1.0910130925612398E-2</v>
      </c>
      <c r="H18">
        <f t="shared" si="12"/>
        <v>8.2698678749631039E-3</v>
      </c>
      <c r="I18">
        <f t="shared" si="3"/>
        <v>4975.1107029458044</v>
      </c>
      <c r="J18">
        <f t="shared" si="4"/>
        <v>0.10275293591280624</v>
      </c>
      <c r="K18">
        <f t="shared" si="5"/>
        <v>6.8844467061580178E-2</v>
      </c>
      <c r="N18">
        <f t="shared" si="6"/>
        <v>0.3700889031286892</v>
      </c>
      <c r="O18">
        <f t="shared" si="7"/>
        <v>9.2663996123956119E-4</v>
      </c>
      <c r="P18">
        <f t="shared" si="13"/>
        <v>2.3079889116527939E-2</v>
      </c>
      <c r="Q18">
        <f t="shared" si="8"/>
        <v>10070.755310448614</v>
      </c>
      <c r="R18">
        <f t="shared" si="9"/>
        <v>0.26022283716214512</v>
      </c>
      <c r="S18">
        <f t="shared" si="10"/>
        <v>0.18475821438512302</v>
      </c>
      <c r="U18">
        <f t="shared" si="16"/>
        <v>0.48248333987697989</v>
      </c>
      <c r="V18" t="b">
        <f t="shared" si="14"/>
        <v>1</v>
      </c>
    </row>
    <row r="19" spans="1:22">
      <c r="A19">
        <f t="shared" si="15"/>
        <v>13</v>
      </c>
      <c r="B19">
        <f t="shared" si="11"/>
        <v>4745</v>
      </c>
      <c r="C19">
        <f t="shared" si="0"/>
        <v>0.71789541633084553</v>
      </c>
      <c r="D19">
        <f>IF('5.Survival'!$C$3="No",pDeath,(1-EXP(C18-C19)))</f>
        <v>5.7464651614036244E-2</v>
      </c>
      <c r="F19">
        <f t="shared" si="1"/>
        <v>0.13714487423270566</v>
      </c>
      <c r="G19">
        <f t="shared" si="2"/>
        <v>1.0017419663428076E-2</v>
      </c>
      <c r="H19">
        <f t="shared" si="12"/>
        <v>8.4186356513737352E-3</v>
      </c>
      <c r="I19">
        <f t="shared" si="3"/>
        <v>4851.6191650644723</v>
      </c>
      <c r="J19">
        <f t="shared" si="4"/>
        <v>0.10021036122504212</v>
      </c>
      <c r="K19">
        <f t="shared" si="5"/>
        <v>6.7140942020778221E-2</v>
      </c>
      <c r="N19">
        <f t="shared" si="6"/>
        <v>0.33967784449944544</v>
      </c>
      <c r="O19">
        <f t="shared" si="7"/>
        <v>9.3760714901178362E-4</v>
      </c>
      <c r="P19">
        <f t="shared" si="13"/>
        <v>2.1320278927055208E-2</v>
      </c>
      <c r="Q19">
        <f t="shared" si="8"/>
        <v>8976.553120894554</v>
      </c>
      <c r="R19">
        <f t="shared" si="9"/>
        <v>0.23194254822239846</v>
      </c>
      <c r="S19">
        <f t="shared" si="10"/>
        <v>0.16467920923790288</v>
      </c>
      <c r="U19">
        <f t="shared" si="16"/>
        <v>0.51222225445540881</v>
      </c>
      <c r="V19" t="b">
        <f t="shared" si="14"/>
        <v>1</v>
      </c>
    </row>
    <row r="20" spans="1:22">
      <c r="A20">
        <f t="shared" si="15"/>
        <v>14</v>
      </c>
      <c r="B20">
        <f t="shared" si="11"/>
        <v>5110</v>
      </c>
      <c r="C20">
        <f t="shared" si="0"/>
        <v>0.77741940100239915</v>
      </c>
      <c r="D20">
        <f>IF('5.Survival'!$C$3="No",pDeath,(1-EXP(C19-C20)))</f>
        <v>5.7787065347554067E-2</v>
      </c>
      <c r="F20">
        <f t="shared" si="1"/>
        <v>0.13771637812112664</v>
      </c>
      <c r="G20">
        <f t="shared" si="2"/>
        <v>9.1966171945083459E-3</v>
      </c>
      <c r="H20">
        <f t="shared" si="12"/>
        <v>8.5040770940718359E-3</v>
      </c>
      <c r="I20">
        <f t="shared" si="3"/>
        <v>4702.1772534427246</v>
      </c>
      <c r="J20">
        <f t="shared" si="4"/>
        <v>9.7126797109313684E-2</v>
      </c>
      <c r="K20">
        <f t="shared" si="5"/>
        <v>6.5074954063240167E-2</v>
      </c>
      <c r="N20">
        <f t="shared" si="6"/>
        <v>0.31173566709115286</v>
      </c>
      <c r="O20">
        <f t="shared" si="7"/>
        <v>9.4183868093525584E-4</v>
      </c>
      <c r="P20">
        <f t="shared" si="13"/>
        <v>1.9683167362796041E-2</v>
      </c>
      <c r="Q20">
        <f t="shared" si="8"/>
        <v>8000.5056038286257</v>
      </c>
      <c r="R20">
        <f t="shared" si="9"/>
        <v>0.20671666654488158</v>
      </c>
      <c r="S20">
        <f t="shared" si="10"/>
        <v>0.1467688332468659</v>
      </c>
      <c r="U20">
        <f t="shared" si="16"/>
        <v>0.54040949891227674</v>
      </c>
      <c r="V20" t="b">
        <f t="shared" si="14"/>
        <v>1</v>
      </c>
    </row>
    <row r="21" spans="1:22">
      <c r="A21">
        <f t="shared" si="15"/>
        <v>15</v>
      </c>
      <c r="B21">
        <f t="shared" si="11"/>
        <v>5475</v>
      </c>
      <c r="C21">
        <f t="shared" si="0"/>
        <v>0.83726280580554402</v>
      </c>
      <c r="D21">
        <f>IF('5.Survival'!$C$3="No",pDeath,(1-EXP(C20-C21)))</f>
        <v>5.8087979065619577E-2</v>
      </c>
      <c r="F21">
        <f t="shared" si="1"/>
        <v>0.13743887314925285</v>
      </c>
      <c r="G21">
        <f t="shared" si="2"/>
        <v>8.4422926558463795E-3</v>
      </c>
      <c r="H21">
        <f t="shared" si="12"/>
        <v>8.5338789963620709E-3</v>
      </c>
      <c r="I21">
        <f t="shared" si="3"/>
        <v>4533.1876212090556</v>
      </c>
      <c r="J21">
        <f t="shared" si="4"/>
        <v>9.3635569172164437E-2</v>
      </c>
      <c r="K21">
        <f t="shared" si="5"/>
        <v>6.2735831345350171E-2</v>
      </c>
      <c r="N21">
        <f t="shared" si="6"/>
        <v>0.28607240870666256</v>
      </c>
      <c r="O21">
        <f t="shared" si="7"/>
        <v>9.4024317002006389E-4</v>
      </c>
      <c r="P21">
        <f t="shared" si="13"/>
        <v>1.8162804409579202E-2</v>
      </c>
      <c r="Q21">
        <f t="shared" si="8"/>
        <v>7130.1322028689829</v>
      </c>
      <c r="R21">
        <f t="shared" si="9"/>
        <v>0.18422249966106372</v>
      </c>
      <c r="S21">
        <f t="shared" si="10"/>
        <v>0.13079797475935523</v>
      </c>
      <c r="U21">
        <f t="shared" si="16"/>
        <v>0.56710618231821797</v>
      </c>
      <c r="V21" t="b">
        <f t="shared" si="14"/>
        <v>1</v>
      </c>
    </row>
    <row r="22" spans="1:22">
      <c r="A22">
        <f t="shared" si="15"/>
        <v>16</v>
      </c>
      <c r="B22">
        <f t="shared" si="11"/>
        <v>5840</v>
      </c>
      <c r="C22">
        <f t="shared" si="0"/>
        <v>0.89740585058207467</v>
      </c>
      <c r="D22">
        <f>IF('5.Survival'!$C$3="No",pDeath,(1-EXP(C21-C22)))</f>
        <v>5.8370171278359195E-2</v>
      </c>
      <c r="F22">
        <f t="shared" si="1"/>
        <v>0.13643241770961623</v>
      </c>
      <c r="G22">
        <f t="shared" si="2"/>
        <v>7.7493416006704308E-3</v>
      </c>
      <c r="H22">
        <f t="shared" si="12"/>
        <v>8.5151086343303577E-3</v>
      </c>
      <c r="I22">
        <f t="shared" si="3"/>
        <v>4350.0589513932127</v>
      </c>
      <c r="J22">
        <f t="shared" si="4"/>
        <v>8.9849305640762558E-2</v>
      </c>
      <c r="K22">
        <f t="shared" si="5"/>
        <v>6.019903477931092E-2</v>
      </c>
      <c r="N22">
        <f t="shared" si="6"/>
        <v>0.26251033262691414</v>
      </c>
      <c r="O22">
        <f t="shared" si="7"/>
        <v>9.3363946115263506E-4</v>
      </c>
      <c r="P22">
        <f t="shared" si="13"/>
        <v>1.6752977649098045E-2</v>
      </c>
      <c r="Q22">
        <f t="shared" si="8"/>
        <v>6354.1982432804425</v>
      </c>
      <c r="R22">
        <f t="shared" si="9"/>
        <v>0.16416957374210983</v>
      </c>
      <c r="S22">
        <f t="shared" si="10"/>
        <v>0.11656039735689798</v>
      </c>
      <c r="U22">
        <f t="shared" si="16"/>
        <v>0.59237426860164633</v>
      </c>
      <c r="V22" t="b">
        <f t="shared" si="14"/>
        <v>1</v>
      </c>
    </row>
    <row r="23" spans="1:22">
      <c r="A23">
        <f t="shared" si="15"/>
        <v>17</v>
      </c>
      <c r="B23">
        <f t="shared" si="11"/>
        <v>6205</v>
      </c>
      <c r="C23">
        <f t="shared" si="0"/>
        <v>0.95783114579396367</v>
      </c>
      <c r="D23">
        <f>IF('5.Survival'!$C$3="No",pDeath,(1-EXP(C22-C23)))</f>
        <v>5.863590920337558E-2</v>
      </c>
      <c r="F23">
        <f t="shared" si="1"/>
        <v>0.13480476750299991</v>
      </c>
      <c r="G23">
        <f t="shared" si="2"/>
        <v>7.1129872463778039E-3</v>
      </c>
      <c r="H23">
        <f t="shared" si="12"/>
        <v>8.4542285477009205E-3</v>
      </c>
      <c r="I23">
        <f t="shared" si="3"/>
        <v>4157.3326705625923</v>
      </c>
      <c r="J23">
        <f t="shared" si="4"/>
        <v>8.5862575580738398E-2</v>
      </c>
      <c r="K23">
        <f t="shared" si="5"/>
        <v>5.7527925639094729E-2</v>
      </c>
      <c r="N23">
        <f t="shared" si="6"/>
        <v>0.24088370801415648</v>
      </c>
      <c r="O23">
        <f t="shared" si="7"/>
        <v>9.2276325958583465E-4</v>
      </c>
      <c r="P23">
        <f t="shared" si="13"/>
        <v>1.5447276827532495E-2</v>
      </c>
      <c r="Q23">
        <f t="shared" si="8"/>
        <v>5662.6089340610724</v>
      </c>
      <c r="R23">
        <f t="shared" si="9"/>
        <v>0.14629689183230535</v>
      </c>
      <c r="S23">
        <f t="shared" si="10"/>
        <v>0.1038707932009368</v>
      </c>
      <c r="U23">
        <f t="shared" si="16"/>
        <v>0.61627577397687971</v>
      </c>
      <c r="V23" t="b">
        <f t="shared" si="14"/>
        <v>1</v>
      </c>
    </row>
    <row r="24" spans="1:22">
      <c r="A24">
        <f t="shared" si="15"/>
        <v>18</v>
      </c>
      <c r="B24">
        <f t="shared" si="11"/>
        <v>6570</v>
      </c>
      <c r="C24">
        <f t="shared" si="0"/>
        <v>1.0185232791953804</v>
      </c>
      <c r="D24">
        <f>IF('5.Survival'!$C$3="No",pDeath,(1-EXP(C23-C24)))</f>
        <v>5.8887067582236385E-2</v>
      </c>
      <c r="F24">
        <f t="shared" si="1"/>
        <v>0.13265236070393585</v>
      </c>
      <c r="G24">
        <f t="shared" si="2"/>
        <v>6.528774724391043E-3</v>
      </c>
      <c r="H24">
        <f t="shared" si="12"/>
        <v>8.3571204150458545E-3</v>
      </c>
      <c r="I24">
        <f t="shared" si="3"/>
        <v>3958.7962697296207</v>
      </c>
      <c r="J24">
        <f t="shared" si="4"/>
        <v>8.1754248432510779E-2</v>
      </c>
      <c r="K24">
        <f t="shared" si="5"/>
        <v>5.4775346449782228E-2</v>
      </c>
      <c r="N24">
        <f t="shared" si="6"/>
        <v>0.22103842253363232</v>
      </c>
      <c r="O24">
        <f t="shared" si="7"/>
        <v>9.0827363039601731E-4</v>
      </c>
      <c r="P24">
        <f t="shared" si="13"/>
        <v>1.4239274015718966E-2</v>
      </c>
      <c r="Q24">
        <f t="shared" si="8"/>
        <v>5046.3072473334742</v>
      </c>
      <c r="R24">
        <f t="shared" si="9"/>
        <v>0.13037029250499976</v>
      </c>
      <c r="S24">
        <f t="shared" si="10"/>
        <v>9.2562907678549827E-2</v>
      </c>
      <c r="U24">
        <f t="shared" si="16"/>
        <v>0.6388721684076446</v>
      </c>
      <c r="V24" t="b">
        <f t="shared" si="14"/>
        <v>1</v>
      </c>
    </row>
    <row r="25" spans="1:22">
      <c r="A25">
        <f t="shared" si="15"/>
        <v>19</v>
      </c>
      <c r="B25">
        <f t="shared" si="11"/>
        <v>6935</v>
      </c>
      <c r="C25">
        <f t="shared" si="0"/>
        <v>1.0794684930949552</v>
      </c>
      <c r="D25">
        <f>IF('5.Survival'!$C$3="No",pDeath,(1-EXP(C24-C25)))</f>
        <v>5.9125214775519352E-2</v>
      </c>
      <c r="F25">
        <f t="shared" si="1"/>
        <v>0.13006126163668513</v>
      </c>
      <c r="G25">
        <f t="shared" si="2"/>
        <v>5.992560796428765E-3</v>
      </c>
      <c r="H25">
        <f t="shared" si="12"/>
        <v>8.229114524900473E-3</v>
      </c>
      <c r="I25">
        <f t="shared" si="3"/>
        <v>3757.5841465701728</v>
      </c>
      <c r="J25">
        <f t="shared" si="4"/>
        <v>7.7589593827955675E-2</v>
      </c>
      <c r="K25">
        <f t="shared" si="5"/>
        <v>5.1985027864730304E-2</v>
      </c>
      <c r="N25">
        <f t="shared" si="6"/>
        <v>0.20283148928818445</v>
      </c>
      <c r="O25">
        <f t="shared" si="7"/>
        <v>8.9075926674129211E-4</v>
      </c>
      <c r="P25">
        <f t="shared" si="13"/>
        <v>1.3122646079415113E-2</v>
      </c>
      <c r="Q25">
        <f t="shared" si="8"/>
        <v>4497.1773298367325</v>
      </c>
      <c r="R25">
        <f t="shared" si="9"/>
        <v>0.11617995170158003</v>
      </c>
      <c r="S25">
        <f t="shared" si="10"/>
        <v>8.2487765708121816E-2</v>
      </c>
      <c r="U25">
        <f t="shared" si="16"/>
        <v>0.66022392901196025</v>
      </c>
      <c r="V25" t="b">
        <f t="shared" si="14"/>
        <v>1</v>
      </c>
    </row>
    <row r="26" spans="1:22">
      <c r="A26">
        <f t="shared" si="15"/>
        <v>20</v>
      </c>
      <c r="B26">
        <f t="shared" si="11"/>
        <v>7300</v>
      </c>
      <c r="C26">
        <f t="shared" si="0"/>
        <v>1.1406544286011209</v>
      </c>
      <c r="D26">
        <f>IF('5.Survival'!$C$3="No",pDeath,(1-EXP(C25-C26)))</f>
        <v>5.9351676407222054E-2</v>
      </c>
      <c r="F26">
        <f t="shared" si="1"/>
        <v>0.12710805552652615</v>
      </c>
      <c r="G26">
        <f t="shared" si="2"/>
        <v>5.5005007109829949E-3</v>
      </c>
      <c r="H26">
        <f t="shared" si="12"/>
        <v>8.0750224430158248E-3</v>
      </c>
      <c r="I26">
        <f t="shared" si="3"/>
        <v>3556.2669652686991</v>
      </c>
      <c r="J26">
        <f t="shared" si="4"/>
        <v>7.3422142386363881E-2</v>
      </c>
      <c r="K26">
        <f t="shared" si="5"/>
        <v>4.91928353988638E-2</v>
      </c>
      <c r="N26">
        <f t="shared" si="6"/>
        <v>0.18613049087075911</v>
      </c>
      <c r="O26">
        <f t="shared" si="7"/>
        <v>8.7074446357192901E-4</v>
      </c>
      <c r="P26">
        <f t="shared" si="13"/>
        <v>1.2091256973183613E-2</v>
      </c>
      <c r="Q26">
        <f t="shared" si="8"/>
        <v>4007.9543080342473</v>
      </c>
      <c r="R26">
        <f t="shared" si="9"/>
        <v>0.10353805000751205</v>
      </c>
      <c r="S26">
        <f t="shared" si="10"/>
        <v>7.3512015505333553E-2</v>
      </c>
      <c r="U26">
        <f t="shared" si="16"/>
        <v>0.68039020842815967</v>
      </c>
      <c r="V26" t="b">
        <f t="shared" si="14"/>
        <v>1</v>
      </c>
    </row>
    <row r="27" spans="1:22">
      <c r="A27">
        <f t="shared" si="15"/>
        <v>21</v>
      </c>
      <c r="B27">
        <f t="shared" si="11"/>
        <v>7665</v>
      </c>
      <c r="C27">
        <f t="shared" si="0"/>
        <v>1.2020699202754932</v>
      </c>
      <c r="D27">
        <f>IF('5.Survival'!$C$3="No",pDeath,(1-EXP(C26-C27)))</f>
        <v>5.9567583249694134E-2</v>
      </c>
      <c r="F27">
        <f t="shared" si="1"/>
        <v>0.12386069026428952</v>
      </c>
      <c r="G27">
        <f t="shared" si="2"/>
        <v>5.0490333540269385E-3</v>
      </c>
      <c r="H27">
        <f t="shared" si="12"/>
        <v>7.8991712132995724E-3</v>
      </c>
      <c r="I27">
        <f t="shared" si="3"/>
        <v>3356.9305487773718</v>
      </c>
      <c r="J27">
        <f t="shared" si="4"/>
        <v>6.9295328588663468E-2</v>
      </c>
      <c r="K27">
        <f t="shared" si="5"/>
        <v>4.6427870154404527E-2</v>
      </c>
      <c r="N27">
        <f t="shared" si="6"/>
        <v>0.1708129903267307</v>
      </c>
      <c r="O27">
        <f t="shared" si="7"/>
        <v>8.4869475992005851E-4</v>
      </c>
      <c r="P27">
        <f t="shared" si="13"/>
        <v>1.1139211653573408E-2</v>
      </c>
      <c r="Q27">
        <f t="shared" si="8"/>
        <v>3572.1408415733731</v>
      </c>
      <c r="R27">
        <f t="shared" si="9"/>
        <v>9.227661451965874E-2</v>
      </c>
      <c r="S27">
        <f t="shared" si="10"/>
        <v>6.5516396308957697E-2</v>
      </c>
      <c r="U27">
        <f t="shared" si="16"/>
        <v>0.69942859129503265</v>
      </c>
      <c r="V27" t="b">
        <f t="shared" si="14"/>
        <v>1</v>
      </c>
    </row>
    <row r="28" spans="1:22">
      <c r="A28">
        <f t="shared" si="15"/>
        <v>22</v>
      </c>
      <c r="B28">
        <f t="shared" si="11"/>
        <v>8030</v>
      </c>
      <c r="C28">
        <f t="shared" si="0"/>
        <v>1.263704829319257</v>
      </c>
      <c r="D28">
        <f>IF('5.Survival'!$C$3="No",pDeath,(1-EXP(C27-C28)))</f>
        <v>5.9773907820242833E-2</v>
      </c>
      <c r="F28">
        <f t="shared" si="1"/>
        <v>0.12037926345046501</v>
      </c>
      <c r="G28">
        <f t="shared" si="2"/>
        <v>4.6348654973395699E-3</v>
      </c>
      <c r="H28">
        <f t="shared" si="12"/>
        <v>7.7054379366942281E-3</v>
      </c>
      <c r="I28">
        <f t="shared" si="3"/>
        <v>3161.2452972958786</v>
      </c>
      <c r="J28">
        <f t="shared" si="4"/>
        <v>6.5243936402227767E-2</v>
      </c>
      <c r="K28">
        <f t="shared" si="5"/>
        <v>4.3713437389492606E-2</v>
      </c>
      <c r="N28">
        <f t="shared" si="6"/>
        <v>0.15676592984867416</v>
      </c>
      <c r="O28">
        <f t="shared" si="7"/>
        <v>8.2502223115722532E-4</v>
      </c>
      <c r="P28">
        <f t="shared" si="13"/>
        <v>1.0260889740637016E-2</v>
      </c>
      <c r="Q28">
        <f t="shared" si="8"/>
        <v>3183.9304563342121</v>
      </c>
      <c r="R28">
        <f t="shared" si="9"/>
        <v>8.2245536097410893E-2</v>
      </c>
      <c r="S28">
        <f t="shared" si="10"/>
        <v>5.8394330629161731E-2</v>
      </c>
      <c r="U28">
        <f t="shared" si="16"/>
        <v>0.71739491897236385</v>
      </c>
      <c r="V28" t="b">
        <f t="shared" si="14"/>
        <v>1</v>
      </c>
    </row>
    <row r="29" spans="1:22">
      <c r="A29">
        <f t="shared" si="15"/>
        <v>23</v>
      </c>
      <c r="B29">
        <f t="shared" si="11"/>
        <v>8395</v>
      </c>
      <c r="C29">
        <f t="shared" si="0"/>
        <v>1.325549906630634</v>
      </c>
      <c r="D29">
        <f>IF('5.Survival'!$C$3="No",pDeath,(1-EXP(C28-C29)))</f>
        <v>5.9971492745433008E-2</v>
      </c>
      <c r="F29">
        <f t="shared" si="1"/>
        <v>0.11671675459526876</v>
      </c>
      <c r="G29">
        <f t="shared" si="2"/>
        <v>4.254955706155447E-3</v>
      </c>
      <c r="H29">
        <f t="shared" si="12"/>
        <v>7.4972839272698898E-3</v>
      </c>
      <c r="I29">
        <f t="shared" si="3"/>
        <v>2970.5270820014211</v>
      </c>
      <c r="J29">
        <f t="shared" si="4"/>
        <v>6.1295367403159134E-2</v>
      </c>
      <c r="K29">
        <f t="shared" si="5"/>
        <v>4.1067896160116621E-2</v>
      </c>
      <c r="N29">
        <f t="shared" si="6"/>
        <v>0.14388503173427444</v>
      </c>
      <c r="O29">
        <f t="shared" si="7"/>
        <v>8.0009042526594935E-4</v>
      </c>
      <c r="P29">
        <f t="shared" si="13"/>
        <v>9.4509646394014876E-3</v>
      </c>
      <c r="Q29">
        <f t="shared" si="8"/>
        <v>2838.1374843457193</v>
      </c>
      <c r="R29">
        <f t="shared" si="9"/>
        <v>7.331075751878148E-2</v>
      </c>
      <c r="S29">
        <f t="shared" si="10"/>
        <v>5.205063783833485E-2</v>
      </c>
      <c r="U29">
        <f t="shared" si="16"/>
        <v>0.73434316753903528</v>
      </c>
      <c r="V29" t="b">
        <f t="shared" si="14"/>
        <v>1</v>
      </c>
    </row>
    <row r="30" spans="1:22">
      <c r="A30">
        <f t="shared" si="15"/>
        <v>24</v>
      </c>
      <c r="B30">
        <f t="shared" si="11"/>
        <v>8760</v>
      </c>
      <c r="C30">
        <f t="shared" si="0"/>
        <v>1.3875966793123891</v>
      </c>
      <c r="D30">
        <f>IF('5.Survival'!$C$3="No",pDeath,(1-EXP(C29-C30)))</f>
        <v>6.016107302399476E-2</v>
      </c>
      <c r="F30">
        <f t="shared" si="1"/>
        <v>0.11291970345821357</v>
      </c>
      <c r="G30">
        <f t="shared" si="2"/>
        <v>3.90649829830759E-3</v>
      </c>
      <c r="H30">
        <f t="shared" si="12"/>
        <v>7.2777878972815208E-3</v>
      </c>
      <c r="I30">
        <f t="shared" si="3"/>
        <v>2785.7905046936812</v>
      </c>
      <c r="J30">
        <f t="shared" si="4"/>
        <v>5.7470749932438822E-2</v>
      </c>
      <c r="K30">
        <f t="shared" si="5"/>
        <v>3.8505402454734015E-2</v>
      </c>
      <c r="N30">
        <f t="shared" si="6"/>
        <v>0.13207421166150707</v>
      </c>
      <c r="O30">
        <f t="shared" si="7"/>
        <v>7.742189459291149E-4</v>
      </c>
      <c r="P30">
        <f t="shared" si="13"/>
        <v>8.7044121997257116E-3</v>
      </c>
      <c r="Q30">
        <f t="shared" si="8"/>
        <v>2530.1333129686145</v>
      </c>
      <c r="R30">
        <f t="shared" si="9"/>
        <v>6.5352624835556122E-2</v>
      </c>
      <c r="S30">
        <f t="shared" si="10"/>
        <v>4.6400363633244845E-2</v>
      </c>
      <c r="U30">
        <f t="shared" si="16"/>
        <v>0.75032536763604252</v>
      </c>
      <c r="V30" t="b">
        <f t="shared" si="14"/>
        <v>1</v>
      </c>
    </row>
    <row r="31" spans="1:22">
      <c r="A31">
        <f t="shared" si="15"/>
        <v>25</v>
      </c>
      <c r="B31">
        <f t="shared" si="11"/>
        <v>9125</v>
      </c>
      <c r="C31">
        <f t="shared" si="0"/>
        <v>1.4498373557999775</v>
      </c>
      <c r="D31">
        <f>IF('5.Survival'!$C$3="No",pDeath,(1-EXP(C30-C31)))</f>
        <v>6.0343293701593415E-2</v>
      </c>
      <c r="F31">
        <f t="shared" si="1"/>
        <v>0.10902883626064408</v>
      </c>
      <c r="G31">
        <f t="shared" si="2"/>
        <v>3.5869076264007766E-3</v>
      </c>
      <c r="H31">
        <f t="shared" si="12"/>
        <v>7.0496778046353651E-3</v>
      </c>
      <c r="I31">
        <f t="shared" si="3"/>
        <v>2607.7953487675713</v>
      </c>
      <c r="J31">
        <f t="shared" si="4"/>
        <v>5.3785906466997331E-2</v>
      </c>
      <c r="K31">
        <f t="shared" si="5"/>
        <v>3.6036557332888214E-2</v>
      </c>
      <c r="N31">
        <f t="shared" si="6"/>
        <v>0.12124501111509513</v>
      </c>
      <c r="O31">
        <f t="shared" si="7"/>
        <v>7.4768769124173553E-4</v>
      </c>
      <c r="P31">
        <f t="shared" si="13"/>
        <v>8.0165118659402731E-3</v>
      </c>
      <c r="Q31">
        <f t="shared" si="8"/>
        <v>2255.7885736552007</v>
      </c>
      <c r="R31">
        <f t="shared" si="9"/>
        <v>5.8264392359166708E-2</v>
      </c>
      <c r="S31">
        <f t="shared" si="10"/>
        <v>4.1367718575008358E-2</v>
      </c>
      <c r="U31">
        <f t="shared" si="16"/>
        <v>0.76539155730661823</v>
      </c>
      <c r="V31" t="b">
        <f t="shared" si="14"/>
        <v>1</v>
      </c>
    </row>
    <row r="32" spans="1:22">
      <c r="A32">
        <f t="shared" si="15"/>
        <v>26</v>
      </c>
      <c r="B32">
        <f t="shared" si="11"/>
        <v>9490</v>
      </c>
      <c r="C32">
        <f t="shared" si="0"/>
        <v>1.5122647459296721</v>
      </c>
      <c r="D32">
        <f>IF('5.Survival'!$C$3="No",pDeath,(1-EXP(C31-C32)))</f>
        <v>6.0518724049426487E-2</v>
      </c>
      <c r="F32">
        <f t="shared" si="1"/>
        <v>0.10507964199824682</v>
      </c>
      <c r="G32">
        <f t="shared" si="2"/>
        <v>3.2938028677710956E-3</v>
      </c>
      <c r="H32">
        <f t="shared" si="12"/>
        <v>6.8153611279209558E-3</v>
      </c>
      <c r="I32">
        <f t="shared" si="3"/>
        <v>2437.0869791908644</v>
      </c>
      <c r="J32">
        <f t="shared" si="4"/>
        <v>5.0252194978719966E-2</v>
      </c>
      <c r="K32">
        <f t="shared" si="5"/>
        <v>3.3668970635742382E-2</v>
      </c>
      <c r="N32">
        <f t="shared" si="6"/>
        <v>0.11131605346346027</v>
      </c>
      <c r="O32">
        <f t="shared" si="7"/>
        <v>7.2074076087708713E-4</v>
      </c>
      <c r="P32">
        <f t="shared" si="13"/>
        <v>7.3828424751055007E-3</v>
      </c>
      <c r="Q32">
        <f t="shared" si="8"/>
        <v>2011.4208638809348</v>
      </c>
      <c r="R32">
        <f t="shared" si="9"/>
        <v>5.195087076093792E-2</v>
      </c>
      <c r="S32">
        <f t="shared" si="10"/>
        <v>3.688511824026592E-2</v>
      </c>
      <c r="U32">
        <f t="shared" si="16"/>
        <v>0.7795897609096446</v>
      </c>
      <c r="V32" t="b">
        <f t="shared" si="14"/>
        <v>1</v>
      </c>
    </row>
    <row r="33" spans="1:22">
      <c r="A33">
        <f t="shared" si="15"/>
        <v>27</v>
      </c>
      <c r="B33">
        <f t="shared" si="11"/>
        <v>9855</v>
      </c>
      <c r="C33">
        <f t="shared" si="0"/>
        <v>1.5748721931076997</v>
      </c>
      <c r="D33">
        <f>IF('5.Survival'!$C$3="No",pDeath,(1-EXP(C32-C33)))</f>
        <v>6.0687869046606835E-2</v>
      </c>
      <c r="F33">
        <f t="shared" si="1"/>
        <v>0.10110290138871683</v>
      </c>
      <c r="G33">
        <f t="shared" si="2"/>
        <v>3.0249934440571085E-3</v>
      </c>
      <c r="H33">
        <f t="shared" si="12"/>
        <v>6.5769534301585606E-3</v>
      </c>
      <c r="I33">
        <f t="shared" si="3"/>
        <v>2274.031381809622</v>
      </c>
      <c r="J33">
        <f t="shared" si="4"/>
        <v>4.6877238653619785E-2</v>
      </c>
      <c r="K33">
        <f t="shared" si="5"/>
        <v>3.1407749897925261E-2</v>
      </c>
      <c r="N33">
        <f t="shared" si="6"/>
        <v>0.10221252648399201</v>
      </c>
      <c r="O33">
        <f t="shared" si="7"/>
        <v>6.9359004714251462E-4</v>
      </c>
      <c r="P33">
        <f t="shared" si="13"/>
        <v>6.7992742962882224E-3</v>
      </c>
      <c r="Q33">
        <f t="shared" si="8"/>
        <v>1793.7475827771907</v>
      </c>
      <c r="R33">
        <f t="shared" si="9"/>
        <v>4.632720743364991E-2</v>
      </c>
      <c r="S33">
        <f t="shared" si="10"/>
        <v>3.2892317277891436E-2</v>
      </c>
      <c r="U33">
        <f t="shared" si="16"/>
        <v>0.79296598863609136</v>
      </c>
      <c r="V33" t="b">
        <f t="shared" si="14"/>
        <v>1</v>
      </c>
    </row>
    <row r="34" spans="1:22">
      <c r="A34">
        <f t="shared" si="15"/>
        <v>28</v>
      </c>
      <c r="B34">
        <f t="shared" si="11"/>
        <v>10220</v>
      </c>
      <c r="C34">
        <f t="shared" si="0"/>
        <v>1.6376535163666213</v>
      </c>
      <c r="D34">
        <f>IF('5.Survival'!$C$3="No",pDeath,(1-EXP(C33-C34)))</f>
        <v>6.0851178760435332E-2</v>
      </c>
      <c r="F34">
        <f t="shared" si="1"/>
        <v>9.7125171163427254E-2</v>
      </c>
      <c r="G34">
        <f t="shared" si="2"/>
        <v>2.7784651463406322E-3</v>
      </c>
      <c r="H34">
        <f t="shared" si="12"/>
        <v>6.336305142416938E-3</v>
      </c>
      <c r="I34">
        <f t="shared" si="3"/>
        <v>2118.8454671621125</v>
      </c>
      <c r="J34">
        <f t="shared" si="4"/>
        <v>4.3665556988192383E-2</v>
      </c>
      <c r="K34">
        <f t="shared" si="5"/>
        <v>2.9255923182088899E-2</v>
      </c>
      <c r="N34">
        <f t="shared" si="6"/>
        <v>9.3865692892215635E-2</v>
      </c>
      <c r="O34">
        <f t="shared" si="7"/>
        <v>6.664185269297533E-4</v>
      </c>
      <c r="P34">
        <f t="shared" si="13"/>
        <v>6.2619584925782566E-3</v>
      </c>
      <c r="Q34">
        <f t="shared" si="8"/>
        <v>1599.8434635899614</v>
      </c>
      <c r="R34">
        <f t="shared" si="9"/>
        <v>4.1317788329424981E-2</v>
      </c>
      <c r="S34">
        <f t="shared" si="10"/>
        <v>2.9335629713891736E-2</v>
      </c>
      <c r="U34">
        <f t="shared" si="16"/>
        <v>0.80556425227108652</v>
      </c>
      <c r="V34" t="b">
        <f t="shared" si="14"/>
        <v>1</v>
      </c>
    </row>
    <row r="35" spans="1:22">
      <c r="A35">
        <f t="shared" si="15"/>
        <v>29</v>
      </c>
      <c r="B35">
        <f t="shared" si="11"/>
        <v>10585</v>
      </c>
      <c r="C35">
        <f t="shared" si="0"/>
        <v>1.7006029605648172</v>
      </c>
      <c r="D35">
        <f>IF('5.Survival'!$C$3="No",pDeath,(1-EXP(C34-C35)))</f>
        <v>6.1009056070767786E-2</v>
      </c>
      <c r="F35">
        <f t="shared" si="1"/>
        <v>9.3169226488089146E-2</v>
      </c>
      <c r="G35">
        <f t="shared" si="2"/>
        <v>2.5523670083169255E-3</v>
      </c>
      <c r="H35">
        <f t="shared" si="12"/>
        <v>6.0950265492962213E-3</v>
      </c>
      <c r="I35">
        <f t="shared" si="3"/>
        <v>1971.6232021772732</v>
      </c>
      <c r="J35">
        <f t="shared" si="4"/>
        <v>4.0619109993891747E-2</v>
      </c>
      <c r="K35">
        <f t="shared" si="5"/>
        <v>2.7214803695907473E-2</v>
      </c>
      <c r="N35">
        <f t="shared" si="6"/>
        <v>8.6212429524769749E-2</v>
      </c>
      <c r="O35">
        <f t="shared" si="7"/>
        <v>6.3938327238251443E-4</v>
      </c>
      <c r="P35">
        <f t="shared" si="13"/>
        <v>5.767314886058709E-3</v>
      </c>
      <c r="Q35">
        <f t="shared" si="8"/>
        <v>1427.102398851034</v>
      </c>
      <c r="R35">
        <f t="shared" si="9"/>
        <v>3.6855250819752362E-2</v>
      </c>
      <c r="S35">
        <f t="shared" si="10"/>
        <v>2.6167228082024176E-2</v>
      </c>
      <c r="U35">
        <f t="shared" si="16"/>
        <v>0.81742659370644144</v>
      </c>
      <c r="V35" t="b">
        <f t="shared" si="14"/>
        <v>1</v>
      </c>
    </row>
    <row r="36" spans="1:22">
      <c r="A36">
        <f t="shared" si="15"/>
        <v>30</v>
      </c>
      <c r="B36">
        <f t="shared" si="11"/>
        <v>10950</v>
      </c>
      <c r="C36">
        <f t="shared" si="0"/>
        <v>1.7637151533425666</v>
      </c>
      <c r="D36">
        <f>IF('5.Survival'!$C$3="No",pDeath,(1-EXP(C35-C36)))</f>
        <v>6.1161863078206813E-2</v>
      </c>
      <c r="F36">
        <f t="shared" si="1"/>
        <v>8.9254464302974124E-2</v>
      </c>
      <c r="G36">
        <f t="shared" si="2"/>
        <v>2.3449989455231112E-3</v>
      </c>
      <c r="H36">
        <f t="shared" si="12"/>
        <v>5.8545109950549606E-3</v>
      </c>
      <c r="I36">
        <f t="shared" si="3"/>
        <v>1832.3580753064289</v>
      </c>
      <c r="J36">
        <f t="shared" si="4"/>
        <v>3.7737766037144779E-2</v>
      </c>
      <c r="K36">
        <f t="shared" si="5"/>
        <v>2.5284303244887004E-2</v>
      </c>
      <c r="N36">
        <f t="shared" si="6"/>
        <v>7.9194795169235666E-2</v>
      </c>
      <c r="O36">
        <f t="shared" si="7"/>
        <v>6.1261819837699896E-4</v>
      </c>
      <c r="P36">
        <f t="shared" si="13"/>
        <v>5.3120186823934767E-3</v>
      </c>
      <c r="Q36">
        <f t="shared" si="8"/>
        <v>1273.2031732724297</v>
      </c>
      <c r="R36">
        <f t="shared" si="9"/>
        <v>3.2879597618669217E-2</v>
      </c>
      <c r="S36">
        <f t="shared" si="10"/>
        <v>2.3344514309255143E-2</v>
      </c>
      <c r="U36">
        <f t="shared" si="16"/>
        <v>0.82859312338388991</v>
      </c>
      <c r="V36" t="b">
        <f t="shared" si="14"/>
        <v>1</v>
      </c>
    </row>
    <row r="37" spans="1:22">
      <c r="A37">
        <f t="shared" si="15"/>
        <v>31</v>
      </c>
      <c r="B37">
        <f t="shared" si="11"/>
        <v>11315</v>
      </c>
      <c r="C37">
        <f t="shared" si="0"/>
        <v>1.8269850677227051</v>
      </c>
      <c r="D37">
        <f>IF('5.Survival'!$C$3="No",pDeath,(1-EXP(C36-C37)))</f>
        <v>6.1309926456842523E-2</v>
      </c>
      <c r="F37">
        <f t="shared" si="1"/>
        <v>8.5397270328455233E-2</v>
      </c>
      <c r="G37">
        <f t="shared" si="2"/>
        <v>2.1548001609255421E-3</v>
      </c>
      <c r="H37">
        <f t="shared" si="12"/>
        <v>5.6159563552516147E-3</v>
      </c>
      <c r="I37">
        <f t="shared" si="3"/>
        <v>1700.9623471020423</v>
      </c>
      <c r="J37">
        <f t="shared" si="4"/>
        <v>3.5019702727988579E-2</v>
      </c>
      <c r="K37">
        <f t="shared" si="5"/>
        <v>2.3463200827752349E-2</v>
      </c>
      <c r="N37">
        <f t="shared" si="6"/>
        <v>7.2759626562407961E-2</v>
      </c>
      <c r="O37">
        <f t="shared" si="7"/>
        <v>5.8623656479038228E-4</v>
      </c>
      <c r="P37">
        <f t="shared" si="13"/>
        <v>4.8929866442791641E-3</v>
      </c>
      <c r="Q37">
        <f t="shared" si="8"/>
        <v>1136.0787422272545</v>
      </c>
      <c r="R37">
        <f t="shared" si="9"/>
        <v>2.9337402401622994E-2</v>
      </c>
      <c r="S37">
        <f t="shared" si="10"/>
        <v>2.0829555705152325E-2</v>
      </c>
      <c r="U37">
        <f t="shared" si="16"/>
        <v>0.83910206638342066</v>
      </c>
      <c r="V37" t="b">
        <f t="shared" si="14"/>
        <v>1</v>
      </c>
    </row>
    <row r="38" spans="1:22">
      <c r="A38">
        <f t="shared" si="15"/>
        <v>32</v>
      </c>
      <c r="B38">
        <f t="shared" si="11"/>
        <v>11680</v>
      </c>
      <c r="C38">
        <f t="shared" ref="C38:C69" si="17">lambda*B38^gamma</f>
        <v>1.890407989456875</v>
      </c>
      <c r="D38">
        <f>IF('5.Survival'!$C$3="No",pDeath,(1-EXP(C37-C38)))</f>
        <v>6.1453541953857216E-2</v>
      </c>
      <c r="F38">
        <f t="shared" ref="F38:F69" si="18">SUM(E37:G37)*(1-D38-pHDtoPD)</f>
        <v>8.1611352401282505E-2</v>
      </c>
      <c r="G38">
        <f t="shared" ref="G38:G69" si="19">SUM(M37:O37)*pPDtoHD</f>
        <v>1.9803383044343552E-3</v>
      </c>
      <c r="H38">
        <f t="shared" si="12"/>
        <v>5.3803848369662257E-3</v>
      </c>
      <c r="I38">
        <f t="shared" ref="I38:I69" si="20">((E38+G38)*(cMedHD1+cNonMedHD)+(F38*(cMedHD2+cNonMedHD))/(1+cDC)^A38)</f>
        <v>1577.2834891029956</v>
      </c>
      <c r="J38">
        <f t="shared" ref="J38:J69" si="21">(E38+F38+G38)/(1+cDO)^A38</f>
        <v>3.2461749247152644E-2</v>
      </c>
      <c r="K38">
        <f t="shared" ref="K38:K69" si="22">J38*uHD</f>
        <v>2.1749371995592272E-2</v>
      </c>
      <c r="N38">
        <f t="shared" ref="N38:N69" si="23">SUM(M37:O37)*(1-D38-pPDtoHD)</f>
        <v>6.6858161745934841E-2</v>
      </c>
      <c r="O38">
        <f t="shared" ref="O38:O69" si="24">SUM(E37:G37)*pHDtoPD</f>
        <v>5.6033325113203692E-4</v>
      </c>
      <c r="P38">
        <f t="shared" si="13"/>
        <v>4.5073630768291528E-3</v>
      </c>
      <c r="Q38">
        <f t="shared" ref="Q38:Q69" si="25">(((M38+O38)*(cMedPD1+cNonMedPD))+(N38*(cMedPD2+cNonMedPD)))/(1+cDC)^A38</f>
        <v>1013.8887184342353</v>
      </c>
      <c r="R38">
        <f t="shared" ref="R38:R69" si="26">(M38+N38+O38)/(1+cDO)^A38</f>
        <v>2.6181098393138813E-2</v>
      </c>
      <c r="S38">
        <f t="shared" ref="S38:S69" si="27">R38*uPD</f>
        <v>1.8588579859128557E-2</v>
      </c>
      <c r="U38">
        <f t="shared" si="16"/>
        <v>0.84898981429721609</v>
      </c>
      <c r="V38" t="b">
        <f t="shared" si="14"/>
        <v>1</v>
      </c>
    </row>
    <row r="39" spans="1:22">
      <c r="A39">
        <f t="shared" si="15"/>
        <v>33</v>
      </c>
      <c r="B39">
        <f t="shared" si="11"/>
        <v>12045</v>
      </c>
      <c r="C39">
        <f t="shared" si="17"/>
        <v>1.9539794883854038</v>
      </c>
      <c r="D39">
        <f>IF('5.Survival'!$C$3="No",pDeath,(1-EXP(C38-C39)))</f>
        <v>6.1592978194589865E-2</v>
      </c>
      <c r="F39">
        <f t="shared" si="18"/>
        <v>7.7908042702314148E-2</v>
      </c>
      <c r="G39">
        <f t="shared" si="19"/>
        <v>1.8202993649208059E-3</v>
      </c>
      <c r="H39">
        <f t="shared" si="12"/>
        <v>5.1486611828861183E-3</v>
      </c>
      <c r="I39">
        <f t="shared" si="20"/>
        <v>1461.1181690522808</v>
      </c>
      <c r="J39">
        <f t="shared" si="21"/>
        <v>3.0059677568007277E-2</v>
      </c>
      <c r="K39">
        <f t="shared" si="22"/>
        <v>2.0139983970564875E-2</v>
      </c>
      <c r="N39">
        <f t="shared" si="23"/>
        <v>6.1445689739879669E-2</v>
      </c>
      <c r="O39">
        <f t="shared" si="24"/>
        <v>5.3498682051658793E-4</v>
      </c>
      <c r="P39">
        <f t="shared" si="13"/>
        <v>4.1525058922664065E-3</v>
      </c>
      <c r="Q39">
        <f t="shared" si="25"/>
        <v>904.99475486377105</v>
      </c>
      <c r="R39">
        <f t="shared" si="26"/>
        <v>2.3368341853657118E-2</v>
      </c>
      <c r="S39">
        <f t="shared" si="27"/>
        <v>1.6591522716096554E-2</v>
      </c>
      <c r="U39">
        <f t="shared" si="16"/>
        <v>0.8582909813723687</v>
      </c>
      <c r="V39" t="b">
        <f t="shared" si="14"/>
        <v>1</v>
      </c>
    </row>
    <row r="40" spans="1:22">
      <c r="A40">
        <f>A39+1</f>
        <v>34</v>
      </c>
      <c r="B40">
        <f t="shared" si="11"/>
        <v>12410</v>
      </c>
      <c r="C40">
        <f t="shared" si="17"/>
        <v>2.0176953932104325</v>
      </c>
      <c r="D40">
        <f>IF('5.Survival'!$C$3="No",pDeath,(1-EXP(C39-C40)))</f>
        <v>6.1728479917996126E-2</v>
      </c>
      <c r="F40">
        <f t="shared" si="18"/>
        <v>7.4296571315812215E-2</v>
      </c>
      <c r="G40">
        <f t="shared" si="19"/>
        <v>1.6734782671306988E-3</v>
      </c>
      <c r="H40">
        <f t="shared" si="12"/>
        <v>4.9215093621924385E-3</v>
      </c>
      <c r="I40">
        <f t="shared" si="20"/>
        <v>1352.2240998036664</v>
      </c>
      <c r="J40">
        <f t="shared" si="21"/>
        <v>2.7808449183031655E-2</v>
      </c>
      <c r="K40">
        <f t="shared" si="22"/>
        <v>1.8631660952631211E-2</v>
      </c>
      <c r="N40">
        <f t="shared" si="23"/>
        <v>5.6481225344903324E-2</v>
      </c>
      <c r="O40">
        <f t="shared" si="24"/>
        <v>5.1026138923030372E-4</v>
      </c>
      <c r="P40">
        <f t="shared" si="13"/>
        <v>3.8259729483622333E-3</v>
      </c>
      <c r="Q40">
        <f t="shared" si="25"/>
        <v>807.93853707856147</v>
      </c>
      <c r="R40">
        <f t="shared" si="26"/>
        <v>2.0861443047779888E-2</v>
      </c>
      <c r="S40">
        <f t="shared" si="27"/>
        <v>1.4811624563923719E-2</v>
      </c>
      <c r="U40">
        <f t="shared" si="16"/>
        <v>0.86703846368292348</v>
      </c>
      <c r="V40" t="b">
        <f t="shared" si="14"/>
        <v>1</v>
      </c>
    </row>
    <row r="41" spans="1:22">
      <c r="A41">
        <f t="shared" si="15"/>
        <v>35</v>
      </c>
      <c r="B41">
        <f t="shared" si="11"/>
        <v>12775</v>
      </c>
      <c r="C41">
        <f t="shared" si="17"/>
        <v>2.0815517691868917</v>
      </c>
      <c r="D41">
        <f>IF('5.Survival'!$C$3="No",pDeath,(1-EXP(C40-C41)))</f>
        <v>6.1860270742155388E-2</v>
      </c>
      <c r="F41">
        <f t="shared" si="18"/>
        <v>7.0784313430116264E-2</v>
      </c>
      <c r="G41">
        <f t="shared" si="19"/>
        <v>1.5387701418216079E-3</v>
      </c>
      <c r="H41">
        <f t="shared" si="12"/>
        <v>4.6995278354958177E-3</v>
      </c>
      <c r="I41">
        <f t="shared" si="20"/>
        <v>1250.3300325496994</v>
      </c>
      <c r="J41">
        <f t="shared" si="21"/>
        <v>2.5702423179775238E-2</v>
      </c>
      <c r="K41">
        <f t="shared" si="22"/>
        <v>1.7220623530449411E-2</v>
      </c>
      <c r="N41">
        <f t="shared" si="23"/>
        <v>5.1927207792940556E-2</v>
      </c>
      <c r="O41">
        <f t="shared" si="24"/>
        <v>4.862083173308347E-4</v>
      </c>
      <c r="P41">
        <f t="shared" si="13"/>
        <v>3.5255087993714637E-3</v>
      </c>
      <c r="Q41">
        <f t="shared" si="25"/>
        <v>721.42212264482168</v>
      </c>
      <c r="R41">
        <f t="shared" si="26"/>
        <v>1.8626857908013116E-2</v>
      </c>
      <c r="S41">
        <f t="shared" si="27"/>
        <v>1.3225069114689313E-2</v>
      </c>
      <c r="U41">
        <f t="shared" si="16"/>
        <v>0.87526350031779065</v>
      </c>
      <c r="V41" t="b">
        <f t="shared" si="14"/>
        <v>1</v>
      </c>
    </row>
    <row r="42" spans="1:22">
      <c r="A42">
        <f t="shared" si="15"/>
        <v>36</v>
      </c>
      <c r="B42">
        <f t="shared" si="11"/>
        <v>13140</v>
      </c>
      <c r="C42">
        <f t="shared" si="17"/>
        <v>2.1455448983198608</v>
      </c>
      <c r="D42">
        <f>IF('5.Survival'!$C$3="No",pDeath,(1-EXP(C41-C42)))</f>
        <v>6.1988555539503332E-2</v>
      </c>
      <c r="F42">
        <f t="shared" si="18"/>
        <v>6.7377012354290264E-2</v>
      </c>
      <c r="G42">
        <f t="shared" si="19"/>
        <v>1.4151622349773277E-3</v>
      </c>
      <c r="H42">
        <f t="shared" si="12"/>
        <v>4.483203482787212E-3</v>
      </c>
      <c r="I42">
        <f t="shared" si="20"/>
        <v>1155.1441419719558</v>
      </c>
      <c r="J42">
        <f t="shared" si="21"/>
        <v>2.3735530823457984E-2</v>
      </c>
      <c r="K42">
        <f t="shared" si="22"/>
        <v>1.590280565171685E-2</v>
      </c>
      <c r="N42">
        <f t="shared" si="23"/>
        <v>4.7749221919727407E-2</v>
      </c>
      <c r="O42">
        <f t="shared" si="24"/>
        <v>4.628677348604024E-4</v>
      </c>
      <c r="P42">
        <f t="shared" si="13"/>
        <v>3.2490319555666569E-3</v>
      </c>
      <c r="Q42">
        <f t="shared" si="25"/>
        <v>644.29038853893098</v>
      </c>
      <c r="R42">
        <f t="shared" si="26"/>
        <v>1.6634734210572832E-2</v>
      </c>
      <c r="S42">
        <f t="shared" si="27"/>
        <v>1.181066128950671E-2</v>
      </c>
      <c r="U42">
        <f t="shared" si="16"/>
        <v>0.88299573575614454</v>
      </c>
      <c r="V42" t="b">
        <f t="shared" si="14"/>
        <v>1</v>
      </c>
    </row>
    <row r="43" spans="1:22">
      <c r="A43">
        <f t="shared" si="15"/>
        <v>37</v>
      </c>
      <c r="B43">
        <f t="shared" si="11"/>
        <v>13505</v>
      </c>
      <c r="C43">
        <f t="shared" si="17"/>
        <v>2.2096712617248224</v>
      </c>
      <c r="D43">
        <f>IF('5.Survival'!$C$3="No",pDeath,(1-EXP(C42-C43)))</f>
        <v>6.2113522486301642E-2</v>
      </c>
      <c r="F43">
        <f t="shared" si="18"/>
        <v>6.407898038866422E-2</v>
      </c>
      <c r="G43">
        <f t="shared" si="19"/>
        <v>1.3017264206738707E-3</v>
      </c>
      <c r="H43">
        <f t="shared" si="12"/>
        <v>4.2729242832320611E-3</v>
      </c>
      <c r="I43">
        <f t="shared" si="20"/>
        <v>1066.3610213046773</v>
      </c>
      <c r="J43">
        <f t="shared" si="21"/>
        <v>2.1901421186743843E-2</v>
      </c>
      <c r="K43">
        <f t="shared" si="22"/>
        <v>1.4673952195118375E-2</v>
      </c>
      <c r="N43">
        <f t="shared" si="23"/>
        <v>4.3915740519042103E-2</v>
      </c>
      <c r="O43">
        <f t="shared" si="24"/>
        <v>4.4026991737131262E-4</v>
      </c>
      <c r="P43">
        <f t="shared" si="13"/>
        <v>2.9946227148718307E-3</v>
      </c>
      <c r="Q43">
        <f t="shared" si="25"/>
        <v>575.51536941097777</v>
      </c>
      <c r="R43">
        <f t="shared" si="26"/>
        <v>1.4858506647296533E-2</v>
      </c>
      <c r="S43">
        <f t="shared" si="27"/>
        <v>1.0549539719580538E-2</v>
      </c>
      <c r="U43">
        <f t="shared" si="16"/>
        <v>0.89026328275424849</v>
      </c>
      <c r="V43" t="b">
        <f t="shared" si="14"/>
        <v>1</v>
      </c>
    </row>
    <row r="44" spans="1:22">
      <c r="A44">
        <f t="shared" si="15"/>
        <v>38</v>
      </c>
      <c r="B44">
        <f t="shared" si="11"/>
        <v>13870</v>
      </c>
      <c r="C44">
        <f t="shared" si="17"/>
        <v>2.2739275238623429</v>
      </c>
      <c r="D44">
        <f>IF('5.Survival'!$C$3="No",pDeath,(1-EXP(C43-C44)))</f>
        <v>6.223534483855897E-2</v>
      </c>
      <c r="F44">
        <f t="shared" si="18"/>
        <v>6.0893279451690457E-2</v>
      </c>
      <c r="G44">
        <f t="shared" si="19"/>
        <v>1.1976122817831622E-3</v>
      </c>
      <c r="H44">
        <f t="shared" si="12"/>
        <v>4.068990834067877E-3</v>
      </c>
      <c r="I44">
        <f t="shared" si="20"/>
        <v>983.6674788406682</v>
      </c>
      <c r="J44">
        <f t="shared" si="21"/>
        <v>2.0193581816130259E-2</v>
      </c>
      <c r="K44">
        <f t="shared" si="22"/>
        <v>1.3529699816807274E-2</v>
      </c>
      <c r="N44">
        <f t="shared" si="23"/>
        <v>4.0397886549457342E-2</v>
      </c>
      <c r="O44">
        <f t="shared" si="24"/>
        <v>4.184365235797638E-4</v>
      </c>
      <c r="P44">
        <f t="shared" si="13"/>
        <v>2.7605116051729094E-3</v>
      </c>
      <c r="Q44">
        <f t="shared" si="25"/>
        <v>514.1822900366069</v>
      </c>
      <c r="R44">
        <f t="shared" si="26"/>
        <v>1.3274535707217637E-2</v>
      </c>
      <c r="S44">
        <f t="shared" si="27"/>
        <v>9.4249203521245221E-3</v>
      </c>
      <c r="U44">
        <f t="shared" si="16"/>
        <v>0.89709278519348923</v>
      </c>
      <c r="V44" t="b">
        <f t="shared" si="14"/>
        <v>1</v>
      </c>
    </row>
    <row r="45" spans="1:22">
      <c r="A45">
        <f t="shared" si="15"/>
        <v>39</v>
      </c>
      <c r="B45">
        <f t="shared" si="11"/>
        <v>14235</v>
      </c>
      <c r="C45">
        <f t="shared" si="17"/>
        <v>2.3383105184038318</v>
      </c>
      <c r="D45">
        <f>IF('5.Survival'!$C$3="No",pDeath,(1-EXP(C44-C45)))</f>
        <v>6.2354182477215248E-2</v>
      </c>
      <c r="F45">
        <f t="shared" si="18"/>
        <v>5.7821883233057356E-2</v>
      </c>
      <c r="G45">
        <f t="shared" si="19"/>
        <v>1.1020407229720018E-3</v>
      </c>
      <c r="H45">
        <f t="shared" si="12"/>
        <v>3.8716267933220296E-3</v>
      </c>
      <c r="I45">
        <f t="shared" si="20"/>
        <v>906.74730382200198</v>
      </c>
      <c r="J45">
        <f t="shared" si="21"/>
        <v>1.8605437933175081E-2</v>
      </c>
      <c r="K45">
        <f t="shared" si="22"/>
        <v>1.2465643415227306E-2</v>
      </c>
      <c r="N45">
        <f t="shared" si="23"/>
        <v>3.7169213893119973E-2</v>
      </c>
      <c r="O45">
        <f t="shared" si="24"/>
        <v>3.9738170709423119E-4</v>
      </c>
      <c r="P45">
        <f t="shared" si="13"/>
        <v>2.5450684569451269E-3</v>
      </c>
      <c r="Q45">
        <f t="shared" si="25"/>
        <v>459.47711424860506</v>
      </c>
      <c r="R45">
        <f t="shared" si="26"/>
        <v>1.1861785771803723E-2</v>
      </c>
      <c r="S45">
        <f t="shared" si="27"/>
        <v>8.4218678979806425E-3</v>
      </c>
      <c r="U45">
        <f t="shared" si="16"/>
        <v>0.90350948044375634</v>
      </c>
      <c r="V45" t="b">
        <f t="shared" si="14"/>
        <v>1</v>
      </c>
    </row>
    <row r="46" spans="1:22">
      <c r="A46">
        <f t="shared" si="15"/>
        <v>40</v>
      </c>
      <c r="B46">
        <f t="shared" si="11"/>
        <v>14600</v>
      </c>
      <c r="C46">
        <f t="shared" si="17"/>
        <v>2.4028172355220399</v>
      </c>
      <c r="D46">
        <f>IF('5.Survival'!$C$3="No",pDeath,(1-EXP(C45-C46)))</f>
        <v>6.2470183257703482E-2</v>
      </c>
      <c r="F46">
        <f t="shared" si="18"/>
        <v>5.4865822514914633E-2</v>
      </c>
      <c r="G46">
        <f t="shared" si="19"/>
        <v>1.0142980812057835E-3</v>
      </c>
      <c r="H46">
        <f t="shared" si="12"/>
        <v>3.6809883277961384E-3</v>
      </c>
      <c r="I46">
        <f t="shared" si="20"/>
        <v>835.28514868681486</v>
      </c>
      <c r="J46">
        <f t="shared" si="21"/>
        <v>1.7130433232006012E-2</v>
      </c>
      <c r="K46">
        <f t="shared" si="22"/>
        <v>1.1477390265444028E-2</v>
      </c>
      <c r="N46">
        <f t="shared" si="23"/>
        <v>3.4205505407495E-2</v>
      </c>
      <c r="O46">
        <f t="shared" si="24"/>
        <v>3.771131133185879E-4</v>
      </c>
      <c r="P46">
        <f t="shared" si="13"/>
        <v>2.3467921115134186E-3</v>
      </c>
      <c r="Q46">
        <f t="shared" si="25"/>
        <v>410.67545009720425</v>
      </c>
      <c r="R46">
        <f t="shared" si="26"/>
        <v>1.0601538279426356E-2</v>
      </c>
      <c r="S46">
        <f t="shared" si="27"/>
        <v>7.527092178392712E-3</v>
      </c>
      <c r="U46">
        <f t="shared" si="16"/>
        <v>0.90953726088306597</v>
      </c>
      <c r="V46" t="b">
        <f t="shared" si="14"/>
        <v>1</v>
      </c>
    </row>
    <row r="47" spans="1:22">
      <c r="A47">
        <f t="shared" si="15"/>
        <v>41</v>
      </c>
      <c r="B47">
        <f t="shared" si="11"/>
        <v>14965</v>
      </c>
      <c r="C47">
        <f t="shared" si="17"/>
        <v>2.4674448104305822</v>
      </c>
      <c r="D47">
        <f>IF('5.Survival'!$C$3="No",pDeath,(1-EXP(C46-C47)))</f>
        <v>6.2583484192939132E-2</v>
      </c>
      <c r="F47">
        <f t="shared" si="18"/>
        <v>5.2025315180278413E-2</v>
      </c>
      <c r="G47">
        <f t="shared" si="19"/>
        <v>9.3373070006196686E-4</v>
      </c>
      <c r="H47">
        <f t="shared" si="12"/>
        <v>3.4971726440268342E-3</v>
      </c>
      <c r="I47">
        <f t="shared" si="20"/>
        <v>768.9696560390172</v>
      </c>
      <c r="J47">
        <f t="shared" si="21"/>
        <v>1.5762094947060424E-2</v>
      </c>
      <c r="K47">
        <f t="shared" si="22"/>
        <v>1.0560603614530486E-2</v>
      </c>
      <c r="N47">
        <f t="shared" si="23"/>
        <v>3.1484587061203842E-2</v>
      </c>
      <c r="O47">
        <f t="shared" si="24"/>
        <v>3.5763277181517067E-4</v>
      </c>
      <c r="P47">
        <f t="shared" si="13"/>
        <v>2.1643007595477815E-3</v>
      </c>
      <c r="Q47">
        <f t="shared" si="25"/>
        <v>367.13266698414839</v>
      </c>
      <c r="R47">
        <f t="shared" si="26"/>
        <v>9.4771362283838489E-3</v>
      </c>
      <c r="S47">
        <f t="shared" si="27"/>
        <v>6.728766722152532E-3</v>
      </c>
      <c r="U47">
        <f t="shared" si="16"/>
        <v>0.91519873428664056</v>
      </c>
      <c r="V47" t="b">
        <f t="shared" si="14"/>
        <v>1</v>
      </c>
    </row>
    <row r="48" spans="1:22">
      <c r="A48">
        <f t="shared" si="15"/>
        <v>42</v>
      </c>
      <c r="B48">
        <f t="shared" si="11"/>
        <v>15330</v>
      </c>
      <c r="C48">
        <f t="shared" si="17"/>
        <v>2.5321905130222371</v>
      </c>
      <c r="D48">
        <f>IF('5.Survival'!$C$3="No",pDeath,(1-EXP(C47-C48)))</f>
        <v>6.2694212493895396E-2</v>
      </c>
      <c r="F48">
        <f t="shared" si="18"/>
        <v>4.9299882310810186E-2</v>
      </c>
      <c r="G48">
        <f t="shared" si="19"/>
        <v>8.5973993549151335E-4</v>
      </c>
      <c r="H48">
        <f t="shared" si="12"/>
        <v>3.3202256758960154E-3</v>
      </c>
      <c r="I48">
        <f t="shared" si="20"/>
        <v>707.49594223757163</v>
      </c>
      <c r="J48">
        <f t="shared" si="21"/>
        <v>1.4494085521947224E-2</v>
      </c>
      <c r="K48">
        <f t="shared" si="22"/>
        <v>9.7110372997046401E-3</v>
      </c>
      <c r="N48">
        <f t="shared" si="23"/>
        <v>2.8986157001038876E-2</v>
      </c>
      <c r="O48">
        <f t="shared" si="24"/>
        <v>3.3893789363417847E-4</v>
      </c>
      <c r="P48">
        <f t="shared" si="13"/>
        <v>1.9963228964886242E-3</v>
      </c>
      <c r="Q48">
        <f t="shared" si="25"/>
        <v>328.27509511352628</v>
      </c>
      <c r="R48">
        <f t="shared" si="26"/>
        <v>8.4737566653813393E-3</v>
      </c>
      <c r="S48">
        <f t="shared" si="27"/>
        <v>6.0163672324207509E-3</v>
      </c>
      <c r="U48">
        <f t="shared" si="16"/>
        <v>0.92051528285902517</v>
      </c>
      <c r="V48" t="b">
        <f t="shared" si="14"/>
        <v>1</v>
      </c>
    </row>
    <row r="49" spans="1:22">
      <c r="A49">
        <f>A48+1</f>
        <v>43</v>
      </c>
      <c r="B49">
        <f t="shared" si="11"/>
        <v>15695</v>
      </c>
      <c r="C49">
        <f t="shared" si="17"/>
        <v>2.5970517384769476</v>
      </c>
      <c r="D49">
        <f>IF('5.Survival'!$C$3="No",pDeath,(1-EXP(C48-C49)))</f>
        <v>6.2802486487845366E-2</v>
      </c>
      <c r="F49">
        <f t="shared" si="18"/>
        <v>4.668845166556658E-2</v>
      </c>
      <c r="G49">
        <f t="shared" si="19"/>
        <v>7.9177756215617243E-4</v>
      </c>
      <c r="H49">
        <f t="shared" si="12"/>
        <v>3.1501489983587904E-3</v>
      </c>
      <c r="I49">
        <f t="shared" si="20"/>
        <v>650.56753495001783</v>
      </c>
      <c r="J49">
        <f t="shared" si="21"/>
        <v>1.3320242907209991E-2</v>
      </c>
      <c r="K49">
        <f t="shared" si="22"/>
        <v>8.9245627478306937E-3</v>
      </c>
      <c r="N49">
        <f t="shared" si="23"/>
        <v>2.6691628456639391E-2</v>
      </c>
      <c r="O49">
        <f t="shared" si="24"/>
        <v>3.2102158237633092E-4</v>
      </c>
      <c r="P49">
        <f t="shared" si="13"/>
        <v>1.8416888758774877E-3</v>
      </c>
      <c r="Q49">
        <f t="shared" si="25"/>
        <v>293.59219087948287</v>
      </c>
      <c r="R49">
        <f t="shared" si="26"/>
        <v>7.5782081497840813E-3</v>
      </c>
      <c r="S49">
        <f t="shared" si="27"/>
        <v>5.3805277863466974E-3</v>
      </c>
      <c r="U49">
        <f t="shared" si="16"/>
        <v>0.92550712073326136</v>
      </c>
      <c r="V49" t="b">
        <f t="shared" si="14"/>
        <v>1</v>
      </c>
    </row>
    <row r="50" spans="1:22">
      <c r="A50">
        <f t="shared" si="15"/>
        <v>44</v>
      </c>
      <c r="B50">
        <f t="shared" si="11"/>
        <v>16060</v>
      </c>
      <c r="C50">
        <f t="shared" si="17"/>
        <v>2.6620259987282973</v>
      </c>
      <c r="D50">
        <f>IF('5.Survival'!$C$3="No",pDeath,(1-EXP(C49-C50)))</f>
        <v>6.2908416431198377E-2</v>
      </c>
      <c r="F50">
        <f t="shared" si="18"/>
        <v>4.4189449728158983E-2</v>
      </c>
      <c r="G50">
        <f t="shared" si="19"/>
        <v>7.2934155105342457E-4</v>
      </c>
      <c r="H50">
        <f t="shared" si="12"/>
        <v>2.9869060325063393E-3</v>
      </c>
      <c r="I50">
        <f t="shared" si="20"/>
        <v>597.89784918180362</v>
      </c>
      <c r="J50">
        <f t="shared" si="21"/>
        <v>1.2234611247452948E-2</v>
      </c>
      <c r="K50">
        <f t="shared" si="22"/>
        <v>8.1971895357934761E-3</v>
      </c>
      <c r="N50">
        <f t="shared" si="23"/>
        <v>2.458398545039767E-2</v>
      </c>
      <c r="O50">
        <f t="shared" si="24"/>
        <v>3.0387346705742564E-4</v>
      </c>
      <c r="P50">
        <f t="shared" si="13"/>
        <v>1.6993230375646283E-3</v>
      </c>
      <c r="Q50">
        <f t="shared" si="25"/>
        <v>262.62956385196242</v>
      </c>
      <c r="R50">
        <f t="shared" si="26"/>
        <v>6.7787504953952795E-3</v>
      </c>
      <c r="S50">
        <f t="shared" si="27"/>
        <v>4.8129128517306486E-3</v>
      </c>
      <c r="U50">
        <f t="shared" si="16"/>
        <v>0.93019334980333224</v>
      </c>
      <c r="V50" t="b">
        <f t="shared" si="14"/>
        <v>1</v>
      </c>
    </row>
    <row r="51" spans="1:22">
      <c r="A51">
        <f t="shared" si="15"/>
        <v>45</v>
      </c>
      <c r="B51">
        <f t="shared" si="11"/>
        <v>16425</v>
      </c>
      <c r="C51">
        <f t="shared" si="17"/>
        <v>2.7271109146922812</v>
      </c>
      <c r="D51">
        <f>IF('5.Survival'!$C$3="No",pDeath,(1-EXP(C50-C51)))</f>
        <v>6.3012105231196824E-2</v>
      </c>
      <c r="F51">
        <f t="shared" si="18"/>
        <v>4.1800883412081553E-2</v>
      </c>
      <c r="G51">
        <f t="shared" si="19"/>
        <v>6.7197219077128761E-4</v>
      </c>
      <c r="H51">
        <f t="shared" si="12"/>
        <v>2.8304276029438987E-3</v>
      </c>
      <c r="I51">
        <f t="shared" si="20"/>
        <v>549.21127499618399</v>
      </c>
      <c r="J51">
        <f t="shared" si="21"/>
        <v>1.1231463482968575E-2</v>
      </c>
      <c r="K51">
        <f t="shared" si="22"/>
        <v>7.5250805335889456E-3</v>
      </c>
      <c r="N51">
        <f t="shared" si="23"/>
        <v>2.2647650341597946E-2</v>
      </c>
      <c r="O51">
        <f t="shared" si="24"/>
        <v>2.8748026418695942E-4</v>
      </c>
      <c r="P51">
        <f t="shared" si="13"/>
        <v>1.5682363850858607E-3</v>
      </c>
      <c r="Q51">
        <f t="shared" si="25"/>
        <v>234.98277191491542</v>
      </c>
      <c r="R51">
        <f t="shared" si="26"/>
        <v>6.064934373253816E-3</v>
      </c>
      <c r="S51">
        <f t="shared" si="27"/>
        <v>4.3061034050102089E-3</v>
      </c>
      <c r="U51">
        <f t="shared" si="16"/>
        <v>0.93459201379136203</v>
      </c>
      <c r="V51" t="b">
        <f t="shared" si="14"/>
        <v>1</v>
      </c>
    </row>
    <row r="52" spans="1:22">
      <c r="A52">
        <f t="shared" si="15"/>
        <v>46</v>
      </c>
      <c r="B52">
        <f t="shared" si="11"/>
        <v>16790</v>
      </c>
      <c r="C52">
        <f t="shared" si="17"/>
        <v>2.7923042091747354</v>
      </c>
      <c r="D52">
        <f>IF('5.Survival'!$C$3="No",pDeath,(1-EXP(C51-C52)))</f>
        <v>6.3113649088370805E-2</v>
      </c>
      <c r="F52">
        <f t="shared" si="18"/>
        <v>3.9520412422695085E-2</v>
      </c>
      <c r="G52">
        <f t="shared" si="19"/>
        <v>6.1924852635619244E-4</v>
      </c>
      <c r="H52">
        <f t="shared" si="12"/>
        <v>2.6806169042994979E-3</v>
      </c>
      <c r="I52">
        <f t="shared" si="20"/>
        <v>504.24394021264629</v>
      </c>
      <c r="J52">
        <f t="shared" si="21"/>
        <v>1.0305317184216019E-2</v>
      </c>
      <c r="K52">
        <f t="shared" si="22"/>
        <v>6.9045625134247328E-3</v>
      </c>
      <c r="N52">
        <f t="shared" si="23"/>
        <v>2.0868362294579251E-2</v>
      </c>
      <c r="O52">
        <f t="shared" si="24"/>
        <v>2.7182627585825819E-4</v>
      </c>
      <c r="P52">
        <f t="shared" si="13"/>
        <v>1.4475197848494619E-3</v>
      </c>
      <c r="Q52">
        <f t="shared" si="25"/>
        <v>210.29180094542693</v>
      </c>
      <c r="R52">
        <f t="shared" si="26"/>
        <v>5.4274586132907017E-3</v>
      </c>
      <c r="S52">
        <f t="shared" si="27"/>
        <v>3.8534956154363978E-3</v>
      </c>
      <c r="U52">
        <f t="shared" si="16"/>
        <v>0.93872015048051105</v>
      </c>
      <c r="V52" t="b">
        <f t="shared" si="14"/>
        <v>1</v>
      </c>
    </row>
    <row r="53" spans="1:22">
      <c r="A53">
        <f t="shared" si="15"/>
        <v>47</v>
      </c>
      <c r="B53">
        <f t="shared" si="11"/>
        <v>17155</v>
      </c>
      <c r="C53">
        <f t="shared" si="17"/>
        <v>2.857603700384769</v>
      </c>
      <c r="D53">
        <f>IF('5.Survival'!$C$3="No",pDeath,(1-EXP(C52-C53)))</f>
        <v>6.3213138070155606E-2</v>
      </c>
      <c r="F53">
        <f t="shared" si="18"/>
        <v>3.7345413189315738E-2</v>
      </c>
      <c r="G53">
        <f t="shared" si="19"/>
        <v>5.7078509140181275E-4</v>
      </c>
      <c r="H53">
        <f t="shared" si="12"/>
        <v>2.5373539296616116E-3</v>
      </c>
      <c r="I53">
        <f t="shared" si="20"/>
        <v>462.74420266365667</v>
      </c>
      <c r="J53">
        <f t="shared" si="21"/>
        <v>9.4509447560905731E-3</v>
      </c>
      <c r="K53">
        <f t="shared" si="22"/>
        <v>6.3321329865806842E-3</v>
      </c>
      <c r="N53">
        <f t="shared" si="23"/>
        <v>1.9233065820103507E-2</v>
      </c>
      <c r="O53">
        <f t="shared" si="24"/>
        <v>2.5689383007392817E-4</v>
      </c>
      <c r="P53">
        <f t="shared" si="13"/>
        <v>1.3363376589321917E-3</v>
      </c>
      <c r="Q53">
        <f t="shared" si="25"/>
        <v>188.23615428346639</v>
      </c>
      <c r="R53">
        <f t="shared" si="26"/>
        <v>4.8580432718629456E-3</v>
      </c>
      <c r="S53">
        <f t="shared" si="27"/>
        <v>3.4492107230226911E-3</v>
      </c>
      <c r="U53">
        <f t="shared" si="16"/>
        <v>0.94259384206910479</v>
      </c>
      <c r="V53" t="b">
        <f t="shared" si="14"/>
        <v>1</v>
      </c>
    </row>
    <row r="54" spans="1:22">
      <c r="A54">
        <f t="shared" si="15"/>
        <v>48</v>
      </c>
      <c r="B54">
        <f t="shared" si="11"/>
        <v>17520</v>
      </c>
      <c r="C54">
        <f t="shared" si="17"/>
        <v>2.9230072959905051</v>
      </c>
      <c r="D54">
        <f>IF('5.Survival'!$C$3="No",pDeath,(1-EXP(C53-C54)))</f>
        <v>6.3310656624175787E-2</v>
      </c>
      <c r="F54">
        <f t="shared" si="18"/>
        <v>3.5273035201876288E-2</v>
      </c>
      <c r="G54">
        <f t="shared" si="19"/>
        <v>5.2622891055479075E-4</v>
      </c>
      <c r="H54">
        <f t="shared" si="12"/>
        <v>2.4004994098446733E-3</v>
      </c>
      <c r="I54">
        <f t="shared" si="20"/>
        <v>424.47291896384274</v>
      </c>
      <c r="J54">
        <f t="shared" si="21"/>
        <v>8.6633789900630951E-3</v>
      </c>
      <c r="K54">
        <f t="shared" si="22"/>
        <v>5.8044639233422743E-3</v>
      </c>
      <c r="N54">
        <f t="shared" si="23"/>
        <v>1.7729808596591217E-2</v>
      </c>
      <c r="O54">
        <f t="shared" si="24"/>
        <v>2.4266366899659234E-4</v>
      </c>
      <c r="P54">
        <f t="shared" si="13"/>
        <v>1.2339221430314247E-3</v>
      </c>
      <c r="Q54">
        <f t="shared" si="25"/>
        <v>168.53048521391179</v>
      </c>
      <c r="R54">
        <f t="shared" si="26"/>
        <v>4.3493167383605079E-3</v>
      </c>
      <c r="S54">
        <f t="shared" si="27"/>
        <v>3.0880148842359605E-3</v>
      </c>
      <c r="U54">
        <f t="shared" si="16"/>
        <v>0.94622826362198087</v>
      </c>
      <c r="V54" t="b">
        <f t="shared" si="14"/>
        <v>1</v>
      </c>
    </row>
    <row r="55" spans="1:22">
      <c r="A55">
        <f t="shared" si="15"/>
        <v>49</v>
      </c>
      <c r="B55">
        <f t="shared" si="11"/>
        <v>17885</v>
      </c>
      <c r="C55">
        <f t="shared" si="17"/>
        <v>2.9885129876615206</v>
      </c>
      <c r="D55">
        <f>IF('5.Survival'!$C$3="No",pDeath,(1-EXP(C54-C55)))</f>
        <v>6.3406284038849181E-2</v>
      </c>
      <c r="F55">
        <f t="shared" si="18"/>
        <v>3.330025051341693E-2</v>
      </c>
      <c r="G55">
        <f t="shared" si="19"/>
        <v>4.8525675117087083E-4</v>
      </c>
      <c r="H55">
        <f t="shared" si="12"/>
        <v>2.2698983086945849E-3</v>
      </c>
      <c r="I55">
        <f t="shared" si="20"/>
        <v>389.20353007900741</v>
      </c>
      <c r="J55">
        <f t="shared" si="21"/>
        <v>7.9379148033808626E-3</v>
      </c>
      <c r="K55">
        <f t="shared" si="22"/>
        <v>5.3184029182651782E-3</v>
      </c>
      <c r="N55">
        <f t="shared" si="23"/>
        <v>1.6347647833064739E-2</v>
      </c>
      <c r="O55">
        <f t="shared" si="24"/>
        <v>2.291152903195589E-4</v>
      </c>
      <c r="P55">
        <f t="shared" si="13"/>
        <v>1.1395676813521999E-3</v>
      </c>
      <c r="Q55">
        <f t="shared" si="25"/>
        <v>150.92071284398617</v>
      </c>
      <c r="R55">
        <f t="shared" si="26"/>
        <v>3.8947153392949233E-3</v>
      </c>
      <c r="S55">
        <f t="shared" si="27"/>
        <v>2.7652478908993952E-3</v>
      </c>
      <c r="U55">
        <f t="shared" si="16"/>
        <v>0.94963772961202764</v>
      </c>
      <c r="V55" t="b">
        <f t="shared" si="14"/>
        <v>1</v>
      </c>
    </row>
    <row r="56" spans="1:22">
      <c r="A56">
        <f t="shared" si="15"/>
        <v>50</v>
      </c>
      <c r="B56">
        <f t="shared" si="11"/>
        <v>18250</v>
      </c>
      <c r="C56">
        <f t="shared" si="17"/>
        <v>3.0541188460489606</v>
      </c>
      <c r="D56">
        <f>IF('5.Survival'!$C$3="No",pDeath,(1-EXP(C55-C56)))</f>
        <v>6.3500094857561473E-2</v>
      </c>
      <c r="F56">
        <f t="shared" si="18"/>
        <v>3.1423897101982283E-2</v>
      </c>
      <c r="G56">
        <f t="shared" si="19"/>
        <v>4.4757260433137604E-4</v>
      </c>
      <c r="H56">
        <f t="shared" si="12"/>
        <v>2.1453829161121579E-3</v>
      </c>
      <c r="I56">
        <f t="shared" si="20"/>
        <v>356.72199816443242</v>
      </c>
      <c r="J56">
        <f t="shared" si="21"/>
        <v>7.2701078833148167E-3</v>
      </c>
      <c r="K56">
        <f t="shared" si="22"/>
        <v>4.8709722818209272E-3</v>
      </c>
      <c r="N56">
        <f t="shared" si="23"/>
        <v>1.5076564488286691E-2</v>
      </c>
      <c r="O56">
        <f t="shared" si="24"/>
        <v>2.1622724649336195E-4</v>
      </c>
      <c r="P56">
        <f t="shared" si="13"/>
        <v>1.0526260307662299E-3</v>
      </c>
      <c r="Q56">
        <f t="shared" si="25"/>
        <v>135.180568184712</v>
      </c>
      <c r="R56">
        <f t="shared" si="26"/>
        <v>3.4883940644535637E-3</v>
      </c>
      <c r="S56">
        <f t="shared" si="27"/>
        <v>2.4767597857620299E-3</v>
      </c>
      <c r="U56">
        <f t="shared" si="16"/>
        <v>0.95283573855890602</v>
      </c>
      <c r="V56" t="b">
        <f t="shared" si="14"/>
        <v>1</v>
      </c>
    </row>
    <row r="57" spans="1:22">
      <c r="A57">
        <f>A56+1</f>
        <v>51</v>
      </c>
      <c r="B57">
        <f t="shared" si="11"/>
        <v>18615</v>
      </c>
      <c r="C57">
        <f t="shared" si="17"/>
        <v>3.1198230161601086</v>
      </c>
      <c r="D57">
        <f>IF('5.Survival'!$C$3="No",pDeath,(1-EXP(C56-C57)))</f>
        <v>6.3592159251909641E-2</v>
      </c>
      <c r="F57">
        <f t="shared" si="18"/>
        <v>2.964071672303694E-2</v>
      </c>
      <c r="G57">
        <f t="shared" si="19"/>
        <v>4.129053768390614E-4</v>
      </c>
      <c r="H57">
        <f t="shared" si="12"/>
        <v>2.0267755771563121E-3</v>
      </c>
      <c r="I57">
        <f t="shared" si="20"/>
        <v>326.82662407338972</v>
      </c>
      <c r="J57">
        <f t="shared" si="21"/>
        <v>6.6557708488422605E-3</v>
      </c>
      <c r="K57">
        <f t="shared" si="22"/>
        <v>4.4593664687243148E-3</v>
      </c>
      <c r="N57">
        <f t="shared" si="23"/>
        <v>1.3907384710536571E-2</v>
      </c>
      <c r="O57">
        <f t="shared" si="24"/>
        <v>2.0397740612040742E-4</v>
      </c>
      <c r="P57">
        <f t="shared" si="13"/>
        <v>9.7250164740442062E-4</v>
      </c>
      <c r="Q57">
        <f t="shared" si="25"/>
        <v>121.10852300349704</v>
      </c>
      <c r="R57">
        <f t="shared" si="26"/>
        <v>3.125147188627558E-3</v>
      </c>
      <c r="S57">
        <f t="shared" si="27"/>
        <v>2.2188545039255659E-3</v>
      </c>
      <c r="U57">
        <f t="shared" si="16"/>
        <v>0.95583501578346675</v>
      </c>
      <c r="V57" t="b">
        <f t="shared" si="14"/>
        <v>1</v>
      </c>
    </row>
    <row r="58" spans="1:22">
      <c r="A58">
        <f t="shared" si="15"/>
        <v>52</v>
      </c>
      <c r="B58">
        <f t="shared" si="11"/>
        <v>18980</v>
      </c>
      <c r="C58">
        <f t="shared" si="17"/>
        <v>3.1856237130894032</v>
      </c>
      <c r="D58">
        <f>IF('5.Survival'!$C$3="No",pDeath,(1-EXP(C57-C58)))</f>
        <v>6.3682543358949295E-2</v>
      </c>
      <c r="F58">
        <f t="shared" si="18"/>
        <v>2.7947387825967965E-2</v>
      </c>
      <c r="G58">
        <f t="shared" si="19"/>
        <v>3.8100677714973842E-4</v>
      </c>
      <c r="H58">
        <f t="shared" si="12"/>
        <v>1.9138910924688301E-3</v>
      </c>
      <c r="I58">
        <f t="shared" si="20"/>
        <v>299.32777052906539</v>
      </c>
      <c r="J58">
        <f t="shared" si="21"/>
        <v>6.0909674503242589E-3</v>
      </c>
      <c r="K58">
        <f t="shared" si="22"/>
        <v>4.0809481917172541E-3</v>
      </c>
      <c r="N58">
        <f t="shared" si="23"/>
        <v>1.2831707909659398E-2</v>
      </c>
      <c r="O58">
        <f t="shared" si="24"/>
        <v>1.9234318143920642E-4</v>
      </c>
      <c r="P58">
        <f t="shared" si="13"/>
        <v>8.9864742984784246E-4</v>
      </c>
      <c r="Q58">
        <f t="shared" si="25"/>
        <v>108.5250591705836</v>
      </c>
      <c r="R58">
        <f t="shared" si="26"/>
        <v>2.8003376957517782E-3</v>
      </c>
      <c r="S58">
        <f t="shared" si="27"/>
        <v>1.9882397639837623E-3</v>
      </c>
      <c r="U58">
        <f t="shared" si="16"/>
        <v>0.95864755430578341</v>
      </c>
      <c r="V58" t="b">
        <f t="shared" si="14"/>
        <v>1</v>
      </c>
    </row>
    <row r="59" spans="1:22">
      <c r="A59">
        <f t="shared" si="15"/>
        <v>53</v>
      </c>
      <c r="B59">
        <f t="shared" si="11"/>
        <v>19345</v>
      </c>
      <c r="C59">
        <f t="shared" si="17"/>
        <v>3.2515192180719517</v>
      </c>
      <c r="D59">
        <f>IF('5.Survival'!$C$3="No",pDeath,(1-EXP(C58-C59)))</f>
        <v>6.3771309586297953E-2</v>
      </c>
      <c r="F59">
        <f t="shared" si="18"/>
        <v>2.634055405533952E-2</v>
      </c>
      <c r="G59">
        <f t="shared" si="19"/>
        <v>3.5164937945966231E-4</v>
      </c>
      <c r="H59">
        <f t="shared" si="12"/>
        <v>1.8065388223182312E-3</v>
      </c>
      <c r="I59">
        <f t="shared" si="20"/>
        <v>274.04751212737182</v>
      </c>
      <c r="J59">
        <f t="shared" si="21"/>
        <v>5.5720052480318352E-3</v>
      </c>
      <c r="K59">
        <f t="shared" si="22"/>
        <v>3.7332435161813297E-3</v>
      </c>
      <c r="N59">
        <f t="shared" si="23"/>
        <v>1.184184091744073E-2</v>
      </c>
      <c r="O59">
        <f t="shared" si="24"/>
        <v>1.8130172545995332E-4</v>
      </c>
      <c r="P59">
        <f t="shared" si="13"/>
        <v>8.3056079419821071E-4</v>
      </c>
      <c r="Q59">
        <f t="shared" si="25"/>
        <v>97.270240833884131</v>
      </c>
      <c r="R59">
        <f t="shared" si="26"/>
        <v>2.5098345315597952E-3</v>
      </c>
      <c r="S59">
        <f t="shared" si="27"/>
        <v>1.7819825174074544E-3</v>
      </c>
      <c r="U59">
        <f t="shared" si="16"/>
        <v>0.96128465392229978</v>
      </c>
      <c r="V59" t="b">
        <f t="shared" si="14"/>
        <v>1</v>
      </c>
    </row>
    <row r="60" spans="1:22">
      <c r="A60">
        <f t="shared" si="15"/>
        <v>54</v>
      </c>
      <c r="B60">
        <f t="shared" si="11"/>
        <v>19710</v>
      </c>
      <c r="C60">
        <f t="shared" si="17"/>
        <v>3.3175078748296865</v>
      </c>
      <c r="D60">
        <f>IF('5.Survival'!$C$3="No",pDeath,(1-EXP(C59-C60)))</f>
        <v>6.3858516888969707E-2</v>
      </c>
      <c r="F60">
        <f t="shared" si="18"/>
        <v>2.4816848808971528E-2</v>
      </c>
      <c r="G60">
        <f t="shared" si="19"/>
        <v>3.2462485135831845E-4</v>
      </c>
      <c r="H60">
        <f t="shared" si="12"/>
        <v>1.7045245238449388E-3</v>
      </c>
      <c r="I60">
        <f t="shared" si="20"/>
        <v>250.81923002362805</v>
      </c>
      <c r="J60">
        <f t="shared" si="21"/>
        <v>5.0954271413200742E-3</v>
      </c>
      <c r="K60">
        <f t="shared" si="22"/>
        <v>3.4139361846844498E-3</v>
      </c>
      <c r="N60">
        <f t="shared" si="23"/>
        <v>1.0930737734022198E-2</v>
      </c>
      <c r="O60">
        <f t="shared" si="24"/>
        <v>1.7083010198271477E-4</v>
      </c>
      <c r="P60">
        <f t="shared" si="13"/>
        <v>7.677800575201652E-4</v>
      </c>
      <c r="Q60">
        <f t="shared" si="25"/>
        <v>87.201555878581956</v>
      </c>
      <c r="R60">
        <f t="shared" si="26"/>
        <v>2.2499568174494688E-3</v>
      </c>
      <c r="S60">
        <f t="shared" si="27"/>
        <v>1.5974693403891227E-3</v>
      </c>
      <c r="U60">
        <f t="shared" si="16"/>
        <v>0.96375695850366494</v>
      </c>
      <c r="V60" t="b">
        <f t="shared" si="14"/>
        <v>1</v>
      </c>
    </row>
    <row r="61" spans="1:22">
      <c r="A61">
        <f t="shared" si="15"/>
        <v>55</v>
      </c>
      <c r="B61">
        <f t="shared" si="11"/>
        <v>20075</v>
      </c>
      <c r="C61">
        <f t="shared" si="17"/>
        <v>3.3835880861833556</v>
      </c>
      <c r="D61">
        <f>IF('5.Survival'!$C$3="No",pDeath,(1-EXP(C60-C61)))</f>
        <v>6.3944221020829972E-2</v>
      </c>
      <c r="F61">
        <f t="shared" si="18"/>
        <v>2.3372916280378232E-2</v>
      </c>
      <c r="G61">
        <f t="shared" si="19"/>
        <v>2.9974233157213263E-4</v>
      </c>
      <c r="H61">
        <f t="shared" si="12"/>
        <v>1.6076519485255069E-3</v>
      </c>
      <c r="I61">
        <f t="shared" si="20"/>
        <v>229.48716629064145</v>
      </c>
      <c r="J61">
        <f t="shared" si="21"/>
        <v>4.6580020605501505E-3</v>
      </c>
      <c r="K61">
        <f t="shared" si="22"/>
        <v>3.1208613805686009E-3</v>
      </c>
      <c r="N61">
        <f t="shared" si="23"/>
        <v>1.0091944397049545E-2</v>
      </c>
      <c r="O61">
        <f t="shared" si="24"/>
        <v>1.6090543142611104E-4</v>
      </c>
      <c r="P61">
        <f t="shared" si="13"/>
        <v>7.0988110738323521E-4</v>
      </c>
      <c r="Q61">
        <f t="shared" si="25"/>
        <v>78.191996809318226</v>
      </c>
      <c r="R61">
        <f t="shared" si="26"/>
        <v>2.0174242534567667E-3</v>
      </c>
      <c r="S61">
        <f t="shared" si="27"/>
        <v>1.4323712199543043E-3</v>
      </c>
      <c r="U61">
        <f t="shared" si="16"/>
        <v>0.9660744915595737</v>
      </c>
      <c r="V61" t="b">
        <f t="shared" si="14"/>
        <v>1</v>
      </c>
    </row>
    <row r="62" spans="1:22">
      <c r="A62">
        <f t="shared" si="15"/>
        <v>56</v>
      </c>
      <c r="B62">
        <f t="shared" si="11"/>
        <v>20440</v>
      </c>
      <c r="C62">
        <f t="shared" si="17"/>
        <v>3.4497583109064807</v>
      </c>
      <c r="D62">
        <f>IF('5.Survival'!$C$3="No",pDeath,(1-EXP(C61-C62)))</f>
        <v>6.4028474763455967E-2</v>
      </c>
      <c r="F62">
        <f t="shared" si="18"/>
        <v>2.200542937231471E-2</v>
      </c>
      <c r="G62">
        <f t="shared" si="19"/>
        <v>2.7682694536884271E-4</v>
      </c>
      <c r="H62">
        <f t="shared" si="12"/>
        <v>1.5157242245191725E-3</v>
      </c>
      <c r="I62">
        <f t="shared" si="20"/>
        <v>209.9059504635392</v>
      </c>
      <c r="J62">
        <f t="shared" si="21"/>
        <v>4.2567150823533033E-3</v>
      </c>
      <c r="K62">
        <f t="shared" si="22"/>
        <v>2.8519991051767133E-3</v>
      </c>
      <c r="N62">
        <f t="shared" si="23"/>
        <v>9.3195485466107553E-3</v>
      </c>
      <c r="O62">
        <f t="shared" si="24"/>
        <v>1.5150501511648233E-4</v>
      </c>
      <c r="P62">
        <f t="shared" si="13"/>
        <v>6.5647433649605735E-4</v>
      </c>
      <c r="Q62">
        <f t="shared" si="25"/>
        <v>70.128354478601821</v>
      </c>
      <c r="R62">
        <f t="shared" si="26"/>
        <v>1.8093130232051599E-3</v>
      </c>
      <c r="S62">
        <f t="shared" si="27"/>
        <v>1.2846122464756635E-3</v>
      </c>
      <c r="U62">
        <f t="shared" si="16"/>
        <v>0.96824669012058895</v>
      </c>
      <c r="V62" t="b">
        <f t="shared" si="14"/>
        <v>1</v>
      </c>
    </row>
    <row r="63" spans="1:22">
      <c r="A63">
        <f t="shared" si="15"/>
        <v>57</v>
      </c>
      <c r="B63">
        <f t="shared" si="11"/>
        <v>20805</v>
      </c>
      <c r="C63">
        <f t="shared" si="17"/>
        <v>3.5160170608001273</v>
      </c>
      <c r="D63">
        <f>IF('5.Survival'!$C$3="No",pDeath,(1-EXP(C62-C63)))</f>
        <v>6.4111328134972445E-2</v>
      </c>
      <c r="F63">
        <f t="shared" si="18"/>
        <v>2.0711104830879807E-2</v>
      </c>
      <c r="G63">
        <f t="shared" si="19"/>
        <v>2.5571844616663542E-4</v>
      </c>
      <c r="H63">
        <f t="shared" si="12"/>
        <v>1.4285450463705732E-3</v>
      </c>
      <c r="I63">
        <f t="shared" si="20"/>
        <v>191.94010865869672</v>
      </c>
      <c r="J63">
        <f t="shared" si="21"/>
        <v>3.8887571844960609E-3</v>
      </c>
      <c r="K63">
        <f t="shared" si="22"/>
        <v>2.6054673136123611E-3</v>
      </c>
      <c r="N63">
        <f t="shared" si="23"/>
        <v>8.6081332928808069E-3</v>
      </c>
      <c r="O63">
        <f t="shared" si="24"/>
        <v>1.4260644043317475E-4</v>
      </c>
      <c r="P63">
        <f t="shared" si="13"/>
        <v>6.0720182267979443E-4</v>
      </c>
      <c r="Q63">
        <f t="shared" si="25"/>
        <v>62.909701016090757</v>
      </c>
      <c r="R63">
        <f t="shared" si="26"/>
        <v>1.6230165894913556E-3</v>
      </c>
      <c r="S63">
        <f t="shared" si="27"/>
        <v>1.1523417785388624E-3</v>
      </c>
      <c r="U63">
        <f t="shared" si="16"/>
        <v>0.97028243698963934</v>
      </c>
      <c r="V63" t="b">
        <f t="shared" si="14"/>
        <v>1</v>
      </c>
    </row>
    <row r="64" spans="1:22">
      <c r="A64">
        <f t="shared" si="15"/>
        <v>58</v>
      </c>
      <c r="B64">
        <f t="shared" si="11"/>
        <v>21170</v>
      </c>
      <c r="C64">
        <f t="shared" si="17"/>
        <v>3.582362897969233</v>
      </c>
      <c r="D64">
        <f>IF('5.Survival'!$C$3="No",pDeath,(1-EXP(C63-C64)))</f>
        <v>6.4192828580660666E-2</v>
      </c>
      <c r="F64">
        <f t="shared" si="18"/>
        <v>1.94867159155689E-2</v>
      </c>
      <c r="G64">
        <f t="shared" si="19"/>
        <v>2.362699727994775E-4</v>
      </c>
      <c r="H64">
        <f t="shared" si="12"/>
        <v>1.3459196925044482E-3</v>
      </c>
      <c r="I64">
        <f t="shared" si="20"/>
        <v>175.46356382693503</v>
      </c>
      <c r="J64">
        <f t="shared" si="21"/>
        <v>3.5515148185392082E-3</v>
      </c>
      <c r="K64">
        <f t="shared" si="22"/>
        <v>2.3795149284212697E-3</v>
      </c>
      <c r="N64">
        <f t="shared" si="23"/>
        <v>7.952735024859903E-3</v>
      </c>
      <c r="O64">
        <f t="shared" si="24"/>
        <v>1.3418766897309724E-4</v>
      </c>
      <c r="P64">
        <f t="shared" si="13"/>
        <v>5.6173473565460064E-4</v>
      </c>
      <c r="Q64">
        <f t="shared" si="25"/>
        <v>56.446040926545962</v>
      </c>
      <c r="R64">
        <f t="shared" si="26"/>
        <v>1.456210836740851E-3</v>
      </c>
      <c r="S64">
        <f t="shared" si="27"/>
        <v>1.0339096940860041E-3</v>
      </c>
      <c r="U64">
        <f t="shared" si="16"/>
        <v>0.97219009141779833</v>
      </c>
      <c r="V64" t="b">
        <f t="shared" si="14"/>
        <v>1</v>
      </c>
    </row>
    <row r="65" spans="1:22">
      <c r="A65">
        <f t="shared" si="15"/>
        <v>59</v>
      </c>
      <c r="B65">
        <f t="shared" si="11"/>
        <v>21535</v>
      </c>
      <c r="C65">
        <f t="shared" si="17"/>
        <v>3.6487944322834709</v>
      </c>
      <c r="D65">
        <f>IF('5.Survival'!$C$3="No",pDeath,(1-EXP(C64-C65)))</f>
        <v>6.4273021147459475E-2</v>
      </c>
      <c r="F65">
        <f t="shared" si="18"/>
        <v>1.8329102889588673E-2</v>
      </c>
      <c r="G65">
        <f t="shared" si="19"/>
        <v>2.1834691273349099E-4</v>
      </c>
      <c r="H65">
        <f t="shared" si="12"/>
        <v>1.2676558890941454E-3</v>
      </c>
      <c r="I65">
        <f t="shared" si="20"/>
        <v>160.35913413615734</v>
      </c>
      <c r="J65">
        <f t="shared" si="21"/>
        <v>3.2425594458787123E-3</v>
      </c>
      <c r="K65">
        <f t="shared" si="22"/>
        <v>2.1725148287387373E-3</v>
      </c>
      <c r="N65">
        <f t="shared" si="23"/>
        <v>7.3488048277809102E-3</v>
      </c>
      <c r="O65">
        <f t="shared" si="24"/>
        <v>1.2622710968555762E-4</v>
      </c>
      <c r="P65">
        <f t="shared" si="13"/>
        <v>5.1977095331859834E-4</v>
      </c>
      <c r="Q65">
        <f t="shared" si="25"/>
        <v>50.657111652809753</v>
      </c>
      <c r="R65">
        <f t="shared" si="26"/>
        <v>1.306823076779121E-3</v>
      </c>
      <c r="S65">
        <f t="shared" si="27"/>
        <v>9.2784438451317579E-4</v>
      </c>
      <c r="U65">
        <f t="shared" si="16"/>
        <v>0.97397751826021106</v>
      </c>
      <c r="V65" t="b">
        <f t="shared" si="14"/>
        <v>1</v>
      </c>
    </row>
    <row r="66" spans="1:22">
      <c r="A66">
        <f>A65+1</f>
        <v>60</v>
      </c>
      <c r="B66">
        <f t="shared" si="11"/>
        <v>21900</v>
      </c>
      <c r="C66">
        <f t="shared" si="17"/>
        <v>3.7153103190071284</v>
      </c>
      <c r="D66">
        <f>IF('5.Survival'!$C$3="No",pDeath,(1-EXP(C65-C66)))</f>
        <v>6.4351948643775581E-2</v>
      </c>
      <c r="F66">
        <f t="shared" si="18"/>
        <v>1.723518158643526E-2</v>
      </c>
      <c r="G66">
        <f t="shared" si="19"/>
        <v>2.0182586231159465E-4</v>
      </c>
      <c r="H66">
        <f t="shared" si="12"/>
        <v>1.1935645371520414E-3</v>
      </c>
      <c r="I66">
        <f t="shared" si="20"/>
        <v>146.518035142152</v>
      </c>
      <c r="J66">
        <f t="shared" si="21"/>
        <v>2.9596371549150961E-3</v>
      </c>
      <c r="K66">
        <f t="shared" si="22"/>
        <v>1.9829568937931147E-3</v>
      </c>
      <c r="N66">
        <f t="shared" si="23"/>
        <v>6.7921732038044493E-3</v>
      </c>
      <c r="O66">
        <f t="shared" si="24"/>
        <v>1.1870367873486186E-4</v>
      </c>
      <c r="P66">
        <f t="shared" si="13"/>
        <v>4.8103287135042443E-4</v>
      </c>
      <c r="Q66">
        <f t="shared" si="25"/>
        <v>45.471316974279198</v>
      </c>
      <c r="R66">
        <f t="shared" si="26"/>
        <v>1.173004487996425E-3</v>
      </c>
      <c r="S66">
        <f t="shared" si="27"/>
        <v>8.3283318647746167E-4</v>
      </c>
      <c r="U66">
        <f t="shared" si="16"/>
        <v>0.97565211566871346</v>
      </c>
      <c r="V66" t="b">
        <f t="shared" si="14"/>
        <v>1</v>
      </c>
    </row>
    <row r="67" spans="1:22">
      <c r="A67">
        <f t="shared" si="15"/>
        <v>61</v>
      </c>
      <c r="B67">
        <f t="shared" si="11"/>
        <v>22265</v>
      </c>
      <c r="C67">
        <f t="shared" si="17"/>
        <v>3.7819092565842496</v>
      </c>
      <c r="D67">
        <f>IF('5.Survival'!$C$3="No",pDeath,(1-EXP(C66-C67)))</f>
        <v>6.4429651786281572E-2</v>
      </c>
      <c r="F67">
        <f t="shared" si="18"/>
        <v>1.620195028295732E-2</v>
      </c>
      <c r="G67">
        <f t="shared" si="19"/>
        <v>1.8659367582856142E-4</v>
      </c>
      <c r="H67">
        <f t="shared" si="12"/>
        <v>1.1234603181175581E-3</v>
      </c>
      <c r="I67">
        <f t="shared" si="20"/>
        <v>133.83939026838607</v>
      </c>
      <c r="J67">
        <f t="shared" si="21"/>
        <v>2.7006584533928379E-3</v>
      </c>
      <c r="K67">
        <f t="shared" si="22"/>
        <v>1.8094411637732016E-3</v>
      </c>
      <c r="N67">
        <f t="shared" si="23"/>
        <v>6.2790178156308793E-3</v>
      </c>
      <c r="O67">
        <f t="shared" si="24"/>
        <v>1.1159684767197988E-4</v>
      </c>
      <c r="P67">
        <f t="shared" si="13"/>
        <v>4.4526539107987099E-4</v>
      </c>
      <c r="Q67">
        <f t="shared" si="25"/>
        <v>40.824778458026863</v>
      </c>
      <c r="R67">
        <f t="shared" si="26"/>
        <v>1.0531056057345857E-3</v>
      </c>
      <c r="S67">
        <f t="shared" si="27"/>
        <v>7.4770498007155578E-4</v>
      </c>
      <c r="U67">
        <f t="shared" si="16"/>
        <v>0.97722084137791099</v>
      </c>
      <c r="V67" t="b">
        <f t="shared" si="14"/>
        <v>1</v>
      </c>
    </row>
    <row r="68" spans="1:22">
      <c r="A68">
        <f t="shared" si="15"/>
        <v>62</v>
      </c>
      <c r="B68">
        <f t="shared" si="11"/>
        <v>22630</v>
      </c>
      <c r="C68">
        <f t="shared" si="17"/>
        <v>3.8485899845663485</v>
      </c>
      <c r="D68">
        <f>IF('5.Survival'!$C$3="No",pDeath,(1-EXP(C67-C68)))</f>
        <v>6.4506169334703767E-2</v>
      </c>
      <c r="F68">
        <f t="shared" si="18"/>
        <v>1.5226495085694975E-2</v>
      </c>
      <c r="G68">
        <f t="shared" si="19"/>
        <v>1.7254659590917719E-4</v>
      </c>
      <c r="H68">
        <f t="shared" si="12"/>
        <v>1.0571621917546785E-3</v>
      </c>
      <c r="I68">
        <f t="shared" si="20"/>
        <v>122.22975315020744</v>
      </c>
      <c r="J68">
        <f t="shared" si="21"/>
        <v>2.4636883098409709E-3</v>
      </c>
      <c r="K68">
        <f t="shared" si="22"/>
        <v>1.6506711675934507E-3</v>
      </c>
      <c r="N68">
        <f t="shared" si="23"/>
        <v>5.8058339957698267E-3</v>
      </c>
      <c r="O68">
        <f t="shared" si="24"/>
        <v>1.0488668133622965E-4</v>
      </c>
      <c r="P68">
        <f t="shared" si="13"/>
        <v>4.1223407162385511E-4</v>
      </c>
      <c r="Q68">
        <f t="shared" si="25"/>
        <v>36.660491823375899</v>
      </c>
      <c r="R68">
        <f t="shared" si="26"/>
        <v>9.4565452422390786E-4</v>
      </c>
      <c r="S68">
        <f t="shared" si="27"/>
        <v>6.7141471219897455E-4</v>
      </c>
      <c r="U68">
        <f t="shared" si="16"/>
        <v>0.97869023764128948</v>
      </c>
      <c r="V68" t="b">
        <f t="shared" si="14"/>
        <v>1</v>
      </c>
    </row>
    <row r="69" spans="1:22">
      <c r="A69">
        <f t="shared" si="15"/>
        <v>63</v>
      </c>
      <c r="B69">
        <f t="shared" si="11"/>
        <v>22995</v>
      </c>
      <c r="C69">
        <f t="shared" si="17"/>
        <v>3.9153512816714513</v>
      </c>
      <c r="D69">
        <f>IF('5.Survival'!$C$3="No",pDeath,(1-EXP(C68-C69)))</f>
        <v>6.4581538215973011E-2</v>
      </c>
      <c r="F69">
        <f t="shared" si="18"/>
        <v>1.4305994015992007E-2</v>
      </c>
      <c r="G69">
        <f t="shared" si="19"/>
        <v>1.5958945828186351E-4</v>
      </c>
      <c r="H69">
        <f t="shared" si="12"/>
        <v>9.9449379884987985E-4</v>
      </c>
      <c r="I69">
        <f t="shared" si="20"/>
        <v>111.60264458276174</v>
      </c>
      <c r="J69">
        <f t="shared" si="21"/>
        <v>2.2469365010464016E-3</v>
      </c>
      <c r="K69">
        <f t="shared" si="22"/>
        <v>1.5054474557010891E-3</v>
      </c>
      <c r="N69">
        <f t="shared" si="23"/>
        <v>5.3694077855317261E-3</v>
      </c>
      <c r="O69">
        <f t="shared" si="24"/>
        <v>9.8553866762266578E-5</v>
      </c>
      <c r="P69">
        <f t="shared" si="13"/>
        <v>3.8172343329246668E-4</v>
      </c>
      <c r="Q69">
        <f t="shared" si="25"/>
        <v>32.927576543149648</v>
      </c>
      <c r="R69">
        <f t="shared" si="26"/>
        <v>8.4933750821123333E-4</v>
      </c>
      <c r="S69">
        <f t="shared" si="27"/>
        <v>6.0302963082997565E-4</v>
      </c>
      <c r="U69">
        <f t="shared" si="16"/>
        <v>0.9800664548734318</v>
      </c>
      <c r="V69" t="b">
        <f t="shared" si="14"/>
        <v>1</v>
      </c>
    </row>
    <row r="70" spans="1:22">
      <c r="A70">
        <f t="shared" si="15"/>
        <v>64</v>
      </c>
      <c r="B70">
        <f t="shared" si="11"/>
        <v>23360</v>
      </c>
      <c r="C70">
        <f t="shared" ref="C70:C101" si="28">lambda*B70^gamma</f>
        <v>3.9821919639641941</v>
      </c>
      <c r="D70">
        <f>IF('5.Survival'!$C$3="No",pDeath,(1-EXP(C69-C70)))</f>
        <v>6.4655793638654258E-2</v>
      </c>
      <c r="F70">
        <f t="shared" ref="F70:F105" si="29">SUM(E69:G69)*(1-D70-pHDtoPD)</f>
        <v>1.3437719960063139E-2</v>
      </c>
      <c r="G70">
        <f t="shared" ref="G70:G105" si="30">SUM(M69:O69)*pPDtoHD</f>
        <v>1.476349646119378E-4</v>
      </c>
      <c r="H70">
        <f t="shared" si="12"/>
        <v>9.3528377997537874E-4</v>
      </c>
      <c r="I70">
        <f t="shared" ref="I70:I105" si="31">((E70+G70)*(cMedHD1+cNonMedHD)+(F70*(cMedHD2+cNonMedHD))/(1+cDC)^A70)</f>
        <v>101.87810612505801</v>
      </c>
      <c r="J70">
        <f t="shared" ref="J70:J105" si="32">(E70+F70+G70)/(1+cDO)^A70</f>
        <v>2.0487483081850408E-3</v>
      </c>
      <c r="K70">
        <f t="shared" ref="K70:K101" si="33">J70*uHD</f>
        <v>1.3726613664839773E-3</v>
      </c>
      <c r="N70">
        <f t="shared" ref="N70:N105" si="34">SUM(M69:O69)*(1-D70-pPDtoHD)</f>
        <v>4.9667912874672591E-3</v>
      </c>
      <c r="O70">
        <f t="shared" ref="O70:O105" si="35">SUM(E69:G69)*pHDtoPD</f>
        <v>9.2579734235352784E-5</v>
      </c>
      <c r="P70">
        <f t="shared" si="13"/>
        <v>3.5353540021479537E-4</v>
      </c>
      <c r="Q70">
        <f t="shared" ref="Q70:Q105" si="36">(((M70+O70)*(cMedPD1+cNonMedPD))+(N70*(cMedPD2+cNonMedPD)))/(1+cDC)^A70</f>
        <v>29.580608305638549</v>
      </c>
      <c r="R70">
        <f t="shared" ref="R70:R105" si="37">(M70+N70+O70)/(1+cDO)^A70</f>
        <v>7.6298174605412888E-4</v>
      </c>
      <c r="S70">
        <f t="shared" ref="S70:S101" si="38">R70*uPD</f>
        <v>5.4171703969843144E-4</v>
      </c>
      <c r="U70">
        <f t="shared" si="16"/>
        <v>0.981355274053622</v>
      </c>
      <c r="V70" t="b">
        <f t="shared" si="14"/>
        <v>1</v>
      </c>
    </row>
    <row r="71" spans="1:22">
      <c r="A71">
        <f t="shared" si="15"/>
        <v>65</v>
      </c>
      <c r="B71">
        <f t="shared" ref="B71:B105" si="39">A71*365</f>
        <v>23725</v>
      </c>
      <c r="C71">
        <f t="shared" si="28"/>
        <v>4.0491108831475557</v>
      </c>
      <c r="D71">
        <f>IF('5.Survival'!$C$3="No",pDeath,(1-EXP(C70-C71)))</f>
        <v>6.4728969198466935E-2</v>
      </c>
      <c r="F71">
        <f t="shared" si="29"/>
        <v>1.2619042632687623E-2</v>
      </c>
      <c r="G71">
        <f t="shared" si="30"/>
        <v>1.3660301758597053E-4</v>
      </c>
      <c r="H71">
        <f t="shared" ref="H71:H105" si="40">SUM(E70:G70)*D71</f>
        <v>8.7936602046953419E-4</v>
      </c>
      <c r="I71">
        <f t="shared" si="31"/>
        <v>92.982271837239722</v>
      </c>
      <c r="J71">
        <f t="shared" si="32"/>
        <v>1.867595592252619E-3</v>
      </c>
      <c r="K71">
        <f t="shared" si="33"/>
        <v>1.2512890468092549E-3</v>
      </c>
      <c r="N71">
        <f t="shared" si="34"/>
        <v>4.5952801330892369E-3</v>
      </c>
      <c r="O71">
        <f t="shared" si="35"/>
        <v>8.6946271517920497E-5</v>
      </c>
      <c r="P71">
        <f t="shared" ref="P71:P105" si="41">SUM(M70:O70)*D71</f>
        <v>3.2748787102740456E-4</v>
      </c>
      <c r="Q71">
        <f t="shared" si="36"/>
        <v>26.579025118086872</v>
      </c>
      <c r="R71">
        <f t="shared" si="37"/>
        <v>6.8554000596477804E-4</v>
      </c>
      <c r="S71">
        <f t="shared" si="38"/>
        <v>4.8673340423499237E-4</v>
      </c>
      <c r="U71">
        <f t="shared" si="16"/>
        <v>0.98256212794511899</v>
      </c>
      <c r="V71" t="b">
        <f t="shared" ref="V71:V105" si="42">SUM(E71:G71)+SUM(M71:O71)+U71=1</f>
        <v>1</v>
      </c>
    </row>
    <row r="72" spans="1:22">
      <c r="A72">
        <f t="shared" ref="A72:A104" si="43">A71+1</f>
        <v>66</v>
      </c>
      <c r="B72">
        <f t="shared" si="39"/>
        <v>24090</v>
      </c>
      <c r="C72">
        <f t="shared" si="28"/>
        <v>4.1161069249579212</v>
      </c>
      <c r="D72">
        <f>IF('5.Survival'!$C$3="No",pDeath,(1-EXP(C71-C72)))</f>
        <v>6.4801096975945272E-2</v>
      </c>
      <c r="F72">
        <f t="shared" si="29"/>
        <v>1.1847429687337669E-2</v>
      </c>
      <c r="G72">
        <f t="shared" si="30"/>
        <v>1.2642011292439325E-4</v>
      </c>
      <c r="H72">
        <f t="shared" si="40"/>
        <v>8.2657983077417355E-4</v>
      </c>
      <c r="I72">
        <f t="shared" si="31"/>
        <v>84.846959148738719</v>
      </c>
      <c r="J72">
        <f t="shared" si="32"/>
        <v>1.702068269454215E-3</v>
      </c>
      <c r="K72">
        <f t="shared" si="33"/>
        <v>1.140385740534324E-3</v>
      </c>
      <c r="N72">
        <f t="shared" si="34"/>
        <v>4.252392884374484E-3</v>
      </c>
      <c r="O72">
        <f t="shared" si="35"/>
        <v>8.1636132161751001E-5</v>
      </c>
      <c r="P72">
        <f t="shared" si="41"/>
        <v>3.0341340730827992E-4</v>
      </c>
      <c r="Q72">
        <f t="shared" si="36"/>
        <v>23.886598860903465</v>
      </c>
      <c r="R72">
        <f t="shared" si="37"/>
        <v>6.1607698367643893E-4</v>
      </c>
      <c r="S72">
        <f t="shared" si="38"/>
        <v>4.3741465841027163E-4</v>
      </c>
      <c r="U72">
        <f t="shared" ref="U72:U105" si="44">U71+H72+P72</f>
        <v>0.98369212118320148</v>
      </c>
      <c r="V72" t="b">
        <f t="shared" si="42"/>
        <v>1</v>
      </c>
    </row>
    <row r="73" spans="1:22">
      <c r="A73">
        <f t="shared" si="43"/>
        <v>67</v>
      </c>
      <c r="B73">
        <f t="shared" si="39"/>
        <v>24455</v>
      </c>
      <c r="C73">
        <f t="shared" si="28"/>
        <v>4.1831790076555482</v>
      </c>
      <c r="D73">
        <f>IF('5.Survival'!$C$3="No",pDeath,(1-EXP(C72-C73)))</f>
        <v>6.4872207626604506E-2</v>
      </c>
      <c r="F73">
        <f t="shared" si="29"/>
        <v>1.1120447091208007E-2</v>
      </c>
      <c r="G73">
        <f t="shared" si="30"/>
        <v>1.1701878344647833E-4</v>
      </c>
      <c r="H73">
        <f t="shared" si="40"/>
        <v>7.7677007033237738E-4</v>
      </c>
      <c r="I73">
        <f t="shared" si="31"/>
        <v>77.409279458200743</v>
      </c>
      <c r="J73">
        <f t="shared" si="32"/>
        <v>1.5508661989497886E-3</v>
      </c>
      <c r="K73">
        <f t="shared" si="33"/>
        <v>1.0390803532963585E-3</v>
      </c>
      <c r="N73">
        <f t="shared" si="34"/>
        <v>3.9358522028692892E-3</v>
      </c>
      <c r="O73">
        <f t="shared" si="35"/>
        <v>7.66326387216772E-5</v>
      </c>
      <c r="P73">
        <f t="shared" si="41"/>
        <v>2.8115803022046713E-4</v>
      </c>
      <c r="Q73">
        <f t="shared" si="36"/>
        <v>21.470965015923614</v>
      </c>
      <c r="R73">
        <f t="shared" si="37"/>
        <v>5.5375715343946783E-4</v>
      </c>
      <c r="S73">
        <f t="shared" si="38"/>
        <v>3.9316757894202213E-4</v>
      </c>
      <c r="U73">
        <f t="shared" si="44"/>
        <v>0.98475004928375431</v>
      </c>
      <c r="V73" t="b">
        <f t="shared" si="42"/>
        <v>1</v>
      </c>
    </row>
    <row r="74" spans="1:22">
      <c r="A74">
        <f t="shared" si="43"/>
        <v>68</v>
      </c>
      <c r="B74">
        <f t="shared" si="39"/>
        <v>24820</v>
      </c>
      <c r="C74">
        <f t="shared" si="28"/>
        <v>4.2503260806036991</v>
      </c>
      <c r="D74">
        <f>IF('5.Survival'!$C$3="No",pDeath,(1-EXP(C73-C74)))</f>
        <v>6.494233046472897E-2</v>
      </c>
      <c r="F74">
        <f t="shared" si="29"/>
        <v>1.0435758870638771E-2</v>
      </c>
      <c r="G74">
        <f t="shared" si="30"/>
        <v>1.0833709072295609E-4</v>
      </c>
      <c r="H74">
        <f t="shared" si="40"/>
        <v>7.2978722241792606E-4</v>
      </c>
      <c r="I74">
        <f t="shared" si="31"/>
        <v>70.611268739952294</v>
      </c>
      <c r="J74">
        <f t="shared" si="32"/>
        <v>1.41279148856369E-3</v>
      </c>
      <c r="K74">
        <f t="shared" si="33"/>
        <v>9.4657029733767237E-4</v>
      </c>
      <c r="N74">
        <f t="shared" si="34"/>
        <v>3.6435676343006939E-3</v>
      </c>
      <c r="O74">
        <f t="shared" si="35"/>
        <v>7.1919781597788702E-5</v>
      </c>
      <c r="P74">
        <f t="shared" si="41"/>
        <v>2.6058011656731619E-4</v>
      </c>
      <c r="Q74">
        <f t="shared" si="36"/>
        <v>19.303204104397771</v>
      </c>
      <c r="R74">
        <f t="shared" si="37"/>
        <v>4.9783395525631778E-4</v>
      </c>
      <c r="S74">
        <f t="shared" si="38"/>
        <v>3.5346210823198563E-4</v>
      </c>
      <c r="U74">
        <f t="shared" si="44"/>
        <v>0.98574041662273948</v>
      </c>
      <c r="V74" t="b">
        <f t="shared" si="42"/>
        <v>1</v>
      </c>
    </row>
    <row r="75" spans="1:22">
      <c r="A75">
        <f t="shared" si="43"/>
        <v>69</v>
      </c>
      <c r="B75">
        <f t="shared" si="39"/>
        <v>25185</v>
      </c>
      <c r="C75">
        <f t="shared" si="28"/>
        <v>4.3175471229296472</v>
      </c>
      <c r="D75">
        <f>IF('5.Survival'!$C$3="No",pDeath,(1-EXP(C74-C75)))</f>
        <v>6.5011493540742538E-2</v>
      </c>
      <c r="F75">
        <f t="shared" si="29"/>
        <v>9.7911263207239758E-3</v>
      </c>
      <c r="G75">
        <f t="shared" si="30"/>
        <v>1.0031816022925903E-4</v>
      </c>
      <c r="H75">
        <f t="shared" si="40"/>
        <v>6.8548742648503742E-4</v>
      </c>
      <c r="I75">
        <f t="shared" si="31"/>
        <v>64.399538166247112</v>
      </c>
      <c r="J75">
        <f t="shared" si="32"/>
        <v>1.2867412185394453E-3</v>
      </c>
      <c r="K75">
        <f t="shared" si="33"/>
        <v>8.6211661642142845E-4</v>
      </c>
      <c r="N75">
        <f t="shared" si="34"/>
        <v>3.3736198695298292E-3</v>
      </c>
      <c r="O75">
        <f t="shared" si="35"/>
        <v>6.7482214152715067E-5</v>
      </c>
      <c r="P75">
        <f t="shared" si="41"/>
        <v>2.4154938613939439E-4</v>
      </c>
      <c r="Q75">
        <f t="shared" si="36"/>
        <v>17.357469092221688</v>
      </c>
      <c r="R75">
        <f t="shared" si="37"/>
        <v>4.4764016992688974E-4</v>
      </c>
      <c r="S75">
        <f t="shared" si="38"/>
        <v>3.1782452064809172E-4</v>
      </c>
      <c r="U75">
        <f t="shared" si="44"/>
        <v>0.98666745343536388</v>
      </c>
      <c r="V75" t="b">
        <f t="shared" si="42"/>
        <v>1</v>
      </c>
    </row>
    <row r="76" spans="1:22">
      <c r="A76">
        <f t="shared" si="43"/>
        <v>70</v>
      </c>
      <c r="B76">
        <f t="shared" si="39"/>
        <v>25550</v>
      </c>
      <c r="C76">
        <f t="shared" si="28"/>
        <v>4.3848411422621041</v>
      </c>
      <c r="D76">
        <f>IF('5.Survival'!$C$3="No",pDeath,(1-EXP(C75-C76)))</f>
        <v>6.507972371341697E-2</v>
      </c>
      <c r="F76">
        <f t="shared" si="29"/>
        <v>9.1844067623280956E-3</v>
      </c>
      <c r="G76">
        <f t="shared" si="30"/>
        <v>9.2909756259428684E-5</v>
      </c>
      <c r="H76">
        <f t="shared" si="40"/>
        <v>6.4373247394703965E-4</v>
      </c>
      <c r="I76">
        <f t="shared" si="31"/>
        <v>58.724944540463795</v>
      </c>
      <c r="J76">
        <f t="shared" si="32"/>
        <v>1.1717005789666083E-3</v>
      </c>
      <c r="K76">
        <f t="shared" si="33"/>
        <v>7.8503938790762764E-4</v>
      </c>
      <c r="N76">
        <f t="shared" si="34"/>
        <v>3.1242463545473921E-3</v>
      </c>
      <c r="O76">
        <f t="shared" si="35"/>
        <v>6.3305244678100702E-5</v>
      </c>
      <c r="P76">
        <f t="shared" si="41"/>
        <v>2.2394597287572342E-4</v>
      </c>
      <c r="Q76">
        <f t="shared" si="36"/>
        <v>15.610653661183465</v>
      </c>
      <c r="R76">
        <f t="shared" si="37"/>
        <v>4.0257935005402637E-4</v>
      </c>
      <c r="S76">
        <f t="shared" si="38"/>
        <v>2.858313385383587E-4</v>
      </c>
      <c r="U76">
        <f t="shared" si="44"/>
        <v>0.98753513188218656</v>
      </c>
      <c r="V76" t="b">
        <f t="shared" si="42"/>
        <v>1</v>
      </c>
    </row>
    <row r="77" spans="1:22">
      <c r="A77">
        <f t="shared" si="43"/>
        <v>71</v>
      </c>
      <c r="B77">
        <f t="shared" si="39"/>
        <v>25915</v>
      </c>
      <c r="C77">
        <f t="shared" si="28"/>
        <v>4.4522071735393336</v>
      </c>
      <c r="D77">
        <f>IF('5.Survival'!$C$3="No",pDeath,(1-EXP(C76-C77)))</f>
        <v>6.5147046716660384E-2</v>
      </c>
      <c r="F77">
        <f t="shared" si="29"/>
        <v>8.6135519202268987E-3</v>
      </c>
      <c r="G77">
        <f t="shared" si="30"/>
        <v>8.60638931790883E-5</v>
      </c>
      <c r="H77">
        <f t="shared" si="40"/>
        <v>6.0438977264166656E-4</v>
      </c>
      <c r="I77">
        <f t="shared" si="31"/>
        <v>53.542280166303414</v>
      </c>
      <c r="J77">
        <f t="shared" si="32"/>
        <v>1.0667364129677719E-3</v>
      </c>
      <c r="K77">
        <f t="shared" si="33"/>
        <v>7.1471339668840723E-4</v>
      </c>
      <c r="N77">
        <f t="shared" si="34"/>
        <v>2.8938281330998959E-3</v>
      </c>
      <c r="O77">
        <f t="shared" si="35"/>
        <v>5.9374825718960157E-5</v>
      </c>
      <c r="P77">
        <f t="shared" si="41"/>
        <v>2.0765957294650869E-4</v>
      </c>
      <c r="Q77">
        <f t="shared" si="36"/>
        <v>14.04209681467422</v>
      </c>
      <c r="R77">
        <f t="shared" si="37"/>
        <v>3.6211818988623448E-4</v>
      </c>
      <c r="S77">
        <f t="shared" si="38"/>
        <v>2.5710391481922646E-4</v>
      </c>
      <c r="U77">
        <f t="shared" si="44"/>
        <v>0.98834718122777476</v>
      </c>
      <c r="V77" t="b">
        <f t="shared" si="42"/>
        <v>1</v>
      </c>
    </row>
    <row r="78" spans="1:22">
      <c r="A78">
        <f t="shared" si="43"/>
        <v>72</v>
      </c>
      <c r="B78">
        <f t="shared" si="39"/>
        <v>26280</v>
      </c>
      <c r="C78">
        <f t="shared" si="28"/>
        <v>4.5196442778833372</v>
      </c>
      <c r="D78">
        <f>IF('5.Survival'!$C$3="No",pDeath,(1-EXP(C77-C78)))</f>
        <v>6.521348722193987E-2</v>
      </c>
      <c r="F78">
        <f t="shared" si="29"/>
        <v>8.0766059875168519E-3</v>
      </c>
      <c r="G78">
        <f t="shared" si="30"/>
        <v>7.9736479888109119E-5</v>
      </c>
      <c r="H78">
        <f t="shared" si="40"/>
        <v>5.6733228468333738E-4</v>
      </c>
      <c r="I78">
        <f t="shared" si="31"/>
        <v>48.809981644943043</v>
      </c>
      <c r="J78">
        <f t="shared" si="32"/>
        <v>9.7099115496646104E-4</v>
      </c>
      <c r="K78">
        <f t="shared" si="33"/>
        <v>6.505640738275289E-4</v>
      </c>
      <c r="N78">
        <f t="shared" si="34"/>
        <v>2.6808778155120185E-3</v>
      </c>
      <c r="O78">
        <f t="shared" si="35"/>
        <v>5.5677541205798326E-5</v>
      </c>
      <c r="P78">
        <f t="shared" si="41"/>
        <v>1.925886634187285E-4</v>
      </c>
      <c r="Q78">
        <f t="shared" si="36"/>
        <v>12.633319792270807</v>
      </c>
      <c r="R78">
        <f t="shared" si="37"/>
        <v>3.257797299546815E-4</v>
      </c>
      <c r="S78">
        <f t="shared" si="38"/>
        <v>2.3130360826782386E-4</v>
      </c>
      <c r="U78">
        <f t="shared" si="44"/>
        <v>0.98910710217587683</v>
      </c>
      <c r="V78" t="b">
        <f t="shared" si="42"/>
        <v>1</v>
      </c>
    </row>
    <row r="79" spans="1:22">
      <c r="A79">
        <f t="shared" si="43"/>
        <v>73</v>
      </c>
      <c r="B79">
        <f t="shared" si="39"/>
        <v>26645</v>
      </c>
      <c r="C79">
        <f t="shared" si="28"/>
        <v>4.5871515415353556</v>
      </c>
      <c r="D79">
        <f>IF('5.Survival'!$C$3="No",pDeath,(1-EXP(C78-C79)))</f>
        <v>6.5279068896208603E-2</v>
      </c>
      <c r="F79">
        <f t="shared" si="29"/>
        <v>7.5717034337427691E-3</v>
      </c>
      <c r="G79">
        <f t="shared" si="30"/>
        <v>7.3886994631381045E-5</v>
      </c>
      <c r="H79">
        <f t="shared" si="40"/>
        <v>5.3243844187080046E-4</v>
      </c>
      <c r="I79">
        <f t="shared" si="31"/>
        <v>44.489856990403155</v>
      </c>
      <c r="J79">
        <f t="shared" si="32"/>
        <v>8.8367715124348294E-4</v>
      </c>
      <c r="K79">
        <f t="shared" si="33"/>
        <v>5.9206369133313363E-4</v>
      </c>
      <c r="N79">
        <f t="shared" si="34"/>
        <v>2.4840285764169646E-3</v>
      </c>
      <c r="O79">
        <f t="shared" si="35"/>
        <v>5.2200591791391751E-5</v>
      </c>
      <c r="P79">
        <f t="shared" si="41"/>
        <v>1.7863978566947107E-4</v>
      </c>
      <c r="Q79">
        <f t="shared" si="36"/>
        <v>11.367791716984799</v>
      </c>
      <c r="R79">
        <f t="shared" si="37"/>
        <v>2.9313730407863159E-4</v>
      </c>
      <c r="S79">
        <f t="shared" si="38"/>
        <v>2.0812748589582841E-4</v>
      </c>
      <c r="U79">
        <f t="shared" si="44"/>
        <v>0.98981818040341707</v>
      </c>
      <c r="V79" t="b">
        <f t="shared" si="42"/>
        <v>1</v>
      </c>
    </row>
    <row r="80" spans="1:22">
      <c r="A80">
        <f t="shared" si="43"/>
        <v>74</v>
      </c>
      <c r="B80">
        <f t="shared" si="39"/>
        <v>27010</v>
      </c>
      <c r="C80">
        <f t="shared" si="28"/>
        <v>4.6547280748486966</v>
      </c>
      <c r="D80">
        <f>IF('5.Survival'!$C$3="No",pDeath,(1-EXP(C79-C80)))</f>
        <v>6.5343814456059857E-2</v>
      </c>
      <c r="F80">
        <f t="shared" si="29"/>
        <v>7.0970666072738484E-3</v>
      </c>
      <c r="G80">
        <f t="shared" si="30"/>
        <v>6.8478187541625612E-5</v>
      </c>
      <c r="H80">
        <f t="shared" si="40"/>
        <v>4.9959204235870767E-4</v>
      </c>
      <c r="I80">
        <f t="shared" si="31"/>
        <v>40.546830377945213</v>
      </c>
      <c r="J80">
        <f t="shared" si="32"/>
        <v>8.0407134842304276E-4</v>
      </c>
      <c r="K80">
        <f t="shared" si="33"/>
        <v>5.3872780344343865E-4</v>
      </c>
      <c r="N80">
        <f t="shared" si="34"/>
        <v>2.3020240924812767E-3</v>
      </c>
      <c r="O80">
        <f t="shared" si="35"/>
        <v>4.8931778741594562E-5</v>
      </c>
      <c r="P80">
        <f t="shared" si="41"/>
        <v>1.6572688818545386E-4</v>
      </c>
      <c r="Q80">
        <f t="shared" si="36"/>
        <v>10.230720798044677</v>
      </c>
      <c r="R80">
        <f t="shared" si="37"/>
        <v>2.6380914662971178E-4</v>
      </c>
      <c r="S80">
        <f t="shared" si="38"/>
        <v>1.8730449410709536E-4</v>
      </c>
      <c r="U80">
        <f t="shared" si="44"/>
        <v>0.99048349933396129</v>
      </c>
      <c r="V80" t="b">
        <f t="shared" si="42"/>
        <v>1</v>
      </c>
    </row>
    <row r="81" spans="1:22">
      <c r="A81">
        <f t="shared" si="43"/>
        <v>75</v>
      </c>
      <c r="B81">
        <f t="shared" si="39"/>
        <v>27375</v>
      </c>
      <c r="C81">
        <f t="shared" si="28"/>
        <v>4.7223730113350051</v>
      </c>
      <c r="D81">
        <f>IF('5.Survival'!$C$3="No",pDeath,(1-EXP(C80-C81)))</f>
        <v>6.5407745718209398E-2</v>
      </c>
      <c r="F81">
        <f t="shared" si="29"/>
        <v>6.6510031762569257E-3</v>
      </c>
      <c r="G81">
        <f t="shared" si="30"/>
        <v>6.3475808523017524E-5</v>
      </c>
      <c r="H81">
        <f t="shared" si="40"/>
        <v>4.6868213187172946E-4</v>
      </c>
      <c r="I81">
        <f t="shared" si="31"/>
        <v>36.948703786898498</v>
      </c>
      <c r="J81">
        <f t="shared" si="32"/>
        <v>7.3151033442250997E-4</v>
      </c>
      <c r="K81">
        <f t="shared" si="33"/>
        <v>4.9011192406308169E-4</v>
      </c>
      <c r="N81">
        <f t="shared" si="34"/>
        <v>2.1337093388801767E-3</v>
      </c>
      <c r="O81">
        <f t="shared" si="35"/>
        <v>4.5859486686819036E-5</v>
      </c>
      <c r="P81">
        <f t="shared" si="41"/>
        <v>1.5377072381967701E-4</v>
      </c>
      <c r="Q81">
        <f t="shared" si="36"/>
        <v>9.2088682664755872</v>
      </c>
      <c r="R81">
        <f t="shared" si="37"/>
        <v>2.3745358710652718E-4</v>
      </c>
      <c r="S81">
        <f t="shared" si="38"/>
        <v>1.6859204684563429E-4</v>
      </c>
      <c r="U81">
        <f t="shared" si="44"/>
        <v>0.99110595218965269</v>
      </c>
      <c r="V81" t="b">
        <f t="shared" si="42"/>
        <v>1</v>
      </c>
    </row>
    <row r="82" spans="1:22">
      <c r="A82">
        <f t="shared" si="43"/>
        <v>76</v>
      </c>
      <c r="B82">
        <f t="shared" si="39"/>
        <v>27740</v>
      </c>
      <c r="C82">
        <f t="shared" si="28"/>
        <v>4.7900855067604855</v>
      </c>
      <c r="D82">
        <f>IF('5.Survival'!$C$3="No",pDeath,(1-EXP(C81-C82)))</f>
        <v>6.547088364667708E-2</v>
      </c>
      <c r="F82">
        <f t="shared" si="29"/>
        <v>6.2319034469167653E-3</v>
      </c>
      <c r="G82">
        <f t="shared" si="30"/>
        <v>5.8848358290308883E-5</v>
      </c>
      <c r="H82">
        <f t="shared" si="40"/>
        <v>4.396028723605861E-4</v>
      </c>
      <c r="I82">
        <f t="shared" si="31"/>
        <v>33.665934764158735</v>
      </c>
      <c r="J82">
        <f t="shared" si="32"/>
        <v>6.6538571567258673E-4</v>
      </c>
      <c r="K82">
        <f t="shared" si="33"/>
        <v>4.4580842950063315E-4</v>
      </c>
      <c r="N82">
        <f t="shared" si="34"/>
        <v>1.9780221702980654E-3</v>
      </c>
      <c r="O82">
        <f t="shared" si="35"/>
        <v>4.2972665502591635E-5</v>
      </c>
      <c r="P82">
        <f t="shared" si="41"/>
        <v>1.4269829697862138E-4</v>
      </c>
      <c r="Q82">
        <f t="shared" si="36"/>
        <v>8.2903825354387202</v>
      </c>
      <c r="R82">
        <f t="shared" si="37"/>
        <v>2.1376476720584223E-4</v>
      </c>
      <c r="S82">
        <f t="shared" si="38"/>
        <v>1.5177298471614797E-4</v>
      </c>
      <c r="U82">
        <f t="shared" si="44"/>
        <v>0.99168825335899191</v>
      </c>
      <c r="V82" t="b">
        <f t="shared" si="42"/>
        <v>1</v>
      </c>
    </row>
    <row r="83" spans="1:22">
      <c r="A83">
        <f t="shared" si="43"/>
        <v>77</v>
      </c>
      <c r="B83">
        <f t="shared" si="39"/>
        <v>28105</v>
      </c>
      <c r="C83">
        <f t="shared" si="28"/>
        <v>4.8578647382888382</v>
      </c>
      <c r="D83">
        <f>IF('5.Survival'!$C$3="No",pDeath,(1-EXP(C82-C83)))</f>
        <v>6.5533248396909882E-2</v>
      </c>
      <c r="F83">
        <f t="shared" si="29"/>
        <v>5.8382375929998051E-3</v>
      </c>
      <c r="G83">
        <f t="shared" si="30"/>
        <v>5.4566860566617735E-5</v>
      </c>
      <c r="H83">
        <f t="shared" si="40"/>
        <v>4.1225340065394444E-4</v>
      </c>
      <c r="I83">
        <f t="shared" si="31"/>
        <v>30.671429514538005</v>
      </c>
      <c r="J83">
        <f t="shared" si="32"/>
        <v>6.05139814001857E-4</v>
      </c>
      <c r="K83">
        <f t="shared" si="33"/>
        <v>4.0544367538124422E-4</v>
      </c>
      <c r="N83">
        <f t="shared" si="34"/>
        <v>1.8339856186506426E-3</v>
      </c>
      <c r="O83">
        <f t="shared" si="35"/>
        <v>4.0260811553325278E-5</v>
      </c>
      <c r="P83">
        <f t="shared" si="41"/>
        <v>1.3244235658339655E-4</v>
      </c>
      <c r="Q83">
        <f t="shared" si="36"/>
        <v>7.4646513567366757</v>
      </c>
      <c r="R83">
        <f t="shared" si="37"/>
        <v>1.9246882279978737E-4</v>
      </c>
      <c r="S83">
        <f t="shared" si="38"/>
        <v>1.3665286418784901E-4</v>
      </c>
      <c r="U83">
        <f t="shared" si="44"/>
        <v>0.99223294911622928</v>
      </c>
      <c r="V83" t="b">
        <f t="shared" si="42"/>
        <v>1</v>
      </c>
    </row>
    <row r="84" spans="1:22">
      <c r="A84">
        <f t="shared" si="43"/>
        <v>78</v>
      </c>
      <c r="B84">
        <f t="shared" si="39"/>
        <v>28470</v>
      </c>
      <c r="C84">
        <f t="shared" si="28"/>
        <v>4.9257099036679106</v>
      </c>
      <c r="D84">
        <f>IF('5.Survival'!$C$3="No",pDeath,(1-EXP(C83-C84)))</f>
        <v>6.5594859357066326E-2</v>
      </c>
      <c r="F84">
        <f t="shared" si="29"/>
        <v>5.4685528257132146E-3</v>
      </c>
      <c r="G84">
        <f t="shared" si="30"/>
        <v>5.0604653615507135E-5</v>
      </c>
      <c r="H84">
        <f t="shared" si="40"/>
        <v>3.8653767935038357E-4</v>
      </c>
      <c r="I84">
        <f t="shared" si="31"/>
        <v>27.940350516445033</v>
      </c>
      <c r="J84">
        <f t="shared" si="32"/>
        <v>5.5026166642429728E-4</v>
      </c>
      <c r="K84">
        <f t="shared" si="33"/>
        <v>3.6867531650427922E-4</v>
      </c>
      <c r="N84">
        <f t="shared" si="34"/>
        <v>1.7007008455987478E-3</v>
      </c>
      <c r="O84">
        <f t="shared" si="35"/>
        <v>3.7713948502825106E-5</v>
      </c>
      <c r="P84">
        <f t="shared" si="41"/>
        <v>1.2294093098971291E-4</v>
      </c>
      <c r="Q84">
        <f t="shared" si="36"/>
        <v>6.722169993027487</v>
      </c>
      <c r="R84">
        <f t="shared" si="37"/>
        <v>1.7332047964236191E-4</v>
      </c>
      <c r="S84">
        <f t="shared" si="38"/>
        <v>1.2305754054607696E-4</v>
      </c>
      <c r="U84">
        <f t="shared" si="44"/>
        <v>0.9927424277265694</v>
      </c>
      <c r="V84" t="b">
        <f t="shared" si="42"/>
        <v>1</v>
      </c>
    </row>
    <row r="85" spans="1:22">
      <c r="A85">
        <f t="shared" si="43"/>
        <v>79</v>
      </c>
      <c r="B85">
        <f t="shared" si="39"/>
        <v>28835</v>
      </c>
      <c r="C85">
        <f t="shared" si="28"/>
        <v>4.9936202204572622</v>
      </c>
      <c r="D85">
        <f>IF('5.Survival'!$C$3="No",pDeath,(1-EXP(C84-C85)))</f>
        <v>6.5655735186656683E-2</v>
      </c>
      <c r="F85">
        <f t="shared" si="29"/>
        <v>5.1214705295447565E-3</v>
      </c>
      <c r="G85">
        <f t="shared" si="30"/>
        <v>4.6937199440742467E-5</v>
      </c>
      <c r="H85">
        <f t="shared" si="40"/>
        <v>3.6236434191626218E-4</v>
      </c>
      <c r="I85">
        <f t="shared" si="31"/>
        <v>25.449937863704285</v>
      </c>
      <c r="J85">
        <f t="shared" si="32"/>
        <v>5.00283311121751E-4</v>
      </c>
      <c r="K85">
        <f t="shared" si="33"/>
        <v>3.3518981845157318E-4</v>
      </c>
      <c r="N85">
        <f t="shared" si="34"/>
        <v>1.5773406932947313E-3</v>
      </c>
      <c r="O85">
        <f t="shared" si="35"/>
        <v>3.5322607867703823E-5</v>
      </c>
      <c r="P85">
        <f t="shared" si="41"/>
        <v>1.1413690136609917E-4</v>
      </c>
      <c r="Q85">
        <f t="shared" si="36"/>
        <v>6.0544236456265859</v>
      </c>
      <c r="R85">
        <f t="shared" si="37"/>
        <v>1.5610001732360235E-4</v>
      </c>
      <c r="S85">
        <f t="shared" si="38"/>
        <v>1.1083101229975766E-4</v>
      </c>
      <c r="U85">
        <f t="shared" si="44"/>
        <v>0.99321892896985176</v>
      </c>
      <c r="V85" t="b">
        <f t="shared" si="42"/>
        <v>1</v>
      </c>
    </row>
    <row r="86" spans="1:22">
      <c r="A86">
        <f t="shared" si="43"/>
        <v>80</v>
      </c>
      <c r="B86">
        <f t="shared" si="39"/>
        <v>29200</v>
      </c>
      <c r="C86">
        <f t="shared" si="28"/>
        <v>5.0615949252941901</v>
      </c>
      <c r="D86">
        <f>IF('5.Survival'!$C$3="No",pDeath,(1-EXP(C85-C86)))</f>
        <v>6.5715893852861917E-2</v>
      </c>
      <c r="F86">
        <f t="shared" si="29"/>
        <v>4.7956833858136694E-3</v>
      </c>
      <c r="G86">
        <f t="shared" si="30"/>
        <v>4.3541909131385749E-5</v>
      </c>
      <c r="H86">
        <f t="shared" si="40"/>
        <v>3.3964653370632217E-4</v>
      </c>
      <c r="I86">
        <f t="shared" si="31"/>
        <v>23.179343544699613</v>
      </c>
      <c r="J86">
        <f t="shared" si="32"/>
        <v>4.5477634313424655E-4</v>
      </c>
      <c r="K86">
        <f t="shared" si="33"/>
        <v>3.0470014989994519E-4</v>
      </c>
      <c r="N86">
        <f t="shared" si="34"/>
        <v>1.4631437817114528E-3</v>
      </c>
      <c r="O86">
        <f t="shared" si="35"/>
        <v>3.3077809465507192E-5</v>
      </c>
      <c r="P86">
        <f t="shared" si="41"/>
        <v>1.0597761031959648E-4</v>
      </c>
      <c r="Q86">
        <f t="shared" si="36"/>
        <v>5.4537825734301064</v>
      </c>
      <c r="R86">
        <f t="shared" si="37"/>
        <v>1.4061056104677335E-4</v>
      </c>
      <c r="S86">
        <f t="shared" si="38"/>
        <v>9.983349834320907E-5</v>
      </c>
      <c r="U86">
        <f t="shared" si="44"/>
        <v>0.99366455311387769</v>
      </c>
      <c r="V86" t="b">
        <f t="shared" si="42"/>
        <v>1</v>
      </c>
    </row>
    <row r="87" spans="1:22">
      <c r="A87">
        <f t="shared" si="43"/>
        <v>81</v>
      </c>
      <c r="B87">
        <f t="shared" si="39"/>
        <v>29565</v>
      </c>
      <c r="C87">
        <f t="shared" si="28"/>
        <v>5.1296332731957834</v>
      </c>
      <c r="D87">
        <f>IF('5.Survival'!$C$3="No",pDeath,(1-EXP(C86-C87)))</f>
        <v>6.5775352664554809E-2</v>
      </c>
      <c r="F87">
        <f t="shared" si="29"/>
        <v>4.4899525026591619E-3</v>
      </c>
      <c r="G87">
        <f t="shared" si="30"/>
        <v>4.0397982961777925E-5</v>
      </c>
      <c r="H87">
        <f t="shared" si="40"/>
        <v>3.1830175039824528E-4</v>
      </c>
      <c r="I87">
        <f t="shared" si="31"/>
        <v>21.109477886780379</v>
      </c>
      <c r="J87">
        <f t="shared" si="32"/>
        <v>4.1334872362456171E-4</v>
      </c>
      <c r="K87">
        <f t="shared" si="33"/>
        <v>2.7694364482845635E-4</v>
      </c>
      <c r="N87">
        <f t="shared" si="34"/>
        <v>1.3574091053911962E-3</v>
      </c>
      <c r="O87">
        <f t="shared" si="35"/>
        <v>3.0971041887648358E-5</v>
      </c>
      <c r="P87">
        <f t="shared" si="41"/>
        <v>9.8414502823985896E-5</v>
      </c>
      <c r="Q87">
        <f t="shared" si="36"/>
        <v>4.9134085122376172</v>
      </c>
      <c r="R87">
        <f t="shared" si="37"/>
        <v>1.2667566529452157E-4</v>
      </c>
      <c r="S87">
        <f t="shared" si="38"/>
        <v>8.9939722359110307E-5</v>
      </c>
      <c r="U87">
        <f t="shared" si="44"/>
        <v>0.99408126936709995</v>
      </c>
      <c r="V87" t="b">
        <f t="shared" si="42"/>
        <v>1</v>
      </c>
    </row>
    <row r="88" spans="1:22">
      <c r="A88">
        <f t="shared" si="43"/>
        <v>82</v>
      </c>
      <c r="B88">
        <f t="shared" si="39"/>
        <v>29930</v>
      </c>
      <c r="C88">
        <f t="shared" si="28"/>
        <v>5.1977345368947692</v>
      </c>
      <c r="D88">
        <f>IF('5.Survival'!$C$3="No",pDeath,(1-EXP(C87-C88)))</f>
        <v>6.5834128304207984E-2</v>
      </c>
      <c r="F88">
        <f t="shared" si="29"/>
        <v>4.2031045673795661E-3</v>
      </c>
      <c r="G88">
        <f t="shared" si="30"/>
        <v>3.74862639765288E-5</v>
      </c>
      <c r="H88">
        <f t="shared" si="40"/>
        <v>2.982516751333999E-4</v>
      </c>
      <c r="I88">
        <f t="shared" si="31"/>
        <v>19.222867415559971</v>
      </c>
      <c r="J88">
        <f t="shared" si="32"/>
        <v>3.7564182703964718E-4</v>
      </c>
      <c r="K88">
        <f t="shared" si="33"/>
        <v>2.5168002411656362E-4</v>
      </c>
      <c r="N88">
        <f t="shared" si="34"/>
        <v>1.259491086551345E-3</v>
      </c>
      <c r="O88">
        <f t="shared" si="35"/>
        <v>2.8994243107974016E-5</v>
      </c>
      <c r="P88">
        <f t="shared" si="41"/>
        <v>9.1402796750970623E-5</v>
      </c>
      <c r="Q88">
        <f t="shared" si="36"/>
        <v>4.4271711580437856</v>
      </c>
      <c r="R88">
        <f t="shared" si="37"/>
        <v>1.1413715743761768E-4</v>
      </c>
      <c r="S88">
        <f t="shared" si="38"/>
        <v>8.1037381780708545E-5</v>
      </c>
      <c r="U88">
        <f t="shared" si="44"/>
        <v>0.99447092383898439</v>
      </c>
      <c r="V88" t="b">
        <f t="shared" si="42"/>
        <v>1</v>
      </c>
    </row>
    <row r="89" spans="1:22">
      <c r="A89">
        <f t="shared" si="43"/>
        <v>83</v>
      </c>
      <c r="B89">
        <f t="shared" si="39"/>
        <v>30295</v>
      </c>
      <c r="C89">
        <f t="shared" si="28"/>
        <v>5.2658980062072205</v>
      </c>
      <c r="D89">
        <f>IF('5.Survival'!$C$3="No",pDeath,(1-EXP(C88-C89)))</f>
        <v>6.5892236857977626E-2</v>
      </c>
      <c r="F89">
        <f t="shared" si="29"/>
        <v>3.9340290345579324E-3</v>
      </c>
      <c r="G89">
        <f t="shared" si="30"/>
        <v>3.4789103900801613E-5</v>
      </c>
      <c r="H89">
        <f t="shared" si="40"/>
        <v>2.7942201547748408E-4</v>
      </c>
      <c r="I89">
        <f t="shared" si="31"/>
        <v>17.503523404175148</v>
      </c>
      <c r="J89">
        <f t="shared" si="32"/>
        <v>3.4132771102558183E-4</v>
      </c>
      <c r="K89">
        <f t="shared" si="33"/>
        <v>2.2868956638713984E-4</v>
      </c>
      <c r="N89">
        <f t="shared" si="34"/>
        <v>1.1687950452285761E-3</v>
      </c>
      <c r="O89">
        <f t="shared" si="35"/>
        <v>2.7139781320679008E-5</v>
      </c>
      <c r="P89">
        <f t="shared" si="41"/>
        <v>8.4901180529941235E-5</v>
      </c>
      <c r="Q89">
        <f t="shared" si="36"/>
        <v>3.9895736148934282</v>
      </c>
      <c r="R89">
        <f t="shared" si="37"/>
        <v>1.0285321288124269E-4</v>
      </c>
      <c r="S89">
        <f t="shared" si="38"/>
        <v>7.3025781145682304E-5</v>
      </c>
      <c r="U89">
        <f t="shared" si="44"/>
        <v>0.99483524703499182</v>
      </c>
      <c r="V89" t="b">
        <f t="shared" si="42"/>
        <v>1</v>
      </c>
    </row>
    <row r="90" spans="1:22">
      <c r="A90">
        <f t="shared" si="43"/>
        <v>84</v>
      </c>
      <c r="B90">
        <f t="shared" si="39"/>
        <v>30660</v>
      </c>
      <c r="C90">
        <f t="shared" si="28"/>
        <v>5.3341229874301481</v>
      </c>
      <c r="D90">
        <f>IF('5.Survival'!$C$3="No",pDeath,(1-EXP(C89-C90)))</f>
        <v>6.5949693843916579E-2</v>
      </c>
      <c r="F90">
        <f t="shared" si="29"/>
        <v>3.6816753612190617E-3</v>
      </c>
      <c r="G90">
        <f t="shared" si="30"/>
        <v>3.229024031682989E-5</v>
      </c>
      <c r="H90">
        <f t="shared" si="40"/>
        <v>2.6174234115353644E-4</v>
      </c>
      <c r="I90">
        <f t="shared" si="31"/>
        <v>15.936820415764256</v>
      </c>
      <c r="J90">
        <f t="shared" si="32"/>
        <v>3.1010659454391235E-4</v>
      </c>
      <c r="K90">
        <f t="shared" si="33"/>
        <v>2.0777141834442129E-4</v>
      </c>
      <c r="N90">
        <f t="shared" si="34"/>
        <v>1.0847730505642243E-3</v>
      </c>
      <c r="O90">
        <f t="shared" si="35"/>
        <v>2.5400436086135899E-5</v>
      </c>
      <c r="P90">
        <f t="shared" si="41"/>
        <v>7.8871535668200847E-5</v>
      </c>
      <c r="Q90">
        <f t="shared" si="36"/>
        <v>3.5956858295949128</v>
      </c>
      <c r="R90">
        <f t="shared" si="37"/>
        <v>9.2696636488962821E-5</v>
      </c>
      <c r="S90">
        <f t="shared" si="38"/>
        <v>6.5814611907163601E-5</v>
      </c>
      <c r="U90">
        <f t="shared" si="44"/>
        <v>0.99517586091181354</v>
      </c>
      <c r="V90" t="b">
        <f t="shared" si="42"/>
        <v>1</v>
      </c>
    </row>
    <row r="91" spans="1:22">
      <c r="A91">
        <f t="shared" si="43"/>
        <v>85</v>
      </c>
      <c r="B91">
        <f t="shared" si="39"/>
        <v>31025</v>
      </c>
      <c r="C91">
        <f t="shared" si="28"/>
        <v>5.4024088027672663</v>
      </c>
      <c r="D91">
        <f>IF('5.Survival'!$C$3="No",pDeath,(1-EXP(C90-C91)))</f>
        <v>6.6006514238574288E-2</v>
      </c>
      <c r="F91">
        <f t="shared" si="29"/>
        <v>3.4450502983267078E-3</v>
      </c>
      <c r="G91">
        <f t="shared" si="30"/>
        <v>2.9974684139559722E-5</v>
      </c>
      <c r="H91">
        <f t="shared" si="40"/>
        <v>2.4514592335935393E-4</v>
      </c>
      <c r="I91">
        <f t="shared" si="31"/>
        <v>14.509384172512485</v>
      </c>
      <c r="J91">
        <f t="shared" si="32"/>
        <v>2.8170453026776191E-4</v>
      </c>
      <c r="K91">
        <f t="shared" si="33"/>
        <v>1.8874203527940048E-4</v>
      </c>
      <c r="N91">
        <f t="shared" si="34"/>
        <v>1.0069201204569256E-3</v>
      </c>
      <c r="O91">
        <f t="shared" si="35"/>
        <v>2.3769379849829707E-5</v>
      </c>
      <c r="P91">
        <f t="shared" si="41"/>
        <v>7.3278682053874654E-5</v>
      </c>
      <c r="Q91">
        <f t="shared" si="36"/>
        <v>3.2410851436817216</v>
      </c>
      <c r="R91">
        <f t="shared" si="37"/>
        <v>8.3553327818024467E-5</v>
      </c>
      <c r="S91">
        <f t="shared" si="38"/>
        <v>5.932286275079737E-5</v>
      </c>
      <c r="U91">
        <f t="shared" si="44"/>
        <v>0.99549428551722674</v>
      </c>
      <c r="V91" t="b">
        <f t="shared" si="42"/>
        <v>1</v>
      </c>
    </row>
    <row r="92" spans="1:22">
      <c r="A92">
        <f t="shared" si="43"/>
        <v>86</v>
      </c>
      <c r="B92">
        <f t="shared" si="39"/>
        <v>31390</v>
      </c>
      <c r="C92">
        <f t="shared" si="28"/>
        <v>5.4707547897813464</v>
      </c>
      <c r="D92">
        <f>IF('5.Survival'!$C$3="No",pDeath,(1-EXP(C91-C92)))</f>
        <v>6.6062712502095278E-2</v>
      </c>
      <c r="F92">
        <f t="shared" si="29"/>
        <v>3.2232152462242157E-3</v>
      </c>
      <c r="G92">
        <f t="shared" si="30"/>
        <v>2.7828616508282391E-5</v>
      </c>
      <c r="H92">
        <f t="shared" si="40"/>
        <v>2.2956957635426769E-4</v>
      </c>
      <c r="I92">
        <f t="shared" si="31"/>
        <v>13.208988115918377</v>
      </c>
      <c r="J92">
        <f t="shared" si="32"/>
        <v>2.5587125799176501E-4</v>
      </c>
      <c r="K92">
        <f t="shared" si="33"/>
        <v>1.7143374285448257E-4</v>
      </c>
      <c r="N92">
        <f t="shared" si="34"/>
        <v>9.3477073966077937E-4</v>
      </c>
      <c r="O92">
        <f t="shared" si="35"/>
        <v>2.2240159887784111E-5</v>
      </c>
      <c r="P92">
        <f t="shared" si="41"/>
        <v>6.8090144137693419E-5</v>
      </c>
      <c r="Q92">
        <f t="shared" si="36"/>
        <v>2.9218031890329441</v>
      </c>
      <c r="R92">
        <f t="shared" si="37"/>
        <v>7.5320910180986411E-5</v>
      </c>
      <c r="S92">
        <f t="shared" si="38"/>
        <v>5.3477846228500349E-5</v>
      </c>
      <c r="U92">
        <f t="shared" si="44"/>
        <v>0.99579194523771863</v>
      </c>
      <c r="V92" t="b">
        <f t="shared" si="42"/>
        <v>1</v>
      </c>
    </row>
    <row r="93" spans="1:22">
      <c r="A93">
        <f t="shared" si="43"/>
        <v>87</v>
      </c>
      <c r="B93">
        <f t="shared" si="39"/>
        <v>31755</v>
      </c>
      <c r="C93">
        <f t="shared" si="28"/>
        <v>5.5391603008714609</v>
      </c>
      <c r="D93">
        <f>IF('5.Survival'!$C$3="No",pDeath,(1-EXP(C92-C93)))</f>
        <v>6.6118302601716583E-2</v>
      </c>
      <c r="F93">
        <f t="shared" si="29"/>
        <v>3.0152836801234095E-3</v>
      </c>
      <c r="G93">
        <f t="shared" si="30"/>
        <v>2.5839294287811213E-5</v>
      </c>
      <c r="H93">
        <f t="shared" si="40"/>
        <v>2.1495350188760086E-4</v>
      </c>
      <c r="I93">
        <f t="shared" si="31"/>
        <v>12.024458054885987</v>
      </c>
      <c r="J93">
        <f t="shared" si="32"/>
        <v>2.3237822645876013E-4</v>
      </c>
      <c r="K93">
        <f t="shared" si="33"/>
        <v>1.5569341172736928E-4</v>
      </c>
      <c r="N93">
        <f t="shared" si="34"/>
        <v>8.678956690112593E-4</v>
      </c>
      <c r="O93">
        <f t="shared" si="35"/>
        <v>2.0806680721487991E-5</v>
      </c>
      <c r="P93">
        <f t="shared" si="41"/>
        <v>6.3275936249492911E-5</v>
      </c>
      <c r="Q93">
        <f t="shared" si="36"/>
        <v>2.6342784388671721</v>
      </c>
      <c r="R93">
        <f t="shared" si="37"/>
        <v>6.7907505753071732E-5</v>
      </c>
      <c r="S93">
        <f t="shared" si="38"/>
        <v>4.8214329084680929E-5</v>
      </c>
      <c r="U93">
        <f t="shared" si="44"/>
        <v>0.99607017467585568</v>
      </c>
      <c r="V93" t="b">
        <f t="shared" si="42"/>
        <v>1</v>
      </c>
    </row>
    <row r="94" spans="1:22">
      <c r="A94">
        <f t="shared" si="43"/>
        <v>88</v>
      </c>
      <c r="B94">
        <f t="shared" si="39"/>
        <v>32120</v>
      </c>
      <c r="C94">
        <f t="shared" si="28"/>
        <v>5.6076247027739266</v>
      </c>
      <c r="D94">
        <f>IF('5.Survival'!$C$3="No",pDeath,(1-EXP(C93-C94)))</f>
        <v>6.6173298034137407E-2</v>
      </c>
      <c r="F94">
        <f t="shared" si="29"/>
        <v>2.8204186504308128E-3</v>
      </c>
      <c r="G94">
        <f t="shared" si="30"/>
        <v>2.3994963442784178E-5</v>
      </c>
      <c r="H94">
        <f t="shared" si="40"/>
        <v>2.0124113694417614E-4</v>
      </c>
      <c r="I94">
        <f t="shared" si="31"/>
        <v>10.945584330364433</v>
      </c>
      <c r="J94">
        <f t="shared" si="32"/>
        <v>2.1101677167830799E-4</v>
      </c>
      <c r="K94">
        <f t="shared" si="33"/>
        <v>1.4138123702446637E-4</v>
      </c>
      <c r="N94">
        <f t="shared" si="34"/>
        <v>8.058990208374598E-4</v>
      </c>
      <c r="O94">
        <f t="shared" si="35"/>
        <v>1.9463187036231815E-5</v>
      </c>
      <c r="P94">
        <f t="shared" si="41"/>
        <v>5.8808365452503305E-5</v>
      </c>
      <c r="Q94">
        <f t="shared" si="36"/>
        <v>2.3753138016125357</v>
      </c>
      <c r="R94">
        <f t="shared" si="37"/>
        <v>6.1230640903031026E-5</v>
      </c>
      <c r="S94">
        <f t="shared" si="38"/>
        <v>4.3473755041152026E-5</v>
      </c>
      <c r="U94">
        <f t="shared" si="44"/>
        <v>0.99633022417825234</v>
      </c>
      <c r="V94" t="b">
        <f t="shared" si="42"/>
        <v>1</v>
      </c>
    </row>
    <row r="95" spans="1:22">
      <c r="A95">
        <f t="shared" si="43"/>
        <v>89</v>
      </c>
      <c r="B95">
        <f t="shared" si="39"/>
        <v>32485</v>
      </c>
      <c r="C95">
        <f t="shared" si="28"/>
        <v>5.6761473760855203</v>
      </c>
      <c r="D95">
        <f>IF('5.Survival'!$C$3="No",pDeath,(1-EXP(C94-C95)))</f>
        <v>6.6227711846542303E-2</v>
      </c>
      <c r="F95">
        <f t="shared" si="29"/>
        <v>2.6378303615528036E-3</v>
      </c>
      <c r="G95">
        <f t="shared" si="30"/>
        <v>2.2284779612589674E-5</v>
      </c>
      <c r="H95">
        <f t="shared" si="40"/>
        <v>1.8837900519200261E-4</v>
      </c>
      <c r="I95">
        <f t="shared" si="31"/>
        <v>9.9630409571812244</v>
      </c>
      <c r="J95">
        <f t="shared" si="32"/>
        <v>1.9159644048004864E-4</v>
      </c>
      <c r="K95">
        <f t="shared" si="33"/>
        <v>1.2836961512163259E-4</v>
      </c>
      <c r="N95">
        <f t="shared" si="34"/>
        <v>7.4841557778901715E-4</v>
      </c>
      <c r="O95">
        <f t="shared" si="35"/>
        <v>1.820424712879102E-5</v>
      </c>
      <c r="P95">
        <f t="shared" si="41"/>
        <v>5.4661850472084796E-5</v>
      </c>
      <c r="Q95">
        <f t="shared" si="36"/>
        <v>2.142038712501884</v>
      </c>
      <c r="R95">
        <f t="shared" si="37"/>
        <v>5.5216267665519721E-5</v>
      </c>
      <c r="S95">
        <f t="shared" si="38"/>
        <v>3.9203550042519003E-5</v>
      </c>
      <c r="U95">
        <f t="shared" si="44"/>
        <v>0.99657326503391641</v>
      </c>
      <c r="V95" t="b">
        <f t="shared" si="42"/>
        <v>1</v>
      </c>
    </row>
    <row r="96" spans="1:22">
      <c r="A96">
        <f t="shared" si="43"/>
        <v>90</v>
      </c>
      <c r="B96">
        <f t="shared" si="39"/>
        <v>32850</v>
      </c>
      <c r="C96">
        <f t="shared" si="28"/>
        <v>5.7447277148076124</v>
      </c>
      <c r="D96">
        <f>IF('5.Survival'!$C$3="No",pDeath,(1-EXP(C95-C96)))</f>
        <v>6.6281556656344165E-2</v>
      </c>
      <c r="F96">
        <f t="shared" si="29"/>
        <v>2.4667738318203819E-3</v>
      </c>
      <c r="G96">
        <f t="shared" si="30"/>
        <v>2.0698735272780819E-5</v>
      </c>
      <c r="H96">
        <f t="shared" si="40"/>
        <v>1.7631657244155299E-4</v>
      </c>
      <c r="I96">
        <f t="shared" si="31"/>
        <v>9.0683112351326329</v>
      </c>
      <c r="J96">
        <f t="shared" si="32"/>
        <v>1.7394344870205159E-4</v>
      </c>
      <c r="K96">
        <f t="shared" si="33"/>
        <v>1.1654211063037457E-4</v>
      </c>
      <c r="N96">
        <f t="shared" si="34"/>
        <v>6.9510833428586098E-4</v>
      </c>
      <c r="O96">
        <f t="shared" si="35"/>
        <v>1.702473690345852E-5</v>
      </c>
      <c r="P96">
        <f t="shared" si="41"/>
        <v>5.081275535916635E-5</v>
      </c>
      <c r="Q96">
        <f t="shared" si="36"/>
        <v>1.9318752375907844</v>
      </c>
      <c r="R96">
        <f t="shared" si="37"/>
        <v>4.9797888819416489E-5</v>
      </c>
      <c r="S96">
        <f t="shared" si="38"/>
        <v>3.5356501061785702E-5</v>
      </c>
      <c r="U96">
        <f t="shared" si="44"/>
        <v>0.99680039436171708</v>
      </c>
      <c r="V96" t="b">
        <f t="shared" si="42"/>
        <v>1</v>
      </c>
    </row>
    <row r="97" spans="1:22">
      <c r="A97">
        <f t="shared" si="43"/>
        <v>91</v>
      </c>
      <c r="B97">
        <f t="shared" si="39"/>
        <v>33215</v>
      </c>
      <c r="C97">
        <f t="shared" si="28"/>
        <v>5.8133651259103676</v>
      </c>
      <c r="D97">
        <f>IF('5.Survival'!$C$3="No",pDeath,(1-EXP(C96-C97)))</f>
        <v>6.6334844670123516E-2</v>
      </c>
      <c r="F97">
        <f t="shared" si="29"/>
        <v>2.3065466363044484E-3</v>
      </c>
      <c r="G97">
        <f t="shared" si="30"/>
        <v>1.9227592922111627E-5</v>
      </c>
      <c r="H97">
        <f t="shared" si="40"/>
        <v>1.6500610635931836E-4</v>
      </c>
      <c r="I97">
        <f t="shared" si="31"/>
        <v>8.2536193520672203</v>
      </c>
      <c r="J97">
        <f t="shared" si="32"/>
        <v>1.5789926405577334E-4</v>
      </c>
      <c r="K97">
        <f t="shared" si="33"/>
        <v>1.0579250691736814E-4</v>
      </c>
      <c r="N97">
        <f t="shared" si="34"/>
        <v>6.456662416054064E-4</v>
      </c>
      <c r="O97">
        <f t="shared" si="35"/>
        <v>1.5919824429396243E-5</v>
      </c>
      <c r="P97">
        <f t="shared" si="41"/>
        <v>4.7239236661801524E-5</v>
      </c>
      <c r="Q97">
        <f t="shared" si="36"/>
        <v>1.7425077580893276</v>
      </c>
      <c r="R97">
        <f t="shared" si="37"/>
        <v>4.4915775410921662E-5</v>
      </c>
      <c r="S97">
        <f t="shared" si="38"/>
        <v>3.189020054175438E-5</v>
      </c>
      <c r="U97">
        <f t="shared" si="44"/>
        <v>0.99701263970473819</v>
      </c>
      <c r="V97" t="b">
        <f t="shared" si="42"/>
        <v>1</v>
      </c>
    </row>
    <row r="98" spans="1:22">
      <c r="A98">
        <f t="shared" si="43"/>
        <v>92</v>
      </c>
      <c r="B98">
        <f t="shared" si="39"/>
        <v>33580</v>
      </c>
      <c r="C98">
        <f t="shared" si="28"/>
        <v>5.8820590289156156</v>
      </c>
      <c r="D98">
        <f>IF('5.Survival'!$C$3="No",pDeath,(1-EXP(C97-C98)))</f>
        <v>6.6387587701248196E-2</v>
      </c>
      <c r="F98">
        <f t="shared" si="29"/>
        <v>2.1564867335434291E-3</v>
      </c>
      <c r="G98">
        <f t="shared" si="30"/>
        <v>1.7862823782939672E-5</v>
      </c>
      <c r="H98">
        <f t="shared" si="40"/>
        <v>1.5440254061608119E-4</v>
      </c>
      <c r="I98">
        <f t="shared" si="31"/>
        <v>7.5118675314583809</v>
      </c>
      <c r="J98">
        <f t="shared" si="32"/>
        <v>1.4331930433150107E-4</v>
      </c>
      <c r="K98">
        <f t="shared" si="33"/>
        <v>9.6023933902105726E-5</v>
      </c>
      <c r="N98">
        <f t="shared" si="34"/>
        <v>5.9980213927105376E-4</v>
      </c>
      <c r="O98">
        <f t="shared" si="35"/>
        <v>1.4884955067049985E-5</v>
      </c>
      <c r="P98">
        <f t="shared" si="41"/>
        <v>4.3921102980809239E-5</v>
      </c>
      <c r="Q98">
        <f t="shared" si="36"/>
        <v>1.5718558501864766</v>
      </c>
      <c r="R98">
        <f t="shared" si="37"/>
        <v>4.0516266782059805E-5</v>
      </c>
      <c r="S98">
        <f t="shared" si="38"/>
        <v>2.876654941526246E-5</v>
      </c>
      <c r="U98">
        <f t="shared" si="44"/>
        <v>0.99721096334833503</v>
      </c>
      <c r="V98" t="b">
        <f t="shared" si="42"/>
        <v>1</v>
      </c>
    </row>
    <row r="99" spans="1:22">
      <c r="A99">
        <f>A98+1</f>
        <v>93</v>
      </c>
      <c r="B99">
        <f t="shared" si="39"/>
        <v>33945</v>
      </c>
      <c r="C99">
        <f t="shared" si="28"/>
        <v>5.9508088554976091</v>
      </c>
      <c r="D99">
        <f>IF('5.Survival'!$C$3="No",pDeath,(1-EXP(C98-C99)))</f>
        <v>6.6439797186753746E-2</v>
      </c>
      <c r="F99">
        <f t="shared" si="29"/>
        <v>2.0159703765576086E-3</v>
      </c>
      <c r="G99">
        <f t="shared" si="30"/>
        <v>1.6596551547128802E-5</v>
      </c>
      <c r="H99">
        <f t="shared" si="40"/>
        <v>1.4446334360187176E-4</v>
      </c>
      <c r="I99">
        <f t="shared" si="31"/>
        <v>6.8365783056514191</v>
      </c>
      <c r="J99">
        <f t="shared" si="32"/>
        <v>1.3007174220792576E-4</v>
      </c>
      <c r="K99">
        <f t="shared" si="33"/>
        <v>8.7148067279310256E-5</v>
      </c>
      <c r="N99">
        <f t="shared" si="34"/>
        <v>5.572508569098364E-4</v>
      </c>
      <c r="O99">
        <f t="shared" si="35"/>
        <v>1.3915837166888761E-5</v>
      </c>
      <c r="P99">
        <f t="shared" si="41"/>
        <v>4.083968588113858E-5</v>
      </c>
      <c r="Q99">
        <f t="shared" si="36"/>
        <v>1.4180500175853521</v>
      </c>
      <c r="R99">
        <f t="shared" si="37"/>
        <v>3.655114425136052E-5</v>
      </c>
      <c r="S99">
        <f t="shared" si="38"/>
        <v>2.5951312418465968E-5</v>
      </c>
      <c r="U99">
        <f t="shared" si="44"/>
        <v>0.99739626637781797</v>
      </c>
      <c r="V99" t="b">
        <f t="shared" si="42"/>
        <v>0</v>
      </c>
    </row>
    <row r="100" spans="1:22">
      <c r="A100">
        <f t="shared" si="43"/>
        <v>94</v>
      </c>
      <c r="B100">
        <f t="shared" si="39"/>
        <v>34310</v>
      </c>
      <c r="C100">
        <f t="shared" si="28"/>
        <v>6.0196140491005741</v>
      </c>
      <c r="D100">
        <f>IF('5.Survival'!$C$3="No",pDeath,(1-EXP(C99-C100)))</f>
        <v>6.6491484203189843E-2</v>
      </c>
      <c r="F100">
        <f t="shared" si="29"/>
        <v>1.884410107972865E-3</v>
      </c>
      <c r="G100">
        <f t="shared" si="30"/>
        <v>1.542150074007158E-5</v>
      </c>
      <c r="H100">
        <f t="shared" si="40"/>
        <v>1.3514839179200227E-4</v>
      </c>
      <c r="I100">
        <f t="shared" si="31"/>
        <v>6.2218415235089219</v>
      </c>
      <c r="J100">
        <f t="shared" si="32"/>
        <v>1.1803640850512825E-4</v>
      </c>
      <c r="K100">
        <f t="shared" si="33"/>
        <v>7.908439369843593E-5</v>
      </c>
      <c r="N100">
        <f t="shared" si="34"/>
        <v>5.177674721200628E-4</v>
      </c>
      <c r="O100">
        <f t="shared" si="35"/>
        <v>1.3008428339870321E-5</v>
      </c>
      <c r="P100">
        <f t="shared" si="41"/>
        <v>3.7977721216590734E-5</v>
      </c>
      <c r="Q100">
        <f t="shared" si="36"/>
        <v>1.2794099713518883</v>
      </c>
      <c r="R100">
        <f t="shared" si="37"/>
        <v>3.2977070559326854E-5</v>
      </c>
      <c r="S100">
        <f t="shared" si="38"/>
        <v>2.3413720097122065E-5</v>
      </c>
      <c r="U100">
        <f t="shared" si="44"/>
        <v>0.99756939249082655</v>
      </c>
      <c r="V100" t="b">
        <f t="shared" si="42"/>
        <v>0</v>
      </c>
    </row>
    <row r="101" spans="1:22">
      <c r="A101">
        <f t="shared" si="43"/>
        <v>95</v>
      </c>
      <c r="B101">
        <f t="shared" si="39"/>
        <v>34675</v>
      </c>
      <c r="C101">
        <f t="shared" si="28"/>
        <v>6.0884740645722726</v>
      </c>
      <c r="D101">
        <f>IF('5.Survival'!$C$3="No",pDeath,(1-EXP(C100-C101)))</f>
        <v>6.6542659481729438E-2</v>
      </c>
      <c r="F101">
        <f t="shared" si="29"/>
        <v>1.7612528386059627E-3</v>
      </c>
      <c r="G101">
        <f t="shared" si="30"/>
        <v>1.4330949312418193E-5</v>
      </c>
      <c r="H101">
        <f t="shared" si="40"/>
        <v>1.2641984781121119E-4</v>
      </c>
      <c r="I101">
        <f t="shared" si="31"/>
        <v>5.6622657274865977</v>
      </c>
      <c r="J101">
        <f t="shared" si="32"/>
        <v>1.0710378627009146E-4</v>
      </c>
      <c r="K101">
        <f t="shared" si="33"/>
        <v>7.1759536800961282E-5</v>
      </c>
      <c r="N101">
        <f t="shared" si="34"/>
        <v>4.8112571114210126E-4</v>
      </c>
      <c r="O101">
        <f t="shared" si="35"/>
        <v>1.2158922295762795E-5</v>
      </c>
      <c r="P101">
        <f t="shared" si="41"/>
        <v>3.5319240005413647E-5</v>
      </c>
      <c r="Q101">
        <f t="shared" si="36"/>
        <v>1.1544251849260843</v>
      </c>
      <c r="R101">
        <f t="shared" si="37"/>
        <v>2.9755088050217083E-5</v>
      </c>
      <c r="S101">
        <f t="shared" si="38"/>
        <v>2.1126112515654129E-5</v>
      </c>
      <c r="U101">
        <f t="shared" si="44"/>
        <v>0.99773113157864324</v>
      </c>
      <c r="V101" t="b">
        <f t="shared" si="42"/>
        <v>0</v>
      </c>
    </row>
    <row r="102" spans="1:22">
      <c r="A102">
        <f t="shared" si="43"/>
        <v>96</v>
      </c>
      <c r="B102">
        <f t="shared" si="39"/>
        <v>35040</v>
      </c>
      <c r="C102">
        <f t="shared" ref="C102:C105" si="45">lambda*B102^gamma</f>
        <v>6.1573883678127661</v>
      </c>
      <c r="D102">
        <f>IF('5.Survival'!$C$3="No",pDeath,(1-EXP(C101-C102)))</f>
        <v>6.6593333422511503E-2</v>
      </c>
      <c r="F102">
        <f t="shared" si="29"/>
        <v>1.6459780084672488E-3</v>
      </c>
      <c r="G102">
        <f t="shared" si="30"/>
        <v>1.331868510282233E-5</v>
      </c>
      <c r="H102">
        <f t="shared" si="40"/>
        <v>1.182420432084547E-4</v>
      </c>
      <c r="I102">
        <f t="shared" si="31"/>
        <v>5.15293356021572</v>
      </c>
      <c r="J102">
        <f t="shared" si="32"/>
        <v>9.717408860720499E-5</v>
      </c>
      <c r="K102">
        <f t="shared" ref="K102:K104" si="46">J102*uHD</f>
        <v>6.5106639366827341E-5</v>
      </c>
      <c r="N102">
        <f t="shared" si="34"/>
        <v>4.471164802683127E-4</v>
      </c>
      <c r="O102">
        <f t="shared" si="35"/>
        <v>1.1363736242677639E-5</v>
      </c>
      <c r="P102">
        <f t="shared" si="41"/>
        <v>3.2849468066729049E-5</v>
      </c>
      <c r="Q102">
        <f t="shared" si="36"/>
        <v>1.0417374817192333</v>
      </c>
      <c r="R102">
        <f t="shared" si="37"/>
        <v>2.6850169325675259E-5</v>
      </c>
      <c r="S102">
        <f t="shared" ref="S102:S105" si="47">R102*uPD</f>
        <v>1.9063620221229434E-5</v>
      </c>
      <c r="U102">
        <f t="shared" si="44"/>
        <v>0.99788222308991836</v>
      </c>
      <c r="V102" t="b">
        <f t="shared" si="42"/>
        <v>0</v>
      </c>
    </row>
    <row r="103" spans="1:22">
      <c r="A103">
        <f t="shared" si="43"/>
        <v>97</v>
      </c>
      <c r="B103">
        <f t="shared" si="39"/>
        <v>35405</v>
      </c>
      <c r="C103">
        <f t="shared" si="45"/>
        <v>6.2263564354374275</v>
      </c>
      <c r="D103">
        <f>IF('5.Survival'!$C$3="No",pDeath,(1-EXP(C102-C103)))</f>
        <v>6.6643516108085499E-2</v>
      </c>
      <c r="F103">
        <f t="shared" si="29"/>
        <v>1.5380958288051926E-3</v>
      </c>
      <c r="G103">
        <f t="shared" si="30"/>
        <v>1.2378965845796739E-5</v>
      </c>
      <c r="H103">
        <f t="shared" si="40"/>
        <v>1.1058136592603004E-4</v>
      </c>
      <c r="I103">
        <f t="shared" si="31"/>
        <v>4.6893608844269794</v>
      </c>
      <c r="J103">
        <f t="shared" si="32"/>
        <v>8.8156413662649817E-5</v>
      </c>
      <c r="K103">
        <f t="shared" si="46"/>
        <v>5.906479715397538E-5</v>
      </c>
      <c r="N103">
        <f t="shared" si="34"/>
        <v>4.1554651697090487E-4</v>
      </c>
      <c r="O103">
        <f t="shared" si="35"/>
        <v>1.0619498838848456E-5</v>
      </c>
      <c r="P103">
        <f t="shared" si="41"/>
        <v>3.0554733694288713E-5</v>
      </c>
      <c r="Q103">
        <f t="shared" si="36"/>
        <v>0.94012543903199686</v>
      </c>
      <c r="R103">
        <f t="shared" si="37"/>
        <v>2.4230814785444342E-5</v>
      </c>
      <c r="S103">
        <f t="shared" si="47"/>
        <v>1.7203878497665483E-5</v>
      </c>
      <c r="U103">
        <f t="shared" si="44"/>
        <v>0.99802335918953866</v>
      </c>
      <c r="V103" t="b">
        <f t="shared" si="42"/>
        <v>0</v>
      </c>
    </row>
    <row r="104" spans="1:22">
      <c r="A104">
        <f t="shared" si="43"/>
        <v>98</v>
      </c>
      <c r="B104">
        <f t="shared" si="39"/>
        <v>35770</v>
      </c>
      <c r="C104">
        <f t="shared" si="45"/>
        <v>6.2953777544536775</v>
      </c>
      <c r="D104">
        <f>IF('5.Survival'!$C$3="No",pDeath,(1-EXP(C103-C104)))</f>
        <v>6.6693217316360021E-2</v>
      </c>
      <c r="F104">
        <f t="shared" si="29"/>
        <v>1.437145603542026E-3</v>
      </c>
      <c r="G104">
        <f t="shared" si="30"/>
        <v>1.1506482426863339E-5</v>
      </c>
      <c r="H104">
        <f t="shared" si="40"/>
        <v>1.0340615242319712E-4</v>
      </c>
      <c r="I104">
        <f t="shared" si="31"/>
        <v>4.2674593225189739</v>
      </c>
      <c r="J104">
        <f t="shared" si="32"/>
        <v>7.9967970640953248E-5</v>
      </c>
      <c r="K104">
        <f t="shared" si="46"/>
        <v>5.3578540329438677E-5</v>
      </c>
      <c r="N104">
        <f t="shared" si="34"/>
        <v>3.8623715067764278E-4</v>
      </c>
      <c r="O104">
        <f t="shared" si="35"/>
        <v>9.9230386857663329E-6</v>
      </c>
      <c r="P104">
        <f t="shared" si="41"/>
        <v>2.8422382705247199E-5</v>
      </c>
      <c r="Q104">
        <f t="shared" si="36"/>
        <v>0.84849041544073023</v>
      </c>
      <c r="R104">
        <f t="shared" si="37"/>
        <v>2.1868692075184661E-5</v>
      </c>
      <c r="S104">
        <f t="shared" si="47"/>
        <v>1.5526771373381108E-5</v>
      </c>
      <c r="U104">
        <f t="shared" si="44"/>
        <v>0.99815518772466716</v>
      </c>
      <c r="V104" t="b">
        <f t="shared" si="42"/>
        <v>0</v>
      </c>
    </row>
    <row r="105" spans="1:22">
      <c r="A105">
        <f>A104+1</f>
        <v>99</v>
      </c>
      <c r="B105">
        <f t="shared" si="39"/>
        <v>36135</v>
      </c>
      <c r="C105">
        <f t="shared" si="45"/>
        <v>6.3644518219507189</v>
      </c>
      <c r="D105">
        <f>IF('5.Survival'!$C$3="No",pDeath,(1-EXP(C104-C105)))</f>
        <v>6.6742446532864208E-2</v>
      </c>
      <c r="F105">
        <f t="shared" si="29"/>
        <v>1.3426941282261877E-3</v>
      </c>
      <c r="G105">
        <f t="shared" si="30"/>
        <v>1.0696325112812045E-5</v>
      </c>
      <c r="H105">
        <f t="shared" si="40"/>
        <v>9.6686584392500797E-5</v>
      </c>
      <c r="I105">
        <f t="shared" si="31"/>
        <v>3.8835019432710798</v>
      </c>
      <c r="J105">
        <f t="shared" si="32"/>
        <v>7.2533371174791876E-5</v>
      </c>
      <c r="K105">
        <f>J105*uHD</f>
        <v>4.859735868711056E-5</v>
      </c>
      <c r="N105">
        <f t="shared" si="34"/>
        <v>3.5902316399356036E-4</v>
      </c>
      <c r="O105">
        <f t="shared" si="35"/>
        <v>9.2713733502008916E-6</v>
      </c>
      <c r="P105">
        <f t="shared" si="41"/>
        <v>2.6440700257036694E-5</v>
      </c>
      <c r="Q105">
        <f t="shared" si="36"/>
        <v>0.76584402963782372</v>
      </c>
      <c r="R105">
        <f t="shared" si="37"/>
        <v>1.9738312999694261E-5</v>
      </c>
      <c r="S105">
        <f t="shared" si="47"/>
        <v>1.4014202229782924E-5</v>
      </c>
      <c r="U105">
        <f t="shared" si="44"/>
        <v>0.99827831500931674</v>
      </c>
      <c r="V105" t="b">
        <f t="shared" si="42"/>
        <v>1</v>
      </c>
    </row>
    <row r="107" spans="1:22" ht="15">
      <c r="H107" s="32" t="s">
        <v>275</v>
      </c>
      <c r="I107">
        <f>SUM(I6:I105)</f>
        <v>130598.43651642629</v>
      </c>
      <c r="J107">
        <f t="shared" ref="J107" si="48">SUM(J6:J105)</f>
        <v>2.6885927550075208</v>
      </c>
      <c r="K107">
        <f>SUM(K6:K105)</f>
        <v>1.8013571458550397</v>
      </c>
      <c r="P107" t="s">
        <v>275</v>
      </c>
      <c r="Q107">
        <f>SUM(Q6:Q105)</f>
        <v>369587.17156460806</v>
      </c>
      <c r="R107">
        <f t="shared" ref="R107:S107" si="49">SUM(R6:R105)</f>
        <v>9.4374802712396129</v>
      </c>
      <c r="S107">
        <f t="shared" si="49"/>
        <v>6.7006109925801329</v>
      </c>
    </row>
    <row r="108" spans="1:22" ht="15">
      <c r="H108" s="32" t="s">
        <v>276</v>
      </c>
      <c r="I108" s="100">
        <f>I107+Q107</f>
        <v>500185.60808103433</v>
      </c>
      <c r="J108" s="100">
        <f>J107+R107</f>
        <v>12.126073026247134</v>
      </c>
      <c r="K108" s="100">
        <f>K107+S107</f>
        <v>8.5019681384351724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d881951-2651-4579-b332-186500e72f48">
      <Terms xmlns="http://schemas.microsoft.com/office/infopath/2007/PartnerControls"/>
    </lcf76f155ced4ddcb4097134ff3c332f>
    <TaxCatchAll xmlns="d52931c9-d05b-4bff-9b17-589481f4305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8F7F7FBF23CB041A291B656C2D7C7B8" ma:contentTypeVersion="15" ma:contentTypeDescription="Create a new document." ma:contentTypeScope="" ma:versionID="4757baaa846c7b8398e2a777c43576f8">
  <xsd:schema xmlns:xsd="http://www.w3.org/2001/XMLSchema" xmlns:xs="http://www.w3.org/2001/XMLSchema" xmlns:p="http://schemas.microsoft.com/office/2006/metadata/properties" xmlns:ns2="4d881951-2651-4579-b332-186500e72f48" xmlns:ns3="d52931c9-d05b-4bff-9b17-589481f43055" targetNamespace="http://schemas.microsoft.com/office/2006/metadata/properties" ma:root="true" ma:fieldsID="bfe6f03eaee655b81668386c3554fde5" ns2:_="" ns3:_="">
    <xsd:import namespace="4d881951-2651-4579-b332-186500e72f48"/>
    <xsd:import namespace="d52931c9-d05b-4bff-9b17-589481f4305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881951-2651-4579-b332-186500e72f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4fb58666-e629-4e5a-b780-b8dcc15b318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52931c9-d05b-4bff-9b17-589481f43055"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75f68e39-9e6a-449b-a70b-77d722821d6c}" ma:internalName="TaxCatchAll" ma:showField="CatchAllData" ma:web="d52931c9-d05b-4bff-9b17-589481f4305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FD9998-B18B-4F5F-959A-D5198F5C02AD}">
  <ds:schemaRefs>
    <ds:schemaRef ds:uri="http://schemas.microsoft.com/sharepoint/v3/contenttype/forms"/>
  </ds:schemaRefs>
</ds:datastoreItem>
</file>

<file path=customXml/itemProps2.xml><?xml version="1.0" encoding="utf-8"?>
<ds:datastoreItem xmlns:ds="http://schemas.openxmlformats.org/officeDocument/2006/customXml" ds:itemID="{4CAF4CE1-45ED-4282-BC23-E0A35A021BC8}">
  <ds:schemaRefs>
    <ds:schemaRef ds:uri="http://schemas.microsoft.com/office/2006/metadata/properties"/>
    <ds:schemaRef ds:uri="http://schemas.microsoft.com/office/infopath/2007/PartnerControls"/>
    <ds:schemaRef ds:uri="4d881951-2651-4579-b332-186500e72f48"/>
    <ds:schemaRef ds:uri="d52931c9-d05b-4bff-9b17-589481f43055"/>
  </ds:schemaRefs>
</ds:datastoreItem>
</file>

<file path=customXml/itemProps3.xml><?xml version="1.0" encoding="utf-8"?>
<ds:datastoreItem xmlns:ds="http://schemas.openxmlformats.org/officeDocument/2006/customXml" ds:itemID="{08B06C47-2C01-4C00-B96D-68B9264ADE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881951-2651-4579-b332-186500e72f48"/>
    <ds:schemaRef ds:uri="d52931c9-d05b-4bff-9b17-589481f4305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60</vt:i4>
      </vt:variant>
    </vt:vector>
  </HeadingPairs>
  <TitlesOfParts>
    <vt:vector size="78" baseType="lpstr">
      <vt:lpstr>Title</vt:lpstr>
      <vt:lpstr>Overview</vt:lpstr>
      <vt:lpstr>Glossary</vt:lpstr>
      <vt:lpstr>1.Introduction</vt:lpstr>
      <vt:lpstr>2.Questions</vt:lpstr>
      <vt:lpstr>3.Model structure</vt:lpstr>
      <vt:lpstr>4.Epidemiology</vt:lpstr>
      <vt:lpstr>5.Survival</vt:lpstr>
      <vt:lpstr>6.1.CostComponent</vt:lpstr>
      <vt:lpstr>6.2.TotalCost</vt:lpstr>
      <vt:lpstr>7.Outcome</vt:lpstr>
      <vt:lpstr>8.Discounting</vt:lpstr>
      <vt:lpstr>9.TotalCost&amp;Outcome</vt:lpstr>
      <vt:lpstr>10.FinalResults</vt:lpstr>
      <vt:lpstr>Appendix_11.PolicyOption1Model</vt:lpstr>
      <vt:lpstr>Appendix_11.PolicyOption2Model</vt:lpstr>
      <vt:lpstr>Survivaldata</vt:lpstr>
      <vt:lpstr>Appendix_11.PolicyOption3Model</vt:lpstr>
      <vt:lpstr>Age</vt:lpstr>
      <vt:lpstr>ageC</vt:lpstr>
      <vt:lpstr>cCath</vt:lpstr>
      <vt:lpstr>cChroHD</vt:lpstr>
      <vt:lpstr>cChroPD</vt:lpstr>
      <vt:lpstr>cComHD</vt:lpstr>
      <vt:lpstr>cCoMobid</vt:lpstr>
      <vt:lpstr>cComPD</vt:lpstr>
      <vt:lpstr>cDC</vt:lpstr>
      <vt:lpstr>cDO</vt:lpstr>
      <vt:lpstr>cErythro</vt:lpstr>
      <vt:lpstr>CET</vt:lpstr>
      <vt:lpstr>cHD</vt:lpstr>
      <vt:lpstr>cIdMDonot</vt:lpstr>
      <vt:lpstr>cIdMHD</vt:lpstr>
      <vt:lpstr>cIdMPD</vt:lpstr>
      <vt:lpstr>cIP</vt:lpstr>
      <vt:lpstr>cMedHD1</vt:lpstr>
      <vt:lpstr>cMedHD2</vt:lpstr>
      <vt:lpstr>cMedPD1</vt:lpstr>
      <vt:lpstr>cMedPD2</vt:lpstr>
      <vt:lpstr>cNonMedHD</vt:lpstr>
      <vt:lpstr>cNonMedPD</vt:lpstr>
      <vt:lpstr>cons</vt:lpstr>
      <vt:lpstr>cOP</vt:lpstr>
      <vt:lpstr>cPaliative</vt:lpstr>
      <vt:lpstr>cPatientHD</vt:lpstr>
      <vt:lpstr>cPatientPD</vt:lpstr>
      <vt:lpstr>cPD</vt:lpstr>
      <vt:lpstr>cPeritonitis</vt:lpstr>
      <vt:lpstr>Currency</vt:lpstr>
      <vt:lpstr>cVas</vt:lpstr>
      <vt:lpstr>dErythro</vt:lpstr>
      <vt:lpstr>gamma</vt:lpstr>
      <vt:lpstr>Invest</vt:lpstr>
      <vt:lpstr>lambda</vt:lpstr>
      <vt:lpstr>pComHD</vt:lpstr>
      <vt:lpstr>pComPD</vt:lpstr>
      <vt:lpstr>pDeath</vt:lpstr>
      <vt:lpstr>pDoNot</vt:lpstr>
      <vt:lpstr>pHDtoPD</vt:lpstr>
      <vt:lpstr>pPDtoHD</vt:lpstr>
      <vt:lpstr>rER</vt:lpstr>
      <vt:lpstr>rIP</vt:lpstr>
      <vt:lpstr>rOP</vt:lpstr>
      <vt:lpstr>SessionHD</vt:lpstr>
      <vt:lpstr>SessionPD</vt:lpstr>
      <vt:lpstr>Set</vt:lpstr>
      <vt:lpstr>TotalCostHDfirst</vt:lpstr>
      <vt:lpstr>TotalCostPaliative</vt:lpstr>
      <vt:lpstr>TotalCostPDfirst</vt:lpstr>
      <vt:lpstr>TotalLYHDfirst</vt:lpstr>
      <vt:lpstr>TotalLYPaliative</vt:lpstr>
      <vt:lpstr>TotalLYPDfirst</vt:lpstr>
      <vt:lpstr>TotalQALYHDfirst</vt:lpstr>
      <vt:lpstr>TotalQALYPaliative</vt:lpstr>
      <vt:lpstr>TotalQALYPDfirst</vt:lpstr>
      <vt:lpstr>uCom</vt:lpstr>
      <vt:lpstr>uHD</vt:lpstr>
      <vt:lpstr>uPD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Aye Nandar Myint</dc:creator>
  <cp:keywords/>
  <dc:description/>
  <cp:lastModifiedBy>Npgrjuser5</cp:lastModifiedBy>
  <cp:revision/>
  <dcterms:created xsi:type="dcterms:W3CDTF">2024-12-04T08:34:26Z</dcterms:created>
  <dcterms:modified xsi:type="dcterms:W3CDTF">2025-09-10T21:52:17Z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0x01010048F7F7FBF23CB041A291B656C2D7C7B8</vt:lpwstr>
  </property>
  <property fmtid="{D5CDD505-2E9C-101B-9397-08002B2CF9AE}" pid="3" name="MediaServiceImageTags">
    <vt:lpwstr/>
  </property>
</Properties>
</file>