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par Stinn\Downloads\"/>
    </mc:Choice>
  </mc:AlternateContent>
  <xr:revisionPtr revIDLastSave="0" documentId="13_ncr:1_{7002B2E0-43C5-4E48-90FF-75237A9FECAF}" xr6:coauthVersionLast="36" xr6:coauthVersionMax="36" xr10:uidLastSave="{00000000-0000-0000-0000-000000000000}"/>
  <bookViews>
    <workbookView xWindow="0" yWindow="0" windowWidth="28800" windowHeight="14175" xr2:uid="{00000000-000D-0000-FFFF-FFFF00000000}"/>
  </bookViews>
  <sheets>
    <sheet name="Summary" sheetId="7" r:id="rId1"/>
    <sheet name="S1" sheetId="8" r:id="rId2"/>
    <sheet name="S2" sheetId="5" r:id="rId3"/>
    <sheet name="S3" sheetId="6" r:id="rId4"/>
    <sheet name="S4" sheetId="9" r:id="rId5"/>
    <sheet name="S5" sheetId="10" r:id="rId6"/>
    <sheet name="S6" sheetId="11" r:id="rId7"/>
    <sheet name="S7" sheetId="12" r:id="rId8"/>
    <sheet name="S8" sheetId="13" r:id="rId9"/>
    <sheet name="S9" sheetId="14" r:id="rId10"/>
    <sheet name="S10" sheetId="39" r:id="rId11"/>
    <sheet name="S11" sheetId="15" r:id="rId12"/>
    <sheet name="S12" sheetId="16" r:id="rId13"/>
    <sheet name="S13" sheetId="17" r:id="rId14"/>
    <sheet name="S14" sheetId="2" r:id="rId15"/>
    <sheet name="S15" sheetId="27" r:id="rId16"/>
    <sheet name="S16" sheetId="21" r:id="rId17"/>
    <sheet name="S17" sheetId="22" r:id="rId18"/>
    <sheet name="S18" sheetId="23" r:id="rId19"/>
    <sheet name="S19" sheetId="28" r:id="rId20"/>
    <sheet name="S20" sheetId="29" r:id="rId21"/>
    <sheet name="S21" sheetId="30" r:id="rId22"/>
    <sheet name="S22" sheetId="31" r:id="rId23"/>
    <sheet name="S23" sheetId="32" r:id="rId24"/>
    <sheet name="S24" sheetId="33" r:id="rId25"/>
    <sheet name="S25" sheetId="38" r:id="rId26"/>
    <sheet name="S26" sheetId="41" r:id="rId27"/>
    <sheet name="S27" sheetId="43" r:id="rId28"/>
    <sheet name="S28" sheetId="34" r:id="rId29"/>
    <sheet name="S29" sheetId="35" r:id="rId30"/>
    <sheet name="S30" sheetId="37" r:id="rId31"/>
    <sheet name="S31" sheetId="36" r:id="rId32"/>
    <sheet name="S32" sheetId="40" r:id="rId33"/>
    <sheet name="S33" sheetId="42" r:id="rId34"/>
  </sheets>
  <definedNames>
    <definedName name="_Hlk63180966" localSheetId="3">'S3'!$E$3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32" l="1"/>
  <c r="C24" i="31"/>
  <c r="G7" i="43" l="1"/>
  <c r="G6" i="43"/>
  <c r="G5" i="43"/>
  <c r="D32" i="33" l="1"/>
  <c r="C15" i="32"/>
  <c r="D66" i="33"/>
  <c r="D31" i="33"/>
  <c r="U241" i="40" l="1"/>
  <c r="Q241" i="40"/>
  <c r="M241" i="40"/>
  <c r="I241" i="40"/>
  <c r="E241" i="40"/>
  <c r="U240" i="40"/>
  <c r="Q240" i="40"/>
  <c r="M240" i="40"/>
  <c r="I240" i="40"/>
  <c r="E240" i="40"/>
  <c r="U239" i="40"/>
  <c r="Q239" i="40"/>
  <c r="M239" i="40"/>
  <c r="I239" i="40"/>
  <c r="E239" i="40"/>
  <c r="U238" i="40"/>
  <c r="Q238" i="40"/>
  <c r="M238" i="40"/>
  <c r="I238" i="40"/>
  <c r="E238" i="40"/>
  <c r="U237" i="40"/>
  <c r="Q237" i="40"/>
  <c r="M237" i="40"/>
  <c r="I237" i="40"/>
  <c r="E237" i="40"/>
  <c r="U236" i="40"/>
  <c r="Q236" i="40"/>
  <c r="M236" i="40"/>
  <c r="I236" i="40"/>
  <c r="E236" i="40"/>
  <c r="U235" i="40"/>
  <c r="Q235" i="40"/>
  <c r="M235" i="40"/>
  <c r="I235" i="40"/>
  <c r="E235" i="40"/>
  <c r="U234" i="40"/>
  <c r="Q234" i="40"/>
  <c r="M234" i="40"/>
  <c r="I234" i="40"/>
  <c r="E234" i="40"/>
  <c r="U233" i="40"/>
  <c r="Q233" i="40"/>
  <c r="M233" i="40"/>
  <c r="I233" i="40"/>
  <c r="E233" i="40"/>
  <c r="U232" i="40"/>
  <c r="Q232" i="40"/>
  <c r="M232" i="40"/>
  <c r="I232" i="40"/>
  <c r="E232" i="40"/>
  <c r="U228" i="40"/>
  <c r="Q228" i="40"/>
  <c r="M228" i="40"/>
  <c r="I228" i="40"/>
  <c r="E228" i="40"/>
  <c r="U227" i="40"/>
  <c r="Q227" i="40"/>
  <c r="M227" i="40"/>
  <c r="I227" i="40"/>
  <c r="E227" i="40"/>
  <c r="U226" i="40"/>
  <c r="Q226" i="40"/>
  <c r="M226" i="40"/>
  <c r="I226" i="40"/>
  <c r="E226" i="40"/>
  <c r="U225" i="40"/>
  <c r="Q225" i="40"/>
  <c r="M225" i="40"/>
  <c r="I225" i="40"/>
  <c r="E225" i="40"/>
  <c r="U224" i="40"/>
  <c r="Q224" i="40"/>
  <c r="M224" i="40"/>
  <c r="I224" i="40"/>
  <c r="E224" i="40"/>
  <c r="U223" i="40"/>
  <c r="Q223" i="40"/>
  <c r="M223" i="40"/>
  <c r="I223" i="40"/>
  <c r="E223" i="40"/>
  <c r="U222" i="40"/>
  <c r="Q222" i="40"/>
  <c r="M222" i="40"/>
  <c r="I222" i="40"/>
  <c r="E222" i="40"/>
  <c r="U221" i="40"/>
  <c r="Q221" i="40"/>
  <c r="M221" i="40"/>
  <c r="I221" i="40"/>
  <c r="E221" i="40"/>
  <c r="U220" i="40"/>
  <c r="Q220" i="40"/>
  <c r="M220" i="40"/>
  <c r="I220" i="40"/>
  <c r="E220" i="40"/>
  <c r="U219" i="40"/>
  <c r="Q219" i="40"/>
  <c r="M219" i="40"/>
  <c r="I219" i="40"/>
  <c r="E219" i="40"/>
  <c r="U215" i="40"/>
  <c r="Q215" i="40"/>
  <c r="M215" i="40"/>
  <c r="I215" i="40"/>
  <c r="E215" i="40"/>
  <c r="U214" i="40"/>
  <c r="Q214" i="40"/>
  <c r="M214" i="40"/>
  <c r="I214" i="40"/>
  <c r="E214" i="40"/>
  <c r="U213" i="40"/>
  <c r="Q213" i="40"/>
  <c r="M213" i="40"/>
  <c r="I213" i="40"/>
  <c r="E213" i="40"/>
  <c r="U212" i="40"/>
  <c r="Q212" i="40"/>
  <c r="M212" i="40"/>
  <c r="I212" i="40"/>
  <c r="E212" i="40"/>
  <c r="U211" i="40"/>
  <c r="Q211" i="40"/>
  <c r="M211" i="40"/>
  <c r="I211" i="40"/>
  <c r="E211" i="40"/>
  <c r="U210" i="40"/>
  <c r="Q210" i="40"/>
  <c r="M210" i="40"/>
  <c r="I210" i="40"/>
  <c r="E210" i="40"/>
  <c r="U209" i="40"/>
  <c r="Q209" i="40"/>
  <c r="M209" i="40"/>
  <c r="I209" i="40"/>
  <c r="E209" i="40"/>
  <c r="U208" i="40"/>
  <c r="Q208" i="40"/>
  <c r="M208" i="40"/>
  <c r="I208" i="40"/>
  <c r="E208" i="40"/>
  <c r="U207" i="40"/>
  <c r="Q207" i="40"/>
  <c r="M207" i="40"/>
  <c r="I207" i="40"/>
  <c r="E207" i="40"/>
  <c r="U206" i="40"/>
  <c r="Q206" i="40"/>
  <c r="M206" i="40"/>
  <c r="I206" i="40"/>
  <c r="E206" i="40"/>
  <c r="U202" i="40"/>
  <c r="Q202" i="40"/>
  <c r="M202" i="40"/>
  <c r="I202" i="40"/>
  <c r="E202" i="40"/>
  <c r="U201" i="40"/>
  <c r="Q201" i="40"/>
  <c r="M201" i="40"/>
  <c r="I201" i="40"/>
  <c r="E201" i="40"/>
  <c r="U200" i="40"/>
  <c r="Q200" i="40"/>
  <c r="M200" i="40"/>
  <c r="I200" i="40"/>
  <c r="E200" i="40"/>
  <c r="U199" i="40"/>
  <c r="Q199" i="40"/>
  <c r="M199" i="40"/>
  <c r="I199" i="40"/>
  <c r="E199" i="40"/>
  <c r="U198" i="40"/>
  <c r="Q198" i="40"/>
  <c r="M198" i="40"/>
  <c r="I198" i="40"/>
  <c r="E198" i="40"/>
  <c r="U197" i="40"/>
  <c r="Q197" i="40"/>
  <c r="M197" i="40"/>
  <c r="I197" i="40"/>
  <c r="E197" i="40"/>
  <c r="U196" i="40"/>
  <c r="Q196" i="40"/>
  <c r="M196" i="40"/>
  <c r="I196" i="40"/>
  <c r="E196" i="40"/>
  <c r="U195" i="40"/>
  <c r="Q195" i="40"/>
  <c r="M195" i="40"/>
  <c r="I195" i="40"/>
  <c r="E195" i="40"/>
  <c r="U194" i="40"/>
  <c r="Q194" i="40"/>
  <c r="M194" i="40"/>
  <c r="I194" i="40"/>
  <c r="E194" i="40"/>
  <c r="U193" i="40"/>
  <c r="Q193" i="40"/>
  <c r="M193" i="40"/>
  <c r="I193" i="40"/>
  <c r="E193" i="40"/>
  <c r="U189" i="40"/>
  <c r="Q189" i="40"/>
  <c r="M189" i="40"/>
  <c r="I189" i="40"/>
  <c r="E189" i="40"/>
  <c r="U188" i="40"/>
  <c r="Q188" i="40"/>
  <c r="M188" i="40"/>
  <c r="I188" i="40"/>
  <c r="E188" i="40"/>
  <c r="U187" i="40"/>
  <c r="Q187" i="40"/>
  <c r="M187" i="40"/>
  <c r="I187" i="40"/>
  <c r="E187" i="40"/>
  <c r="U186" i="40"/>
  <c r="Q186" i="40"/>
  <c r="M186" i="40"/>
  <c r="I186" i="40"/>
  <c r="E186" i="40"/>
  <c r="U185" i="40"/>
  <c r="Q185" i="40"/>
  <c r="M185" i="40"/>
  <c r="I185" i="40"/>
  <c r="E185" i="40"/>
  <c r="U184" i="40"/>
  <c r="Q184" i="40"/>
  <c r="M184" i="40"/>
  <c r="I184" i="40"/>
  <c r="E184" i="40"/>
  <c r="U183" i="40"/>
  <c r="Q183" i="40"/>
  <c r="M183" i="40"/>
  <c r="I183" i="40"/>
  <c r="E183" i="40"/>
  <c r="U182" i="40"/>
  <c r="Q182" i="40"/>
  <c r="M182" i="40"/>
  <c r="I182" i="40"/>
  <c r="E182" i="40"/>
  <c r="U181" i="40"/>
  <c r="Q181" i="40"/>
  <c r="M181" i="40"/>
  <c r="I181" i="40"/>
  <c r="E181" i="40"/>
  <c r="U180" i="40"/>
  <c r="Q180" i="40"/>
  <c r="M180" i="40"/>
  <c r="I180" i="40"/>
  <c r="E180" i="40"/>
  <c r="U176" i="40"/>
  <c r="Q176" i="40"/>
  <c r="M176" i="40"/>
  <c r="I176" i="40"/>
  <c r="E176" i="40"/>
  <c r="U175" i="40"/>
  <c r="Q175" i="40"/>
  <c r="M175" i="40"/>
  <c r="I175" i="40"/>
  <c r="E175" i="40"/>
  <c r="U174" i="40"/>
  <c r="Q174" i="40"/>
  <c r="M174" i="40"/>
  <c r="I174" i="40"/>
  <c r="E174" i="40"/>
  <c r="U173" i="40"/>
  <c r="Q173" i="40"/>
  <c r="M173" i="40"/>
  <c r="I173" i="40"/>
  <c r="E173" i="40"/>
  <c r="U172" i="40"/>
  <c r="Q172" i="40"/>
  <c r="M172" i="40"/>
  <c r="I172" i="40"/>
  <c r="E172" i="40"/>
  <c r="U171" i="40"/>
  <c r="Q171" i="40"/>
  <c r="M171" i="40"/>
  <c r="I171" i="40"/>
  <c r="E171" i="40"/>
  <c r="U170" i="40"/>
  <c r="Q170" i="40"/>
  <c r="M170" i="40"/>
  <c r="I170" i="40"/>
  <c r="E170" i="40"/>
  <c r="U169" i="40"/>
  <c r="Q169" i="40"/>
  <c r="M169" i="40"/>
  <c r="I169" i="40"/>
  <c r="E169" i="40"/>
  <c r="U168" i="40"/>
  <c r="Q168" i="40"/>
  <c r="M168" i="40"/>
  <c r="I168" i="40"/>
  <c r="E168" i="40"/>
  <c r="U167" i="40"/>
  <c r="Q167" i="40"/>
  <c r="M167" i="40"/>
  <c r="I167" i="40"/>
  <c r="E167" i="40"/>
  <c r="U163" i="40"/>
  <c r="Q163" i="40"/>
  <c r="M163" i="40"/>
  <c r="I163" i="40"/>
  <c r="E163" i="40"/>
  <c r="U162" i="40"/>
  <c r="Q162" i="40"/>
  <c r="M162" i="40"/>
  <c r="I162" i="40"/>
  <c r="E162" i="40"/>
  <c r="U161" i="40"/>
  <c r="Q161" i="40"/>
  <c r="M161" i="40"/>
  <c r="I161" i="40"/>
  <c r="E161" i="40"/>
  <c r="U160" i="40"/>
  <c r="Q160" i="40"/>
  <c r="M160" i="40"/>
  <c r="I160" i="40"/>
  <c r="E160" i="40"/>
  <c r="U159" i="40"/>
  <c r="Q159" i="40"/>
  <c r="M159" i="40"/>
  <c r="I159" i="40"/>
  <c r="E159" i="40"/>
  <c r="U158" i="40"/>
  <c r="Q158" i="40"/>
  <c r="M158" i="40"/>
  <c r="I158" i="40"/>
  <c r="E158" i="40"/>
  <c r="U157" i="40"/>
  <c r="Q157" i="40"/>
  <c r="M157" i="40"/>
  <c r="I157" i="40"/>
  <c r="E157" i="40"/>
  <c r="U156" i="40"/>
  <c r="Q156" i="40"/>
  <c r="M156" i="40"/>
  <c r="I156" i="40"/>
  <c r="E156" i="40"/>
  <c r="U155" i="40"/>
  <c r="Q155" i="40"/>
  <c r="M155" i="40"/>
  <c r="I155" i="40"/>
  <c r="E155" i="40"/>
  <c r="U154" i="40"/>
  <c r="Q154" i="40"/>
  <c r="M154" i="40"/>
  <c r="I154" i="40"/>
  <c r="E154" i="40"/>
  <c r="U150" i="40"/>
  <c r="Q150" i="40"/>
  <c r="M150" i="40"/>
  <c r="I150" i="40"/>
  <c r="E150" i="40"/>
  <c r="U149" i="40"/>
  <c r="Q149" i="40"/>
  <c r="M149" i="40"/>
  <c r="I149" i="40"/>
  <c r="E149" i="40"/>
  <c r="U148" i="40"/>
  <c r="Q148" i="40"/>
  <c r="M148" i="40"/>
  <c r="I148" i="40"/>
  <c r="E148" i="40"/>
  <c r="U147" i="40"/>
  <c r="Q147" i="40"/>
  <c r="M147" i="40"/>
  <c r="I147" i="40"/>
  <c r="E147" i="40"/>
  <c r="U146" i="40"/>
  <c r="Q146" i="40"/>
  <c r="M146" i="40"/>
  <c r="I146" i="40"/>
  <c r="E146" i="40"/>
  <c r="U145" i="40"/>
  <c r="Q145" i="40"/>
  <c r="M145" i="40"/>
  <c r="I145" i="40"/>
  <c r="E145" i="40"/>
  <c r="U144" i="40"/>
  <c r="Q144" i="40"/>
  <c r="M144" i="40"/>
  <c r="I144" i="40"/>
  <c r="E144" i="40"/>
  <c r="U143" i="40"/>
  <c r="Q143" i="40"/>
  <c r="M143" i="40"/>
  <c r="I143" i="40"/>
  <c r="E143" i="40"/>
  <c r="U142" i="40"/>
  <c r="Q142" i="40"/>
  <c r="M142" i="40"/>
  <c r="I142" i="40"/>
  <c r="E142" i="40"/>
  <c r="U141" i="40"/>
  <c r="Q141" i="40"/>
  <c r="M141" i="40"/>
  <c r="I141" i="40"/>
  <c r="E141" i="40"/>
  <c r="U137" i="40"/>
  <c r="Q137" i="40"/>
  <c r="M137" i="40"/>
  <c r="I137" i="40"/>
  <c r="E137" i="40"/>
  <c r="U136" i="40"/>
  <c r="Q136" i="40"/>
  <c r="M136" i="40"/>
  <c r="I136" i="40"/>
  <c r="E136" i="40"/>
  <c r="U135" i="40"/>
  <c r="Q135" i="40"/>
  <c r="M135" i="40"/>
  <c r="I135" i="40"/>
  <c r="E135" i="40"/>
  <c r="U134" i="40"/>
  <c r="Q134" i="40"/>
  <c r="M134" i="40"/>
  <c r="I134" i="40"/>
  <c r="E134" i="40"/>
  <c r="U133" i="40"/>
  <c r="Q133" i="40"/>
  <c r="M133" i="40"/>
  <c r="I133" i="40"/>
  <c r="E133" i="40"/>
  <c r="U132" i="40"/>
  <c r="Q132" i="40"/>
  <c r="M132" i="40"/>
  <c r="I132" i="40"/>
  <c r="E132" i="40"/>
  <c r="U131" i="40"/>
  <c r="Q131" i="40"/>
  <c r="M131" i="40"/>
  <c r="I131" i="40"/>
  <c r="E131" i="40"/>
  <c r="U130" i="40"/>
  <c r="Q130" i="40"/>
  <c r="M130" i="40"/>
  <c r="I130" i="40"/>
  <c r="E130" i="40"/>
  <c r="U129" i="40"/>
  <c r="Q129" i="40"/>
  <c r="M129" i="40"/>
  <c r="I129" i="40"/>
  <c r="E129" i="40"/>
  <c r="U128" i="40"/>
  <c r="Q128" i="40"/>
  <c r="M128" i="40"/>
  <c r="I128" i="40"/>
  <c r="E128" i="40"/>
  <c r="U124" i="40"/>
  <c r="Q124" i="40"/>
  <c r="M124" i="40"/>
  <c r="I124" i="40"/>
  <c r="E124" i="40"/>
  <c r="U123" i="40"/>
  <c r="Q123" i="40"/>
  <c r="M123" i="40"/>
  <c r="I123" i="40"/>
  <c r="E123" i="40"/>
  <c r="U122" i="40"/>
  <c r="Q122" i="40"/>
  <c r="M122" i="40"/>
  <c r="I122" i="40"/>
  <c r="E122" i="40"/>
  <c r="U121" i="40"/>
  <c r="Q121" i="40"/>
  <c r="M121" i="40"/>
  <c r="I121" i="40"/>
  <c r="E121" i="40"/>
  <c r="U120" i="40"/>
  <c r="Q120" i="40"/>
  <c r="M120" i="40"/>
  <c r="I120" i="40"/>
  <c r="E120" i="40"/>
  <c r="U119" i="40"/>
  <c r="Q119" i="40"/>
  <c r="M119" i="40"/>
  <c r="I119" i="40"/>
  <c r="E119" i="40"/>
  <c r="U118" i="40"/>
  <c r="Q118" i="40"/>
  <c r="M118" i="40"/>
  <c r="I118" i="40"/>
  <c r="E118" i="40"/>
  <c r="U117" i="40"/>
  <c r="Q117" i="40"/>
  <c r="M117" i="40"/>
  <c r="I117" i="40"/>
  <c r="E117" i="40"/>
  <c r="U116" i="40"/>
  <c r="Q116" i="40"/>
  <c r="M116" i="40"/>
  <c r="I116" i="40"/>
  <c r="E116" i="40"/>
  <c r="U115" i="40"/>
  <c r="Q115" i="40"/>
  <c r="M115" i="40"/>
  <c r="I115" i="40"/>
  <c r="E115" i="40"/>
  <c r="U111" i="40"/>
  <c r="Q111" i="40"/>
  <c r="M111" i="40"/>
  <c r="I111" i="40"/>
  <c r="E111" i="40"/>
  <c r="U110" i="40"/>
  <c r="Q110" i="40"/>
  <c r="M110" i="40"/>
  <c r="I110" i="40"/>
  <c r="E110" i="40"/>
  <c r="U109" i="40"/>
  <c r="Q109" i="40"/>
  <c r="M109" i="40"/>
  <c r="I109" i="40"/>
  <c r="E109" i="40"/>
  <c r="U108" i="40"/>
  <c r="Q108" i="40"/>
  <c r="M108" i="40"/>
  <c r="I108" i="40"/>
  <c r="E108" i="40"/>
  <c r="U107" i="40"/>
  <c r="Q107" i="40"/>
  <c r="M107" i="40"/>
  <c r="I107" i="40"/>
  <c r="E107" i="40"/>
  <c r="U106" i="40"/>
  <c r="Q106" i="40"/>
  <c r="M106" i="40"/>
  <c r="I106" i="40"/>
  <c r="E106" i="40"/>
  <c r="U105" i="40"/>
  <c r="Q105" i="40"/>
  <c r="M105" i="40"/>
  <c r="I105" i="40"/>
  <c r="E105" i="40"/>
  <c r="U104" i="40"/>
  <c r="Q104" i="40"/>
  <c r="M104" i="40"/>
  <c r="I104" i="40"/>
  <c r="E104" i="40"/>
  <c r="U103" i="40"/>
  <c r="Q103" i="40"/>
  <c r="M103" i="40"/>
  <c r="I103" i="40"/>
  <c r="E103" i="40"/>
  <c r="U102" i="40"/>
  <c r="Q102" i="40"/>
  <c r="M102" i="40"/>
  <c r="I102" i="40"/>
  <c r="E102" i="40"/>
  <c r="U98" i="40"/>
  <c r="Q98" i="40"/>
  <c r="M98" i="40"/>
  <c r="I98" i="40"/>
  <c r="E98" i="40"/>
  <c r="U97" i="40"/>
  <c r="Q97" i="40"/>
  <c r="M97" i="40"/>
  <c r="I97" i="40"/>
  <c r="E97" i="40"/>
  <c r="U96" i="40"/>
  <c r="Q96" i="40"/>
  <c r="M96" i="40"/>
  <c r="I96" i="40"/>
  <c r="E96" i="40"/>
  <c r="U95" i="40"/>
  <c r="Q95" i="40"/>
  <c r="M95" i="40"/>
  <c r="I95" i="40"/>
  <c r="E95" i="40"/>
  <c r="U94" i="40"/>
  <c r="Q94" i="40"/>
  <c r="M94" i="40"/>
  <c r="I94" i="40"/>
  <c r="E94" i="40"/>
  <c r="U93" i="40"/>
  <c r="Q93" i="40"/>
  <c r="M93" i="40"/>
  <c r="I93" i="40"/>
  <c r="E93" i="40"/>
  <c r="U92" i="40"/>
  <c r="Q92" i="40"/>
  <c r="M92" i="40"/>
  <c r="I92" i="40"/>
  <c r="E92" i="40"/>
  <c r="U91" i="40"/>
  <c r="Q91" i="40"/>
  <c r="M91" i="40"/>
  <c r="I91" i="40"/>
  <c r="E91" i="40"/>
  <c r="U90" i="40"/>
  <c r="Q90" i="40"/>
  <c r="M90" i="40"/>
  <c r="I90" i="40"/>
  <c r="E90" i="40"/>
  <c r="U89" i="40"/>
  <c r="Q89" i="40"/>
  <c r="M89" i="40"/>
  <c r="I89" i="40"/>
  <c r="E89" i="40"/>
  <c r="U85" i="40"/>
  <c r="Q85" i="40"/>
  <c r="M85" i="40"/>
  <c r="I85" i="40"/>
  <c r="E85" i="40"/>
  <c r="U84" i="40"/>
  <c r="Q84" i="40"/>
  <c r="M84" i="40"/>
  <c r="I84" i="40"/>
  <c r="E84" i="40"/>
  <c r="U83" i="40"/>
  <c r="Q83" i="40"/>
  <c r="M83" i="40"/>
  <c r="I83" i="40"/>
  <c r="E83" i="40"/>
  <c r="U82" i="40"/>
  <c r="Q82" i="40"/>
  <c r="M82" i="40"/>
  <c r="I82" i="40"/>
  <c r="E82" i="40"/>
  <c r="U81" i="40"/>
  <c r="Q81" i="40"/>
  <c r="M81" i="40"/>
  <c r="I81" i="40"/>
  <c r="E81" i="40"/>
  <c r="U80" i="40"/>
  <c r="Q80" i="40"/>
  <c r="M80" i="40"/>
  <c r="I80" i="40"/>
  <c r="E80" i="40"/>
  <c r="U79" i="40"/>
  <c r="Q79" i="40"/>
  <c r="M79" i="40"/>
  <c r="I79" i="40"/>
  <c r="E79" i="40"/>
  <c r="U78" i="40"/>
  <c r="Q78" i="40"/>
  <c r="M78" i="40"/>
  <c r="I78" i="40"/>
  <c r="E78" i="40"/>
  <c r="U77" i="40"/>
  <c r="Q77" i="40"/>
  <c r="M77" i="40"/>
  <c r="I77" i="40"/>
  <c r="E77" i="40"/>
  <c r="U76" i="40"/>
  <c r="Q76" i="40"/>
  <c r="M76" i="40"/>
  <c r="I76" i="40"/>
  <c r="E76" i="40"/>
  <c r="U72" i="40"/>
  <c r="Q72" i="40"/>
  <c r="M72" i="40"/>
  <c r="I72" i="40"/>
  <c r="E72" i="40"/>
  <c r="U71" i="40"/>
  <c r="Q71" i="40"/>
  <c r="M71" i="40"/>
  <c r="I71" i="40"/>
  <c r="E71" i="40"/>
  <c r="U70" i="40"/>
  <c r="Q70" i="40"/>
  <c r="M70" i="40"/>
  <c r="I70" i="40"/>
  <c r="E70" i="40"/>
  <c r="U69" i="40"/>
  <c r="Q69" i="40"/>
  <c r="M69" i="40"/>
  <c r="I69" i="40"/>
  <c r="E69" i="40"/>
  <c r="U68" i="40"/>
  <c r="Q68" i="40"/>
  <c r="M68" i="40"/>
  <c r="I68" i="40"/>
  <c r="E68" i="40"/>
  <c r="U67" i="40"/>
  <c r="Q67" i="40"/>
  <c r="M67" i="40"/>
  <c r="I67" i="40"/>
  <c r="E67" i="40"/>
  <c r="U66" i="40"/>
  <c r="Q66" i="40"/>
  <c r="M66" i="40"/>
  <c r="I66" i="40"/>
  <c r="E66" i="40"/>
  <c r="U65" i="40"/>
  <c r="Q65" i="40"/>
  <c r="M65" i="40"/>
  <c r="I65" i="40"/>
  <c r="E65" i="40"/>
  <c r="U64" i="40"/>
  <c r="Q64" i="40"/>
  <c r="M64" i="40"/>
  <c r="I64" i="40"/>
  <c r="E64" i="40"/>
  <c r="U63" i="40"/>
  <c r="Q63" i="40"/>
  <c r="M63" i="40"/>
  <c r="I63" i="40"/>
  <c r="E63" i="40"/>
  <c r="U59" i="40"/>
  <c r="Q59" i="40"/>
  <c r="M59" i="40"/>
  <c r="I59" i="40"/>
  <c r="E59" i="40"/>
  <c r="U58" i="40"/>
  <c r="Q58" i="40"/>
  <c r="M58" i="40"/>
  <c r="I58" i="40"/>
  <c r="E58" i="40"/>
  <c r="U57" i="40"/>
  <c r="Q57" i="40"/>
  <c r="M57" i="40"/>
  <c r="I57" i="40"/>
  <c r="E57" i="40"/>
  <c r="U56" i="40"/>
  <c r="Q56" i="40"/>
  <c r="M56" i="40"/>
  <c r="I56" i="40"/>
  <c r="E56" i="40"/>
  <c r="U55" i="40"/>
  <c r="Q55" i="40"/>
  <c r="M55" i="40"/>
  <c r="I55" i="40"/>
  <c r="E55" i="40"/>
  <c r="U54" i="40"/>
  <c r="Q54" i="40"/>
  <c r="M54" i="40"/>
  <c r="I54" i="40"/>
  <c r="E54" i="40"/>
  <c r="U53" i="40"/>
  <c r="Q53" i="40"/>
  <c r="M53" i="40"/>
  <c r="I53" i="40"/>
  <c r="E53" i="40"/>
  <c r="U52" i="40"/>
  <c r="Q52" i="40"/>
  <c r="M52" i="40"/>
  <c r="I52" i="40"/>
  <c r="E52" i="40"/>
  <c r="U51" i="40"/>
  <c r="Q51" i="40"/>
  <c r="M51" i="40"/>
  <c r="I51" i="40"/>
  <c r="E51" i="40"/>
  <c r="U50" i="40"/>
  <c r="Q50" i="40"/>
  <c r="M50" i="40"/>
  <c r="I50" i="40"/>
  <c r="E50" i="40"/>
  <c r="U46" i="40"/>
  <c r="Q46" i="40"/>
  <c r="M46" i="40"/>
  <c r="I46" i="40"/>
  <c r="E46" i="40"/>
  <c r="U45" i="40"/>
  <c r="Q45" i="40"/>
  <c r="M45" i="40"/>
  <c r="I45" i="40"/>
  <c r="E45" i="40"/>
  <c r="U44" i="40"/>
  <c r="Q44" i="40"/>
  <c r="M44" i="40"/>
  <c r="I44" i="40"/>
  <c r="E44" i="40"/>
  <c r="U43" i="40"/>
  <c r="Q43" i="40"/>
  <c r="M43" i="40"/>
  <c r="I43" i="40"/>
  <c r="E43" i="40"/>
  <c r="U42" i="40"/>
  <c r="Q42" i="40"/>
  <c r="M42" i="40"/>
  <c r="I42" i="40"/>
  <c r="E42" i="40"/>
  <c r="U41" i="40"/>
  <c r="Q41" i="40"/>
  <c r="M41" i="40"/>
  <c r="I41" i="40"/>
  <c r="E41" i="40"/>
  <c r="U40" i="40"/>
  <c r="Q40" i="40"/>
  <c r="M40" i="40"/>
  <c r="I40" i="40"/>
  <c r="E40" i="40"/>
  <c r="U39" i="40"/>
  <c r="Q39" i="40"/>
  <c r="M39" i="40"/>
  <c r="I39" i="40"/>
  <c r="E39" i="40"/>
  <c r="U38" i="40"/>
  <c r="Q38" i="40"/>
  <c r="M38" i="40"/>
  <c r="I38" i="40"/>
  <c r="E38" i="40"/>
  <c r="U37" i="40"/>
  <c r="Q37" i="40"/>
  <c r="M37" i="40"/>
  <c r="I37" i="40"/>
  <c r="E37" i="40"/>
  <c r="U33" i="40"/>
  <c r="Q33" i="40"/>
  <c r="M33" i="40"/>
  <c r="I33" i="40"/>
  <c r="E33" i="40"/>
  <c r="U32" i="40"/>
  <c r="Q32" i="40"/>
  <c r="M32" i="40"/>
  <c r="I32" i="40"/>
  <c r="E32" i="40"/>
  <c r="U31" i="40"/>
  <c r="Q31" i="40"/>
  <c r="M31" i="40"/>
  <c r="I31" i="40"/>
  <c r="E31" i="40"/>
  <c r="U30" i="40"/>
  <c r="Q30" i="40"/>
  <c r="M30" i="40"/>
  <c r="I30" i="40"/>
  <c r="E30" i="40"/>
  <c r="U29" i="40"/>
  <c r="Q29" i="40"/>
  <c r="M29" i="40"/>
  <c r="I29" i="40"/>
  <c r="E29" i="40"/>
  <c r="U28" i="40"/>
  <c r="Q28" i="40"/>
  <c r="M28" i="40"/>
  <c r="I28" i="40"/>
  <c r="E28" i="40"/>
  <c r="U27" i="40"/>
  <c r="Q27" i="40"/>
  <c r="M27" i="40"/>
  <c r="I27" i="40"/>
  <c r="E27" i="40"/>
  <c r="U26" i="40"/>
  <c r="Q26" i="40"/>
  <c r="M26" i="40"/>
  <c r="I26" i="40"/>
  <c r="E26" i="40"/>
  <c r="U25" i="40"/>
  <c r="Q25" i="40"/>
  <c r="M25" i="40"/>
  <c r="I25" i="40"/>
  <c r="E25" i="40"/>
  <c r="U24" i="40"/>
  <c r="Q24" i="40"/>
  <c r="M24" i="40"/>
  <c r="I24" i="40"/>
  <c r="E24" i="40"/>
  <c r="U20" i="40"/>
  <c r="Q20" i="40"/>
  <c r="M20" i="40"/>
  <c r="I20" i="40"/>
  <c r="E20" i="40"/>
  <c r="U19" i="40"/>
  <c r="Q19" i="40"/>
  <c r="M19" i="40"/>
  <c r="I19" i="40"/>
  <c r="E19" i="40"/>
  <c r="U18" i="40"/>
  <c r="Q18" i="40"/>
  <c r="M18" i="40"/>
  <c r="I18" i="40"/>
  <c r="E18" i="40"/>
  <c r="U17" i="40"/>
  <c r="Q17" i="40"/>
  <c r="M17" i="40"/>
  <c r="I17" i="40"/>
  <c r="E17" i="40"/>
  <c r="U16" i="40"/>
  <c r="Q16" i="40"/>
  <c r="M16" i="40"/>
  <c r="I16" i="40"/>
  <c r="E16" i="40"/>
  <c r="U15" i="40"/>
  <c r="Q15" i="40"/>
  <c r="M15" i="40"/>
  <c r="I15" i="40"/>
  <c r="E15" i="40"/>
  <c r="U14" i="40"/>
  <c r="Q14" i="40"/>
  <c r="M14" i="40"/>
  <c r="I14" i="40"/>
  <c r="E14" i="40"/>
  <c r="U13" i="40"/>
  <c r="Q13" i="40"/>
  <c r="M13" i="40"/>
  <c r="I13" i="40"/>
  <c r="E13" i="40"/>
  <c r="U12" i="40"/>
  <c r="Q12" i="40"/>
  <c r="M12" i="40"/>
  <c r="I12" i="40"/>
  <c r="E12" i="40"/>
  <c r="U11" i="40"/>
  <c r="Q11" i="40"/>
  <c r="M11" i="40"/>
  <c r="I11" i="40"/>
  <c r="E11" i="40"/>
  <c r="U10" i="40"/>
  <c r="Q10" i="40"/>
  <c r="M10" i="40"/>
  <c r="I10" i="40"/>
  <c r="E10" i="40"/>
  <c r="U9" i="40"/>
  <c r="Q9" i="40"/>
  <c r="M9" i="40"/>
  <c r="I9" i="40"/>
  <c r="E9" i="40"/>
  <c r="U8" i="40"/>
  <c r="Q8" i="40"/>
  <c r="M8" i="40"/>
  <c r="I8" i="40"/>
  <c r="E8" i="40"/>
  <c r="U7" i="40"/>
  <c r="Q7" i="40"/>
  <c r="M7" i="40"/>
  <c r="I7" i="40"/>
  <c r="E7" i="40"/>
  <c r="U6" i="40"/>
  <c r="Q6" i="40"/>
  <c r="M6" i="40"/>
  <c r="I6" i="40"/>
  <c r="E6" i="40"/>
  <c r="C8" i="37" l="1"/>
  <c r="C7" i="37"/>
  <c r="G8" i="36"/>
  <c r="D42" i="33" l="1"/>
  <c r="D41" i="33"/>
  <c r="D40" i="33"/>
  <c r="D39" i="33"/>
  <c r="D60" i="33" s="1"/>
  <c r="D18" i="33"/>
  <c r="D12" i="33"/>
  <c r="D16" i="33"/>
  <c r="D15" i="33"/>
  <c r="D14" i="33"/>
  <c r="D13" i="33"/>
  <c r="D25" i="33" l="1"/>
  <c r="C19" i="32"/>
  <c r="C25" i="32" s="1"/>
  <c r="C12" i="32"/>
  <c r="C11" i="32"/>
  <c r="C10" i="32"/>
  <c r="C9" i="32"/>
  <c r="C21" i="31"/>
  <c r="C20" i="31"/>
  <c r="C17" i="31"/>
  <c r="C6" i="31"/>
  <c r="C12" i="31"/>
  <c r="C11" i="31"/>
  <c r="C10" i="31"/>
  <c r="C9" i="31"/>
  <c r="C8" i="31"/>
  <c r="C7" i="31"/>
  <c r="C17" i="32"/>
  <c r="C23" i="31" l="1"/>
  <c r="C21" i="32"/>
  <c r="J59" i="8" l="1"/>
  <c r="K59" i="8" s="1"/>
  <c r="G59" i="8"/>
  <c r="H59" i="8" s="1"/>
  <c r="J58" i="8"/>
  <c r="K58" i="8" s="1"/>
  <c r="G58" i="8"/>
  <c r="H58" i="8" s="1"/>
  <c r="J57" i="8"/>
  <c r="K57" i="8" s="1"/>
  <c r="G57" i="8"/>
  <c r="H57" i="8" s="1"/>
  <c r="J56" i="8"/>
  <c r="K56" i="8" s="1"/>
  <c r="G56" i="8"/>
  <c r="H56" i="8" s="1"/>
  <c r="J55" i="8"/>
  <c r="K55" i="8" s="1"/>
  <c r="G55" i="8"/>
  <c r="H55" i="8" s="1"/>
  <c r="J54" i="8"/>
  <c r="K54" i="8" s="1"/>
  <c r="G54" i="8"/>
  <c r="H54" i="8" s="1"/>
  <c r="J53" i="8"/>
  <c r="K53" i="8" s="1"/>
  <c r="G53" i="8"/>
  <c r="H53" i="8" s="1"/>
  <c r="J52" i="8"/>
  <c r="K52" i="8" s="1"/>
  <c r="G52" i="8"/>
  <c r="H52" i="8" s="1"/>
  <c r="J51" i="8"/>
  <c r="K51" i="8" s="1"/>
  <c r="G51" i="8"/>
  <c r="H51" i="8" s="1"/>
  <c r="J50" i="8"/>
  <c r="K50" i="8" s="1"/>
  <c r="G50" i="8"/>
  <c r="H50" i="8" s="1"/>
  <c r="J49" i="8"/>
  <c r="K49" i="8" s="1"/>
  <c r="G49" i="8"/>
  <c r="H49" i="8" s="1"/>
  <c r="J48" i="8"/>
  <c r="K48" i="8" s="1"/>
  <c r="G48" i="8"/>
  <c r="H48" i="8" s="1"/>
  <c r="J47" i="8"/>
  <c r="K47" i="8" s="1"/>
  <c r="G47" i="8"/>
  <c r="H47" i="8" s="1"/>
  <c r="J46" i="8"/>
  <c r="K46" i="8" s="1"/>
  <c r="G46" i="8"/>
  <c r="H46" i="8" s="1"/>
  <c r="J45" i="8"/>
  <c r="K45" i="8" s="1"/>
  <c r="G45" i="8"/>
  <c r="H45" i="8" s="1"/>
  <c r="J44" i="8"/>
  <c r="K44" i="8" s="1"/>
  <c r="G44" i="8"/>
  <c r="H44" i="8" s="1"/>
  <c r="J43" i="8"/>
  <c r="K43" i="8" s="1"/>
  <c r="G43" i="8"/>
  <c r="H43" i="8" s="1"/>
  <c r="J42" i="8"/>
  <c r="K42" i="8" s="1"/>
  <c r="G42" i="8"/>
  <c r="H42" i="8" s="1"/>
  <c r="J41" i="8"/>
  <c r="K41" i="8" s="1"/>
  <c r="G41" i="8"/>
  <c r="H41" i="8" s="1"/>
  <c r="J40" i="8"/>
  <c r="K40" i="8" s="1"/>
  <c r="G40" i="8"/>
  <c r="H40" i="8" s="1"/>
  <c r="J39" i="8"/>
  <c r="K39" i="8" s="1"/>
  <c r="G39" i="8"/>
  <c r="H39" i="8" s="1"/>
  <c r="J38" i="8"/>
  <c r="K38" i="8" s="1"/>
  <c r="G38" i="8"/>
  <c r="H38" i="8" s="1"/>
  <c r="J37" i="8"/>
  <c r="K37" i="8" s="1"/>
  <c r="G37" i="8"/>
  <c r="H37" i="8" s="1"/>
  <c r="J36" i="8"/>
  <c r="K36" i="8" s="1"/>
  <c r="G36" i="8"/>
  <c r="H36" i="8" s="1"/>
  <c r="J35" i="8"/>
  <c r="K35" i="8" s="1"/>
  <c r="G35" i="8"/>
  <c r="H35" i="8" s="1"/>
  <c r="J34" i="8"/>
  <c r="K34" i="8" s="1"/>
  <c r="G34" i="8"/>
  <c r="H34" i="8" s="1"/>
  <c r="J33" i="8"/>
  <c r="K33" i="8" s="1"/>
  <c r="G33" i="8"/>
  <c r="H33" i="8" s="1"/>
  <c r="J32" i="8"/>
  <c r="K32" i="8" s="1"/>
  <c r="G32" i="8"/>
  <c r="H32" i="8" s="1"/>
  <c r="J31" i="8"/>
  <c r="K31" i="8" s="1"/>
  <c r="G31" i="8"/>
  <c r="H31" i="8" s="1"/>
  <c r="J30" i="8"/>
  <c r="K30" i="8" s="1"/>
  <c r="G30" i="8"/>
  <c r="H30" i="8" s="1"/>
  <c r="J29" i="8"/>
  <c r="K29" i="8" s="1"/>
  <c r="G29" i="8"/>
  <c r="H29" i="8" s="1"/>
  <c r="J28" i="8"/>
  <c r="K28" i="8" s="1"/>
  <c r="G28" i="8"/>
  <c r="H28" i="8" s="1"/>
  <c r="J27" i="8"/>
  <c r="K27" i="8" s="1"/>
  <c r="G27" i="8"/>
  <c r="H27" i="8" s="1"/>
  <c r="J26" i="8"/>
  <c r="K26" i="8" s="1"/>
  <c r="G26" i="8"/>
  <c r="H26" i="8" s="1"/>
  <c r="J25" i="8"/>
  <c r="K25" i="8" s="1"/>
  <c r="G25" i="8"/>
  <c r="H25" i="8" s="1"/>
  <c r="J24" i="8"/>
  <c r="K24" i="8" s="1"/>
  <c r="G24" i="8"/>
  <c r="H24" i="8" s="1"/>
  <c r="J23" i="8"/>
  <c r="K23" i="8" s="1"/>
  <c r="G23" i="8"/>
  <c r="H23" i="8" s="1"/>
  <c r="J22" i="8"/>
  <c r="K22" i="8" s="1"/>
  <c r="G22" i="8"/>
  <c r="H22" i="8" s="1"/>
  <c r="J21" i="8"/>
  <c r="K21" i="8" s="1"/>
  <c r="G21" i="8"/>
  <c r="H21" i="8" s="1"/>
  <c r="J20" i="8"/>
  <c r="K20" i="8" s="1"/>
  <c r="G20" i="8"/>
  <c r="H20" i="8" s="1"/>
  <c r="J19" i="8"/>
  <c r="K19" i="8" s="1"/>
  <c r="G19" i="8"/>
  <c r="H19" i="8" s="1"/>
  <c r="J18" i="8"/>
  <c r="K18" i="8" s="1"/>
  <c r="G18" i="8"/>
  <c r="H18" i="8" s="1"/>
  <c r="J17" i="8"/>
  <c r="K17" i="8" s="1"/>
  <c r="G17" i="8"/>
  <c r="H17" i="8" s="1"/>
  <c r="J16" i="8"/>
  <c r="K16" i="8" s="1"/>
  <c r="G16" i="8"/>
  <c r="H16" i="8" s="1"/>
  <c r="J15" i="8"/>
  <c r="K15" i="8" s="1"/>
  <c r="G15" i="8"/>
  <c r="H15" i="8" s="1"/>
  <c r="J14" i="8"/>
  <c r="K14" i="8" s="1"/>
  <c r="G14" i="8"/>
  <c r="H14" i="8" s="1"/>
  <c r="J13" i="8"/>
  <c r="K13" i="8" s="1"/>
  <c r="G13" i="8"/>
  <c r="H13" i="8" s="1"/>
  <c r="J12" i="8"/>
  <c r="K12" i="8" s="1"/>
  <c r="G12" i="8"/>
  <c r="H12" i="8" s="1"/>
  <c r="J11" i="8"/>
  <c r="K11" i="8" s="1"/>
  <c r="G11" i="8"/>
  <c r="H11" i="8" s="1"/>
  <c r="J10" i="8"/>
  <c r="K10" i="8" s="1"/>
  <c r="G10" i="8"/>
  <c r="H10" i="8" s="1"/>
  <c r="J9" i="8"/>
  <c r="K9" i="8" s="1"/>
  <c r="G9" i="8"/>
  <c r="H9" i="8" s="1"/>
  <c r="J8" i="8"/>
  <c r="K8" i="8" s="1"/>
  <c r="G8" i="8"/>
  <c r="H8" i="8" s="1"/>
  <c r="J7" i="8"/>
  <c r="K7" i="8" s="1"/>
  <c r="G7" i="8"/>
  <c r="H7" i="8" s="1"/>
  <c r="J6" i="8"/>
  <c r="K6" i="8" s="1"/>
  <c r="G6" i="8"/>
  <c r="H6" i="8" s="1"/>
  <c r="J5" i="8"/>
  <c r="K5" i="8" s="1"/>
  <c r="G5" i="8"/>
  <c r="H5" i="8" s="1"/>
  <c r="J4" i="8"/>
  <c r="K4" i="8" s="1"/>
  <c r="G4" i="8"/>
  <c r="H4" i="8" s="1"/>
  <c r="D17" i="2" l="1"/>
  <c r="K17" i="2" s="1"/>
  <c r="D14" i="2"/>
  <c r="I16" i="2"/>
  <c r="J16" i="2"/>
  <c r="G15" i="2"/>
  <c r="G16" i="2" s="1"/>
  <c r="I15" i="2"/>
  <c r="J15" i="2"/>
  <c r="F15" i="2"/>
  <c r="F16" i="2" s="1"/>
  <c r="G14" i="2"/>
  <c r="H14" i="2"/>
  <c r="H15" i="2" s="1"/>
  <c r="H16" i="2" s="1"/>
  <c r="I14" i="2"/>
  <c r="J14" i="2"/>
  <c r="K14" i="2" s="1"/>
  <c r="F14" i="2"/>
  <c r="G13" i="2"/>
  <c r="H13" i="2"/>
  <c r="I13" i="2"/>
  <c r="J13" i="2"/>
  <c r="F13" i="2"/>
  <c r="K13" i="2" s="1"/>
  <c r="I17" i="2"/>
  <c r="J17" i="2"/>
  <c r="H17" i="2"/>
  <c r="G17" i="2"/>
  <c r="F17" i="2"/>
  <c r="D20" i="27"/>
  <c r="F17" i="27"/>
  <c r="E17" i="27"/>
  <c r="F7" i="27"/>
  <c r="E7" i="27"/>
  <c r="D7" i="27" s="1"/>
  <c r="D6" i="27"/>
  <c r="K16" i="2" l="1"/>
  <c r="K15" i="2"/>
  <c r="I54" i="22"/>
  <c r="G54" i="22"/>
  <c r="I53" i="22"/>
  <c r="G53" i="22"/>
  <c r="I52" i="22"/>
  <c r="G52" i="22"/>
  <c r="H51" i="22"/>
  <c r="F51" i="22"/>
  <c r="H50" i="22"/>
  <c r="F50" i="22"/>
  <c r="H49" i="22"/>
  <c r="F49" i="22"/>
  <c r="H48" i="22"/>
  <c r="F48" i="22"/>
  <c r="H47" i="22"/>
  <c r="F47" i="22"/>
  <c r="I46" i="22"/>
  <c r="G46" i="22"/>
  <c r="F45" i="22"/>
  <c r="H30" i="22"/>
  <c r="F30" i="22"/>
  <c r="D29" i="22"/>
  <c r="H23" i="22"/>
  <c r="F23" i="22"/>
  <c r="F22" i="22"/>
  <c r="H18" i="22"/>
  <c r="F18" i="22"/>
  <c r="H17" i="22"/>
  <c r="F17" i="22"/>
  <c r="H16" i="22"/>
  <c r="F16" i="22"/>
  <c r="H13" i="22"/>
  <c r="F13" i="22"/>
  <c r="H12" i="22"/>
  <c r="F12" i="22"/>
  <c r="H11" i="22"/>
  <c r="F11" i="22"/>
  <c r="H10" i="22"/>
  <c r="F10" i="22"/>
  <c r="H6" i="22"/>
  <c r="F6" i="22"/>
  <c r="H5" i="22"/>
  <c r="F5" i="22"/>
  <c r="D30" i="22" l="1"/>
</calcChain>
</file>

<file path=xl/sharedStrings.xml><?xml version="1.0" encoding="utf-8"?>
<sst xmlns="http://schemas.openxmlformats.org/spreadsheetml/2006/main" count="2312" uniqueCount="936">
  <si>
    <t>Distribution</t>
  </si>
  <si>
    <t>Chemistry</t>
  </si>
  <si>
    <t>Cu</t>
  </si>
  <si>
    <t>Ni</t>
  </si>
  <si>
    <t>Nd</t>
  </si>
  <si>
    <t>Scenario</t>
  </si>
  <si>
    <t>No CDSR</t>
  </si>
  <si>
    <t>With CDSR</t>
  </si>
  <si>
    <t>Sulfidation Reaction</t>
  </si>
  <si>
    <t>Cu2O + 3/4S2 = Cu2S + 1/2SO2</t>
  </si>
  <si>
    <t>Cu2O + 1/2S2 + C + 1/2O2= Cu2S + CO2</t>
  </si>
  <si>
    <t>NiO + 3/4S2 = NiS + 1/2SO2</t>
  </si>
  <si>
    <t>NiO + 1/2S2 + C + 1/2O2= NiS + CO2</t>
  </si>
  <si>
    <t>Nd2O3 + 9/4S2 = Nd2S3 + 3/2SO2</t>
  </si>
  <si>
    <t>Nd2O3 + 3/2S2 + 3C + 3/2O2= Nd2S3 + 3CO2</t>
  </si>
  <si>
    <t xml:space="preserve">Calcination Reaction </t>
  </si>
  <si>
    <t>Cu2S + 3/2O2 = Cu2O + SO2</t>
  </si>
  <si>
    <t>NiS + 3/2O2 = Ni2O + SO2</t>
  </si>
  <si>
    <t>Nd2S3 + 9/2O2 = Nd2O3 + 3SO2</t>
  </si>
  <si>
    <t>Parameter</t>
  </si>
  <si>
    <t>Base Case</t>
  </si>
  <si>
    <t>Low</t>
  </si>
  <si>
    <t>High</t>
  </si>
  <si>
    <t>Reaction Temperature</t>
  </si>
  <si>
    <t>1000 °C</t>
  </si>
  <si>
    <t>800 °C</t>
  </si>
  <si>
    <t>1400 °C</t>
  </si>
  <si>
    <t>1200 °C</t>
  </si>
  <si>
    <t>Continuous, Triangular</t>
  </si>
  <si>
    <t>Units / Notes</t>
  </si>
  <si>
    <t>Source</t>
  </si>
  <si>
    <t>Operation Cost</t>
  </si>
  <si>
    <t>Water</t>
  </si>
  <si>
    <t>USD / tonne</t>
  </si>
  <si>
    <t>Electricity</t>
  </si>
  <si>
    <t>USD / kWh</t>
  </si>
  <si>
    <t>Natural Gas</t>
  </si>
  <si>
    <t>USD / 1000 cubic feet</t>
  </si>
  <si>
    <t>Slaked Lime</t>
  </si>
  <si>
    <t>Soda Ash</t>
  </si>
  <si>
    <t>Xanthate Collector</t>
  </si>
  <si>
    <t>MIBC Frother</t>
  </si>
  <si>
    <t>Flotation Activator</t>
  </si>
  <si>
    <t>Flotation Depressant</t>
  </si>
  <si>
    <t>Sulfur</t>
  </si>
  <si>
    <t>Thermal Coal</t>
  </si>
  <si>
    <t>Sulfuric Acid</t>
  </si>
  <si>
    <t>Solid Waste Disposal</t>
  </si>
  <si>
    <t>Liquid Waste Disposal</t>
  </si>
  <si>
    <t>Maintenance</t>
  </si>
  <si>
    <t>Fraction of TM cost</t>
  </si>
  <si>
    <t>Operator Shifts (no pretreatment)</t>
  </si>
  <si>
    <t>Shifts required to staff all major process blocks</t>
  </si>
  <si>
    <t>Operator Shifts (with pretreatment)</t>
  </si>
  <si>
    <t>Operators per shift</t>
  </si>
  <si>
    <t>Operators required to fill a shift for 24-7 operation</t>
  </si>
  <si>
    <t>Operator Salary</t>
  </si>
  <si>
    <t>USD / year</t>
  </si>
  <si>
    <t>Management Multiplier</t>
  </si>
  <si>
    <t>Scaling Factor for Management from Labor Cost</t>
  </si>
  <si>
    <t>Labor Overhead</t>
  </si>
  <si>
    <t>Scaling Factor for Overhead from Managmement + Labor Cost</t>
  </si>
  <si>
    <t>Operating Time</t>
  </si>
  <si>
    <t>Hours / year</t>
  </si>
  <si>
    <t>Capital Cost</t>
  </si>
  <si>
    <t>Location Factor</t>
  </si>
  <si>
    <t>Scaling Location Factor for Construction / Equipment Cost</t>
  </si>
  <si>
    <t>Freight Insurance Multiplier</t>
  </si>
  <si>
    <t>Scaling Factor for Freight and Insurance</t>
  </si>
  <si>
    <t>Bare Module Multiplier</t>
  </si>
  <si>
    <t>Scaling Factor for Field Office and Expenses</t>
  </si>
  <si>
    <t>Total Module Multiplier</t>
  </si>
  <si>
    <t>Scaling Factor for Contractor and Contingency Costs</t>
  </si>
  <si>
    <t>Error Multiplier</t>
  </si>
  <si>
    <t>Error in FOB and Installation Factor (Class 4 Estimate)</t>
  </si>
  <si>
    <t>Operating Conditions</t>
  </si>
  <si>
    <t>Thermal Recuperator Efficiency</t>
  </si>
  <si>
    <t>Sulfidation / Calcination Conversion</t>
  </si>
  <si>
    <t>Fraction of Feed Reacted</t>
  </si>
  <si>
    <t>Sulfidation Reactor Sulfur Feed Rate</t>
  </si>
  <si>
    <t xml:space="preserve">tonnes S / tonne solid feed </t>
  </si>
  <si>
    <t>Liberation Energy Consumption</t>
  </si>
  <si>
    <t>kWh / tonne solid feed</t>
  </si>
  <si>
    <t>Flotation Steps in Circuit</t>
  </si>
  <si>
    <t>Number of cells in circuit</t>
  </si>
  <si>
    <t>Flotation Cell Residence time</t>
  </si>
  <si>
    <t>Minutes / cell</t>
  </si>
  <si>
    <t>Solids Concentration in Flotation Cell</t>
  </si>
  <si>
    <t>Mass fraction of solids in water</t>
  </si>
  <si>
    <t>Air to Liquid Volume Ratio in Flotation Cell</t>
  </si>
  <si>
    <t>Sum of Air and Liquid Volume = Working Volume of Cell</t>
  </si>
  <si>
    <t>Water Consumption Rate in Flotation Cell</t>
  </si>
  <si>
    <t>kg water lost / kg through cell</t>
  </si>
  <si>
    <t>Collector Consumption Rate in Flotation Cell</t>
  </si>
  <si>
    <t>tonne / tonne flotation feed / cell</t>
  </si>
  <si>
    <t>Frother Consumption Rate in Flotation Cell</t>
  </si>
  <si>
    <t>Activator Consumption Rate in Flotation Cell</t>
  </si>
  <si>
    <t>Depressant Consumption Rate in Flotation Cell</t>
  </si>
  <si>
    <t>Froth Flotation Energy Demand</t>
  </si>
  <si>
    <t>kWh / tonne flotation feed / cell</t>
  </si>
  <si>
    <t>N2 Carreir Gas Flowrate</t>
  </si>
  <si>
    <t>Tonne N2 / tonne solid feed</t>
  </si>
  <si>
    <t>Air Separation Energy Demand</t>
  </si>
  <si>
    <t>kWh / tonne N2</t>
  </si>
  <si>
    <t>Water Demand</t>
  </si>
  <si>
    <t>tonne H2O / tonne N2</t>
  </si>
  <si>
    <t>Cyclone Separator</t>
  </si>
  <si>
    <t>kWh / Nm^3 gas</t>
  </si>
  <si>
    <t>Acid Plant + Electrostatic Precipitator Water Usage Rate</t>
  </si>
  <si>
    <t>na</t>
  </si>
  <si>
    <t>tonne H2O / tonne H2SO4</t>
  </si>
  <si>
    <t>Calculated</t>
  </si>
  <si>
    <t>Acid Plant + Electrostatic Precipitator Energy Demand</t>
  </si>
  <si>
    <t>kWh / kg H2SO4 (Net Producer of Energy)</t>
  </si>
  <si>
    <t>Electrostatic Precipitator Energy Demand</t>
  </si>
  <si>
    <t>Scrubber Water Consumption Rate</t>
  </si>
  <si>
    <t>Scrubber Energy Demand</t>
  </si>
  <si>
    <t>Carrier Gas Purge</t>
  </si>
  <si>
    <t>Fraction of Carrier Gas not recycled</t>
  </si>
  <si>
    <t>Process Module</t>
  </si>
  <si>
    <t>Scaling Exponent</t>
  </si>
  <si>
    <t>Scaling Metric</t>
  </si>
  <si>
    <t>Air Separation Unit</t>
  </si>
  <si>
    <t>tonne N2 / year</t>
  </si>
  <si>
    <t>m^3 gas / s</t>
  </si>
  <si>
    <t>Scrubber</t>
  </si>
  <si>
    <t>Electrostatic Solids Precipitator</t>
  </si>
  <si>
    <t>tonne solids / hour</t>
  </si>
  <si>
    <t>m^3 / cell</t>
  </si>
  <si>
    <t>kg solids /s</t>
  </si>
  <si>
    <t>Rotary Kiln Reactor</t>
  </si>
  <si>
    <t>kg condensed feed / s</t>
  </si>
  <si>
    <t>Fluidized Bed Reactor</t>
  </si>
  <si>
    <t>Acid Plant</t>
  </si>
  <si>
    <t>tonne H2SO4 / year</t>
  </si>
  <si>
    <t>FOB Scaling Factor</t>
  </si>
  <si>
    <t>L+M Scaling Factor</t>
  </si>
  <si>
    <t>PM Scaling Factor</t>
  </si>
  <si>
    <t>BM Scaling Factor</t>
  </si>
  <si>
    <t>TM Scaling Factor</t>
  </si>
  <si>
    <t>Total Pre-exponential</t>
  </si>
  <si>
    <t>Reference CEPCI</t>
  </si>
  <si>
    <t>2020 CEPCI</t>
  </si>
  <si>
    <t>Milling and Grinding Circuit</t>
  </si>
  <si>
    <t>Froth Flotation Cell</t>
  </si>
  <si>
    <t>ZrO2</t>
  </si>
  <si>
    <t>SiO2</t>
  </si>
  <si>
    <t>S2</t>
  </si>
  <si>
    <t>ZrS2</t>
  </si>
  <si>
    <t>SO2</t>
  </si>
  <si>
    <t>ZrSiO4</t>
  </si>
  <si>
    <t>O2</t>
  </si>
  <si>
    <t>kg</t>
  </si>
  <si>
    <t>N2</t>
  </si>
  <si>
    <t>kWh</t>
  </si>
  <si>
    <t>Value</t>
  </si>
  <si>
    <t>Unit</t>
  </si>
  <si>
    <t>Symbol</t>
  </si>
  <si>
    <t>Oxide density</t>
  </si>
  <si>
    <t>supplier</t>
  </si>
  <si>
    <t>Pellet porosity (final)</t>
  </si>
  <si>
    <t>ε</t>
  </si>
  <si>
    <t>0.821, T = 1250°C</t>
  </si>
  <si>
    <t>calculated</t>
  </si>
  <si>
    <t>0.745, T = 1300°C</t>
  </si>
  <si>
    <t>0.7, T = 1400°C</t>
  </si>
  <si>
    <t>0.7, T = 1475°C</t>
  </si>
  <si>
    <t>Specific surface area</t>
  </si>
  <si>
    <t>S</t>
  </si>
  <si>
    <t>measured</t>
  </si>
  <si>
    <t>Tortuosity</t>
  </si>
  <si>
    <t>τ</t>
  </si>
  <si>
    <t>Molar mass of diffusing gas species, S2</t>
  </si>
  <si>
    <t>64.13 g</t>
  </si>
  <si>
    <t>Molar mass of carrier gas species, Ar</t>
  </si>
  <si>
    <t>39.95 g</t>
  </si>
  <si>
    <t>Total Pressure</t>
  </si>
  <si>
    <t>P</t>
  </si>
  <si>
    <t>1 atm</t>
  </si>
  <si>
    <t>Gas collision diameter</t>
  </si>
  <si>
    <t>3.71 Angstroms</t>
  </si>
  <si>
    <t>Dimensionless energy parameter</t>
  </si>
  <si>
    <t>Ω</t>
  </si>
  <si>
    <t>0.7541, T = 1250°C</t>
  </si>
  <si>
    <t>0.7498, T = 1300°C</t>
  </si>
  <si>
    <t>0.7419, T = 1400°C</t>
  </si>
  <si>
    <t>0.7363, T = 1475°C</t>
  </si>
  <si>
    <t>Chapman-Enskog pre-factor</t>
  </si>
  <si>
    <t>Effective Knudsen Diffusivity of Sulfur in pellet</t>
  </si>
  <si>
    <t xml:space="preserve">Effective molecular diffusivity of S2 in pellet </t>
  </si>
  <si>
    <t>Diffusivity of S2 in Ar</t>
  </si>
  <si>
    <t>Viscosity pre-factor</t>
  </si>
  <si>
    <t>Radius of a grain within the pellet</t>
  </si>
  <si>
    <t>Pellet volume</t>
  </si>
  <si>
    <t>Grain volume</t>
  </si>
  <si>
    <t>Pellet surface area</t>
  </si>
  <si>
    <t>Grain surface area</t>
  </si>
  <si>
    <t>Pellet geometric factor</t>
  </si>
  <si>
    <t>Grain geometric factor</t>
  </si>
  <si>
    <r>
      <t>ρ</t>
    </r>
    <r>
      <rPr>
        <vertAlign val="subscript"/>
        <sz val="11"/>
        <color rgb="FF000000"/>
        <rFont val="Calibri"/>
        <family val="2"/>
        <scheme val="minor"/>
      </rPr>
      <t>La2O3</t>
    </r>
  </si>
  <si>
    <r>
      <t>6.51 g/cm</t>
    </r>
    <r>
      <rPr>
        <vertAlign val="superscript"/>
        <sz val="11"/>
        <color rgb="FF000000"/>
        <rFont val="Calibri"/>
        <family val="2"/>
        <scheme val="minor"/>
      </rPr>
      <t>3</t>
    </r>
  </si>
  <si>
    <r>
      <t>107.8x10</t>
    </r>
    <r>
      <rPr>
        <vertAlign val="super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 xml:space="preserve"> cm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/g</t>
    </r>
  </si>
  <si>
    <r>
      <t>m</t>
    </r>
    <r>
      <rPr>
        <vertAlign val="subscript"/>
        <sz val="11"/>
        <color rgb="FF000000"/>
        <rFont val="Calibri"/>
        <family val="2"/>
        <scheme val="minor"/>
      </rPr>
      <t>A</t>
    </r>
  </si>
  <si>
    <r>
      <t>m</t>
    </r>
    <r>
      <rPr>
        <vertAlign val="subscript"/>
        <sz val="11"/>
        <color rgb="FF000000"/>
        <rFont val="Calibri"/>
        <family val="2"/>
        <scheme val="minor"/>
      </rPr>
      <t>B</t>
    </r>
  </si>
  <si>
    <r>
      <t>σ</t>
    </r>
    <r>
      <rPr>
        <vertAlign val="subscript"/>
        <sz val="11"/>
        <color rgb="FF000000"/>
        <rFont val="Calibri"/>
        <family val="2"/>
        <scheme val="minor"/>
      </rPr>
      <t>AB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</si>
  <si>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</si>
  <si>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1.86x10</t>
    </r>
    <r>
      <rPr>
        <vertAlign val="superscript"/>
        <sz val="11"/>
        <color rgb="FF000000"/>
        <rFont val="Calibri"/>
        <family val="2"/>
        <scheme val="minor"/>
      </rPr>
      <t>-3</t>
    </r>
    <r>
      <rPr>
        <sz val="11"/>
        <color rgb="FF000000"/>
        <rFont val="Calibri"/>
        <family val="2"/>
        <scheme val="minor"/>
      </rPr>
      <t>, (magnitude is unit dependent)</t>
    </r>
  </si>
  <si>
    <r>
      <t>D</t>
    </r>
    <r>
      <rPr>
        <vertAlign val="subscript"/>
        <sz val="11"/>
        <color rgb="FF000000"/>
        <rFont val="Calibri"/>
        <family val="2"/>
        <scheme val="minor"/>
      </rPr>
      <t>Ek</t>
    </r>
  </si>
  <si>
    <r>
      <t>0.1314 cm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/s, T = 1250°C</t>
    </r>
  </si>
  <si>
    <r>
      <t>0.1335 cm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/s, T = 1300°C</t>
    </r>
  </si>
  <si>
    <r>
      <t>0.1377 cm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/s, T = 1400°C</t>
    </r>
  </si>
  <si>
    <r>
      <t>0.1408 cm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/s, T = 1475°C</t>
    </r>
  </si>
  <si>
    <r>
      <t>D</t>
    </r>
    <r>
      <rPr>
        <vertAlign val="subscript"/>
        <sz val="11"/>
        <color rgb="FF000000"/>
        <rFont val="Calibri"/>
        <family val="2"/>
        <scheme val="minor"/>
      </rPr>
      <t>Em</t>
    </r>
  </si>
  <si>
    <r>
      <t>0.4997 cm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/s, T = 1250°C</t>
    </r>
  </si>
  <si>
    <r>
      <t>0.5275 cm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/s, T = 1300°C</t>
    </r>
  </si>
  <si>
    <r>
      <t>0.5848 cm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/s, T = 1400°C</t>
    </r>
  </si>
  <si>
    <r>
      <t>0.6293 cm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/s, T = 1475°C</t>
    </r>
  </si>
  <si>
    <r>
      <t>D</t>
    </r>
    <r>
      <rPr>
        <vertAlign val="subscript"/>
        <sz val="11"/>
        <color rgb="FF000000"/>
        <rFont val="Calibri"/>
        <family val="2"/>
        <scheme val="minor"/>
      </rPr>
      <t>AB</t>
    </r>
  </si>
  <si>
    <r>
      <t>2.1417 cm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/s, T = 1250°C</t>
    </r>
  </si>
  <si>
    <r>
      <t>2.2607 cm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/s, T = 1300°C</t>
    </r>
  </si>
  <si>
    <r>
      <t>2.5063 cm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/s, T = 1400°C</t>
    </r>
  </si>
  <si>
    <r>
      <t>2.6970 cm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/s, T = 1475°C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</si>
  <si>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</si>
  <si>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2.6693x10</t>
    </r>
    <r>
      <rPr>
        <vertAlign val="superscript"/>
        <sz val="11"/>
        <color rgb="FF000000"/>
        <rFont val="Calibri"/>
        <family val="2"/>
        <scheme val="minor"/>
      </rPr>
      <t>-6</t>
    </r>
    <r>
      <rPr>
        <sz val="11"/>
        <color rgb="FF000000"/>
        <rFont val="Calibri"/>
        <family val="2"/>
        <scheme val="minor"/>
      </rPr>
      <t xml:space="preserve"> (magnitude is unit dependent)</t>
    </r>
  </si>
  <si>
    <r>
      <t>r</t>
    </r>
    <r>
      <rPr>
        <vertAlign val="subscript"/>
        <sz val="11"/>
        <color rgb="FF000000"/>
        <rFont val="Calibri"/>
        <family val="2"/>
        <scheme val="minor"/>
      </rPr>
      <t>g</t>
    </r>
  </si>
  <si>
    <r>
      <t>8.45x10</t>
    </r>
    <r>
      <rPr>
        <vertAlign val="superscript"/>
        <sz val="11"/>
        <color rgb="FF000000"/>
        <rFont val="Calibri"/>
        <family val="2"/>
        <scheme val="minor"/>
      </rPr>
      <t>-4</t>
    </r>
    <r>
      <rPr>
        <sz val="11"/>
        <color rgb="FF000000"/>
        <rFont val="Calibri"/>
        <family val="2"/>
        <scheme val="minor"/>
      </rPr>
      <t xml:space="preserve"> cm</t>
    </r>
  </si>
  <si>
    <r>
      <t>V</t>
    </r>
    <r>
      <rPr>
        <vertAlign val="subscript"/>
        <sz val="11"/>
        <color rgb="FF000000"/>
        <rFont val="Calibri"/>
        <family val="2"/>
        <scheme val="minor"/>
      </rPr>
      <t>p</t>
    </r>
  </si>
  <si>
    <r>
      <t>2.07 cm</t>
    </r>
    <r>
      <rPr>
        <vertAlign val="superscript"/>
        <sz val="11"/>
        <color rgb="FF000000"/>
        <rFont val="Calibri"/>
        <family val="2"/>
        <scheme val="minor"/>
      </rPr>
      <t>3</t>
    </r>
  </si>
  <si>
    <r>
      <t>V</t>
    </r>
    <r>
      <rPr>
        <vertAlign val="subscript"/>
        <sz val="11"/>
        <color rgb="FF000000"/>
        <rFont val="Calibri"/>
        <family val="2"/>
        <scheme val="minor"/>
      </rPr>
      <t>g</t>
    </r>
  </si>
  <si>
    <r>
      <t>2.53x10</t>
    </r>
    <r>
      <rPr>
        <vertAlign val="superscript"/>
        <sz val="11"/>
        <color rgb="FF000000"/>
        <rFont val="Calibri"/>
        <family val="2"/>
        <scheme val="minor"/>
      </rPr>
      <t>-9</t>
    </r>
    <r>
      <rPr>
        <sz val="11"/>
        <color rgb="FF000000"/>
        <rFont val="Calibri"/>
        <family val="2"/>
        <scheme val="minor"/>
      </rPr>
      <t xml:space="preserve"> cm</t>
    </r>
    <r>
      <rPr>
        <vertAlign val="superscript"/>
        <sz val="11"/>
        <color rgb="FF000000"/>
        <rFont val="Calibri"/>
        <family val="2"/>
        <scheme val="minor"/>
      </rPr>
      <t>3</t>
    </r>
  </si>
  <si>
    <r>
      <t>A</t>
    </r>
    <r>
      <rPr>
        <vertAlign val="subscript"/>
        <sz val="11"/>
        <color rgb="FF000000"/>
        <rFont val="Calibri"/>
        <family val="2"/>
        <scheme val="minor"/>
      </rPr>
      <t>p</t>
    </r>
  </si>
  <si>
    <r>
      <t>1.9x10</t>
    </r>
    <r>
      <rPr>
        <vertAlign val="super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 xml:space="preserve"> cm</t>
    </r>
    <r>
      <rPr>
        <vertAlign val="superscript"/>
        <sz val="11"/>
        <color rgb="FF000000"/>
        <rFont val="Calibri"/>
        <family val="2"/>
        <scheme val="minor"/>
      </rPr>
      <t>2</t>
    </r>
  </si>
  <si>
    <r>
      <t>A­</t>
    </r>
    <r>
      <rPr>
        <vertAlign val="subscript"/>
        <sz val="11"/>
        <color rgb="FF000000"/>
        <rFont val="Calibri"/>
        <family val="2"/>
        <scheme val="minor"/>
      </rPr>
      <t>g</t>
    </r>
  </si>
  <si>
    <r>
      <t>1.8x10</t>
    </r>
    <r>
      <rPr>
        <vertAlign val="superscript"/>
        <sz val="11"/>
        <color rgb="FF000000"/>
        <rFont val="Calibri"/>
        <family val="2"/>
        <scheme val="minor"/>
      </rPr>
      <t>-2</t>
    </r>
    <r>
      <rPr>
        <sz val="11"/>
        <color rgb="FF000000"/>
        <rFont val="Calibri"/>
        <family val="2"/>
        <scheme val="minor"/>
      </rPr>
      <t xml:space="preserve"> cm</t>
    </r>
    <r>
      <rPr>
        <vertAlign val="superscript"/>
        <sz val="11"/>
        <color rgb="FF000000"/>
        <rFont val="Calibri"/>
        <family val="2"/>
        <scheme val="minor"/>
      </rPr>
      <t>2</t>
    </r>
  </si>
  <si>
    <r>
      <t>F</t>
    </r>
    <r>
      <rPr>
        <vertAlign val="subscript"/>
        <sz val="11"/>
        <color rgb="FF000000"/>
        <rFont val="Calibri"/>
        <family val="2"/>
        <scheme val="minor"/>
      </rPr>
      <t>p</t>
    </r>
  </si>
  <si>
    <r>
      <t>F</t>
    </r>
    <r>
      <rPr>
        <vertAlign val="subscript"/>
        <sz val="11"/>
        <color rgb="FF000000"/>
        <rFont val="Calibri"/>
        <family val="2"/>
        <scheme val="minor"/>
      </rPr>
      <t>g</t>
    </r>
  </si>
  <si>
    <t>1250°C</t>
  </si>
  <si>
    <t>1300°C</t>
  </si>
  <si>
    <t>1400°C</t>
  </si>
  <si>
    <t>1475°C</t>
  </si>
  <si>
    <r>
      <t>T</t>
    </r>
    <r>
      <rPr>
        <vertAlign val="subscript"/>
        <sz val="12"/>
        <color rgb="FF000000"/>
        <rFont val="Calibri"/>
        <family val="2"/>
        <scheme val="minor"/>
      </rPr>
      <t>Rxn</t>
    </r>
  </si>
  <si>
    <r>
      <t>[D</t>
    </r>
    <r>
      <rPr>
        <vertAlign val="subscript"/>
        <sz val="12"/>
        <color rgb="FF000000"/>
        <rFont val="Calibri"/>
        <family val="2"/>
        <scheme val="minor"/>
      </rPr>
      <t>g</t>
    </r>
    <r>
      <rPr>
        <sz val="12"/>
        <color rgb="FF000000"/>
        <rFont val="Calibri"/>
        <family val="2"/>
        <scheme val="minor"/>
      </rPr>
      <t>]</t>
    </r>
    <r>
      <rPr>
        <vertAlign val="subscript"/>
        <sz val="12"/>
        <color rgb="FF000000"/>
        <rFont val="Calibri"/>
        <family val="2"/>
        <scheme val="minor"/>
      </rPr>
      <t>min</t>
    </r>
  </si>
  <si>
    <r>
      <t>T</t>
    </r>
    <r>
      <rPr>
        <vertAlign val="subscript"/>
        <sz val="12"/>
        <color rgb="FF000000"/>
        <rFont val="Calibri"/>
        <family val="2"/>
        <scheme val="minor"/>
      </rPr>
      <t>Rxn</t>
    </r>
    <r>
      <rPr>
        <sz val="12"/>
        <color rgb="FF000000"/>
        <rFont val="Calibri"/>
        <family val="2"/>
        <scheme val="minor"/>
      </rPr>
      <t xml:space="preserve"> / T</t>
    </r>
    <r>
      <rPr>
        <vertAlign val="subscript"/>
        <sz val="12"/>
        <color rgb="FF000000"/>
        <rFont val="Calibri"/>
        <family val="2"/>
        <scheme val="minor"/>
      </rPr>
      <t>M,S</t>
    </r>
  </si>
  <si>
    <r>
      <t>7.9x10</t>
    </r>
    <r>
      <rPr>
        <vertAlign val="superscript"/>
        <sz val="12"/>
        <color rgb="FF000000"/>
        <rFont val="Calibri"/>
        <family val="2"/>
        <scheme val="minor"/>
      </rPr>
      <t>-14</t>
    </r>
    <r>
      <rPr>
        <sz val="12"/>
        <color rgb="FF000000"/>
        <rFont val="Calibri"/>
        <family val="2"/>
        <scheme val="minor"/>
      </rPr>
      <t xml:space="preserve"> cm</t>
    </r>
    <r>
      <rPr>
        <vertAlign val="super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>/s</t>
    </r>
  </si>
  <si>
    <r>
      <t>10</t>
    </r>
    <r>
      <rPr>
        <vertAlign val="superscript"/>
        <sz val="12"/>
        <color rgb="FF000000"/>
        <rFont val="Calibri"/>
        <family val="2"/>
        <scheme val="minor"/>
      </rPr>
      <t>-8</t>
    </r>
    <r>
      <rPr>
        <sz val="12"/>
        <color rgb="FF000000"/>
        <rFont val="Calibri"/>
        <family val="2"/>
        <scheme val="minor"/>
      </rPr>
      <t xml:space="preserve"> cm</t>
    </r>
    <r>
      <rPr>
        <vertAlign val="super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 xml:space="preserve"> / s</t>
    </r>
  </si>
  <si>
    <r>
      <t>6.9x10</t>
    </r>
    <r>
      <rPr>
        <vertAlign val="superscript"/>
        <sz val="12"/>
        <color rgb="FF000000"/>
        <rFont val="Calibri"/>
        <family val="2"/>
        <scheme val="minor"/>
      </rPr>
      <t>-14</t>
    </r>
    <r>
      <rPr>
        <sz val="12"/>
        <color rgb="FF000000"/>
        <rFont val="Calibri"/>
        <family val="2"/>
        <scheme val="minor"/>
      </rPr>
      <t xml:space="preserve"> cm</t>
    </r>
    <r>
      <rPr>
        <vertAlign val="super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>/s</t>
    </r>
  </si>
  <si>
    <r>
      <t>1.0x10</t>
    </r>
    <r>
      <rPr>
        <vertAlign val="superscript"/>
        <sz val="12"/>
        <color rgb="FF000000"/>
        <rFont val="Calibri"/>
        <family val="2"/>
        <scheme val="minor"/>
      </rPr>
      <t>-13</t>
    </r>
    <r>
      <rPr>
        <sz val="12"/>
        <color rgb="FF000000"/>
        <rFont val="Calibri"/>
        <family val="2"/>
        <scheme val="minor"/>
      </rPr>
      <t xml:space="preserve"> cm</t>
    </r>
    <r>
      <rPr>
        <vertAlign val="super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>/s</t>
    </r>
  </si>
  <si>
    <r>
      <t>10</t>
    </r>
    <r>
      <rPr>
        <vertAlign val="superscript"/>
        <sz val="12"/>
        <color rgb="FF000000"/>
        <rFont val="Calibri"/>
        <family val="2"/>
        <scheme val="minor"/>
      </rPr>
      <t>-7</t>
    </r>
    <r>
      <rPr>
        <sz val="12"/>
        <color rgb="FF000000"/>
        <rFont val="Calibri"/>
        <family val="2"/>
        <scheme val="minor"/>
      </rPr>
      <t xml:space="preserve"> cm</t>
    </r>
    <r>
      <rPr>
        <vertAlign val="super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 xml:space="preserve"> / s</t>
    </r>
  </si>
  <si>
    <r>
      <t>1.5x10</t>
    </r>
    <r>
      <rPr>
        <vertAlign val="superscript"/>
        <sz val="12"/>
        <color rgb="FF000000"/>
        <rFont val="Calibri"/>
        <family val="2"/>
        <scheme val="minor"/>
      </rPr>
      <t>-13</t>
    </r>
    <r>
      <rPr>
        <sz val="12"/>
        <color rgb="FF000000"/>
        <rFont val="Calibri"/>
        <family val="2"/>
        <scheme val="minor"/>
      </rPr>
      <t xml:space="preserve"> cm</t>
    </r>
    <r>
      <rPr>
        <vertAlign val="super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>/s</t>
    </r>
  </si>
  <si>
    <t>Table</t>
  </si>
  <si>
    <t>Description</t>
  </si>
  <si>
    <t>S1</t>
  </si>
  <si>
    <t>Table S2: Parameters used to distinguish between kinetic and mass transport limitations to La2O3 sulfidation</t>
  </si>
  <si>
    <t>Table S3: Rare earth intragrain diffusivity comparison</t>
  </si>
  <si>
    <t>S3</t>
  </si>
  <si>
    <t>Rare earth intragrain diffusivity comparison</t>
  </si>
  <si>
    <t>Parameters used to distinguish between kinetic and mass transport limitations to La2O3 sulfidation</t>
  </si>
  <si>
    <t>1200°C</t>
  </si>
  <si>
    <t>WDS Composition</t>
  </si>
  <si>
    <t>La</t>
  </si>
  <si>
    <t>41.1 atomic %</t>
  </si>
  <si>
    <t>41.4 atomic %</t>
  </si>
  <si>
    <t>41.3 atomic %</t>
  </si>
  <si>
    <t>41.0 atomic %</t>
  </si>
  <si>
    <t>58.9 atomic %</t>
  </si>
  <si>
    <t>58.6 atomic %</t>
  </si>
  <si>
    <t>58.7 atomic %</t>
  </si>
  <si>
    <t>59.9 atomic %</t>
  </si>
  <si>
    <t>LECO Composition</t>
  </si>
  <si>
    <t>24.8 mass %</t>
  </si>
  <si>
    <t>23.3 mass %</t>
  </si>
  <si>
    <t>24.6 mass %</t>
  </si>
  <si>
    <t>22.5 mass %</t>
  </si>
  <si>
    <t>O</t>
  </si>
  <si>
    <t>0.72 mass %</t>
  </si>
  <si>
    <t>0.77 mass %</t>
  </si>
  <si>
    <t>0.42 mass %</t>
  </si>
  <si>
    <t>0.60 mass %</t>
  </si>
  <si>
    <t>QXRD composition</t>
  </si>
  <si>
    <t>-</t>
  </si>
  <si>
    <t>4.3 mass %</t>
  </si>
  <si>
    <t>13.4 mass %</t>
  </si>
  <si>
    <t>3.9 mass %</t>
  </si>
  <si>
    <t>11.2 mass %</t>
  </si>
  <si>
    <t>86.6 mass %</t>
  </si>
  <si>
    <t>96.1 mass %</t>
  </si>
  <si>
    <t>84.5 mass %</t>
  </si>
  <si>
    <t>75.2 mass %</t>
  </si>
  <si>
    <t>Sulfide Purity</t>
  </si>
  <si>
    <t>Gas Flow (absolute)</t>
  </si>
  <si>
    <t>WDS (absolute)</t>
  </si>
  <si>
    <t>LECO (absolute)</t>
  </si>
  <si>
    <t>XRD (absolute)</t>
  </si>
  <si>
    <t>Rare Earth Basis (relative)</t>
  </si>
  <si>
    <r>
      <t>La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</si>
  <si>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La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</t>
    </r>
  </si>
  <si>
    <r>
      <t>La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</t>
    </r>
    <r>
      <rPr>
        <vertAlign val="subscript"/>
        <sz val="11"/>
        <color theme="1"/>
        <rFont val="Calibri"/>
        <family val="2"/>
        <scheme val="minor"/>
      </rPr>
      <t>4</t>
    </r>
  </si>
  <si>
    <r>
      <t>La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</t>
    </r>
    <r>
      <rPr>
        <vertAlign val="subscript"/>
        <sz val="11"/>
        <color theme="1"/>
        <rFont val="Calibri"/>
        <family val="2"/>
        <scheme val="minor"/>
      </rPr>
      <t>3</t>
    </r>
  </si>
  <si>
    <t>Table S4: Lanthanum oxide sulfidation conversion</t>
  </si>
  <si>
    <t>S4</t>
  </si>
  <si>
    <t>Lanthanum oxide sulfidation conversion</t>
  </si>
  <si>
    <t>S5</t>
  </si>
  <si>
    <t>S6</t>
  </si>
  <si>
    <t>S7</t>
  </si>
  <si>
    <t>S8</t>
  </si>
  <si>
    <t>S9</t>
  </si>
  <si>
    <t>Sulfidation Conditions</t>
  </si>
  <si>
    <t>Scandium oxide sulfidation intermediates</t>
  </si>
  <si>
    <t>Conversion</t>
  </si>
  <si>
    <r>
      <t>Sc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</si>
  <si>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Sc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S</t>
    </r>
  </si>
  <si>
    <r>
      <t>Sc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S</t>
    </r>
    <r>
      <rPr>
        <vertAlign val="subscript"/>
        <sz val="11"/>
        <color rgb="FF000000"/>
        <rFont val="Calibri"/>
        <family val="2"/>
        <scheme val="minor"/>
      </rPr>
      <t>3</t>
    </r>
  </si>
  <si>
    <t>Figure S5: Scandium oxide sulfidation intermediates</t>
  </si>
  <si>
    <t>QXRD Mass%</t>
  </si>
  <si>
    <r>
      <t>ZrO</t>
    </r>
    <r>
      <rPr>
        <vertAlign val="subscript"/>
        <sz val="11"/>
        <color rgb="FF000000"/>
        <rFont val="Calibri"/>
        <family val="2"/>
        <scheme val="minor"/>
      </rPr>
      <t>2</t>
    </r>
  </si>
  <si>
    <t>ZrOS</t>
  </si>
  <si>
    <r>
      <t>Zr</t>
    </r>
    <r>
      <rPr>
        <vertAlign val="subscript"/>
        <sz val="11"/>
        <color rgb="FF000000"/>
        <rFont val="Calibri"/>
        <family val="2"/>
        <scheme val="minor"/>
      </rPr>
      <t>1-x</t>
    </r>
    <r>
      <rPr>
        <sz val="11"/>
        <color rgb="FF000000"/>
        <rFont val="Calibri"/>
        <family val="2"/>
        <scheme val="minor"/>
      </rPr>
      <t>S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</si>
  <si>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1475°C, PS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~ 0.7 atm</t>
    </r>
  </si>
  <si>
    <r>
      <t>1400°C, PS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~ 0.1 atm</t>
    </r>
  </si>
  <si>
    <r>
      <t>W</t>
    </r>
    <r>
      <rPr>
        <vertAlign val="subscript"/>
        <sz val="11"/>
        <color rgb="FF000000"/>
        <rFont val="Calibri"/>
        <family val="2"/>
        <scheme val="minor"/>
      </rPr>
      <t>18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49</t>
    </r>
  </si>
  <si>
    <r>
      <t>WO</t>
    </r>
    <r>
      <rPr>
        <vertAlign val="subscript"/>
        <sz val="11"/>
        <color rgb="FF000000"/>
        <rFont val="Calibri"/>
        <family val="2"/>
        <scheme val="minor"/>
      </rPr>
      <t>3</t>
    </r>
  </si>
  <si>
    <t>Tungsten oxide sulfidation products</t>
  </si>
  <si>
    <t>Figure S6: Zirconium oxide sulfidation products</t>
  </si>
  <si>
    <t>Zirconium oxide sulfidation products</t>
  </si>
  <si>
    <t>Strontium carbonate sulfidation products</t>
  </si>
  <si>
    <t>Calcium carbonate sulfidation products</t>
  </si>
  <si>
    <r>
      <t>WO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</si>
  <si>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WS</t>
    </r>
    <r>
      <rPr>
        <vertAlign val="subscript"/>
        <sz val="11"/>
        <color rgb="FF000000"/>
        <rFont val="Calibri"/>
        <family val="2"/>
        <scheme val="minor"/>
      </rPr>
      <t>2</t>
    </r>
  </si>
  <si>
    <t>Table S7: Tungsten oxide sulfidation products</t>
  </si>
  <si>
    <r>
      <t>1000°C, PS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~ 0.1 atm</t>
    </r>
  </si>
  <si>
    <r>
      <t>SrCO</t>
    </r>
    <r>
      <rPr>
        <vertAlign val="subscript"/>
        <sz val="11"/>
        <color rgb="FF000000"/>
        <rFont val="Calibri"/>
        <family val="2"/>
        <scheme val="minor"/>
      </rPr>
      <t>3</t>
    </r>
  </si>
  <si>
    <t>SrO</t>
  </si>
  <si>
    <t>SrS</t>
  </si>
  <si>
    <t>&gt;99.9%</t>
  </si>
  <si>
    <t>Table S8: Strontium carbonate sulfidation products</t>
  </si>
  <si>
    <r>
      <t>SrSO</t>
    </r>
    <r>
      <rPr>
        <vertAlign val="subscript"/>
        <sz val="11"/>
        <color theme="1"/>
        <rFont val="Calibri"/>
        <family val="2"/>
        <scheme val="minor"/>
      </rPr>
      <t>4</t>
    </r>
  </si>
  <si>
    <r>
      <t>CaCO</t>
    </r>
    <r>
      <rPr>
        <vertAlign val="subscript"/>
        <sz val="11"/>
        <color rgb="FF000000"/>
        <rFont val="Calibri"/>
        <family val="2"/>
        <scheme val="minor"/>
      </rPr>
      <t>3</t>
    </r>
  </si>
  <si>
    <t>CaO</t>
  </si>
  <si>
    <r>
      <t>CaSO</t>
    </r>
    <r>
      <rPr>
        <vertAlign val="subscript"/>
        <sz val="11"/>
        <color theme="1"/>
        <rFont val="Calibri"/>
        <family val="2"/>
        <scheme val="minor"/>
      </rPr>
      <t>4</t>
    </r>
  </si>
  <si>
    <t>CaS</t>
  </si>
  <si>
    <t>S10</t>
  </si>
  <si>
    <t>Lithium ion battery cathode selective sulfidation products</t>
  </si>
  <si>
    <t>Feed</t>
  </si>
  <si>
    <t>QXRD Mass %</t>
  </si>
  <si>
    <t>(Ni,Mn)O</t>
  </si>
  <si>
    <t>MnS</t>
  </si>
  <si>
    <t xml:space="preserve">Amorphous </t>
  </si>
  <si>
    <r>
      <t>Li(Mn,Ni)O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</si>
  <si>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Li(Mn,Ni,Co)O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</si>
  <si>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Al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 xml:space="preserve"> </t>
    </r>
  </si>
  <si>
    <r>
      <t>(Li,Mn)Al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4</t>
    </r>
  </si>
  <si>
    <r>
      <t>LiAlO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</t>
    </r>
  </si>
  <si>
    <r>
      <t>LiAl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8</t>
    </r>
    <r>
      <rPr>
        <sz val="11"/>
        <color rgb="FF000000"/>
        <rFont val="Calibri"/>
        <family val="2"/>
        <scheme val="minor"/>
      </rPr>
      <t xml:space="preserve"> </t>
    </r>
  </si>
  <si>
    <r>
      <t>Co</t>
    </r>
    <r>
      <rPr>
        <vertAlign val="subscript"/>
        <sz val="11"/>
        <color rgb="FF000000"/>
        <rFont val="Calibri"/>
        <family val="2"/>
        <scheme val="minor"/>
      </rPr>
      <t>9</t>
    </r>
    <r>
      <rPr>
        <sz val="11"/>
        <color rgb="FF000000"/>
        <rFont val="Calibri"/>
        <family val="2"/>
        <scheme val="minor"/>
      </rPr>
      <t>S</t>
    </r>
    <r>
      <rPr>
        <vertAlign val="subscript"/>
        <sz val="11"/>
        <color rgb="FF000000"/>
        <rFont val="Calibri"/>
        <family val="2"/>
        <scheme val="minor"/>
      </rPr>
      <t>8</t>
    </r>
    <r>
      <rPr>
        <sz val="11"/>
        <color rgb="FF000000"/>
        <rFont val="Calibri"/>
        <family val="2"/>
        <scheme val="minor"/>
      </rPr>
      <t xml:space="preserve"> </t>
    </r>
  </si>
  <si>
    <r>
      <t>Ni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S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</t>
    </r>
  </si>
  <si>
    <r>
      <t>Co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Ni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S</t>
    </r>
    <r>
      <rPr>
        <vertAlign val="subscript"/>
        <sz val="11"/>
        <color rgb="FF000000"/>
        <rFont val="Calibri"/>
        <family val="2"/>
        <scheme val="minor"/>
      </rPr>
      <t>8</t>
    </r>
  </si>
  <si>
    <r>
      <t>Li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SO</t>
    </r>
    <r>
      <rPr>
        <vertAlign val="subscript"/>
        <sz val="11"/>
        <color rgb="FF000000"/>
        <rFont val="Calibri"/>
        <family val="2"/>
        <scheme val="minor"/>
      </rPr>
      <t>4</t>
    </r>
  </si>
  <si>
    <t>Untreated</t>
  </si>
  <si>
    <r>
      <t>LiNi</t>
    </r>
    <r>
      <rPr>
        <vertAlign val="subscript"/>
        <sz val="11"/>
        <color theme="1"/>
        <rFont val="Calibri"/>
        <family val="2"/>
        <scheme val="minor"/>
      </rPr>
      <t>1/3</t>
    </r>
    <r>
      <rPr>
        <sz val="11"/>
        <color theme="1"/>
        <rFont val="Calibri"/>
        <family val="2"/>
        <scheme val="minor"/>
      </rPr>
      <t>Mn</t>
    </r>
    <r>
      <rPr>
        <vertAlign val="subscript"/>
        <sz val="11"/>
        <color theme="1"/>
        <rFont val="Calibri"/>
        <family val="2"/>
        <scheme val="minor"/>
      </rPr>
      <t>1/3</t>
    </r>
    <r>
      <rPr>
        <sz val="11"/>
        <color theme="1"/>
        <rFont val="Calibri"/>
        <family val="2"/>
        <scheme val="minor"/>
      </rPr>
      <t>Co</t>
    </r>
    <r>
      <rPr>
        <vertAlign val="subscript"/>
        <sz val="11"/>
        <color theme="1"/>
        <rFont val="Calibri"/>
        <family val="2"/>
        <scheme val="minor"/>
      </rPr>
      <t>1/3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</si>
  <si>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r>
      <t>50wt% LiNi</t>
    </r>
    <r>
      <rPr>
        <vertAlign val="subscript"/>
        <sz val="11"/>
        <color theme="1"/>
        <rFont val="Calibri"/>
        <family val="2"/>
        <scheme val="minor"/>
      </rPr>
      <t>1/3</t>
    </r>
    <r>
      <rPr>
        <sz val="11"/>
        <color theme="1"/>
        <rFont val="Calibri"/>
        <family val="2"/>
        <scheme val="minor"/>
      </rPr>
      <t>Mn</t>
    </r>
    <r>
      <rPr>
        <vertAlign val="subscript"/>
        <sz val="11"/>
        <color theme="1"/>
        <rFont val="Calibri"/>
        <family val="2"/>
        <scheme val="minor"/>
      </rPr>
      <t>1/3</t>
    </r>
    <r>
      <rPr>
        <sz val="11"/>
        <color theme="1"/>
        <rFont val="Calibri"/>
        <family val="2"/>
        <scheme val="minor"/>
      </rPr>
      <t>Co</t>
    </r>
    <r>
      <rPr>
        <vertAlign val="subscript"/>
        <sz val="11"/>
        <color theme="1"/>
        <rFont val="Calibri"/>
        <family val="2"/>
        <scheme val="minor"/>
      </rPr>
      <t>1/3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50 wt% 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</si>
  <si>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1000°C, PS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/ PSO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= 3x10</t>
    </r>
    <r>
      <rPr>
        <vertAlign val="superscript"/>
        <sz val="11"/>
        <color rgb="FF000000"/>
        <rFont val="Calibri"/>
        <family val="2"/>
        <scheme val="minor"/>
      </rPr>
      <t>4</t>
    </r>
  </si>
  <si>
    <r>
      <t>1000°C, PS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/ PSO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= 15</t>
    </r>
  </si>
  <si>
    <r>
      <t>1000°C, PS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/ PSO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= 3</t>
    </r>
  </si>
  <si>
    <t>S11</t>
  </si>
  <si>
    <t>Lanthanum phosphate sulfidation products</t>
  </si>
  <si>
    <t>S12</t>
  </si>
  <si>
    <t>Conditions</t>
  </si>
  <si>
    <t>Temperature</t>
  </si>
  <si>
    <t>as synthesized</t>
  </si>
  <si>
    <t xml:space="preserve">Sulfidation Reaction Time </t>
  </si>
  <si>
    <t>1 hour</t>
  </si>
  <si>
    <t>Species</t>
  </si>
  <si>
    <t>Product (QXRD Mass%)</t>
  </si>
  <si>
    <t>LaOF</t>
  </si>
  <si>
    <t>La3S4</t>
  </si>
  <si>
    <t>present</t>
  </si>
  <si>
    <t>La-S-O-F</t>
  </si>
  <si>
    <t>Unknown</t>
  </si>
  <si>
    <t>major</t>
  </si>
  <si>
    <r>
      <t>La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</t>
    </r>
    <r>
      <rPr>
        <vertAlign val="subscript"/>
        <sz val="11"/>
        <color theme="1"/>
        <rFont val="Calibri"/>
        <family val="2"/>
        <scheme val="minor"/>
      </rPr>
      <t>4</t>
    </r>
  </si>
  <si>
    <r>
      <t>CaCO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LaOF Mass Ratio</t>
    </r>
  </si>
  <si>
    <t>Lanthanum oxyfluoride synthesis and sulfidation products</t>
  </si>
  <si>
    <t>as dehydrated</t>
  </si>
  <si>
    <t>1350°C</t>
  </si>
  <si>
    <t>Carbon / LaPO4 Mass Ratio</t>
  </si>
  <si>
    <t>CaCO3 / LaPO4 Mass Ratio</t>
  </si>
  <si>
    <t>LaPO4</t>
  </si>
  <si>
    <t>Ca3(PO4)2</t>
  </si>
  <si>
    <t>La2O2S</t>
  </si>
  <si>
    <t>S13</t>
  </si>
  <si>
    <t>S14</t>
  </si>
  <si>
    <t>S15</t>
  </si>
  <si>
    <t>Capital cost curves and scaling factors</t>
  </si>
  <si>
    <t>S16</t>
  </si>
  <si>
    <t>Monte Carlo parameters for sensitivity analysis of hydrometallurgy CAPEX</t>
  </si>
  <si>
    <t>S17</t>
  </si>
  <si>
    <t>Chemistry-coupled Monte Carlo parameters for sensitivity analysis of sulfidation CAPEX, OPEX, and LCA</t>
  </si>
  <si>
    <t>Chemistry-independent Monte Carlo parameters for sensitivity analysis of sulfidation CAPEX, OPEX, and LCA</t>
  </si>
  <si>
    <t>S18</t>
  </si>
  <si>
    <t>Discrete Uniform</t>
  </si>
  <si>
    <t>Continuous Triangular</t>
  </si>
  <si>
    <t>Coupled?</t>
  </si>
  <si>
    <t>with chemistry</t>
  </si>
  <si>
    <t>with chemistry and scenario</t>
  </si>
  <si>
    <t>independent</t>
  </si>
  <si>
    <t>S19</t>
  </si>
  <si>
    <t>Comparison of CAPEX, OPEX, and LCA burdens for sulfidation with and without pretreatments and CDSR</t>
  </si>
  <si>
    <t>Feed Capacity</t>
  </si>
  <si>
    <t>10 kta</t>
  </si>
  <si>
    <t>100 kta</t>
  </si>
  <si>
    <t>1,000 kta</t>
  </si>
  <si>
    <t>Impact with Added Pretreatments</t>
  </si>
  <si>
    <t>% Change</t>
  </si>
  <si>
    <t>S20</t>
  </si>
  <si>
    <t>S21</t>
  </si>
  <si>
    <t>S22</t>
  </si>
  <si>
    <t>S23</t>
  </si>
  <si>
    <t>S24</t>
  </si>
  <si>
    <t>S25</t>
  </si>
  <si>
    <t>S26</t>
  </si>
  <si>
    <t>S27</t>
  </si>
  <si>
    <t>Quantity</t>
  </si>
  <si>
    <t>Products</t>
  </si>
  <si>
    <t>TiO2</t>
  </si>
  <si>
    <t>Zircon</t>
  </si>
  <si>
    <t>FeTiO3</t>
  </si>
  <si>
    <t>FeS</t>
  </si>
  <si>
    <t>Pulsed Column</t>
  </si>
  <si>
    <t>Moles / m^3</t>
  </si>
  <si>
    <t>Theoretical Stages / Practical Stages * 100%</t>
  </si>
  <si>
    <t>Mixer Settler</t>
  </si>
  <si>
    <t>Mixer-Settler Stage Efficiency</t>
  </si>
  <si>
    <t>Mixer-Settler Feed Concentration</t>
  </si>
  <si>
    <t>Mixer-Settler Residence Time</t>
  </si>
  <si>
    <t>Minutes / Stage</t>
  </si>
  <si>
    <t>Pulsed Column Feed Concentration</t>
  </si>
  <si>
    <t>Molar Mass of Feed Oxide</t>
  </si>
  <si>
    <t>g / mole</t>
  </si>
  <si>
    <t>Pulsed Column Flowrate</t>
  </si>
  <si>
    <t>m / s</t>
  </si>
  <si>
    <t>Pulsed Column Reference HETS</t>
  </si>
  <si>
    <t>Reference Heigh Equivalent of Theoretical Stage, m</t>
  </si>
  <si>
    <t>Leach Residence Time</t>
  </si>
  <si>
    <t>Precipitation Residence Time</t>
  </si>
  <si>
    <t>Minutes</t>
  </si>
  <si>
    <t>Leach / Precipitation Concentration</t>
  </si>
  <si>
    <t>kg solid / kg water</t>
  </si>
  <si>
    <t>Acid to Solid Feed ratio</t>
  </si>
  <si>
    <t>kg acid / kg feed in roaster</t>
  </si>
  <si>
    <t>(height*diameter)^1.5</t>
  </si>
  <si>
    <t>Leaching Continuous Stirred Tank</t>
  </si>
  <si>
    <t>Precipitation Continuous Stirred Tank</t>
  </si>
  <si>
    <t>Rotary Disk Filter</t>
  </si>
  <si>
    <t>m^2 filter area</t>
  </si>
  <si>
    <t>L/s aqueous phase</t>
  </si>
  <si>
    <t>m^3 working volume</t>
  </si>
  <si>
    <t>CAPEX Class 4 Error Multiplier</t>
  </si>
  <si>
    <t>+/- 30% Error in FOB Cost (Class 4 Estimate)</t>
  </si>
  <si>
    <t>Table S9: Calcium carbonate sulfidation products</t>
  </si>
  <si>
    <t>Operating conditions for zirconium-silicon separation from zircon via selective sulfidation</t>
  </si>
  <si>
    <t>Operating conditions for iron-titanium separation from ilmenite via selective sulfidation</t>
  </si>
  <si>
    <t>Operating conditions for rare earth elements separation from bastnaesite via selective sulfidation</t>
  </si>
  <si>
    <t>Life cycle inventory for zirconium-silicon separation from zircon via selective sulfidation</t>
  </si>
  <si>
    <t>Life cycle inventory for iron-titanium separation from ilmenite via selective sulfidation</t>
  </si>
  <si>
    <t>Life cycle inventory for rare earth elements separation from bastnaesite via selective sulfidation</t>
  </si>
  <si>
    <t>Oxide reduction, sulfide reduction, and oxide sulfidation reactions in main Figure 1a</t>
  </si>
  <si>
    <t>Atomic Number</t>
  </si>
  <si>
    <t>Element</t>
  </si>
  <si>
    <t>Oxide Valency</t>
  </si>
  <si>
    <t>Sulfide Valency</t>
  </si>
  <si>
    <t>deltaG Metal Sulfidation (J / mol M)</t>
  </si>
  <si>
    <t>deltaG Metal Sulfidation (J / mol S2)</t>
  </si>
  <si>
    <t>log10(PS2 / atm) for Sulfide Reduction</t>
  </si>
  <si>
    <t>deltaG Metal Oxidation (J / mol M)</t>
  </si>
  <si>
    <t>deltaG Metal Oxidation (J / mol O2)</t>
  </si>
  <si>
    <t>log10(PO2 / atm) for Oxide Reduction</t>
  </si>
  <si>
    <t>log10(S2/SO2) for Sulfide Formation from Oxide</t>
  </si>
  <si>
    <t>Notes</t>
  </si>
  <si>
    <t>Li</t>
  </si>
  <si>
    <t>log10(S2/SO2) is for formation of sulfide from M2SO4 sulfate intermediate</t>
  </si>
  <si>
    <t>Be</t>
  </si>
  <si>
    <t>B</t>
  </si>
  <si>
    <t>Na</t>
  </si>
  <si>
    <t>Mg</t>
  </si>
  <si>
    <t>Al</t>
  </si>
  <si>
    <t>Si</t>
  </si>
  <si>
    <t>K</t>
  </si>
  <si>
    <t>Ca</t>
  </si>
  <si>
    <t>log10(S2/SO2) is for formation of sulfide from MSO4 sulfate intermediate</t>
  </si>
  <si>
    <t>Sc</t>
  </si>
  <si>
    <t>log10(S2/SO2) is for formation of sulfide from M2O2S oxysulfide intermediate</t>
  </si>
  <si>
    <t>Ti</t>
  </si>
  <si>
    <t>V</t>
  </si>
  <si>
    <t>Cr</t>
  </si>
  <si>
    <t>Mn</t>
  </si>
  <si>
    <t>Fe</t>
  </si>
  <si>
    <t>Co</t>
  </si>
  <si>
    <t>Zn</t>
  </si>
  <si>
    <t>Ga</t>
  </si>
  <si>
    <t>Ge</t>
  </si>
  <si>
    <t>Rb</t>
  </si>
  <si>
    <t>Sr</t>
  </si>
  <si>
    <t>Y</t>
  </si>
  <si>
    <t>Zr</t>
  </si>
  <si>
    <t>Nb</t>
  </si>
  <si>
    <t>Mo</t>
  </si>
  <si>
    <t>Ru</t>
  </si>
  <si>
    <t>Rh</t>
  </si>
  <si>
    <t>Ag</t>
  </si>
  <si>
    <t>Cd</t>
  </si>
  <si>
    <t>In</t>
  </si>
  <si>
    <t>Sn</t>
  </si>
  <si>
    <t>Cs</t>
  </si>
  <si>
    <t>Ba</t>
  </si>
  <si>
    <t>Ce</t>
  </si>
  <si>
    <t>Pr</t>
  </si>
  <si>
    <t>Sm</t>
  </si>
  <si>
    <t>Eu</t>
  </si>
  <si>
    <t>Gd</t>
  </si>
  <si>
    <t>Tb</t>
  </si>
  <si>
    <t>Dy</t>
  </si>
  <si>
    <t>Ho</t>
  </si>
  <si>
    <t>Er</t>
  </si>
  <si>
    <t>Hf</t>
  </si>
  <si>
    <t>Ta</t>
  </si>
  <si>
    <t>W</t>
  </si>
  <si>
    <t>Re</t>
  </si>
  <si>
    <t>Ir</t>
  </si>
  <si>
    <t>Tl</t>
  </si>
  <si>
    <t>Pb</t>
  </si>
  <si>
    <t>Bi</t>
  </si>
  <si>
    <t>Th</t>
  </si>
  <si>
    <t>U</t>
  </si>
  <si>
    <t>Table S1: Oxide reduction, sulfide reduction, and oxide sulfidation reactions in main Figure 1a</t>
  </si>
  <si>
    <t>Cu2O</t>
  </si>
  <si>
    <t>Cu2S</t>
  </si>
  <si>
    <t>Sulfidation Temperature</t>
  </si>
  <si>
    <t>1 tonne S / tonne zircon</t>
  </si>
  <si>
    <t>20 kWh / tonne</t>
  </si>
  <si>
    <t>5 minutes</t>
  </si>
  <si>
    <t>6 cells</t>
  </si>
  <si>
    <t>0.5 kg water lost / kg through cell</t>
  </si>
  <si>
    <t>0.0001 tonne / tonne flotation feed / cell</t>
  </si>
  <si>
    <t>0.00005 tonne / tonne flotation feed / cell</t>
  </si>
  <si>
    <t>0.002 tonne / tonne flotation feed / cell</t>
  </si>
  <si>
    <t>0.001 tonne / tonne flotation feed / cell</t>
  </si>
  <si>
    <t>2 kWh / tonne flotation feed / cell</t>
  </si>
  <si>
    <t>1.75 tonne N2 / tonne solid feed</t>
  </si>
  <si>
    <t>76.3 tonne H2O / tonne N2</t>
  </si>
  <si>
    <t>39.7 tonne H2O / tonne N2</t>
  </si>
  <si>
    <t>0.00278 kWh / Nm^3 gas</t>
  </si>
  <si>
    <t>0.246 tonne H2O / tonne H2SO4</t>
  </si>
  <si>
    <t>10% of carrier gas not reycled</t>
  </si>
  <si>
    <t>-0.075 kWh / kg H2SO4 (net Producer of Energy)</t>
  </si>
  <si>
    <t>Sulfidation Conversion</t>
  </si>
  <si>
    <t>Bastnaesite concentrate (Ln,Th)CO3F</t>
  </si>
  <si>
    <t>Bastnaesite concentrate (Ln,Th)CO3F Feed</t>
  </si>
  <si>
    <t>1 kg / kg REO</t>
  </si>
  <si>
    <t>Gangue Feed</t>
  </si>
  <si>
    <t>0.64 kg / kg REO</t>
  </si>
  <si>
    <t>Soda ash Na2CO3 Feed</t>
  </si>
  <si>
    <t>0.33 kg / kg REO</t>
  </si>
  <si>
    <t>Heat</t>
  </si>
  <si>
    <t>16 MJ / kg REO</t>
  </si>
  <si>
    <t>Water feed for washing</t>
  </si>
  <si>
    <t>16.5 kg / kg REO</t>
  </si>
  <si>
    <t>Defluorinate</t>
  </si>
  <si>
    <t>Selective Sulfidation Separation Product</t>
  </si>
  <si>
    <t>Gangue / ThO2</t>
  </si>
  <si>
    <t>Gd2O3</t>
  </si>
  <si>
    <t>Tb4O7</t>
  </si>
  <si>
    <t>La2O3</t>
  </si>
  <si>
    <t>Nd2O3</t>
  </si>
  <si>
    <t>Dy2O3</t>
  </si>
  <si>
    <t>Sm2O3</t>
  </si>
  <si>
    <t>CeO2</t>
  </si>
  <si>
    <t>Y2O3</t>
  </si>
  <si>
    <t>Eu2O3 / Pr6O11</t>
  </si>
  <si>
    <t>Sulfidation Reactor Carbon Feed Rate</t>
  </si>
  <si>
    <t>1 tonne S / tonne feed</t>
  </si>
  <si>
    <t>0 tonne / tonne feed</t>
  </si>
  <si>
    <t>Selective Sulfidation and Physical Separation</t>
  </si>
  <si>
    <t>0.06 tonne / tonne feed</t>
  </si>
  <si>
    <t>Inputs from technosphere</t>
  </si>
  <si>
    <t>Flotation Collector</t>
  </si>
  <si>
    <t>Flotation Frother</t>
  </si>
  <si>
    <t xml:space="preserve">Flotation Depressant </t>
  </si>
  <si>
    <t>MJ</t>
  </si>
  <si>
    <t>Calculated - autothermal processes</t>
  </si>
  <si>
    <t>Inputs from nature</t>
  </si>
  <si>
    <t>Outputs to technosphere</t>
  </si>
  <si>
    <t>Outputs to nature</t>
  </si>
  <si>
    <t>Solid waste</t>
  </si>
  <si>
    <t>Heat (Natural Gas)</t>
  </si>
  <si>
    <t>Gangue</t>
  </si>
  <si>
    <t>Soda ash Na2CO3</t>
  </si>
  <si>
    <t>Water - waste</t>
  </si>
  <si>
    <t>Aqueous sodium fluoride</t>
  </si>
  <si>
    <t>Water (waste)</t>
  </si>
  <si>
    <t>Outputs to environment</t>
  </si>
  <si>
    <t>Other sulfides</t>
  </si>
  <si>
    <t>Sulfuric acid H2SO4</t>
  </si>
  <si>
    <t>Ilmenite FeTiO3</t>
  </si>
  <si>
    <t>Titanium dioxide TiO2</t>
  </si>
  <si>
    <t>Iron sulfide FeS</t>
  </si>
  <si>
    <t>Sulfuric Acid H2SO4</t>
  </si>
  <si>
    <t>Sulfur dioxide SO2</t>
  </si>
  <si>
    <t>Nitrogen N2</t>
  </si>
  <si>
    <t>Oxygen O2</t>
  </si>
  <si>
    <t>Silica SiO2</t>
  </si>
  <si>
    <t>Carbon dioxide CO2</t>
  </si>
  <si>
    <t>Transportation (Lorry &gt;32 tonnes)</t>
  </si>
  <si>
    <t>Transportation (Rail)</t>
  </si>
  <si>
    <t>tkm</t>
  </si>
  <si>
    <t>Defluorination / Dethoriation</t>
  </si>
  <si>
    <t>Coal</t>
  </si>
  <si>
    <t>Separated rare earth oxide</t>
  </si>
  <si>
    <t>La2O3 (separated)</t>
  </si>
  <si>
    <t>CeO2 (separated)</t>
  </si>
  <si>
    <t>Pr6O11 (separated)</t>
  </si>
  <si>
    <t>Nd2O3 (separated)</t>
  </si>
  <si>
    <t>Sm2O3 (separated)</t>
  </si>
  <si>
    <t>Eu3O4 (separated)</t>
  </si>
  <si>
    <t>Gd2O3 (separated)</t>
  </si>
  <si>
    <t>Tb2O3 (separated)</t>
  </si>
  <si>
    <t>Dy2O3 (separated)</t>
  </si>
  <si>
    <t>Y2O3 (separated)</t>
  </si>
  <si>
    <t>Base Value</t>
  </si>
  <si>
    <t>Thorium sulfide ThS2</t>
  </si>
  <si>
    <t>Gas volume data</t>
  </si>
  <si>
    <t>Enthalpy (delta from 25 °C) (J) vs Temperature (°C) per tonne</t>
  </si>
  <si>
    <t>Fit</t>
  </si>
  <si>
    <t>Fit parameters</t>
  </si>
  <si>
    <t>Tmin (°C)</t>
  </si>
  <si>
    <t>Tmax (°C)</t>
  </si>
  <si>
    <t>Deta Hmin</t>
  </si>
  <si>
    <t>Deta Hmax</t>
  </si>
  <si>
    <t>c0</t>
  </si>
  <si>
    <t>c1</t>
  </si>
  <si>
    <t>c2</t>
  </si>
  <si>
    <t>c3</t>
  </si>
  <si>
    <t>H = c2*T^2 + c1*T + c0</t>
  </si>
  <si>
    <t>CO</t>
  </si>
  <si>
    <t>H = c3*T^3 + c2*T^2 + c1*T + c0</t>
  </si>
  <si>
    <t>NiO</t>
  </si>
  <si>
    <t>NiS</t>
  </si>
  <si>
    <t>Nd2S3</t>
  </si>
  <si>
    <t>Enthalpy of Sulfidation Reaction (no C, SO2 production) vs Temperature (°C) per tonne</t>
  </si>
  <si>
    <t>Enthalpy of Sulfidation Reaction (C present, CO production) vs Temperature (°C) per tonne</t>
  </si>
  <si>
    <t>Enthalpy of Calcination Reaction (no C, SO2 production) vs Temperature (°C) per tonne</t>
  </si>
  <si>
    <t>Volume (m^3) vs Temperature (°C) per tonne</t>
  </si>
  <si>
    <t>Temperature Range</t>
  </si>
  <si>
    <t>Gas</t>
  </si>
  <si>
    <t>V = c1*T + c0</t>
  </si>
  <si>
    <t>25 °C - 1600 °C</t>
  </si>
  <si>
    <t>V = c3*T^3 + c2*T^2 + c1*T + c0</t>
  </si>
  <si>
    <t>800 °C - 1600 °C</t>
  </si>
  <si>
    <t>Reactants</t>
  </si>
  <si>
    <t>Units</t>
  </si>
  <si>
    <t>Temperature: 25 °C to 1400 °C</t>
  </si>
  <si>
    <t>Reaction at 1400 °C</t>
  </si>
  <si>
    <t>Temperature: 1400 °C to 25 °C</t>
  </si>
  <si>
    <t>Zircon Sulfidation</t>
  </si>
  <si>
    <t>ZrS2 Calcination</t>
  </si>
  <si>
    <t>Delta H heating, J reactant feed:</t>
  </si>
  <si>
    <t>Delta H reaction, J / reactant feed:</t>
  </si>
  <si>
    <t>Delta H cooling, J / product feed:</t>
  </si>
  <si>
    <t>Thermodynamic data for zirconium-silicon separation</t>
  </si>
  <si>
    <t>Thermodynamic data for iron-titanium separation</t>
  </si>
  <si>
    <t xml:space="preserve"> </t>
  </si>
  <si>
    <t>Temperature: 25 °C to 1200 °C</t>
  </si>
  <si>
    <t>Reaction at 1200 °C</t>
  </si>
  <si>
    <t>Temperature: 1200 °C to 25 °C</t>
  </si>
  <si>
    <t>Ilmenite Sulfidation</t>
  </si>
  <si>
    <t>S28</t>
  </si>
  <si>
    <t>Allocation Data</t>
  </si>
  <si>
    <t>Zr-Si Separation</t>
  </si>
  <si>
    <t>Mass</t>
  </si>
  <si>
    <t>Zirconium oxide</t>
  </si>
  <si>
    <t xml:space="preserve"> ZrO2 (mixed)</t>
  </si>
  <si>
    <t>HfO2 (mixed)</t>
  </si>
  <si>
    <t>Hafnia HfO2</t>
  </si>
  <si>
    <t>0.93 kg</t>
  </si>
  <si>
    <t>0.07 kg</t>
  </si>
  <si>
    <t>0.49 kg</t>
  </si>
  <si>
    <t>Impact Allocation</t>
  </si>
  <si>
    <t xml:space="preserve">Zirconia ZrO2 </t>
  </si>
  <si>
    <t>Fe-Ti Separation</t>
  </si>
  <si>
    <t>1.0 kg</t>
  </si>
  <si>
    <t>1.1 kg</t>
  </si>
  <si>
    <t>0.61 kg</t>
  </si>
  <si>
    <t>5.57 kg</t>
  </si>
  <si>
    <t>0.01 kg</t>
  </si>
  <si>
    <t>0.70 kg</t>
  </si>
  <si>
    <t>Separation Method</t>
  </si>
  <si>
    <t>Separation Conditions</t>
  </si>
  <si>
    <t>Target Metal(s)</t>
  </si>
  <si>
    <t>Grade</t>
  </si>
  <si>
    <t>Recovery</t>
  </si>
  <si>
    <t>Flotation</t>
  </si>
  <si>
    <t>Particle Size: 149-210 μm</t>
  </si>
  <si>
    <t>Temperature: 25°C</t>
  </si>
  <si>
    <t>pH: 7</t>
  </si>
  <si>
    <t>Condition time:  5 minutes</t>
  </si>
  <si>
    <t>Flotation time: 5 minutes</t>
  </si>
  <si>
    <t>93.6 m%</t>
  </si>
  <si>
    <t>92.8 at%</t>
  </si>
  <si>
    <t>T = 1000°C</t>
  </si>
  <si>
    <t>Leaching</t>
  </si>
  <si>
    <t>Concentration: 1g / 100 mL</t>
  </si>
  <si>
    <t xml:space="preserve">Time: 15 minutes </t>
  </si>
  <si>
    <t>22.5 m%</t>
  </si>
  <si>
    <t>70.0 at%</t>
  </si>
  <si>
    <t>Condition time:  2 minutes</t>
  </si>
  <si>
    <t>Ni-Co</t>
  </si>
  <si>
    <t>82.8 m%</t>
  </si>
  <si>
    <t>75.8 at%</t>
  </si>
  <si>
    <t>Magnetic</t>
  </si>
  <si>
    <t>82.1 m%</t>
  </si>
  <si>
    <t>74.0 at%</t>
  </si>
  <si>
    <r>
      <t>Cu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S-Fe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</si>
  <si>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Collector: KAX, 5x10</t>
    </r>
    <r>
      <rPr>
        <vertAlign val="superscript"/>
        <sz val="11"/>
        <color theme="1"/>
        <rFont val="Calibri"/>
        <family val="2"/>
        <scheme val="minor"/>
      </rPr>
      <t>-3</t>
    </r>
    <r>
      <rPr>
        <sz val="11"/>
        <color theme="1"/>
        <rFont val="Calibri"/>
        <family val="2"/>
        <scheme val="minor"/>
      </rPr>
      <t xml:space="preserve"> M</t>
    </r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</si>
  <si>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-LiNi</t>
    </r>
    <r>
      <rPr>
        <vertAlign val="subscript"/>
        <sz val="11"/>
        <color theme="1"/>
        <rFont val="Calibri"/>
        <family val="2"/>
        <scheme val="minor"/>
      </rPr>
      <t>1/3</t>
    </r>
    <r>
      <rPr>
        <sz val="11"/>
        <color theme="1"/>
        <rFont val="Calibri"/>
        <family val="2"/>
        <scheme val="minor"/>
      </rPr>
      <t>Mn</t>
    </r>
    <r>
      <rPr>
        <vertAlign val="subscript"/>
        <sz val="11"/>
        <color theme="1"/>
        <rFont val="Calibri"/>
        <family val="2"/>
        <scheme val="minor"/>
      </rPr>
      <t>1/3</t>
    </r>
    <r>
      <rPr>
        <sz val="11"/>
        <color theme="1"/>
        <rFont val="Calibri"/>
        <family val="2"/>
        <scheme val="minor"/>
      </rPr>
      <t>Co</t>
    </r>
    <r>
      <rPr>
        <vertAlign val="subscript"/>
        <sz val="11"/>
        <color theme="1"/>
        <rFont val="Calibri"/>
        <family val="2"/>
        <scheme val="minor"/>
      </rPr>
      <t>1/3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</si>
  <si>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r>
      <t>P</t>
    </r>
    <r>
      <rPr>
        <vertAlign val="subscript"/>
        <sz val="11"/>
        <color theme="1"/>
        <rFont val="Calibri"/>
        <family val="2"/>
        <scheme val="minor"/>
      </rPr>
      <t>S2</t>
    </r>
    <r>
      <rPr>
        <sz val="11"/>
        <color theme="1"/>
        <rFont val="Calibri"/>
        <family val="2"/>
        <scheme val="minor"/>
      </rPr>
      <t>/P</t>
    </r>
    <r>
      <rPr>
        <vertAlign val="subscript"/>
        <sz val="11"/>
        <color theme="1"/>
        <rFont val="Calibri"/>
        <family val="2"/>
        <scheme val="minor"/>
      </rPr>
      <t>SO2</t>
    </r>
    <r>
      <rPr>
        <sz val="11"/>
        <color theme="1"/>
        <rFont val="Calibri"/>
        <family val="2"/>
        <scheme val="minor"/>
      </rPr>
      <t xml:space="preserve"> = 15</t>
    </r>
  </si>
  <si>
    <r>
      <t>Solvent: Deionized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</si>
  <si>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P</t>
    </r>
    <r>
      <rPr>
        <vertAlign val="subscript"/>
        <sz val="11"/>
        <color theme="1"/>
        <rFont val="Calibri"/>
        <family val="2"/>
        <scheme val="minor"/>
      </rPr>
      <t>S2</t>
    </r>
    <r>
      <rPr>
        <sz val="11"/>
        <color theme="1"/>
        <rFont val="Calibri"/>
        <family val="2"/>
        <scheme val="minor"/>
      </rPr>
      <t>/P</t>
    </r>
    <r>
      <rPr>
        <vertAlign val="subscript"/>
        <sz val="11"/>
        <color theme="1"/>
        <rFont val="Calibri"/>
        <family val="2"/>
        <scheme val="minor"/>
      </rPr>
      <t>SO2</t>
    </r>
    <r>
      <rPr>
        <sz val="11"/>
        <color theme="1"/>
        <rFont val="Calibri"/>
        <family val="2"/>
        <scheme val="minor"/>
      </rPr>
      <t xml:space="preserve"> = 3</t>
    </r>
  </si>
  <si>
    <t>Table S24: Life cycle inventory for rare earth elements separation from bastnaesite via selective sulfidation</t>
  </si>
  <si>
    <t>Table S23: Life cycle inventory for iron-titanium separation from ilmenite via selective sulfidation</t>
  </si>
  <si>
    <t>Table S22: Life cycle inventory for zirconium-silicon separation from zircon via selective sulfidation</t>
  </si>
  <si>
    <t>Table S21: Operating conditions for rare earth elements separation from bastnaesite via selective sulfidation</t>
  </si>
  <si>
    <t>Table S20: Operating conditions for iron-titanium separation from ilmenite via selective sulfidation</t>
  </si>
  <si>
    <t>Table S19: Operating conditions for zirconium-silicon separation from zircon via selective sulfidation</t>
  </si>
  <si>
    <t>Table S18: Comparison of CAPEX, OPEX, and LCA burdens for sulfidation with and without pretreatments and CDSR</t>
  </si>
  <si>
    <t>Table S10: Physical separation of lithium ion battery elements facilitated by selective sulfidation</t>
  </si>
  <si>
    <t>Physical separation of lithium ion battery elements facilitated by selective sulfidation</t>
  </si>
  <si>
    <t>S29</t>
  </si>
  <si>
    <t>S30</t>
  </si>
  <si>
    <t>Not a considered a byproduct in alkali fusion process, so excluded here.  May be a byproduct in selective sulfidation.</t>
  </si>
  <si>
    <t>Not a considered a byproduct in sulfate process, so excluded here.  May be a byproduct in selective sulfidation.</t>
  </si>
  <si>
    <t>T = 800 °C</t>
  </si>
  <si>
    <t>T = 1000 °C</t>
  </si>
  <si>
    <t>T = 1200 °C</t>
  </si>
  <si>
    <t>T = 1400 °C</t>
  </si>
  <si>
    <t>T = 1600 °C</t>
  </si>
  <si>
    <t>Feed log(S2toSO2)</t>
  </si>
  <si>
    <t>Product PS2 / atm</t>
  </si>
  <si>
    <t>Product PSO2 / atm</t>
  </si>
  <si>
    <t>Product log(S2/SO2)</t>
  </si>
  <si>
    <t>CS2 Formation Supressed</t>
  </si>
  <si>
    <t>Feed MolC/MolSO2 = 0</t>
  </si>
  <si>
    <t>Feed MolC/MolSO2 = 2/3</t>
  </si>
  <si>
    <t>Feed MolC/MolSO2 = 4/3</t>
  </si>
  <si>
    <t>Feed MolC/MolSO2 = 5/3</t>
  </si>
  <si>
    <t>Feed MolC/MolSO2 = 5.5/3</t>
  </si>
  <si>
    <t>Feed MolC/MolSO2 = 6/3</t>
  </si>
  <si>
    <t>Feed MolC/MolSO2 = 6.0625/3</t>
  </si>
  <si>
    <t>Feed MolC/MolSO2 = 6.125/3</t>
  </si>
  <si>
    <t>Feed MolC/MolSO2 = 6.25/3</t>
  </si>
  <si>
    <t>Feed MolC/MolSO2 = 6.5/3</t>
  </si>
  <si>
    <t>Feed MolC/MolSO2 = 7/3</t>
  </si>
  <si>
    <t>Feed MolC/MolSO2 = 7.5/3</t>
  </si>
  <si>
    <t>Feed MolC/MolSO2 = 8/3</t>
  </si>
  <si>
    <t>Feed MolC/MolSO2 = 9/3</t>
  </si>
  <si>
    <t>Feed MolC/MolSO2 = 10/3</t>
  </si>
  <si>
    <t>Feed MolC/MolSO2 = 12/3</t>
  </si>
  <si>
    <t>Feed MolC/MolSO2 = 15/3</t>
  </si>
  <si>
    <t>Feed MolC/MolSO2 = 20/3</t>
  </si>
  <si>
    <t>Gangue in acid roasting / solvent extraction process, so excluded here.  May be a byproduct in selective sulfidation.</t>
  </si>
  <si>
    <t>Not allocated as a product in acid roasting / solvent extraction process, so excluded here.  May be a byproduct in selective sulfidation.</t>
  </si>
  <si>
    <t>Not allocated as a product in acid roasting / solvent extraction process, so excluded here. despite being a marketable product.  May be a byproduct in selective sulfidation.</t>
  </si>
  <si>
    <t>Pyrometallurgical Thermal Recuperator Efficiency</t>
  </si>
  <si>
    <r>
      <t>GWP Mean (kg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/ kg feed)</t>
    </r>
  </si>
  <si>
    <r>
      <t>WRD Standard Deviation (kg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/ kg feed)</t>
    </r>
  </si>
  <si>
    <r>
      <t>TA Standard Deviation (kg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/ kg feed)</t>
    </r>
  </si>
  <si>
    <r>
      <t>WRD Mean (kg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/ kg feed)</t>
    </r>
  </si>
  <si>
    <r>
      <t>TA Mean  (kg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/ kg feed)</t>
    </r>
  </si>
  <si>
    <r>
      <t>GWP Standard Deviation  (kg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/ kg feed)</t>
    </r>
  </si>
  <si>
    <t xml:space="preserve">Impact </t>
  </si>
  <si>
    <t>CAPEX Mean / tonne Feed</t>
  </si>
  <si>
    <t>CAPEX Standard Deviation / tonne Feed</t>
  </si>
  <si>
    <t>OPEX Mean / tonne Feed</t>
  </si>
  <si>
    <t>OPEX Standard Deviation / tonne Feed</t>
  </si>
  <si>
    <t>S31</t>
  </si>
  <si>
    <t>S32</t>
  </si>
  <si>
    <t xml:space="preserve">Rare Earth Bastnaesite Defluorination / Dethoriation </t>
  </si>
  <si>
    <t>Mixed rare earth oxide</t>
  </si>
  <si>
    <t>Water (air)</t>
  </si>
  <si>
    <t>Air</t>
  </si>
  <si>
    <t>2.39 kg</t>
  </si>
  <si>
    <t>0.1 kg</t>
  </si>
  <si>
    <t>0.11 kg</t>
  </si>
  <si>
    <t>Country</t>
  </si>
  <si>
    <t>Region</t>
  </si>
  <si>
    <t>United States</t>
  </si>
  <si>
    <t>Gulf Coast</t>
  </si>
  <si>
    <t>East Coast</t>
  </si>
  <si>
    <t>West Coast</t>
  </si>
  <si>
    <t>Midwest</t>
  </si>
  <si>
    <t>Ontario</t>
  </si>
  <si>
    <t>Fort McMurray</t>
  </si>
  <si>
    <t>Canada</t>
  </si>
  <si>
    <t>Mexico</t>
  </si>
  <si>
    <t>Brazil</t>
  </si>
  <si>
    <t>China</t>
  </si>
  <si>
    <t>Japan</t>
  </si>
  <si>
    <t>South East Asia</t>
  </si>
  <si>
    <t>Australia</t>
  </si>
  <si>
    <t>India</t>
  </si>
  <si>
    <t>Middle East</t>
  </si>
  <si>
    <t>France</t>
  </si>
  <si>
    <t>Germany</t>
  </si>
  <si>
    <t>Italy</t>
  </si>
  <si>
    <t>Netherlands</t>
  </si>
  <si>
    <t>Russia</t>
  </si>
  <si>
    <t>United Kingdom</t>
  </si>
  <si>
    <t>Scaling Factor (LF)</t>
  </si>
  <si>
    <t>S33</t>
  </si>
  <si>
    <t>Contributions to rare earth separation environmental impact with selective sulfidation</t>
  </si>
  <si>
    <t>Location factors for CAPEX</t>
  </si>
  <si>
    <t>Defluorination</t>
  </si>
  <si>
    <t>Dethoriation</t>
  </si>
  <si>
    <t>Transportation</t>
  </si>
  <si>
    <t>Total</t>
  </si>
  <si>
    <t>Processing Step</t>
  </si>
  <si>
    <t>Impact Category</t>
  </si>
  <si>
    <r>
      <t>WRD (kg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/ kg separated REO)</t>
    </r>
  </si>
  <si>
    <r>
      <t>TA (kg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 / kg separated REO)</t>
    </r>
  </si>
  <si>
    <r>
      <t>GWP (kg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 / kg separated REO)</t>
    </r>
  </si>
  <si>
    <t>Rare Earth Oxide (REO) Separation</t>
  </si>
  <si>
    <t>Environmental impacts of sulfidation LCA case studies</t>
  </si>
  <si>
    <t>Separation</t>
  </si>
  <si>
    <t>Zr-Si</t>
  </si>
  <si>
    <t>Ti-Fe</t>
  </si>
  <si>
    <t>Ln-Ln-Th</t>
  </si>
  <si>
    <t>Ilmenite</t>
  </si>
  <si>
    <t>Bastnaesite Concentrate</t>
  </si>
  <si>
    <t>Product</t>
  </si>
  <si>
    <r>
      <t>ZrO</t>
    </r>
    <r>
      <rPr>
        <vertAlign val="subscript"/>
        <sz val="11"/>
        <color theme="1"/>
        <rFont val="Calibri"/>
        <family val="2"/>
        <scheme val="minor"/>
      </rPr>
      <t>2</t>
    </r>
  </si>
  <si>
    <r>
      <t>TiO</t>
    </r>
    <r>
      <rPr>
        <vertAlign val="subscript"/>
        <sz val="11"/>
        <color theme="1"/>
        <rFont val="Calibri"/>
        <family val="2"/>
        <scheme val="minor"/>
      </rPr>
      <t>2</t>
    </r>
  </si>
  <si>
    <t>Functional Unit</t>
  </si>
  <si>
    <r>
      <t>1 kg ZrO</t>
    </r>
    <r>
      <rPr>
        <vertAlign val="subscript"/>
        <sz val="11"/>
        <color theme="1"/>
        <rFont val="Calibri"/>
        <family val="2"/>
        <scheme val="minor"/>
      </rPr>
      <t>2</t>
    </r>
  </si>
  <si>
    <r>
      <t>1 kg TiO</t>
    </r>
    <r>
      <rPr>
        <vertAlign val="subscript"/>
        <sz val="11"/>
        <color theme="1"/>
        <rFont val="Calibri"/>
        <family val="2"/>
        <scheme val="minor"/>
      </rPr>
      <t>2</t>
    </r>
  </si>
  <si>
    <t>1 kg of separated REO</t>
  </si>
  <si>
    <t>Process</t>
  </si>
  <si>
    <t>Alkali Fusion</t>
  </si>
  <si>
    <t>Selective Sulfidation</t>
  </si>
  <si>
    <t>Sulfate Process</t>
  </si>
  <si>
    <t>Acid Roasting / Solvent Extraction</t>
  </si>
  <si>
    <r>
      <t>P</t>
    </r>
    <r>
      <rPr>
        <vertAlign val="subscript"/>
        <sz val="11"/>
        <color theme="1"/>
        <rFont val="Calibri"/>
        <family val="2"/>
        <scheme val="minor"/>
      </rPr>
      <t>2.5%</t>
    </r>
    <r>
      <rPr>
        <sz val="11"/>
        <color theme="1"/>
        <rFont val="Calibri"/>
        <family val="2"/>
        <scheme val="minor"/>
      </rPr>
      <t xml:space="preserve"> GWP</t>
    </r>
  </si>
  <si>
    <r>
      <t>2 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</si>
  <si>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0.07 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</si>
  <si>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4.6 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</si>
  <si>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0.32 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</si>
  <si>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6.4 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</si>
  <si>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P</t>
    </r>
    <r>
      <rPr>
        <vertAlign val="subscript"/>
        <sz val="11"/>
        <color theme="1"/>
        <rFont val="Calibri"/>
        <family val="2"/>
        <scheme val="minor"/>
      </rPr>
      <t>50%</t>
    </r>
    <r>
      <rPr>
        <sz val="11"/>
        <color theme="1"/>
        <rFont val="Calibri"/>
        <family val="2"/>
        <scheme val="minor"/>
      </rPr>
      <t xml:space="preserve"> GWP</t>
    </r>
  </si>
  <si>
    <r>
      <t>2.7 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</si>
  <si>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0.12 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</si>
  <si>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5.2 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</si>
  <si>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0.53 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</si>
  <si>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32.8 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</si>
  <si>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8.1 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</si>
  <si>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P</t>
    </r>
    <r>
      <rPr>
        <vertAlign val="subscript"/>
        <sz val="11"/>
        <color theme="1"/>
        <rFont val="Calibri"/>
        <family val="2"/>
        <scheme val="minor"/>
      </rPr>
      <t>97.5%</t>
    </r>
    <r>
      <rPr>
        <sz val="11"/>
        <color theme="1"/>
        <rFont val="Calibri"/>
        <family val="2"/>
        <scheme val="minor"/>
      </rPr>
      <t xml:space="preserve"> GWP</t>
    </r>
  </si>
  <si>
    <r>
      <t>3.5 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</si>
  <si>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0.17 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</si>
  <si>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5.8 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</si>
  <si>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0.74 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</si>
  <si>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9.6 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</si>
  <si>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P</t>
    </r>
    <r>
      <rPr>
        <vertAlign val="subscript"/>
        <sz val="11"/>
        <color theme="1"/>
        <rFont val="Calibri"/>
        <family val="2"/>
        <scheme val="minor"/>
      </rPr>
      <t>2.5%</t>
    </r>
    <r>
      <rPr>
        <sz val="11"/>
        <color theme="1"/>
        <rFont val="Calibri"/>
        <family val="2"/>
        <scheme val="minor"/>
      </rPr>
      <t xml:space="preserve"> TA</t>
    </r>
  </si>
  <si>
    <r>
      <t>0.01 kg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</si>
  <si>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0.005 kg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</si>
  <si>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P</t>
    </r>
    <r>
      <rPr>
        <vertAlign val="subscript"/>
        <sz val="11"/>
        <color theme="1"/>
        <rFont val="Calibri"/>
        <family val="2"/>
        <scheme val="minor"/>
      </rPr>
      <t>50%</t>
    </r>
    <r>
      <rPr>
        <sz val="11"/>
        <color theme="1"/>
        <rFont val="Calibri"/>
        <family val="2"/>
        <scheme val="minor"/>
      </rPr>
      <t xml:space="preserve"> TA</t>
    </r>
  </si>
  <si>
    <r>
      <t>0.02 kg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</si>
  <si>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0.69 kg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</si>
  <si>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0.09 kg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</si>
  <si>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P</t>
    </r>
    <r>
      <rPr>
        <vertAlign val="subscript"/>
        <sz val="11"/>
        <color theme="1"/>
        <rFont val="Calibri"/>
        <family val="2"/>
        <scheme val="minor"/>
      </rPr>
      <t>97.5%</t>
    </r>
    <r>
      <rPr>
        <sz val="11"/>
        <color theme="1"/>
        <rFont val="Calibri"/>
        <family val="2"/>
        <scheme val="minor"/>
      </rPr>
      <t xml:space="preserve"> TA</t>
    </r>
  </si>
  <si>
    <r>
      <t>0.03 kg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</si>
  <si>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0.19 kg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</si>
  <si>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P</t>
    </r>
    <r>
      <rPr>
        <vertAlign val="subscript"/>
        <sz val="11"/>
        <color theme="1"/>
        <rFont val="Calibri"/>
        <family val="2"/>
        <scheme val="minor"/>
      </rPr>
      <t>2.5%</t>
    </r>
    <r>
      <rPr>
        <sz val="11"/>
        <color theme="1"/>
        <rFont val="Calibri"/>
        <family val="2"/>
        <scheme val="minor"/>
      </rPr>
      <t xml:space="preserve"> WRD</t>
    </r>
  </si>
  <si>
    <r>
      <t>6 kg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</si>
  <si>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9 kg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</si>
  <si>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47 kg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</si>
  <si>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P</t>
    </r>
    <r>
      <rPr>
        <vertAlign val="subscript"/>
        <sz val="11"/>
        <color theme="1"/>
        <rFont val="Calibri"/>
        <family val="2"/>
        <scheme val="minor"/>
      </rPr>
      <t>50%</t>
    </r>
    <r>
      <rPr>
        <sz val="11"/>
        <color theme="1"/>
        <rFont val="Calibri"/>
        <family val="2"/>
        <scheme val="minor"/>
      </rPr>
      <t xml:space="preserve"> WRD</t>
    </r>
  </si>
  <si>
    <r>
      <t>15 kg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</si>
  <si>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18 kg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</si>
  <si>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477 kg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</si>
  <si>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79 kg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</si>
  <si>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P</t>
    </r>
    <r>
      <rPr>
        <vertAlign val="subscript"/>
        <sz val="11"/>
        <color theme="1"/>
        <rFont val="Calibri"/>
        <family val="2"/>
        <scheme val="minor"/>
      </rPr>
      <t>97.5%</t>
    </r>
    <r>
      <rPr>
        <sz val="11"/>
        <color theme="1"/>
        <rFont val="Calibri"/>
        <family val="2"/>
        <scheme val="minor"/>
      </rPr>
      <t xml:space="preserve"> WRD</t>
    </r>
  </si>
  <si>
    <r>
      <t>24 kg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</si>
  <si>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26 kg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</si>
  <si>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110 kg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</si>
  <si>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t>Nuss</t>
  </si>
  <si>
    <t>This Study</t>
  </si>
  <si>
    <t>Bailey</t>
  </si>
  <si>
    <t>Separated Rare Earth Oxide (REO)</t>
  </si>
  <si>
    <t>Table S14: Capital cost curves and scaling factors</t>
  </si>
  <si>
    <t>Table S11: Lithium ion battery cathode selective sulfidation products</t>
  </si>
  <si>
    <t>Table S12: Lanthanum oxyfluoride synthesis and sulfidation products</t>
  </si>
  <si>
    <t>Table S13: Lanthanum phosphate sulfidation products</t>
  </si>
  <si>
    <t>Table S15: Monte Carlo parameters for sensitivity analysis of hydrometallurgy CAPEX</t>
  </si>
  <si>
    <t>Table S16: Chemistry-coupled Monte Carlo parameters for sensitivity analysis of sulfidation CAPEX, OPEX, and LCA</t>
  </si>
  <si>
    <t>Table S17: Chemistry-independent Monte Carlo parameters for sensitivity analysis of sulfidation CAPEX, OPEX, and LCA</t>
  </si>
  <si>
    <t>Table S25: Allocation Data</t>
  </si>
  <si>
    <t>Table S26: Environmental impacts of sulfidation LCA case studies</t>
  </si>
  <si>
    <t>Table S27: Contributions to rare earth separation environmental impact with selective sulfidation</t>
  </si>
  <si>
    <t>Table S31: Gas volume data</t>
  </si>
  <si>
    <t>Table S30: Thermodynamic data for iron-titanium separation</t>
  </si>
  <si>
    <t>Table S29: Thermodynamic data for zirconium-silicon separation</t>
  </si>
  <si>
    <r>
      <t>calculated</t>
    </r>
    <r>
      <rPr>
        <vertAlign val="superscript"/>
        <sz val="11"/>
        <color theme="1"/>
        <rFont val="Calibri"/>
        <family val="2"/>
        <scheme val="minor"/>
      </rPr>
      <t>71</t>
    </r>
  </si>
  <si>
    <r>
      <t>REO D</t>
    </r>
    <r>
      <rPr>
        <vertAlign val="subscript"/>
        <sz val="12"/>
        <color rgb="FF000000"/>
        <rFont val="Calibri"/>
        <family val="2"/>
        <scheme val="minor"/>
      </rPr>
      <t>g</t>
    </r>
    <r>
      <rPr>
        <sz val="12"/>
        <color rgb="FF000000"/>
        <rFont val="Calibri"/>
        <family val="2"/>
        <scheme val="minor"/>
      </rPr>
      <t xml:space="preserve"> at T</t>
    </r>
    <r>
      <rPr>
        <vertAlign val="subscript"/>
        <sz val="12"/>
        <color rgb="FF000000"/>
        <rFont val="Calibri"/>
        <family val="2"/>
        <scheme val="minor"/>
      </rPr>
      <t>Rxn</t>
    </r>
    <r>
      <rPr>
        <sz val="12"/>
        <color rgb="FF000000"/>
        <rFont val="Calibri"/>
        <family val="2"/>
        <scheme val="minor"/>
      </rPr>
      <t xml:space="preserve"> / T</t>
    </r>
    <r>
      <rPr>
        <vertAlign val="subscript"/>
        <sz val="12"/>
        <color rgb="FF000000"/>
        <rFont val="Calibri"/>
        <family val="2"/>
        <scheme val="minor"/>
      </rPr>
      <t>M,O</t>
    </r>
    <r>
      <rPr>
        <sz val="12"/>
        <color rgb="FF000000"/>
        <rFont val="Calibri"/>
        <family val="2"/>
        <scheme val="minor"/>
      </rPr>
      <t xml:space="preserve"> </t>
    </r>
    <r>
      <rPr>
        <vertAlign val="superscript"/>
        <sz val="12"/>
        <color rgb="FF000000"/>
        <rFont val="Calibri"/>
        <family val="2"/>
        <scheme val="minor"/>
      </rPr>
      <t>70</t>
    </r>
  </si>
  <si>
    <r>
      <t>Calculated</t>
    </r>
    <r>
      <rPr>
        <vertAlign val="superscript"/>
        <sz val="11"/>
        <color theme="1"/>
        <rFont val="Calibri"/>
        <family val="2"/>
        <scheme val="minor"/>
      </rPr>
      <t>78</t>
    </r>
  </si>
  <si>
    <r>
      <t>Calculated</t>
    </r>
    <r>
      <rPr>
        <vertAlign val="superscript"/>
        <sz val="11"/>
        <color theme="1"/>
        <rFont val="Calibri"/>
        <family val="2"/>
        <scheme val="minor"/>
      </rPr>
      <t>87</t>
    </r>
  </si>
  <si>
    <t>Reference</t>
  </si>
  <si>
    <t>Calculated - mass balance</t>
  </si>
  <si>
    <t>Calculated - 48,85,90</t>
  </si>
  <si>
    <t>Calculated, ecoinvent global average, natural gas combustion combined cycle power plant 90</t>
  </si>
  <si>
    <t>Calculated - ecoinvent global average, natural gas combustion combined cycle power plant 90</t>
  </si>
  <si>
    <t>Calculated, mass balance</t>
  </si>
  <si>
    <t>Calculated, ecoinvent, Inner Mongolia, fuel oil combustion power plant 90</t>
  </si>
  <si>
    <t>Calculated, natural gas combusion, 90,94</t>
  </si>
  <si>
    <r>
      <t>Attributed based on mass in published</t>
    </r>
    <r>
      <rPr>
        <vertAlign val="superscript"/>
        <sz val="11"/>
        <color theme="1"/>
        <rFont val="Calibri"/>
        <family val="2"/>
        <scheme val="minor"/>
      </rPr>
      <t>49</t>
    </r>
    <r>
      <rPr>
        <sz val="11"/>
        <color theme="1"/>
        <rFont val="Calibri"/>
        <family val="2"/>
        <scheme val="minor"/>
      </rPr>
      <t xml:space="preserve"> alkali fusion process despite not being separated from hafnia</t>
    </r>
  </si>
  <si>
    <r>
      <t>Attributed based on mass in published</t>
    </r>
    <r>
      <rPr>
        <vertAlign val="superscript"/>
        <sz val="11"/>
        <color theme="1"/>
        <rFont val="Calibri"/>
        <family val="2"/>
        <scheme val="minor"/>
      </rPr>
      <t>49</t>
    </r>
    <r>
      <rPr>
        <sz val="11"/>
        <color theme="1"/>
        <rFont val="Calibri"/>
        <family val="2"/>
        <scheme val="minor"/>
      </rPr>
      <t xml:space="preserve"> alkali fusion process despite not being separated from zirconia</t>
    </r>
  </si>
  <si>
    <r>
      <t>Full allocation to TiO2 to support fair comparison with published</t>
    </r>
    <r>
      <rPr>
        <vertAlign val="superscript"/>
        <sz val="11"/>
        <color theme="1"/>
        <rFont val="Calibri"/>
        <family val="2"/>
        <scheme val="minor"/>
      </rPr>
      <t>49</t>
    </r>
    <r>
      <rPr>
        <sz val="11"/>
        <color theme="1"/>
        <rFont val="Calibri"/>
        <family val="2"/>
        <scheme val="minor"/>
      </rPr>
      <t xml:space="preserve"> sulfate process</t>
    </r>
  </si>
  <si>
    <r>
      <t>Full allocation to separated oxides to support fair comparison with the reference flow from published</t>
    </r>
    <r>
      <rPr>
        <vertAlign val="superscript"/>
        <sz val="11"/>
        <color theme="1"/>
        <rFont val="Calibri"/>
        <family val="2"/>
        <scheme val="minor"/>
      </rPr>
      <t>49</t>
    </r>
    <r>
      <rPr>
        <sz val="11"/>
        <color theme="1"/>
        <rFont val="Calibri"/>
        <family val="2"/>
        <scheme val="minor"/>
      </rPr>
      <t xml:space="preserve"> acid roasting / solvent extraction process, no allocation between individual oxides (Supplemental)</t>
    </r>
  </si>
  <si>
    <r>
      <t>Table S33: Location factors</t>
    </r>
    <r>
      <rPr>
        <b/>
        <vertAlign val="superscript"/>
        <sz val="11"/>
        <color theme="1"/>
        <rFont val="Calibri"/>
        <family val="2"/>
        <scheme val="minor"/>
      </rPr>
      <t>76</t>
    </r>
    <r>
      <rPr>
        <b/>
        <sz val="11"/>
        <color theme="1"/>
        <rFont val="Calibri"/>
        <family val="2"/>
        <scheme val="minor"/>
      </rPr>
      <t xml:space="preserve"> for CAPEX</t>
    </r>
  </si>
  <si>
    <t>Imported tech</t>
  </si>
  <si>
    <t>Local tech</t>
  </si>
  <si>
    <t>Nitrogen Oxide NO</t>
  </si>
  <si>
    <t>Carbon monoxide CO</t>
  </si>
  <si>
    <t>Reference numbering corresponds to bibliographies in main, methods, and supplemental materials.</t>
  </si>
  <si>
    <t>48,79,91</t>
  </si>
  <si>
    <t>Supplementary Data File</t>
  </si>
  <si>
    <t>Thermodynamic data for technoeconomic and sustainability analysis of generalized process</t>
  </si>
  <si>
    <t>Table S28: Thermodynamic data for technoeconomic and sustainability analysis of generalized process</t>
  </si>
  <si>
    <t>Equilibrium carbon-oxygen-sulfur gas phase interactions with CS2 formation suppressed</t>
  </si>
  <si>
    <t>Table S32: Equilibrium carbon-oxygen-sulfur gas phase interactions with CS2 formation suppressed</t>
  </si>
  <si>
    <t>Bastnaesite oxide Ln2O3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</si>
</sst>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0.0E+00"/>
    <numFmt numFmtId="166" formatCode="0.000"/>
    <numFmt numFmtId="167" formatCode="0.0"/>
    <numFmt numFmtId="168" formatCode="0.0000"/>
    <numFmt numFmtId="169" formatCode="0.00000"/>
    <numFmt numFmtId="170" formatCode="0E+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bscript"/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Border="1" applyAlignment="1"/>
    <xf numFmtId="9" fontId="0" fillId="0" borderId="1" xfId="0" applyNumberFormat="1" applyBorder="1" applyAlignment="1">
      <alignment horizontal="center"/>
    </xf>
    <xf numFmtId="0" fontId="0" fillId="0" borderId="1" xfId="0" applyFill="1" applyBorder="1" applyAlignment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Font="1" applyBorder="1" applyAlignment="1">
      <alignment vertical="center"/>
    </xf>
    <xf numFmtId="10" fontId="0" fillId="0" borderId="1" xfId="0" applyNumberFormat="1" applyFont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0" borderId="0" xfId="0" applyFont="1" applyBorder="1" applyAlignment="1"/>
    <xf numFmtId="0" fontId="3" fillId="0" borderId="1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/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Font="1" applyBorder="1"/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/>
    <xf numFmtId="0" fontId="0" fillId="3" borderId="1" xfId="0" applyFont="1" applyFill="1" applyBorder="1"/>
    <xf numFmtId="0" fontId="0" fillId="2" borderId="5" xfId="0" applyFont="1" applyFill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horizontal="center"/>
    </xf>
    <xf numFmtId="1" fontId="0" fillId="0" borderId="1" xfId="0" applyNumberFormat="1" applyBorder="1"/>
    <xf numFmtId="9" fontId="0" fillId="0" borderId="1" xfId="1" applyFont="1" applyBorder="1"/>
    <xf numFmtId="11" fontId="0" fillId="0" borderId="1" xfId="0" applyNumberFormat="1" applyBorder="1"/>
    <xf numFmtId="165" fontId="0" fillId="0" borderId="1" xfId="0" applyNumberFormat="1" applyBorder="1"/>
    <xf numFmtId="0" fontId="0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166" fontId="0" fillId="0" borderId="1" xfId="0" applyNumberFormat="1" applyBorder="1"/>
    <xf numFmtId="2" fontId="0" fillId="0" borderId="1" xfId="0" applyNumberFormat="1" applyBorder="1"/>
    <xf numFmtId="0" fontId="0" fillId="0" borderId="1" xfId="0" quotePrefix="1" applyBorder="1"/>
    <xf numFmtId="0" fontId="0" fillId="0" borderId="1" xfId="0" quotePrefix="1" applyBorder="1" applyAlignment="1">
      <alignment horizontal="center"/>
    </xf>
    <xf numFmtId="0" fontId="0" fillId="0" borderId="0" xfId="0" applyBorder="1" applyAlignment="1"/>
    <xf numFmtId="164" fontId="0" fillId="0" borderId="1" xfId="1" applyNumberFormat="1" applyFon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167" fontId="0" fillId="0" borderId="1" xfId="0" applyNumberFormat="1" applyBorder="1"/>
    <xf numFmtId="0" fontId="0" fillId="0" borderId="1" xfId="0" applyFill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68" fontId="0" fillId="0" borderId="1" xfId="0" applyNumberFormat="1" applyBorder="1" applyAlignment="1">
      <alignment horizontal="right"/>
    </xf>
    <xf numFmtId="0" fontId="0" fillId="0" borderId="1" xfId="0" applyFont="1" applyBorder="1"/>
    <xf numFmtId="0" fontId="11" fillId="0" borderId="1" xfId="0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9" fontId="0" fillId="0" borderId="1" xfId="0" applyNumberFormat="1" applyBorder="1"/>
    <xf numFmtId="0" fontId="0" fillId="0" borderId="0" xfId="0" applyFont="1"/>
    <xf numFmtId="0" fontId="0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vertical="top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3" borderId="5" xfId="0" applyFont="1" applyFill="1" applyBorder="1" applyAlignment="1">
      <alignment vertical="center"/>
    </xf>
    <xf numFmtId="0" fontId="0" fillId="0" borderId="8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Fill="1" applyBorder="1"/>
    <xf numFmtId="2" fontId="0" fillId="0" borderId="1" xfId="0" applyNumberFormat="1" applyFill="1" applyBorder="1"/>
    <xf numFmtId="167" fontId="0" fillId="0" borderId="1" xfId="0" applyNumberFormat="1" applyFill="1" applyBorder="1" applyAlignment="1">
      <alignment horizontal="right"/>
    </xf>
    <xf numFmtId="169" fontId="0" fillId="0" borderId="1" xfId="0" applyNumberFormat="1" applyBorder="1"/>
    <xf numFmtId="168" fontId="0" fillId="0" borderId="1" xfId="0" applyNumberFormat="1" applyBorder="1"/>
    <xf numFmtId="0" fontId="0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Border="1"/>
    <xf numFmtId="0" fontId="0" fillId="3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top"/>
    </xf>
    <xf numFmtId="0" fontId="0" fillId="3" borderId="5" xfId="0" applyFont="1" applyFill="1" applyBorder="1" applyAlignment="1">
      <alignment horizontal="center" vertical="top"/>
    </xf>
    <xf numFmtId="0" fontId="0" fillId="3" borderId="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70" fontId="0" fillId="0" borderId="1" xfId="0" applyNumberFormat="1" applyBorder="1"/>
    <xf numFmtId="0" fontId="0" fillId="0" borderId="0" xfId="0" applyFill="1" applyBorder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vertical="center"/>
    </xf>
    <xf numFmtId="0" fontId="0" fillId="3" borderId="9" xfId="0" applyFont="1" applyFill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 textRotation="90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2" borderId="7" xfId="0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5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40"/>
  <sheetViews>
    <sheetView tabSelected="1" workbookViewId="0"/>
  </sheetViews>
  <sheetFormatPr defaultRowHeight="15" x14ac:dyDescent="0.25"/>
  <cols>
    <col min="3" max="3" width="99.28515625" bestFit="1" customWidth="1"/>
  </cols>
  <sheetData>
    <row r="2" spans="2:3" x14ac:dyDescent="0.25">
      <c r="B2" s="103" t="s">
        <v>930</v>
      </c>
      <c r="C2" s="103"/>
    </row>
    <row r="3" spans="2:3" x14ac:dyDescent="0.25">
      <c r="B3" s="97" t="s">
        <v>249</v>
      </c>
      <c r="C3" s="97" t="s">
        <v>250</v>
      </c>
    </row>
    <row r="4" spans="2:3" x14ac:dyDescent="0.25">
      <c r="B4" s="1" t="s">
        <v>251</v>
      </c>
      <c r="C4" s="1" t="s">
        <v>465</v>
      </c>
    </row>
    <row r="5" spans="2:3" x14ac:dyDescent="0.25">
      <c r="B5" s="1" t="s">
        <v>147</v>
      </c>
      <c r="C5" s="1" t="s">
        <v>256</v>
      </c>
    </row>
    <row r="6" spans="2:3" x14ac:dyDescent="0.25">
      <c r="B6" s="1" t="s">
        <v>254</v>
      </c>
      <c r="C6" s="1" t="s">
        <v>255</v>
      </c>
    </row>
    <row r="7" spans="2:3" x14ac:dyDescent="0.25">
      <c r="B7" s="1" t="s">
        <v>299</v>
      </c>
      <c r="C7" s="1" t="s">
        <v>300</v>
      </c>
    </row>
    <row r="8" spans="2:3" x14ac:dyDescent="0.25">
      <c r="B8" s="1" t="s">
        <v>301</v>
      </c>
      <c r="C8" s="1" t="s">
        <v>307</v>
      </c>
    </row>
    <row r="9" spans="2:3" x14ac:dyDescent="0.25">
      <c r="B9" s="1" t="s">
        <v>302</v>
      </c>
      <c r="C9" s="1" t="s">
        <v>323</v>
      </c>
    </row>
    <row r="10" spans="2:3" x14ac:dyDescent="0.25">
      <c r="B10" s="1" t="s">
        <v>303</v>
      </c>
      <c r="C10" s="1" t="s">
        <v>321</v>
      </c>
    </row>
    <row r="11" spans="2:3" x14ac:dyDescent="0.25">
      <c r="B11" s="1" t="s">
        <v>304</v>
      </c>
      <c r="C11" s="1" t="s">
        <v>324</v>
      </c>
    </row>
    <row r="12" spans="2:3" x14ac:dyDescent="0.25">
      <c r="B12" s="1" t="s">
        <v>305</v>
      </c>
      <c r="C12" s="1" t="s">
        <v>325</v>
      </c>
    </row>
    <row r="13" spans="2:3" x14ac:dyDescent="0.25">
      <c r="B13" s="1" t="s">
        <v>340</v>
      </c>
      <c r="C13" s="80" t="s">
        <v>734</v>
      </c>
    </row>
    <row r="14" spans="2:3" x14ac:dyDescent="0.25">
      <c r="B14" s="1" t="s">
        <v>363</v>
      </c>
      <c r="C14" s="1" t="s">
        <v>341</v>
      </c>
    </row>
    <row r="15" spans="2:3" x14ac:dyDescent="0.25">
      <c r="B15" s="1" t="s">
        <v>365</v>
      </c>
      <c r="C15" s="1" t="s">
        <v>381</v>
      </c>
    </row>
    <row r="16" spans="2:3" x14ac:dyDescent="0.25">
      <c r="B16" s="1" t="s">
        <v>389</v>
      </c>
      <c r="C16" s="1" t="s">
        <v>364</v>
      </c>
    </row>
    <row r="17" spans="2:3" x14ac:dyDescent="0.25">
      <c r="B17" s="1" t="s">
        <v>390</v>
      </c>
      <c r="C17" s="1" t="s">
        <v>392</v>
      </c>
    </row>
    <row r="18" spans="2:3" x14ac:dyDescent="0.25">
      <c r="B18" s="1" t="s">
        <v>391</v>
      </c>
      <c r="C18" s="1" t="s">
        <v>394</v>
      </c>
    </row>
    <row r="19" spans="2:3" x14ac:dyDescent="0.25">
      <c r="B19" s="1" t="s">
        <v>393</v>
      </c>
      <c r="C19" s="1" t="s">
        <v>396</v>
      </c>
    </row>
    <row r="20" spans="2:3" x14ac:dyDescent="0.25">
      <c r="B20" s="1" t="s">
        <v>395</v>
      </c>
      <c r="C20" s="1" t="s">
        <v>397</v>
      </c>
    </row>
    <row r="21" spans="2:3" x14ac:dyDescent="0.25">
      <c r="B21" s="1" t="s">
        <v>398</v>
      </c>
      <c r="C21" s="1" t="s">
        <v>406</v>
      </c>
    </row>
    <row r="22" spans="2:3" x14ac:dyDescent="0.25">
      <c r="B22" s="1" t="s">
        <v>405</v>
      </c>
      <c r="C22" s="1" t="s">
        <v>459</v>
      </c>
    </row>
    <row r="23" spans="2:3" x14ac:dyDescent="0.25">
      <c r="B23" s="1" t="s">
        <v>413</v>
      </c>
      <c r="C23" s="1" t="s">
        <v>460</v>
      </c>
    </row>
    <row r="24" spans="2:3" x14ac:dyDescent="0.25">
      <c r="B24" s="1" t="s">
        <v>414</v>
      </c>
      <c r="C24" s="1" t="s">
        <v>461</v>
      </c>
    </row>
    <row r="25" spans="2:3" x14ac:dyDescent="0.25">
      <c r="B25" s="1" t="s">
        <v>415</v>
      </c>
      <c r="C25" s="1" t="s">
        <v>462</v>
      </c>
    </row>
    <row r="26" spans="2:3" x14ac:dyDescent="0.25">
      <c r="B26" s="1" t="s">
        <v>416</v>
      </c>
      <c r="C26" s="1" t="s">
        <v>463</v>
      </c>
    </row>
    <row r="27" spans="2:3" x14ac:dyDescent="0.25">
      <c r="B27" s="1" t="s">
        <v>417</v>
      </c>
      <c r="C27" s="1" t="s">
        <v>464</v>
      </c>
    </row>
    <row r="28" spans="2:3" x14ac:dyDescent="0.25">
      <c r="B28" s="1" t="s">
        <v>418</v>
      </c>
      <c r="C28" s="4" t="s">
        <v>675</v>
      </c>
    </row>
    <row r="29" spans="2:3" x14ac:dyDescent="0.25">
      <c r="B29" s="1" t="s">
        <v>419</v>
      </c>
      <c r="C29" s="1" t="s">
        <v>829</v>
      </c>
    </row>
    <row r="30" spans="2:3" x14ac:dyDescent="0.25">
      <c r="B30" s="1" t="s">
        <v>420</v>
      </c>
      <c r="C30" s="1" t="s">
        <v>817</v>
      </c>
    </row>
    <row r="31" spans="2:3" x14ac:dyDescent="0.25">
      <c r="B31" s="4" t="s">
        <v>674</v>
      </c>
      <c r="C31" s="1" t="s">
        <v>931</v>
      </c>
    </row>
    <row r="32" spans="2:3" x14ac:dyDescent="0.25">
      <c r="B32" s="4" t="s">
        <v>735</v>
      </c>
      <c r="C32" s="1" t="s">
        <v>667</v>
      </c>
    </row>
    <row r="33" spans="1:3" x14ac:dyDescent="0.25">
      <c r="B33" s="4" t="s">
        <v>736</v>
      </c>
      <c r="C33" s="1" t="s">
        <v>668</v>
      </c>
    </row>
    <row r="34" spans="1:3" x14ac:dyDescent="0.25">
      <c r="B34" s="4" t="s">
        <v>782</v>
      </c>
      <c r="C34" s="1" t="s">
        <v>629</v>
      </c>
    </row>
    <row r="35" spans="1:3" x14ac:dyDescent="0.25">
      <c r="B35" s="4" t="s">
        <v>783</v>
      </c>
      <c r="C35" s="4" t="s">
        <v>933</v>
      </c>
    </row>
    <row r="36" spans="1:3" x14ac:dyDescent="0.25">
      <c r="B36" s="4" t="s">
        <v>816</v>
      </c>
      <c r="C36" s="91" t="s">
        <v>818</v>
      </c>
    </row>
    <row r="37" spans="1:3" x14ac:dyDescent="0.25">
      <c r="A37" s="57"/>
      <c r="B37" s="101"/>
      <c r="C37" s="102"/>
    </row>
    <row r="38" spans="1:3" x14ac:dyDescent="0.25">
      <c r="C38" s="97" t="s">
        <v>928</v>
      </c>
    </row>
    <row r="40" spans="1:3" x14ac:dyDescent="0.25">
      <c r="C40" t="s">
        <v>669</v>
      </c>
    </row>
  </sheetData>
  <mergeCells count="1">
    <mergeCell ref="B2:C2"/>
  </mergeCells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F5"/>
  <sheetViews>
    <sheetView workbookViewId="0">
      <selection activeCell="B2" sqref="B2:F2"/>
    </sheetView>
  </sheetViews>
  <sheetFormatPr defaultRowHeight="15" x14ac:dyDescent="0.25"/>
  <cols>
    <col min="2" max="2" width="21" bestFit="1" customWidth="1"/>
  </cols>
  <sheetData>
    <row r="2" spans="2:6" x14ac:dyDescent="0.25">
      <c r="B2" s="103" t="s">
        <v>458</v>
      </c>
      <c r="C2" s="103"/>
      <c r="D2" s="103"/>
      <c r="E2" s="103"/>
      <c r="F2" s="103"/>
    </row>
    <row r="3" spans="2:6" x14ac:dyDescent="0.25">
      <c r="B3" s="113" t="s">
        <v>306</v>
      </c>
      <c r="C3" s="112" t="s">
        <v>313</v>
      </c>
      <c r="D3" s="112"/>
      <c r="E3" s="112"/>
      <c r="F3" s="112"/>
    </row>
    <row r="4" spans="2:6" ht="18" x14ac:dyDescent="0.35">
      <c r="B4" s="113"/>
      <c r="C4" s="29" t="s">
        <v>336</v>
      </c>
      <c r="D4" s="29" t="s">
        <v>337</v>
      </c>
      <c r="E4" s="19" t="s">
        <v>338</v>
      </c>
      <c r="F4" s="29" t="s">
        <v>339</v>
      </c>
    </row>
    <row r="5" spans="2:6" ht="18" x14ac:dyDescent="0.35">
      <c r="B5" s="1" t="s">
        <v>329</v>
      </c>
      <c r="C5" s="7">
        <v>0</v>
      </c>
      <c r="D5" s="7">
        <v>0</v>
      </c>
      <c r="E5" s="7">
        <v>0</v>
      </c>
      <c r="F5" s="32" t="s">
        <v>333</v>
      </c>
    </row>
  </sheetData>
  <mergeCells count="3">
    <mergeCell ref="B3:B4"/>
    <mergeCell ref="C3:F3"/>
    <mergeCell ref="B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H24"/>
  <sheetViews>
    <sheetView workbookViewId="0">
      <selection activeCell="F4" sqref="F4:H24"/>
    </sheetView>
  </sheetViews>
  <sheetFormatPr defaultColWidth="9.140625" defaultRowHeight="15" x14ac:dyDescent="0.25"/>
  <cols>
    <col min="1" max="1" width="9.140625" style="74"/>
    <col min="2" max="2" width="23.5703125" style="74" bestFit="1" customWidth="1"/>
    <col min="3" max="3" width="21" style="74" bestFit="1" customWidth="1"/>
    <col min="4" max="4" width="18.28515625" style="74" bestFit="1" customWidth="1"/>
    <col min="5" max="5" width="24.85546875" style="74" bestFit="1" customWidth="1"/>
    <col min="6" max="6" width="14.5703125" style="74" bestFit="1" customWidth="1"/>
    <col min="7" max="7" width="8.28515625" style="74" bestFit="1" customWidth="1"/>
    <col min="8" max="8" width="9.140625" style="74" bestFit="1" customWidth="1"/>
    <col min="9" max="16384" width="9.140625" style="74"/>
  </cols>
  <sheetData>
    <row r="2" spans="2:8" x14ac:dyDescent="0.25">
      <c r="B2" s="103" t="s">
        <v>733</v>
      </c>
      <c r="C2" s="103"/>
      <c r="D2" s="103"/>
      <c r="E2" s="103"/>
      <c r="F2" s="103"/>
      <c r="G2" s="103"/>
      <c r="H2" s="103"/>
    </row>
    <row r="3" spans="2:8" x14ac:dyDescent="0.25">
      <c r="B3" s="24" t="s">
        <v>1</v>
      </c>
      <c r="C3" s="24" t="s">
        <v>306</v>
      </c>
      <c r="D3" s="24" t="s">
        <v>694</v>
      </c>
      <c r="E3" s="24" t="s">
        <v>695</v>
      </c>
      <c r="F3" s="24" t="s">
        <v>696</v>
      </c>
      <c r="G3" s="24" t="s">
        <v>697</v>
      </c>
      <c r="H3" s="24" t="s">
        <v>698</v>
      </c>
    </row>
    <row r="4" spans="2:8" x14ac:dyDescent="0.25">
      <c r="B4" s="117" t="s">
        <v>720</v>
      </c>
      <c r="C4" s="118" t="s">
        <v>109</v>
      </c>
      <c r="D4" s="117" t="s">
        <v>699</v>
      </c>
      <c r="E4" s="77" t="s">
        <v>700</v>
      </c>
      <c r="F4" s="120" t="s">
        <v>2</v>
      </c>
      <c r="G4" s="92" t="s">
        <v>705</v>
      </c>
      <c r="H4" s="121">
        <v>0.184</v>
      </c>
    </row>
    <row r="5" spans="2:8" ht="17.25" x14ac:dyDescent="0.25">
      <c r="B5" s="114"/>
      <c r="C5" s="119"/>
      <c r="D5" s="114"/>
      <c r="E5" s="78" t="s">
        <v>721</v>
      </c>
      <c r="F5" s="115"/>
      <c r="G5" s="93" t="s">
        <v>706</v>
      </c>
      <c r="H5" s="116"/>
    </row>
    <row r="6" spans="2:8" x14ac:dyDescent="0.25">
      <c r="B6" s="114"/>
      <c r="C6" s="119"/>
      <c r="D6" s="114"/>
      <c r="E6" s="78" t="s">
        <v>701</v>
      </c>
      <c r="F6" s="115"/>
      <c r="G6" s="94"/>
      <c r="H6" s="116"/>
    </row>
    <row r="7" spans="2:8" x14ac:dyDescent="0.25">
      <c r="B7" s="114"/>
      <c r="C7" s="119"/>
      <c r="D7" s="114"/>
      <c r="E7" s="78" t="s">
        <v>702</v>
      </c>
      <c r="F7" s="115"/>
      <c r="G7" s="94"/>
      <c r="H7" s="116"/>
    </row>
    <row r="8" spans="2:8" x14ac:dyDescent="0.25">
      <c r="B8" s="114"/>
      <c r="C8" s="119"/>
      <c r="D8" s="114"/>
      <c r="E8" s="78" t="s">
        <v>703</v>
      </c>
      <c r="F8" s="115"/>
      <c r="G8" s="94"/>
      <c r="H8" s="116"/>
    </row>
    <row r="9" spans="2:8" x14ac:dyDescent="0.25">
      <c r="B9" s="114"/>
      <c r="C9" s="119"/>
      <c r="D9" s="114"/>
      <c r="E9" s="79" t="s">
        <v>704</v>
      </c>
      <c r="F9" s="115"/>
      <c r="G9" s="95"/>
      <c r="H9" s="116"/>
    </row>
    <row r="10" spans="2:8" x14ac:dyDescent="0.25">
      <c r="B10" s="114" t="s">
        <v>722</v>
      </c>
      <c r="C10" s="75" t="s">
        <v>707</v>
      </c>
      <c r="D10" s="114" t="s">
        <v>708</v>
      </c>
      <c r="E10" s="77" t="s">
        <v>700</v>
      </c>
      <c r="F10" s="115" t="s">
        <v>478</v>
      </c>
      <c r="G10" s="92" t="s">
        <v>711</v>
      </c>
      <c r="H10" s="116">
        <v>0.83</v>
      </c>
    </row>
    <row r="11" spans="2:8" ht="18" x14ac:dyDescent="0.25">
      <c r="B11" s="114"/>
      <c r="C11" s="75" t="s">
        <v>723</v>
      </c>
      <c r="D11" s="114"/>
      <c r="E11" s="78" t="s">
        <v>724</v>
      </c>
      <c r="F11" s="115"/>
      <c r="G11" s="93" t="s">
        <v>712</v>
      </c>
      <c r="H11" s="116"/>
    </row>
    <row r="12" spans="2:8" x14ac:dyDescent="0.25">
      <c r="B12" s="114"/>
      <c r="C12" s="75"/>
      <c r="D12" s="114"/>
      <c r="E12" s="78" t="s">
        <v>709</v>
      </c>
      <c r="F12" s="115"/>
      <c r="G12" s="94"/>
      <c r="H12" s="116"/>
    </row>
    <row r="13" spans="2:8" x14ac:dyDescent="0.25">
      <c r="B13" s="114"/>
      <c r="C13" s="76"/>
      <c r="D13" s="114"/>
      <c r="E13" s="78" t="s">
        <v>702</v>
      </c>
      <c r="F13" s="115"/>
      <c r="G13" s="94"/>
      <c r="H13" s="116"/>
    </row>
    <row r="14" spans="2:8" x14ac:dyDescent="0.25">
      <c r="B14" s="114"/>
      <c r="C14" s="76"/>
      <c r="D14" s="114"/>
      <c r="E14" s="78" t="s">
        <v>701</v>
      </c>
      <c r="F14" s="115"/>
      <c r="G14" s="94"/>
      <c r="H14" s="116"/>
    </row>
    <row r="15" spans="2:8" x14ac:dyDescent="0.25">
      <c r="B15" s="114"/>
      <c r="C15" s="76"/>
      <c r="D15" s="114"/>
      <c r="E15" s="79" t="s">
        <v>710</v>
      </c>
      <c r="F15" s="115"/>
      <c r="G15" s="95"/>
      <c r="H15" s="116"/>
    </row>
    <row r="16" spans="2:8" x14ac:dyDescent="0.25">
      <c r="B16" s="114"/>
      <c r="C16" s="76"/>
      <c r="D16" s="114" t="s">
        <v>699</v>
      </c>
      <c r="E16" s="75" t="s">
        <v>700</v>
      </c>
      <c r="F16" s="115" t="s">
        <v>714</v>
      </c>
      <c r="G16" s="92" t="s">
        <v>715</v>
      </c>
      <c r="H16" s="116">
        <v>0.52800000000000002</v>
      </c>
    </row>
    <row r="17" spans="2:8" ht="17.25" x14ac:dyDescent="0.25">
      <c r="B17" s="114"/>
      <c r="C17" s="76"/>
      <c r="D17" s="114"/>
      <c r="E17" s="75" t="s">
        <v>721</v>
      </c>
      <c r="F17" s="115"/>
      <c r="G17" s="93" t="s">
        <v>716</v>
      </c>
      <c r="H17" s="116"/>
    </row>
    <row r="18" spans="2:8" x14ac:dyDescent="0.25">
      <c r="B18" s="114"/>
      <c r="C18" s="76"/>
      <c r="D18" s="114"/>
      <c r="E18" s="75" t="s">
        <v>701</v>
      </c>
      <c r="F18" s="115"/>
      <c r="G18" s="94"/>
      <c r="H18" s="116"/>
    </row>
    <row r="19" spans="2:8" x14ac:dyDescent="0.25">
      <c r="B19" s="114"/>
      <c r="C19" s="76"/>
      <c r="D19" s="114"/>
      <c r="E19" s="75" t="s">
        <v>702</v>
      </c>
      <c r="F19" s="115"/>
      <c r="G19" s="94"/>
      <c r="H19" s="116"/>
    </row>
    <row r="20" spans="2:8" x14ac:dyDescent="0.25">
      <c r="B20" s="114"/>
      <c r="C20" s="76"/>
      <c r="D20" s="114"/>
      <c r="E20" s="75" t="s">
        <v>713</v>
      </c>
      <c r="F20" s="115"/>
      <c r="G20" s="94"/>
      <c r="H20" s="116"/>
    </row>
    <row r="21" spans="2:8" x14ac:dyDescent="0.25">
      <c r="B21" s="114"/>
      <c r="C21" s="76"/>
      <c r="D21" s="114"/>
      <c r="E21" s="75" t="s">
        <v>704</v>
      </c>
      <c r="F21" s="115"/>
      <c r="G21" s="95"/>
      <c r="H21" s="116"/>
    </row>
    <row r="22" spans="2:8" x14ac:dyDescent="0.25">
      <c r="B22" s="114"/>
      <c r="C22" s="77" t="s">
        <v>707</v>
      </c>
      <c r="D22" s="114" t="s">
        <v>717</v>
      </c>
      <c r="E22" s="114" t="s">
        <v>700</v>
      </c>
      <c r="F22" s="115" t="s">
        <v>714</v>
      </c>
      <c r="G22" s="92" t="s">
        <v>718</v>
      </c>
      <c r="H22" s="116">
        <v>0.84799999999999998</v>
      </c>
    </row>
    <row r="23" spans="2:8" ht="18" x14ac:dyDescent="0.25">
      <c r="B23" s="114"/>
      <c r="C23" s="78" t="s">
        <v>725</v>
      </c>
      <c r="D23" s="114"/>
      <c r="E23" s="114"/>
      <c r="F23" s="115"/>
      <c r="G23" s="93" t="s">
        <v>719</v>
      </c>
      <c r="H23" s="116"/>
    </row>
    <row r="24" spans="2:8" x14ac:dyDescent="0.25">
      <c r="B24" s="114"/>
      <c r="C24" s="79"/>
      <c r="D24" s="114"/>
      <c r="E24" s="114"/>
      <c r="F24" s="115"/>
      <c r="G24" s="96"/>
      <c r="H24" s="116"/>
    </row>
  </sheetData>
  <mergeCells count="17">
    <mergeCell ref="H10:H15"/>
    <mergeCell ref="D16:D21"/>
    <mergeCell ref="B2:H2"/>
    <mergeCell ref="F16:F21"/>
    <mergeCell ref="H16:H21"/>
    <mergeCell ref="D22:D24"/>
    <mergeCell ref="E22:E24"/>
    <mergeCell ref="F22:F24"/>
    <mergeCell ref="H22:H24"/>
    <mergeCell ref="B4:B9"/>
    <mergeCell ref="C4:C9"/>
    <mergeCell ref="D4:D9"/>
    <mergeCell ref="F4:F9"/>
    <mergeCell ref="H4:H9"/>
    <mergeCell ref="B10:B24"/>
    <mergeCell ref="D10:D15"/>
    <mergeCell ref="F10:F15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P9"/>
  <sheetViews>
    <sheetView workbookViewId="0">
      <selection activeCell="B2" sqref="B2:P2"/>
    </sheetView>
  </sheetViews>
  <sheetFormatPr defaultColWidth="9.140625" defaultRowHeight="15" x14ac:dyDescent="0.25"/>
  <cols>
    <col min="1" max="1" width="9.140625" style="25"/>
    <col min="2" max="2" width="37.28515625" style="25" bestFit="1" customWidth="1"/>
    <col min="3" max="3" width="23.7109375" style="25" bestFit="1" customWidth="1"/>
    <col min="4" max="4" width="12.85546875" style="25" bestFit="1" customWidth="1"/>
    <col min="5" max="5" width="14.42578125" style="25" bestFit="1" customWidth="1"/>
    <col min="6" max="6" width="9.28515625" style="25" bestFit="1" customWidth="1"/>
    <col min="7" max="7" width="9.140625" style="25"/>
    <col min="8" max="8" width="12" style="25" bestFit="1" customWidth="1"/>
    <col min="9" max="15" width="9.140625" style="25"/>
    <col min="16" max="16" width="11.7109375" style="25" bestFit="1" customWidth="1"/>
    <col min="17" max="16384" width="9.140625" style="25"/>
  </cols>
  <sheetData>
    <row r="2" spans="2:16" x14ac:dyDescent="0.25">
      <c r="B2" s="103" t="s">
        <v>895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2:16" x14ac:dyDescent="0.25">
      <c r="B3" s="112" t="s">
        <v>342</v>
      </c>
      <c r="C3" s="112" t="s">
        <v>306</v>
      </c>
      <c r="D3" s="112" t="s">
        <v>343</v>
      </c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2:16" ht="18" x14ac:dyDescent="0.25">
      <c r="B4" s="112"/>
      <c r="C4" s="112"/>
      <c r="D4" s="11" t="s">
        <v>347</v>
      </c>
      <c r="E4" s="11" t="s">
        <v>348</v>
      </c>
      <c r="F4" s="11" t="s">
        <v>344</v>
      </c>
      <c r="G4" s="11" t="s">
        <v>349</v>
      </c>
      <c r="H4" s="11" t="s">
        <v>350</v>
      </c>
      <c r="I4" s="11" t="s">
        <v>351</v>
      </c>
      <c r="J4" s="11" t="s">
        <v>352</v>
      </c>
      <c r="K4" s="11" t="s">
        <v>345</v>
      </c>
      <c r="L4" s="11" t="s">
        <v>353</v>
      </c>
      <c r="M4" s="11" t="s">
        <v>354</v>
      </c>
      <c r="N4" s="11" t="s">
        <v>355</v>
      </c>
      <c r="O4" s="11" t="s">
        <v>356</v>
      </c>
      <c r="P4" s="11" t="s">
        <v>346</v>
      </c>
    </row>
    <row r="5" spans="2:16" ht="18" x14ac:dyDescent="0.35">
      <c r="B5" s="28" t="s">
        <v>358</v>
      </c>
      <c r="C5" s="28" t="s">
        <v>357</v>
      </c>
      <c r="D5" s="35">
        <v>0.35</v>
      </c>
      <c r="E5" s="35">
        <v>0.02</v>
      </c>
      <c r="F5" s="36" t="s">
        <v>279</v>
      </c>
      <c r="G5" s="36" t="s">
        <v>279</v>
      </c>
      <c r="H5" s="36" t="s">
        <v>279</v>
      </c>
      <c r="I5" s="36" t="s">
        <v>279</v>
      </c>
      <c r="J5" s="36" t="s">
        <v>279</v>
      </c>
      <c r="K5" s="36" t="s">
        <v>279</v>
      </c>
      <c r="L5" s="36" t="s">
        <v>279</v>
      </c>
      <c r="M5" s="36" t="s">
        <v>279</v>
      </c>
      <c r="N5" s="36" t="s">
        <v>279</v>
      </c>
      <c r="O5" s="36" t="s">
        <v>279</v>
      </c>
      <c r="P5" s="35">
        <v>0.63</v>
      </c>
    </row>
    <row r="6" spans="2:16" ht="18" x14ac:dyDescent="0.35">
      <c r="B6" s="28" t="s">
        <v>358</v>
      </c>
      <c r="C6" s="12" t="s">
        <v>360</v>
      </c>
      <c r="D6" s="36" t="s">
        <v>279</v>
      </c>
      <c r="E6" s="36" t="s">
        <v>279</v>
      </c>
      <c r="F6" s="35">
        <v>0.03</v>
      </c>
      <c r="G6" s="36" t="s">
        <v>279</v>
      </c>
      <c r="H6" s="36" t="s">
        <v>279</v>
      </c>
      <c r="I6" s="36" t="s">
        <v>279</v>
      </c>
      <c r="J6" s="36" t="s">
        <v>279</v>
      </c>
      <c r="K6" s="35">
        <v>0.09</v>
      </c>
      <c r="L6" s="36" t="s">
        <v>279</v>
      </c>
      <c r="M6" s="35">
        <v>0.02</v>
      </c>
      <c r="N6" s="35">
        <v>7.0000000000000007E-2</v>
      </c>
      <c r="O6" s="35">
        <v>0.05</v>
      </c>
      <c r="P6" s="35">
        <v>0.74</v>
      </c>
    </row>
    <row r="7" spans="2:16" ht="18" x14ac:dyDescent="0.35">
      <c r="B7" s="28" t="s">
        <v>359</v>
      </c>
      <c r="C7" s="12" t="s">
        <v>360</v>
      </c>
      <c r="D7" s="36" t="s">
        <v>279</v>
      </c>
      <c r="E7" s="36" t="s">
        <v>279</v>
      </c>
      <c r="F7" s="36" t="s">
        <v>279</v>
      </c>
      <c r="G7" s="35">
        <v>0.04</v>
      </c>
      <c r="H7" s="36" t="s">
        <v>279</v>
      </c>
      <c r="I7" s="35">
        <v>0.11</v>
      </c>
      <c r="J7" s="35">
        <v>0.28000000000000003</v>
      </c>
      <c r="K7" s="35">
        <v>0.11</v>
      </c>
      <c r="L7" s="35">
        <v>0.11</v>
      </c>
      <c r="M7" s="35">
        <v>0.02</v>
      </c>
      <c r="N7" s="36" t="s">
        <v>279</v>
      </c>
      <c r="O7" s="36" t="s">
        <v>279</v>
      </c>
      <c r="P7" s="35">
        <v>0.33</v>
      </c>
    </row>
    <row r="8" spans="2:16" ht="18" x14ac:dyDescent="0.35">
      <c r="B8" s="28" t="s">
        <v>359</v>
      </c>
      <c r="C8" s="12" t="s">
        <v>361</v>
      </c>
      <c r="D8" s="36" t="s">
        <v>279</v>
      </c>
      <c r="E8" s="36" t="s">
        <v>279</v>
      </c>
      <c r="F8" s="36" t="s">
        <v>279</v>
      </c>
      <c r="G8" s="35">
        <v>0.02</v>
      </c>
      <c r="H8" s="36" t="s">
        <v>279</v>
      </c>
      <c r="I8" s="35">
        <v>0.09</v>
      </c>
      <c r="J8" s="35">
        <v>0.36</v>
      </c>
      <c r="K8" s="35">
        <v>0.1</v>
      </c>
      <c r="L8" s="35">
        <v>0.1</v>
      </c>
      <c r="M8" s="35">
        <v>0.03</v>
      </c>
      <c r="N8" s="36" t="s">
        <v>279</v>
      </c>
      <c r="O8" s="36" t="s">
        <v>279</v>
      </c>
      <c r="P8" s="35">
        <v>0.3</v>
      </c>
    </row>
    <row r="9" spans="2:16" ht="18" x14ac:dyDescent="0.35">
      <c r="B9" s="28" t="s">
        <v>359</v>
      </c>
      <c r="C9" s="12" t="s">
        <v>362</v>
      </c>
      <c r="D9" s="36" t="s">
        <v>279</v>
      </c>
      <c r="E9" s="36" t="s">
        <v>279</v>
      </c>
      <c r="F9" s="36" t="s">
        <v>279</v>
      </c>
      <c r="G9" s="35">
        <v>0.02</v>
      </c>
      <c r="H9" s="35">
        <v>0.1</v>
      </c>
      <c r="I9" s="35">
        <v>0.11</v>
      </c>
      <c r="J9" s="35">
        <v>0.21</v>
      </c>
      <c r="K9" s="35">
        <v>0.1</v>
      </c>
      <c r="L9" s="35">
        <v>0.09</v>
      </c>
      <c r="M9" s="35">
        <v>0.04</v>
      </c>
      <c r="N9" s="36" t="s">
        <v>279</v>
      </c>
      <c r="O9" s="36" t="s">
        <v>279</v>
      </c>
      <c r="P9" s="35">
        <v>0.33</v>
      </c>
    </row>
  </sheetData>
  <mergeCells count="4">
    <mergeCell ref="B3:B4"/>
    <mergeCell ref="C3:C4"/>
    <mergeCell ref="D3:P3"/>
    <mergeCell ref="B2:P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D12"/>
  <sheetViews>
    <sheetView workbookViewId="0">
      <selection activeCell="B2" sqref="B2:D2"/>
    </sheetView>
  </sheetViews>
  <sheetFormatPr defaultColWidth="9.140625" defaultRowHeight="15" x14ac:dyDescent="0.25"/>
  <cols>
    <col min="1" max="1" width="9.140625" style="34"/>
    <col min="2" max="2" width="28.140625" style="34" customWidth="1"/>
    <col min="3" max="3" width="19.28515625" style="34" customWidth="1"/>
    <col min="4" max="4" width="14" style="34" customWidth="1"/>
    <col min="5" max="16384" width="9.140625" style="34"/>
  </cols>
  <sheetData>
    <row r="2" spans="2:4" x14ac:dyDescent="0.25">
      <c r="B2" s="103" t="s">
        <v>896</v>
      </c>
      <c r="C2" s="103"/>
      <c r="D2" s="103"/>
    </row>
    <row r="3" spans="2:4" x14ac:dyDescent="0.25">
      <c r="B3" s="110" t="s">
        <v>366</v>
      </c>
      <c r="C3" s="110"/>
      <c r="D3" s="110"/>
    </row>
    <row r="4" spans="2:4" x14ac:dyDescent="0.25">
      <c r="B4" s="24" t="s">
        <v>367</v>
      </c>
      <c r="C4" s="24" t="s">
        <v>368</v>
      </c>
      <c r="D4" s="24" t="s">
        <v>257</v>
      </c>
    </row>
    <row r="5" spans="2:4" x14ac:dyDescent="0.25">
      <c r="B5" s="22" t="s">
        <v>369</v>
      </c>
      <c r="C5" s="38" t="s">
        <v>109</v>
      </c>
      <c r="D5" s="38" t="s">
        <v>370</v>
      </c>
    </row>
    <row r="6" spans="2:4" ht="18" x14ac:dyDescent="0.25">
      <c r="B6" s="22" t="s">
        <v>380</v>
      </c>
      <c r="C6" s="38" t="s">
        <v>109</v>
      </c>
      <c r="D6" s="38">
        <v>1</v>
      </c>
    </row>
    <row r="7" spans="2:4" x14ac:dyDescent="0.25">
      <c r="B7" s="37" t="s">
        <v>371</v>
      </c>
      <c r="C7" s="110" t="s">
        <v>372</v>
      </c>
      <c r="D7" s="110"/>
    </row>
    <row r="8" spans="2:4" x14ac:dyDescent="0.25">
      <c r="B8" s="22" t="s">
        <v>373</v>
      </c>
      <c r="C8" s="39">
        <v>0.95199999999999996</v>
      </c>
      <c r="D8" s="38" t="s">
        <v>279</v>
      </c>
    </row>
    <row r="9" spans="2:4" ht="18" x14ac:dyDescent="0.25">
      <c r="B9" s="22" t="s">
        <v>379</v>
      </c>
      <c r="C9" s="38" t="s">
        <v>279</v>
      </c>
      <c r="D9" s="38" t="s">
        <v>375</v>
      </c>
    </row>
    <row r="10" spans="2:4" x14ac:dyDescent="0.25">
      <c r="B10" s="22" t="s">
        <v>339</v>
      </c>
      <c r="C10" s="38" t="s">
        <v>279</v>
      </c>
      <c r="D10" s="38" t="s">
        <v>375</v>
      </c>
    </row>
    <row r="11" spans="2:4" x14ac:dyDescent="0.25">
      <c r="B11" s="22" t="s">
        <v>376</v>
      </c>
      <c r="C11" s="38" t="s">
        <v>279</v>
      </c>
      <c r="D11" s="38" t="s">
        <v>375</v>
      </c>
    </row>
    <row r="12" spans="2:4" x14ac:dyDescent="0.25">
      <c r="B12" s="22" t="s">
        <v>377</v>
      </c>
      <c r="C12" s="39">
        <v>4.8000000000000001E-2</v>
      </c>
      <c r="D12" s="38" t="s">
        <v>378</v>
      </c>
    </row>
  </sheetData>
  <mergeCells count="3">
    <mergeCell ref="B3:D3"/>
    <mergeCell ref="C7:D7"/>
    <mergeCell ref="B2: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G14"/>
  <sheetViews>
    <sheetView workbookViewId="0">
      <selection activeCell="B2" sqref="B2:G2"/>
    </sheetView>
  </sheetViews>
  <sheetFormatPr defaultColWidth="9.140625" defaultRowHeight="15" x14ac:dyDescent="0.25"/>
  <cols>
    <col min="1" max="1" width="9.140625" style="34"/>
    <col min="2" max="2" width="24.7109375" style="34" bestFit="1" customWidth="1"/>
    <col min="3" max="3" width="13.7109375" style="34" bestFit="1" customWidth="1"/>
    <col min="4" max="16384" width="9.140625" style="34"/>
  </cols>
  <sheetData>
    <row r="2" spans="2:7" x14ac:dyDescent="0.25">
      <c r="B2" s="103" t="s">
        <v>897</v>
      </c>
      <c r="C2" s="103"/>
      <c r="D2" s="103"/>
      <c r="E2" s="103"/>
      <c r="F2" s="103"/>
      <c r="G2" s="103"/>
    </row>
    <row r="3" spans="2:7" x14ac:dyDescent="0.25">
      <c r="B3" s="110" t="s">
        <v>366</v>
      </c>
      <c r="C3" s="110"/>
      <c r="D3" s="110"/>
      <c r="E3" s="110"/>
      <c r="F3" s="110"/>
      <c r="G3" s="110"/>
    </row>
    <row r="4" spans="2:7" x14ac:dyDescent="0.25">
      <c r="B4" s="24" t="s">
        <v>367</v>
      </c>
      <c r="C4" s="24" t="s">
        <v>382</v>
      </c>
      <c r="D4" s="24" t="s">
        <v>257</v>
      </c>
      <c r="E4" s="24" t="s">
        <v>257</v>
      </c>
      <c r="F4" s="24" t="s">
        <v>257</v>
      </c>
      <c r="G4" s="24" t="s">
        <v>383</v>
      </c>
    </row>
    <row r="5" spans="2:7" x14ac:dyDescent="0.25">
      <c r="B5" s="22" t="s">
        <v>369</v>
      </c>
      <c r="C5" s="38" t="s">
        <v>109</v>
      </c>
      <c r="D5" s="38" t="s">
        <v>370</v>
      </c>
      <c r="E5" s="38" t="s">
        <v>370</v>
      </c>
      <c r="F5" s="38" t="s">
        <v>370</v>
      </c>
      <c r="G5" s="38" t="s">
        <v>370</v>
      </c>
    </row>
    <row r="6" spans="2:7" x14ac:dyDescent="0.25">
      <c r="B6" s="22" t="s">
        <v>384</v>
      </c>
      <c r="C6" s="38" t="s">
        <v>109</v>
      </c>
      <c r="D6" s="38" t="s">
        <v>279</v>
      </c>
      <c r="E6" s="38">
        <v>0.05</v>
      </c>
      <c r="F6" s="38" t="s">
        <v>279</v>
      </c>
      <c r="G6" s="38">
        <v>0.05</v>
      </c>
    </row>
    <row r="7" spans="2:7" x14ac:dyDescent="0.25">
      <c r="B7" s="22" t="s">
        <v>385</v>
      </c>
      <c r="C7" s="38" t="s">
        <v>109</v>
      </c>
      <c r="D7" s="38" t="s">
        <v>279</v>
      </c>
      <c r="E7" s="38" t="s">
        <v>279</v>
      </c>
      <c r="F7" s="38">
        <v>1</v>
      </c>
      <c r="G7" s="38" t="s">
        <v>279</v>
      </c>
    </row>
    <row r="8" spans="2:7" x14ac:dyDescent="0.25">
      <c r="B8" s="37" t="s">
        <v>371</v>
      </c>
      <c r="C8" s="110" t="s">
        <v>372</v>
      </c>
      <c r="D8" s="110"/>
      <c r="E8" s="110"/>
      <c r="F8" s="110"/>
      <c r="G8" s="110"/>
    </row>
    <row r="9" spans="2:7" x14ac:dyDescent="0.25">
      <c r="B9" s="22" t="s">
        <v>386</v>
      </c>
      <c r="C9" s="40">
        <v>1</v>
      </c>
      <c r="D9" s="39">
        <v>0.96199999999999997</v>
      </c>
      <c r="E9" s="39">
        <v>0.998</v>
      </c>
      <c r="F9" s="39">
        <v>0.21</v>
      </c>
      <c r="G9" s="39">
        <v>0.98899999999999999</v>
      </c>
    </row>
    <row r="10" spans="2:7" x14ac:dyDescent="0.25">
      <c r="B10" s="22" t="s">
        <v>339</v>
      </c>
      <c r="C10" s="39" t="s">
        <v>279</v>
      </c>
      <c r="D10" s="39" t="s">
        <v>279</v>
      </c>
      <c r="E10" s="39" t="s">
        <v>279</v>
      </c>
      <c r="F10" s="39">
        <v>0.36499999999999999</v>
      </c>
      <c r="G10" s="39" t="s">
        <v>279</v>
      </c>
    </row>
    <row r="11" spans="2:7" x14ac:dyDescent="0.25">
      <c r="B11" s="22" t="s">
        <v>387</v>
      </c>
      <c r="C11" s="39" t="s">
        <v>279</v>
      </c>
      <c r="D11" s="39" t="s">
        <v>279</v>
      </c>
      <c r="E11" s="39" t="s">
        <v>279</v>
      </c>
      <c r="F11" s="39">
        <v>0.33200000000000002</v>
      </c>
      <c r="G11" s="39" t="s">
        <v>279</v>
      </c>
    </row>
    <row r="12" spans="2:7" x14ac:dyDescent="0.25">
      <c r="B12" s="22" t="s">
        <v>388</v>
      </c>
      <c r="C12" s="39" t="s">
        <v>279</v>
      </c>
      <c r="D12" s="39" t="s">
        <v>279</v>
      </c>
      <c r="E12" s="39" t="s">
        <v>279</v>
      </c>
      <c r="F12" s="39">
        <v>3.3000000000000002E-2</v>
      </c>
      <c r="G12" s="39">
        <v>1.0999999999999999E-2</v>
      </c>
    </row>
    <row r="13" spans="2:7" x14ac:dyDescent="0.25">
      <c r="B13" s="22" t="s">
        <v>374</v>
      </c>
      <c r="C13" s="39" t="s">
        <v>279</v>
      </c>
      <c r="D13" s="39" t="s">
        <v>279</v>
      </c>
      <c r="E13" s="39" t="s">
        <v>279</v>
      </c>
      <c r="F13" s="39">
        <v>0.03</v>
      </c>
      <c r="G13" s="39" t="s">
        <v>279</v>
      </c>
    </row>
    <row r="14" spans="2:7" x14ac:dyDescent="0.25">
      <c r="B14" s="22" t="s">
        <v>377</v>
      </c>
      <c r="C14" s="39" t="s">
        <v>279</v>
      </c>
      <c r="D14" s="39">
        <v>3.7999999999999999E-2</v>
      </c>
      <c r="E14" s="39">
        <v>2E-3</v>
      </c>
      <c r="F14" s="39">
        <v>0.03</v>
      </c>
      <c r="G14" s="39" t="s">
        <v>279</v>
      </c>
    </row>
  </sheetData>
  <mergeCells count="3">
    <mergeCell ref="B3:G3"/>
    <mergeCell ref="C8:G8"/>
    <mergeCell ref="B2:G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M17"/>
  <sheetViews>
    <sheetView workbookViewId="0">
      <selection activeCell="D31" sqref="D31"/>
    </sheetView>
  </sheetViews>
  <sheetFormatPr defaultRowHeight="15" x14ac:dyDescent="0.25"/>
  <cols>
    <col min="2" max="2" width="33.5703125" bestFit="1" customWidth="1"/>
    <col min="3" max="3" width="16.140625" bestFit="1" customWidth="1"/>
    <col min="4" max="5" width="17.28515625" bestFit="1" customWidth="1"/>
    <col min="6" max="7" width="16.42578125" bestFit="1" customWidth="1"/>
    <col min="8" max="8" width="16.28515625" bestFit="1" customWidth="1"/>
    <col min="9" max="9" width="15.7109375" bestFit="1" customWidth="1"/>
    <col min="10" max="10" width="10.42578125" bestFit="1" customWidth="1"/>
    <col min="11" max="11" width="19.5703125" bestFit="1" customWidth="1"/>
    <col min="12" max="12" width="20.140625" bestFit="1" customWidth="1"/>
    <col min="13" max="13" width="14.85546875" bestFit="1" customWidth="1"/>
  </cols>
  <sheetData>
    <row r="2" spans="2:13" x14ac:dyDescent="0.25">
      <c r="B2" s="103" t="s">
        <v>894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2:13" x14ac:dyDescent="0.25">
      <c r="B3" s="41" t="s">
        <v>119</v>
      </c>
      <c r="C3" s="41" t="s">
        <v>120</v>
      </c>
      <c r="D3" s="41" t="s">
        <v>135</v>
      </c>
      <c r="E3" s="41" t="s">
        <v>136</v>
      </c>
      <c r="F3" s="41" t="s">
        <v>137</v>
      </c>
      <c r="G3" s="41" t="s">
        <v>138</v>
      </c>
      <c r="H3" s="41" t="s">
        <v>139</v>
      </c>
      <c r="I3" s="41" t="s">
        <v>141</v>
      </c>
      <c r="J3" s="41" t="s">
        <v>142</v>
      </c>
      <c r="K3" s="41" t="s">
        <v>140</v>
      </c>
      <c r="L3" s="41" t="s">
        <v>121</v>
      </c>
      <c r="M3" s="41" t="s">
        <v>911</v>
      </c>
    </row>
    <row r="4" spans="2:13" ht="17.25" x14ac:dyDescent="0.25">
      <c r="B4" s="1" t="s">
        <v>122</v>
      </c>
      <c r="C4" s="51">
        <v>0.6</v>
      </c>
      <c r="D4" s="122">
        <v>7534</v>
      </c>
      <c r="E4" s="122"/>
      <c r="F4" s="122"/>
      <c r="G4" s="122"/>
      <c r="H4" s="122"/>
      <c r="I4" s="51">
        <v>607</v>
      </c>
      <c r="J4" s="51">
        <v>596</v>
      </c>
      <c r="K4" s="10">
        <v>7397.4695222405271</v>
      </c>
      <c r="L4" s="1" t="s">
        <v>123</v>
      </c>
      <c r="M4" s="89" t="s">
        <v>909</v>
      </c>
    </row>
    <row r="5" spans="2:13" x14ac:dyDescent="0.25">
      <c r="B5" s="1" t="s">
        <v>106</v>
      </c>
      <c r="C5" s="51">
        <v>0.66</v>
      </c>
      <c r="D5" s="10">
        <v>5469.4</v>
      </c>
      <c r="E5" s="123">
        <v>28.5</v>
      </c>
      <c r="F5" s="123"/>
      <c r="G5" s="123"/>
      <c r="H5" s="123"/>
      <c r="I5" s="51">
        <v>1000</v>
      </c>
      <c r="J5" s="51">
        <v>596</v>
      </c>
      <c r="K5" s="10">
        <v>92903.228399999993</v>
      </c>
      <c r="L5" s="1" t="s">
        <v>124</v>
      </c>
      <c r="M5" s="89">
        <v>48</v>
      </c>
    </row>
    <row r="6" spans="2:13" x14ac:dyDescent="0.25">
      <c r="B6" s="1" t="s">
        <v>125</v>
      </c>
      <c r="C6" s="51">
        <v>0.62</v>
      </c>
      <c r="D6" s="51">
        <v>51847</v>
      </c>
      <c r="E6" s="51">
        <v>2.88</v>
      </c>
      <c r="F6" s="51">
        <v>1.2</v>
      </c>
      <c r="G6" s="51">
        <v>1.28</v>
      </c>
      <c r="H6" s="51">
        <v>1.36</v>
      </c>
      <c r="I6" s="51">
        <v>1000</v>
      </c>
      <c r="J6" s="51">
        <v>596</v>
      </c>
      <c r="K6" s="10">
        <v>205550.79982640233</v>
      </c>
      <c r="L6" s="1" t="s">
        <v>124</v>
      </c>
      <c r="M6" s="89">
        <v>48</v>
      </c>
    </row>
    <row r="7" spans="2:13" x14ac:dyDescent="0.25">
      <c r="B7" s="1" t="s">
        <v>126</v>
      </c>
      <c r="C7" s="51">
        <v>0.39</v>
      </c>
      <c r="D7" s="51">
        <v>149360</v>
      </c>
      <c r="E7" s="122">
        <v>36</v>
      </c>
      <c r="F7" s="122"/>
      <c r="G7" s="122"/>
      <c r="H7" s="122"/>
      <c r="I7" s="51">
        <v>1000</v>
      </c>
      <c r="J7" s="51">
        <v>596</v>
      </c>
      <c r="K7" s="10">
        <v>3204668.16</v>
      </c>
      <c r="L7" s="1" t="s">
        <v>124</v>
      </c>
      <c r="M7" s="89">
        <v>48</v>
      </c>
    </row>
    <row r="8" spans="2:13" x14ac:dyDescent="0.25">
      <c r="B8" s="1" t="s">
        <v>143</v>
      </c>
      <c r="C8" s="51">
        <v>0.65</v>
      </c>
      <c r="D8" s="122">
        <v>311490</v>
      </c>
      <c r="E8" s="122"/>
      <c r="F8" s="122"/>
      <c r="G8" s="51">
        <v>1.28</v>
      </c>
      <c r="H8" s="51">
        <v>1.36</v>
      </c>
      <c r="I8" s="51">
        <v>1000</v>
      </c>
      <c r="J8" s="51">
        <v>596</v>
      </c>
      <c r="K8" s="10">
        <v>349943.37966982491</v>
      </c>
      <c r="L8" s="1" t="s">
        <v>127</v>
      </c>
      <c r="M8" s="89">
        <v>48</v>
      </c>
    </row>
    <row r="9" spans="2:13" x14ac:dyDescent="0.25">
      <c r="B9" s="1" t="s">
        <v>144</v>
      </c>
      <c r="C9" s="51">
        <v>0.37</v>
      </c>
      <c r="D9" s="51">
        <v>15476</v>
      </c>
      <c r="E9" s="51">
        <v>1.45</v>
      </c>
      <c r="F9" s="122">
        <v>3.08</v>
      </c>
      <c r="G9" s="122"/>
      <c r="H9" s="122"/>
      <c r="I9" s="51">
        <v>1000</v>
      </c>
      <c r="J9" s="51">
        <v>596</v>
      </c>
      <c r="K9" s="10">
        <v>41193.026336000003</v>
      </c>
      <c r="L9" s="1" t="s">
        <v>128</v>
      </c>
      <c r="M9" s="89">
        <v>48</v>
      </c>
    </row>
    <row r="10" spans="2:13" x14ac:dyDescent="0.25">
      <c r="B10" s="1" t="s">
        <v>130</v>
      </c>
      <c r="C10" s="51">
        <v>0.84</v>
      </c>
      <c r="D10" s="122">
        <v>1200000</v>
      </c>
      <c r="E10" s="122"/>
      <c r="F10" s="122"/>
      <c r="G10" s="51">
        <v>1.28</v>
      </c>
      <c r="H10" s="51">
        <v>1.36</v>
      </c>
      <c r="I10" s="51">
        <v>1000</v>
      </c>
      <c r="J10" s="51">
        <v>596</v>
      </c>
      <c r="K10" s="10">
        <v>1348139.7656547236</v>
      </c>
      <c r="L10" s="1" t="s">
        <v>131</v>
      </c>
      <c r="M10" s="89">
        <v>48</v>
      </c>
    </row>
    <row r="11" spans="2:13" x14ac:dyDescent="0.25">
      <c r="B11" s="1" t="s">
        <v>132</v>
      </c>
      <c r="C11" s="51">
        <v>0.53</v>
      </c>
      <c r="D11" s="51">
        <v>14000000</v>
      </c>
      <c r="E11" s="122">
        <v>2</v>
      </c>
      <c r="F11" s="122"/>
      <c r="G11" s="122"/>
      <c r="H11" s="122"/>
      <c r="I11" s="51">
        <v>1000</v>
      </c>
      <c r="J11" s="51">
        <v>596</v>
      </c>
      <c r="K11" s="10">
        <v>16688000</v>
      </c>
      <c r="L11" s="1" t="s">
        <v>129</v>
      </c>
      <c r="M11" s="89">
        <v>48</v>
      </c>
    </row>
    <row r="12" spans="2:13" ht="17.25" x14ac:dyDescent="0.25">
      <c r="B12" s="1" t="s">
        <v>133</v>
      </c>
      <c r="C12" s="51">
        <v>0.6</v>
      </c>
      <c r="D12" s="122">
        <v>39681.5</v>
      </c>
      <c r="E12" s="122"/>
      <c r="F12" s="122"/>
      <c r="G12" s="122"/>
      <c r="H12" s="122"/>
      <c r="I12" s="51">
        <v>607</v>
      </c>
      <c r="J12" s="51">
        <v>596</v>
      </c>
      <c r="K12" s="10">
        <v>38962.395387149918</v>
      </c>
      <c r="L12" s="1" t="s">
        <v>134</v>
      </c>
      <c r="M12" s="89" t="s">
        <v>910</v>
      </c>
    </row>
    <row r="13" spans="2:13" x14ac:dyDescent="0.25">
      <c r="B13" s="4" t="s">
        <v>430</v>
      </c>
      <c r="C13" s="58">
        <v>0.7</v>
      </c>
      <c r="D13" s="56">
        <v>50280</v>
      </c>
      <c r="E13" s="51">
        <v>1.5</v>
      </c>
      <c r="F13" s="51">
        <f>F6</f>
        <v>1.2</v>
      </c>
      <c r="G13" s="51">
        <f>G6</f>
        <v>1.28</v>
      </c>
      <c r="H13" s="51">
        <f>H6</f>
        <v>1.36</v>
      </c>
      <c r="I13" s="51">
        <f>I6</f>
        <v>1000</v>
      </c>
      <c r="J13" s="51">
        <f>J6</f>
        <v>596</v>
      </c>
      <c r="K13" s="10">
        <f>D13*E13*F13*G13*H13*J13/I13</f>
        <v>93899.420467199991</v>
      </c>
      <c r="L13" s="4" t="s">
        <v>454</v>
      </c>
      <c r="M13" s="89">
        <v>48</v>
      </c>
    </row>
    <row r="14" spans="2:13" x14ac:dyDescent="0.25">
      <c r="B14" s="4" t="s">
        <v>427</v>
      </c>
      <c r="C14" s="58">
        <v>0.81</v>
      </c>
      <c r="D14" s="56">
        <f>65800*1.6</f>
        <v>105280</v>
      </c>
      <c r="E14" s="51">
        <v>2</v>
      </c>
      <c r="F14" s="51">
        <f>F6</f>
        <v>1.2</v>
      </c>
      <c r="G14" s="51">
        <f>G6</f>
        <v>1.28</v>
      </c>
      <c r="H14" s="51">
        <f>H6</f>
        <v>1.36</v>
      </c>
      <c r="I14" s="51">
        <f>I6</f>
        <v>1000</v>
      </c>
      <c r="J14" s="51">
        <f>J6</f>
        <v>596</v>
      </c>
      <c r="K14" s="10">
        <f>D14*E14*F14*G14*H14*J14/I14</f>
        <v>262151.44488960004</v>
      </c>
      <c r="L14" s="1" t="s">
        <v>449</v>
      </c>
      <c r="M14" s="89">
        <v>48</v>
      </c>
    </row>
    <row r="15" spans="2:13" x14ac:dyDescent="0.25">
      <c r="B15" s="4" t="s">
        <v>450</v>
      </c>
      <c r="C15" s="58">
        <v>0.53</v>
      </c>
      <c r="D15" s="51">
        <v>33500</v>
      </c>
      <c r="E15" s="51">
        <v>2.36</v>
      </c>
      <c r="F15" s="51">
        <f>F14</f>
        <v>1.2</v>
      </c>
      <c r="G15" s="51">
        <f t="shared" ref="G15:J16" si="0">G14</f>
        <v>1.28</v>
      </c>
      <c r="H15" s="51">
        <f t="shared" si="0"/>
        <v>1.36</v>
      </c>
      <c r="I15" s="51">
        <f t="shared" si="0"/>
        <v>1000</v>
      </c>
      <c r="J15" s="51">
        <f t="shared" si="0"/>
        <v>596</v>
      </c>
      <c r="K15" s="10">
        <f>D15*E15*F15*G15*H15*J15/I15</f>
        <v>98431.293849600013</v>
      </c>
      <c r="L15" s="1" t="s">
        <v>455</v>
      </c>
      <c r="M15" s="89">
        <v>48</v>
      </c>
    </row>
    <row r="16" spans="2:13" x14ac:dyDescent="0.25">
      <c r="B16" s="4" t="s">
        <v>451</v>
      </c>
      <c r="C16" s="58">
        <v>0.53</v>
      </c>
      <c r="D16" s="51">
        <v>33500</v>
      </c>
      <c r="E16" s="51">
        <v>2.36</v>
      </c>
      <c r="F16" s="51">
        <f>F15</f>
        <v>1.2</v>
      </c>
      <c r="G16" s="51">
        <f t="shared" si="0"/>
        <v>1.28</v>
      </c>
      <c r="H16" s="51">
        <f t="shared" si="0"/>
        <v>1.36</v>
      </c>
      <c r="I16" s="51">
        <f t="shared" si="0"/>
        <v>1000</v>
      </c>
      <c r="J16" s="51">
        <f t="shared" si="0"/>
        <v>596</v>
      </c>
      <c r="K16" s="10">
        <f>D16*E16*F16*G16*H16*J16/I16</f>
        <v>98431.293849600013</v>
      </c>
      <c r="L16" s="1" t="s">
        <v>455</v>
      </c>
      <c r="M16" s="89">
        <v>48</v>
      </c>
    </row>
    <row r="17" spans="2:13" x14ac:dyDescent="0.25">
      <c r="B17" s="4" t="s">
        <v>452</v>
      </c>
      <c r="C17" s="51">
        <v>0.38</v>
      </c>
      <c r="D17" s="10">
        <f>610000*1.2/100^0.38</f>
        <v>127207.02066445423</v>
      </c>
      <c r="E17" s="51">
        <v>1.5</v>
      </c>
      <c r="F17" s="51">
        <f>F6</f>
        <v>1.2</v>
      </c>
      <c r="G17" s="51">
        <f>G6</f>
        <v>1.28</v>
      </c>
      <c r="H17" s="51">
        <f>H6</f>
        <v>1.36</v>
      </c>
      <c r="I17" s="51">
        <f>I6</f>
        <v>1000</v>
      </c>
      <c r="J17" s="51">
        <f>J6</f>
        <v>596</v>
      </c>
      <c r="K17" s="10">
        <f>D17*E17*F17*G17*H17*J17/I17</f>
        <v>237562.95783117323</v>
      </c>
      <c r="L17" s="1" t="s">
        <v>453</v>
      </c>
      <c r="M17" s="89">
        <v>48</v>
      </c>
    </row>
  </sheetData>
  <mergeCells count="9">
    <mergeCell ref="D10:F10"/>
    <mergeCell ref="E11:H11"/>
    <mergeCell ref="D12:H12"/>
    <mergeCell ref="B2:M2"/>
    <mergeCell ref="F9:H9"/>
    <mergeCell ref="D4:H4"/>
    <mergeCell ref="E5:H5"/>
    <mergeCell ref="E7:H7"/>
    <mergeCell ref="D8:F8"/>
  </mergeCells>
  <pageMargins left="0.7" right="0.7" top="0.75" bottom="0.75" header="0.3" footer="0.3"/>
  <pageSetup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20"/>
  <sheetViews>
    <sheetView workbookViewId="0">
      <selection activeCell="K13" sqref="K13"/>
    </sheetView>
  </sheetViews>
  <sheetFormatPr defaultRowHeight="15" x14ac:dyDescent="0.25"/>
  <cols>
    <col min="3" max="3" width="32.85546875" bestFit="1" customWidth="1"/>
    <col min="4" max="6" width="12.28515625" bestFit="1" customWidth="1"/>
    <col min="7" max="7" width="50.28515625" bestFit="1" customWidth="1"/>
    <col min="8" max="8" width="21.42578125" bestFit="1" customWidth="1"/>
    <col min="9" max="9" width="14.140625" bestFit="1" customWidth="1"/>
  </cols>
  <sheetData>
    <row r="2" spans="2:9" x14ac:dyDescent="0.25">
      <c r="C2" s="103" t="s">
        <v>898</v>
      </c>
      <c r="D2" s="103"/>
      <c r="E2" s="103"/>
      <c r="F2" s="103"/>
      <c r="G2" s="103"/>
      <c r="H2" s="103"/>
      <c r="I2" s="103"/>
    </row>
    <row r="3" spans="2:9" x14ac:dyDescent="0.25">
      <c r="C3" s="41" t="s">
        <v>19</v>
      </c>
      <c r="D3" s="88" t="s">
        <v>20</v>
      </c>
      <c r="E3" s="88" t="s">
        <v>21</v>
      </c>
      <c r="F3" s="88" t="s">
        <v>22</v>
      </c>
      <c r="G3" s="88" t="s">
        <v>29</v>
      </c>
      <c r="H3" s="88" t="s">
        <v>0</v>
      </c>
      <c r="I3" s="88" t="s">
        <v>911</v>
      </c>
    </row>
    <row r="4" spans="2:9" x14ac:dyDescent="0.25">
      <c r="B4" s="124" t="s">
        <v>64</v>
      </c>
      <c r="C4" s="2" t="s">
        <v>65</v>
      </c>
      <c r="D4" s="51">
        <v>1</v>
      </c>
      <c r="E4" s="54">
        <v>0.61</v>
      </c>
      <c r="F4" s="54">
        <v>1.6</v>
      </c>
      <c r="G4" s="4" t="s">
        <v>66</v>
      </c>
      <c r="H4" s="2" t="s">
        <v>28</v>
      </c>
      <c r="I4" s="89">
        <v>76</v>
      </c>
    </row>
    <row r="5" spans="2:9" x14ac:dyDescent="0.25">
      <c r="B5" s="124"/>
      <c r="C5" s="2" t="s">
        <v>67</v>
      </c>
      <c r="D5" s="51">
        <v>1.2</v>
      </c>
      <c r="E5" s="54">
        <v>1.1499999999999999</v>
      </c>
      <c r="F5" s="54">
        <v>1.25</v>
      </c>
      <c r="G5" s="4" t="s">
        <v>68</v>
      </c>
      <c r="H5" s="2" t="s">
        <v>28</v>
      </c>
      <c r="I5" s="90">
        <v>48</v>
      </c>
    </row>
    <row r="6" spans="2:9" x14ac:dyDescent="0.25">
      <c r="B6" s="124"/>
      <c r="C6" s="2" t="s">
        <v>69</v>
      </c>
      <c r="D6" s="55">
        <f>AVERAGE(E6:F6)</f>
        <v>1.2749999999999999</v>
      </c>
      <c r="E6" s="54">
        <v>1.1000000000000001</v>
      </c>
      <c r="F6" s="54">
        <v>1.45</v>
      </c>
      <c r="G6" s="4" t="s">
        <v>70</v>
      </c>
      <c r="H6" s="2" t="s">
        <v>28</v>
      </c>
      <c r="I6" s="90">
        <v>48</v>
      </c>
    </row>
    <row r="7" spans="2:9" x14ac:dyDescent="0.25">
      <c r="B7" s="124"/>
      <c r="C7" s="2" t="s">
        <v>71</v>
      </c>
      <c r="D7" s="55">
        <f>AVERAGE(E7:F7)</f>
        <v>1.3650000000000002</v>
      </c>
      <c r="E7" s="54">
        <f>1+0.03+0.1+0.1</f>
        <v>1.2300000000000002</v>
      </c>
      <c r="F7" s="54">
        <f>1+0.05+0.15+0.3</f>
        <v>1.5</v>
      </c>
      <c r="G7" s="4" t="s">
        <v>72</v>
      </c>
      <c r="H7" s="2" t="s">
        <v>28</v>
      </c>
      <c r="I7" s="90">
        <v>48</v>
      </c>
    </row>
    <row r="8" spans="2:9" x14ac:dyDescent="0.25">
      <c r="B8" s="124"/>
      <c r="C8" s="5" t="s">
        <v>456</v>
      </c>
      <c r="D8" s="51">
        <v>1</v>
      </c>
      <c r="E8" s="54">
        <v>0.7</v>
      </c>
      <c r="F8" s="54">
        <v>1.3</v>
      </c>
      <c r="G8" s="61" t="s">
        <v>457</v>
      </c>
      <c r="H8" s="2" t="s">
        <v>28</v>
      </c>
      <c r="I8" s="89" t="s">
        <v>168</v>
      </c>
    </row>
    <row r="9" spans="2:9" x14ac:dyDescent="0.25">
      <c r="B9" s="124" t="s">
        <v>75</v>
      </c>
      <c r="C9" s="1" t="s">
        <v>62</v>
      </c>
      <c r="D9" s="51">
        <v>7920</v>
      </c>
      <c r="E9" s="51">
        <v>7440</v>
      </c>
      <c r="F9" s="51">
        <v>8400</v>
      </c>
      <c r="G9" s="1" t="s">
        <v>63</v>
      </c>
      <c r="H9" s="2" t="s">
        <v>28</v>
      </c>
      <c r="I9" s="89">
        <v>76</v>
      </c>
    </row>
    <row r="10" spans="2:9" x14ac:dyDescent="0.25">
      <c r="B10" s="124"/>
      <c r="C10" s="1" t="s">
        <v>436</v>
      </c>
      <c r="D10" s="51">
        <v>143</v>
      </c>
      <c r="E10" s="51">
        <v>75</v>
      </c>
      <c r="F10" s="51">
        <v>336</v>
      </c>
      <c r="G10" s="1" t="s">
        <v>437</v>
      </c>
      <c r="H10" s="2" t="s">
        <v>28</v>
      </c>
      <c r="I10" s="89"/>
    </row>
    <row r="11" spans="2:9" x14ac:dyDescent="0.25">
      <c r="B11" s="124"/>
      <c r="C11" s="1" t="s">
        <v>447</v>
      </c>
      <c r="D11" s="51">
        <v>2</v>
      </c>
      <c r="E11" s="51">
        <v>1</v>
      </c>
      <c r="F11" s="51">
        <v>3</v>
      </c>
      <c r="G11" s="1" t="s">
        <v>448</v>
      </c>
      <c r="H11" s="2" t="s">
        <v>28</v>
      </c>
      <c r="I11" s="89">
        <v>8</v>
      </c>
    </row>
    <row r="12" spans="2:9" x14ac:dyDescent="0.25">
      <c r="B12" s="124"/>
      <c r="C12" s="5" t="s">
        <v>432</v>
      </c>
      <c r="D12" s="51">
        <v>1500</v>
      </c>
      <c r="E12" s="51">
        <v>1000</v>
      </c>
      <c r="F12" s="51">
        <v>2000</v>
      </c>
      <c r="G12" s="4" t="s">
        <v>428</v>
      </c>
      <c r="H12" s="2" t="s">
        <v>28</v>
      </c>
      <c r="I12" s="89">
        <v>8</v>
      </c>
    </row>
    <row r="13" spans="2:9" x14ac:dyDescent="0.25">
      <c r="B13" s="124"/>
      <c r="C13" s="5" t="s">
        <v>431</v>
      </c>
      <c r="D13" s="52">
        <v>0.8</v>
      </c>
      <c r="E13" s="52">
        <v>0.7</v>
      </c>
      <c r="F13" s="52">
        <v>0.9</v>
      </c>
      <c r="G13" s="4" t="s">
        <v>429</v>
      </c>
      <c r="H13" s="5" t="s">
        <v>28</v>
      </c>
      <c r="I13" s="89">
        <v>8</v>
      </c>
    </row>
    <row r="14" spans="2:9" x14ac:dyDescent="0.25">
      <c r="B14" s="124"/>
      <c r="C14" s="5" t="s">
        <v>433</v>
      </c>
      <c r="D14" s="51">
        <v>8</v>
      </c>
      <c r="E14" s="51">
        <v>6</v>
      </c>
      <c r="F14" s="51">
        <v>10</v>
      </c>
      <c r="G14" s="4" t="s">
        <v>434</v>
      </c>
      <c r="H14" s="5" t="s">
        <v>28</v>
      </c>
      <c r="I14" s="89">
        <v>8</v>
      </c>
    </row>
    <row r="15" spans="2:9" x14ac:dyDescent="0.25">
      <c r="B15" s="124"/>
      <c r="C15" s="5" t="s">
        <v>435</v>
      </c>
      <c r="D15" s="51">
        <v>1000</v>
      </c>
      <c r="E15" s="51">
        <v>500</v>
      </c>
      <c r="F15" s="51">
        <v>1500</v>
      </c>
      <c r="G15" s="4" t="s">
        <v>428</v>
      </c>
      <c r="H15" s="5" t="s">
        <v>28</v>
      </c>
      <c r="I15" s="89">
        <v>74</v>
      </c>
    </row>
    <row r="16" spans="2:9" x14ac:dyDescent="0.25">
      <c r="B16" s="124"/>
      <c r="C16" s="5" t="s">
        <v>438</v>
      </c>
      <c r="D16" s="51">
        <v>5.9999999999999995E-4</v>
      </c>
      <c r="E16" s="51">
        <v>2.9999999999999997E-4</v>
      </c>
      <c r="F16" s="51">
        <v>1.1999999999999999E-3</v>
      </c>
      <c r="G16" s="4" t="s">
        <v>439</v>
      </c>
      <c r="H16" s="5" t="s">
        <v>28</v>
      </c>
      <c r="I16" s="89">
        <v>74</v>
      </c>
    </row>
    <row r="17" spans="2:9" x14ac:dyDescent="0.25">
      <c r="B17" s="124"/>
      <c r="C17" s="5" t="s">
        <v>440</v>
      </c>
      <c r="D17" s="58">
        <v>0.96</v>
      </c>
      <c r="E17" s="51">
        <f>D17*0.5</f>
        <v>0.48</v>
      </c>
      <c r="F17" s="51">
        <f>D17*2</f>
        <v>1.92</v>
      </c>
      <c r="G17" s="4" t="s">
        <v>441</v>
      </c>
      <c r="H17" s="5" t="s">
        <v>28</v>
      </c>
      <c r="I17" s="89">
        <v>74</v>
      </c>
    </row>
    <row r="18" spans="2:9" x14ac:dyDescent="0.25">
      <c r="B18" s="124"/>
      <c r="C18" s="5" t="s">
        <v>442</v>
      </c>
      <c r="D18" s="58">
        <v>30</v>
      </c>
      <c r="E18" s="51">
        <v>15</v>
      </c>
      <c r="F18" s="51">
        <v>60</v>
      </c>
      <c r="G18" s="4" t="s">
        <v>444</v>
      </c>
      <c r="H18" s="5" t="s">
        <v>28</v>
      </c>
      <c r="I18" s="89">
        <v>8</v>
      </c>
    </row>
    <row r="19" spans="2:9" x14ac:dyDescent="0.25">
      <c r="B19" s="124"/>
      <c r="C19" s="5" t="s">
        <v>443</v>
      </c>
      <c r="D19" s="58">
        <v>10</v>
      </c>
      <c r="E19" s="51">
        <v>5</v>
      </c>
      <c r="F19" s="51">
        <v>20</v>
      </c>
      <c r="G19" s="4" t="s">
        <v>444</v>
      </c>
      <c r="H19" s="5" t="s">
        <v>28</v>
      </c>
      <c r="I19" s="89">
        <v>8</v>
      </c>
    </row>
    <row r="20" spans="2:9" x14ac:dyDescent="0.25">
      <c r="B20" s="124"/>
      <c r="C20" s="5" t="s">
        <v>445</v>
      </c>
      <c r="D20" s="55">
        <f>1/15</f>
        <v>6.6666666666666666E-2</v>
      </c>
      <c r="E20" s="51">
        <v>0.05</v>
      </c>
      <c r="F20" s="51">
        <v>0.1</v>
      </c>
      <c r="G20" s="4" t="s">
        <v>446</v>
      </c>
      <c r="H20" s="5" t="s">
        <v>28</v>
      </c>
      <c r="I20" s="89">
        <v>8</v>
      </c>
    </row>
  </sheetData>
  <mergeCells count="3">
    <mergeCell ref="B9:B20"/>
    <mergeCell ref="B4:B8"/>
    <mergeCell ref="C2:I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V10"/>
  <sheetViews>
    <sheetView topLeftCell="D1" workbookViewId="0">
      <selection activeCell="B2" sqref="B2:V2"/>
    </sheetView>
  </sheetViews>
  <sheetFormatPr defaultRowHeight="15" x14ac:dyDescent="0.25"/>
  <cols>
    <col min="2" max="2" width="21" bestFit="1" customWidth="1"/>
    <col min="3" max="20" width="12.7109375" customWidth="1"/>
    <col min="21" max="21" width="20.7109375" bestFit="1" customWidth="1"/>
    <col min="22" max="22" width="26.28515625" bestFit="1" customWidth="1"/>
  </cols>
  <sheetData>
    <row r="2" spans="2:22" x14ac:dyDescent="0.25">
      <c r="B2" s="103" t="s">
        <v>899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</row>
    <row r="3" spans="2:22" x14ac:dyDescent="0.25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8" t="s">
        <v>0</v>
      </c>
      <c r="V3" s="18" t="s">
        <v>401</v>
      </c>
    </row>
    <row r="4" spans="2:22" x14ac:dyDescent="0.25">
      <c r="B4" s="41"/>
      <c r="C4" s="126" t="s">
        <v>2</v>
      </c>
      <c r="D4" s="126"/>
      <c r="E4" s="126"/>
      <c r="F4" s="126"/>
      <c r="G4" s="126"/>
      <c r="H4" s="126"/>
      <c r="I4" s="126" t="s">
        <v>3</v>
      </c>
      <c r="J4" s="126"/>
      <c r="K4" s="126"/>
      <c r="L4" s="126"/>
      <c r="M4" s="126"/>
      <c r="N4" s="126"/>
      <c r="O4" s="126" t="s">
        <v>4</v>
      </c>
      <c r="P4" s="126"/>
      <c r="Q4" s="126"/>
      <c r="R4" s="126"/>
      <c r="S4" s="126"/>
      <c r="T4" s="126"/>
      <c r="U4" s="1" t="s">
        <v>399</v>
      </c>
      <c r="V4" s="1" t="s">
        <v>404</v>
      </c>
    </row>
    <row r="5" spans="2:22" x14ac:dyDescent="0.25">
      <c r="B5" s="41" t="s">
        <v>5</v>
      </c>
      <c r="C5" s="112" t="s">
        <v>6</v>
      </c>
      <c r="D5" s="112"/>
      <c r="E5" s="112"/>
      <c r="F5" s="112" t="s">
        <v>7</v>
      </c>
      <c r="G5" s="112"/>
      <c r="H5" s="112"/>
      <c r="I5" s="112" t="s">
        <v>6</v>
      </c>
      <c r="J5" s="112"/>
      <c r="K5" s="112"/>
      <c r="L5" s="112" t="s">
        <v>7</v>
      </c>
      <c r="M5" s="112"/>
      <c r="N5" s="112"/>
      <c r="O5" s="112" t="s">
        <v>6</v>
      </c>
      <c r="P5" s="112"/>
      <c r="Q5" s="112"/>
      <c r="R5" s="112" t="s">
        <v>7</v>
      </c>
      <c r="S5" s="112"/>
      <c r="T5" s="112"/>
      <c r="U5" s="18" t="s">
        <v>399</v>
      </c>
      <c r="V5" s="18" t="s">
        <v>402</v>
      </c>
    </row>
    <row r="6" spans="2:22" x14ac:dyDescent="0.25">
      <c r="B6" s="42" t="s">
        <v>8</v>
      </c>
      <c r="C6" s="125" t="s">
        <v>9</v>
      </c>
      <c r="D6" s="125"/>
      <c r="E6" s="125"/>
      <c r="F6" s="125" t="s">
        <v>10</v>
      </c>
      <c r="G6" s="125"/>
      <c r="H6" s="125"/>
      <c r="I6" s="125" t="s">
        <v>11</v>
      </c>
      <c r="J6" s="125"/>
      <c r="K6" s="125"/>
      <c r="L6" s="125" t="s">
        <v>12</v>
      </c>
      <c r="M6" s="125"/>
      <c r="N6" s="125"/>
      <c r="O6" s="125" t="s">
        <v>13</v>
      </c>
      <c r="P6" s="125"/>
      <c r="Q6" s="125"/>
      <c r="R6" s="125" t="s">
        <v>14</v>
      </c>
      <c r="S6" s="125"/>
      <c r="T6" s="125"/>
      <c r="U6" s="1" t="s">
        <v>399</v>
      </c>
      <c r="V6" s="1" t="s">
        <v>403</v>
      </c>
    </row>
    <row r="7" spans="2:22" x14ac:dyDescent="0.25">
      <c r="B7" s="42" t="s">
        <v>15</v>
      </c>
      <c r="C7" s="125" t="s">
        <v>16</v>
      </c>
      <c r="D7" s="125"/>
      <c r="E7" s="125"/>
      <c r="F7" s="125"/>
      <c r="G7" s="125"/>
      <c r="H7" s="125"/>
      <c r="I7" s="125" t="s">
        <v>17</v>
      </c>
      <c r="J7" s="125"/>
      <c r="K7" s="125"/>
      <c r="L7" s="125"/>
      <c r="M7" s="125"/>
      <c r="N7" s="125"/>
      <c r="O7" s="125" t="s">
        <v>18</v>
      </c>
      <c r="P7" s="125"/>
      <c r="Q7" s="125"/>
      <c r="R7" s="125"/>
      <c r="S7" s="125"/>
      <c r="T7" s="125"/>
      <c r="U7" s="1" t="s">
        <v>399</v>
      </c>
      <c r="V7" s="1" t="s">
        <v>403</v>
      </c>
    </row>
    <row r="8" spans="2:22" x14ac:dyDescent="0.25">
      <c r="B8" s="41" t="s">
        <v>19</v>
      </c>
      <c r="C8" s="112" t="s">
        <v>20</v>
      </c>
      <c r="D8" s="112"/>
      <c r="E8" s="112" t="s">
        <v>21</v>
      </c>
      <c r="F8" s="112"/>
      <c r="G8" s="112" t="s">
        <v>22</v>
      </c>
      <c r="H8" s="112"/>
      <c r="I8" s="112" t="s">
        <v>20</v>
      </c>
      <c r="J8" s="112"/>
      <c r="K8" s="112" t="s">
        <v>21</v>
      </c>
      <c r="L8" s="112"/>
      <c r="M8" s="112" t="s">
        <v>22</v>
      </c>
      <c r="N8" s="112"/>
      <c r="O8" s="112" t="s">
        <v>20</v>
      </c>
      <c r="P8" s="112"/>
      <c r="Q8" s="112" t="s">
        <v>21</v>
      </c>
      <c r="R8" s="112"/>
      <c r="S8" s="112" t="s">
        <v>22</v>
      </c>
      <c r="T8" s="112"/>
      <c r="U8" s="127" t="s">
        <v>399</v>
      </c>
      <c r="V8" s="128" t="s">
        <v>403</v>
      </c>
    </row>
    <row r="9" spans="2:22" x14ac:dyDescent="0.25">
      <c r="B9" s="41" t="s">
        <v>5</v>
      </c>
      <c r="C9" s="30" t="s">
        <v>6</v>
      </c>
      <c r="D9" s="30" t="s">
        <v>7</v>
      </c>
      <c r="E9" s="30" t="s">
        <v>6</v>
      </c>
      <c r="F9" s="30" t="s">
        <v>7</v>
      </c>
      <c r="G9" s="30" t="s">
        <v>6</v>
      </c>
      <c r="H9" s="30" t="s">
        <v>7</v>
      </c>
      <c r="I9" s="30" t="s">
        <v>6</v>
      </c>
      <c r="J9" s="30" t="s">
        <v>7</v>
      </c>
      <c r="K9" s="30" t="s">
        <v>6</v>
      </c>
      <c r="L9" s="30" t="s">
        <v>7</v>
      </c>
      <c r="M9" s="30" t="s">
        <v>6</v>
      </c>
      <c r="N9" s="30" t="s">
        <v>7</v>
      </c>
      <c r="O9" s="30" t="s">
        <v>6</v>
      </c>
      <c r="P9" s="30" t="s">
        <v>7</v>
      </c>
      <c r="Q9" s="30" t="s">
        <v>6</v>
      </c>
      <c r="R9" s="30" t="s">
        <v>7</v>
      </c>
      <c r="S9" s="30" t="s">
        <v>6</v>
      </c>
      <c r="T9" s="30" t="s">
        <v>7</v>
      </c>
      <c r="U9" s="127"/>
      <c r="V9" s="128"/>
    </row>
    <row r="10" spans="2:22" x14ac:dyDescent="0.25">
      <c r="B10" s="42" t="s">
        <v>23</v>
      </c>
      <c r="C10" s="125" t="s">
        <v>24</v>
      </c>
      <c r="D10" s="125"/>
      <c r="E10" s="125" t="s">
        <v>25</v>
      </c>
      <c r="F10" s="125"/>
      <c r="G10" s="125" t="s">
        <v>26</v>
      </c>
      <c r="H10" s="125"/>
      <c r="I10" s="125" t="s">
        <v>24</v>
      </c>
      <c r="J10" s="125"/>
      <c r="K10" s="125" t="s">
        <v>25</v>
      </c>
      <c r="L10" s="125"/>
      <c r="M10" s="125" t="s">
        <v>26</v>
      </c>
      <c r="N10" s="125"/>
      <c r="O10" s="125" t="s">
        <v>27</v>
      </c>
      <c r="P10" s="125"/>
      <c r="Q10" s="125" t="s">
        <v>25</v>
      </c>
      <c r="R10" s="125"/>
      <c r="S10" s="125" t="s">
        <v>26</v>
      </c>
      <c r="T10" s="125"/>
      <c r="U10" s="1" t="s">
        <v>400</v>
      </c>
      <c r="V10" s="1" t="s">
        <v>403</v>
      </c>
    </row>
  </sheetData>
  <mergeCells count="40">
    <mergeCell ref="S10:T10"/>
    <mergeCell ref="B3:T3"/>
    <mergeCell ref="U8:U9"/>
    <mergeCell ref="V8:V9"/>
    <mergeCell ref="B2:V2"/>
    <mergeCell ref="Q8:R8"/>
    <mergeCell ref="S8:T8"/>
    <mergeCell ref="C10:D10"/>
    <mergeCell ref="E10:F10"/>
    <mergeCell ref="G10:H10"/>
    <mergeCell ref="I10:J10"/>
    <mergeCell ref="K10:L10"/>
    <mergeCell ref="M10:N10"/>
    <mergeCell ref="O10:P10"/>
    <mergeCell ref="Q10:R10"/>
    <mergeCell ref="C7:H7"/>
    <mergeCell ref="I7:N7"/>
    <mergeCell ref="O7:T7"/>
    <mergeCell ref="C8:D8"/>
    <mergeCell ref="E8:F8"/>
    <mergeCell ref="G8:H8"/>
    <mergeCell ref="I8:J8"/>
    <mergeCell ref="K8:L8"/>
    <mergeCell ref="M8:N8"/>
    <mergeCell ref="O8:P8"/>
    <mergeCell ref="R6:T6"/>
    <mergeCell ref="C4:H4"/>
    <mergeCell ref="I4:N4"/>
    <mergeCell ref="O4:T4"/>
    <mergeCell ref="C5:E5"/>
    <mergeCell ref="F5:H5"/>
    <mergeCell ref="I5:K5"/>
    <mergeCell ref="L5:N5"/>
    <mergeCell ref="O5:Q5"/>
    <mergeCell ref="R5:T5"/>
    <mergeCell ref="C6:E6"/>
    <mergeCell ref="F6:H6"/>
    <mergeCell ref="I6:K6"/>
    <mergeCell ref="L6:N6"/>
    <mergeCell ref="O6:Q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L55"/>
  <sheetViews>
    <sheetView workbookViewId="0">
      <selection activeCell="L35" sqref="L35"/>
    </sheetView>
  </sheetViews>
  <sheetFormatPr defaultRowHeight="15" x14ac:dyDescent="0.25"/>
  <cols>
    <col min="3" max="3" width="50.85546875" bestFit="1" customWidth="1"/>
    <col min="4" max="4" width="8.5703125" bestFit="1" customWidth="1"/>
    <col min="5" max="5" width="10.42578125" bestFit="1" customWidth="1"/>
    <col min="6" max="6" width="8.5703125" bestFit="1" customWidth="1"/>
    <col min="7" max="7" width="10.42578125" bestFit="1" customWidth="1"/>
    <col min="8" max="8" width="8.5703125" bestFit="1" customWidth="1"/>
    <col min="9" max="9" width="10.42578125" bestFit="1" customWidth="1"/>
    <col min="10" max="10" width="56.28515625" bestFit="1" customWidth="1"/>
    <col min="11" max="11" width="21.42578125" bestFit="1" customWidth="1"/>
    <col min="12" max="12" width="9.140625" style="99"/>
  </cols>
  <sheetData>
    <row r="2" spans="2:12" x14ac:dyDescent="0.25">
      <c r="C2" s="107" t="s">
        <v>900</v>
      </c>
      <c r="D2" s="108"/>
      <c r="E2" s="108"/>
      <c r="F2" s="108"/>
      <c r="G2" s="108"/>
      <c r="H2" s="108"/>
      <c r="I2" s="108"/>
      <c r="J2" s="108"/>
      <c r="K2" s="108"/>
      <c r="L2" s="109"/>
    </row>
    <row r="3" spans="2:12" x14ac:dyDescent="0.25">
      <c r="C3" s="43" t="s">
        <v>19</v>
      </c>
      <c r="D3" s="129" t="s">
        <v>20</v>
      </c>
      <c r="E3" s="129"/>
      <c r="F3" s="129" t="s">
        <v>21</v>
      </c>
      <c r="G3" s="129"/>
      <c r="H3" s="129" t="s">
        <v>22</v>
      </c>
      <c r="I3" s="129"/>
      <c r="J3" s="129" t="s">
        <v>29</v>
      </c>
      <c r="K3" s="129" t="s">
        <v>0</v>
      </c>
      <c r="L3" s="131" t="s">
        <v>30</v>
      </c>
    </row>
    <row r="4" spans="2:12" x14ac:dyDescent="0.25">
      <c r="C4" s="44" t="s">
        <v>5</v>
      </c>
      <c r="D4" s="45" t="s">
        <v>6</v>
      </c>
      <c r="E4" s="45" t="s">
        <v>7</v>
      </c>
      <c r="F4" s="45" t="s">
        <v>6</v>
      </c>
      <c r="G4" s="45" t="s">
        <v>7</v>
      </c>
      <c r="H4" s="45" t="s">
        <v>6</v>
      </c>
      <c r="I4" s="45" t="s">
        <v>7</v>
      </c>
      <c r="J4" s="130"/>
      <c r="K4" s="130"/>
      <c r="L4" s="131"/>
    </row>
    <row r="5" spans="2:12" x14ac:dyDescent="0.25">
      <c r="B5" s="124" t="s">
        <v>31</v>
      </c>
      <c r="C5" s="1" t="s">
        <v>32</v>
      </c>
      <c r="D5" s="122">
        <v>5.0000000000000001E-3</v>
      </c>
      <c r="E5" s="122"/>
      <c r="F5" s="122">
        <f>D5*0.5</f>
        <v>2.5000000000000001E-3</v>
      </c>
      <c r="G5" s="122"/>
      <c r="H5" s="122">
        <f>D5*2</f>
        <v>0.01</v>
      </c>
      <c r="I5" s="122"/>
      <c r="J5" s="1" t="s">
        <v>33</v>
      </c>
      <c r="K5" s="2" t="s">
        <v>28</v>
      </c>
      <c r="L5" s="89">
        <v>76</v>
      </c>
    </row>
    <row r="6" spans="2:12" x14ac:dyDescent="0.25">
      <c r="B6" s="124"/>
      <c r="C6" s="1" t="s">
        <v>34</v>
      </c>
      <c r="D6" s="122">
        <v>0.06</v>
      </c>
      <c r="E6" s="122"/>
      <c r="F6" s="122">
        <f>D6*0.5</f>
        <v>0.03</v>
      </c>
      <c r="G6" s="122"/>
      <c r="H6" s="122">
        <f>D6*2</f>
        <v>0.12</v>
      </c>
      <c r="I6" s="122"/>
      <c r="J6" s="1" t="s">
        <v>35</v>
      </c>
      <c r="K6" s="2" t="s">
        <v>28</v>
      </c>
      <c r="L6" s="89">
        <v>76</v>
      </c>
    </row>
    <row r="7" spans="2:12" x14ac:dyDescent="0.25">
      <c r="B7" s="124"/>
      <c r="C7" s="1" t="s">
        <v>36</v>
      </c>
      <c r="D7" s="122">
        <v>3.08</v>
      </c>
      <c r="E7" s="122"/>
      <c r="F7" s="122">
        <v>2.04</v>
      </c>
      <c r="G7" s="122"/>
      <c r="H7" s="122">
        <v>4.3899999999999997</v>
      </c>
      <c r="I7" s="122"/>
      <c r="J7" s="1" t="s">
        <v>37</v>
      </c>
      <c r="K7" s="2" t="s">
        <v>28</v>
      </c>
      <c r="L7" s="98">
        <v>82</v>
      </c>
    </row>
    <row r="8" spans="2:12" x14ac:dyDescent="0.25">
      <c r="B8" s="124"/>
      <c r="C8" s="1" t="s">
        <v>38</v>
      </c>
      <c r="D8" s="122">
        <v>150.54</v>
      </c>
      <c r="E8" s="122"/>
      <c r="F8" s="122">
        <v>145.4</v>
      </c>
      <c r="G8" s="122"/>
      <c r="H8" s="122">
        <v>154</v>
      </c>
      <c r="I8" s="122"/>
      <c r="J8" s="1" t="s">
        <v>33</v>
      </c>
      <c r="K8" s="2" t="s">
        <v>28</v>
      </c>
      <c r="L8" s="89">
        <v>88</v>
      </c>
    </row>
    <row r="9" spans="2:12" x14ac:dyDescent="0.25">
      <c r="B9" s="124"/>
      <c r="C9" s="1" t="s">
        <v>39</v>
      </c>
      <c r="D9" s="122">
        <v>150.4</v>
      </c>
      <c r="E9" s="122"/>
      <c r="F9" s="122">
        <v>146.26</v>
      </c>
      <c r="G9" s="122"/>
      <c r="H9" s="122">
        <v>154</v>
      </c>
      <c r="I9" s="122"/>
      <c r="J9" s="1" t="s">
        <v>33</v>
      </c>
      <c r="K9" s="2" t="s">
        <v>28</v>
      </c>
      <c r="L9" s="89">
        <v>88</v>
      </c>
    </row>
    <row r="10" spans="2:12" x14ac:dyDescent="0.25">
      <c r="B10" s="124"/>
      <c r="C10" s="1" t="s">
        <v>40</v>
      </c>
      <c r="D10" s="122">
        <v>1500</v>
      </c>
      <c r="E10" s="122"/>
      <c r="F10" s="122">
        <f>D10*0.5</f>
        <v>750</v>
      </c>
      <c r="G10" s="122"/>
      <c r="H10" s="122">
        <f>D10*2</f>
        <v>3000</v>
      </c>
      <c r="I10" s="122"/>
      <c r="J10" s="1" t="s">
        <v>33</v>
      </c>
      <c r="K10" s="2" t="s">
        <v>28</v>
      </c>
      <c r="L10" s="89"/>
    </row>
    <row r="11" spans="2:12" x14ac:dyDescent="0.25">
      <c r="B11" s="124"/>
      <c r="C11" s="1" t="s">
        <v>41</v>
      </c>
      <c r="D11" s="122">
        <v>150</v>
      </c>
      <c r="E11" s="122"/>
      <c r="F11" s="122">
        <f>D11*0.5</f>
        <v>75</v>
      </c>
      <c r="G11" s="122"/>
      <c r="H11" s="122">
        <f>D11*2</f>
        <v>300</v>
      </c>
      <c r="I11" s="122"/>
      <c r="J11" s="1" t="s">
        <v>33</v>
      </c>
      <c r="K11" s="2" t="s">
        <v>28</v>
      </c>
      <c r="L11" s="89"/>
    </row>
    <row r="12" spans="2:12" x14ac:dyDescent="0.25">
      <c r="B12" s="124"/>
      <c r="C12" s="1" t="s">
        <v>42</v>
      </c>
      <c r="D12" s="122">
        <v>150</v>
      </c>
      <c r="E12" s="122"/>
      <c r="F12" s="122">
        <f>D12*0.5</f>
        <v>75</v>
      </c>
      <c r="G12" s="122"/>
      <c r="H12" s="122">
        <f>D12*2</f>
        <v>300</v>
      </c>
      <c r="I12" s="122"/>
      <c r="J12" s="1" t="s">
        <v>33</v>
      </c>
      <c r="K12" s="2" t="s">
        <v>28</v>
      </c>
      <c r="L12" s="89"/>
    </row>
    <row r="13" spans="2:12" x14ac:dyDescent="0.25">
      <c r="B13" s="124"/>
      <c r="C13" s="1" t="s">
        <v>43</v>
      </c>
      <c r="D13" s="122">
        <v>150</v>
      </c>
      <c r="E13" s="122"/>
      <c r="F13" s="122">
        <f>D13*0.5</f>
        <v>75</v>
      </c>
      <c r="G13" s="122"/>
      <c r="H13" s="122">
        <f>D13*2</f>
        <v>300</v>
      </c>
      <c r="I13" s="122"/>
      <c r="J13" s="1" t="s">
        <v>33</v>
      </c>
      <c r="K13" s="2" t="s">
        <v>28</v>
      </c>
      <c r="L13" s="89"/>
    </row>
    <row r="14" spans="2:12" x14ac:dyDescent="0.25">
      <c r="B14" s="124"/>
      <c r="C14" s="1" t="s">
        <v>44</v>
      </c>
      <c r="D14" s="122">
        <v>51.2</v>
      </c>
      <c r="E14" s="122"/>
      <c r="F14" s="122">
        <v>38</v>
      </c>
      <c r="G14" s="122"/>
      <c r="H14" s="122">
        <v>81</v>
      </c>
      <c r="I14" s="122"/>
      <c r="J14" s="1" t="s">
        <v>33</v>
      </c>
      <c r="K14" s="2" t="s">
        <v>28</v>
      </c>
      <c r="L14" s="89">
        <v>88</v>
      </c>
    </row>
    <row r="15" spans="2:12" x14ac:dyDescent="0.25">
      <c r="B15" s="124"/>
      <c r="C15" s="1" t="s">
        <v>45</v>
      </c>
      <c r="D15" s="122">
        <v>26.68</v>
      </c>
      <c r="E15" s="122"/>
      <c r="F15" s="122">
        <v>24.93</v>
      </c>
      <c r="G15" s="122"/>
      <c r="H15" s="122">
        <v>27.54</v>
      </c>
      <c r="I15" s="122"/>
      <c r="J15" s="1" t="s">
        <v>33</v>
      </c>
      <c r="K15" s="2" t="s">
        <v>28</v>
      </c>
      <c r="L15" s="89">
        <v>81</v>
      </c>
    </row>
    <row r="16" spans="2:12" x14ac:dyDescent="0.25">
      <c r="B16" s="124"/>
      <c r="C16" s="1" t="s">
        <v>46</v>
      </c>
      <c r="D16" s="122">
        <v>55</v>
      </c>
      <c r="E16" s="122"/>
      <c r="F16" s="122">
        <f>D16*0.5</f>
        <v>27.5</v>
      </c>
      <c r="G16" s="122"/>
      <c r="H16" s="122">
        <f>D16*2</f>
        <v>110</v>
      </c>
      <c r="I16" s="122"/>
      <c r="J16" s="1" t="s">
        <v>33</v>
      </c>
      <c r="K16" s="2" t="s">
        <v>28</v>
      </c>
      <c r="L16" s="89"/>
    </row>
    <row r="17" spans="2:12" x14ac:dyDescent="0.25">
      <c r="B17" s="124"/>
      <c r="C17" s="1" t="s">
        <v>47</v>
      </c>
      <c r="D17" s="122">
        <v>50</v>
      </c>
      <c r="E17" s="122"/>
      <c r="F17" s="122">
        <f>D17*0.5</f>
        <v>25</v>
      </c>
      <c r="G17" s="122"/>
      <c r="H17" s="122">
        <f>D17*2</f>
        <v>100</v>
      </c>
      <c r="I17" s="122"/>
      <c r="J17" s="1" t="s">
        <v>33</v>
      </c>
      <c r="K17" s="2" t="s">
        <v>28</v>
      </c>
      <c r="L17" s="89">
        <v>76</v>
      </c>
    </row>
    <row r="18" spans="2:12" x14ac:dyDescent="0.25">
      <c r="B18" s="124"/>
      <c r="C18" s="1" t="s">
        <v>48</v>
      </c>
      <c r="D18" s="122">
        <v>1.5</v>
      </c>
      <c r="E18" s="122"/>
      <c r="F18" s="122">
        <f>D18*0.5</f>
        <v>0.75</v>
      </c>
      <c r="G18" s="122"/>
      <c r="H18" s="122">
        <f>D18*2</f>
        <v>3</v>
      </c>
      <c r="I18" s="122"/>
      <c r="J18" s="1" t="s">
        <v>33</v>
      </c>
      <c r="K18" s="2" t="s">
        <v>28</v>
      </c>
      <c r="L18" s="89">
        <v>76</v>
      </c>
    </row>
    <row r="19" spans="2:12" x14ac:dyDescent="0.25">
      <c r="B19" s="124"/>
      <c r="C19" s="1" t="s">
        <v>49</v>
      </c>
      <c r="D19" s="122">
        <v>0.04</v>
      </c>
      <c r="E19" s="122"/>
      <c r="F19" s="122">
        <v>0.03</v>
      </c>
      <c r="G19" s="122"/>
      <c r="H19" s="122">
        <v>0.05</v>
      </c>
      <c r="I19" s="122"/>
      <c r="J19" s="1" t="s">
        <v>50</v>
      </c>
      <c r="K19" s="2" t="s">
        <v>28</v>
      </c>
      <c r="L19" s="89">
        <v>76</v>
      </c>
    </row>
    <row r="20" spans="2:12" x14ac:dyDescent="0.25">
      <c r="B20" s="124"/>
      <c r="C20" s="1" t="s">
        <v>51</v>
      </c>
      <c r="D20" s="122">
        <v>4</v>
      </c>
      <c r="E20" s="122"/>
      <c r="F20" s="122">
        <v>3</v>
      </c>
      <c r="G20" s="122"/>
      <c r="H20" s="122">
        <v>5</v>
      </c>
      <c r="I20" s="122"/>
      <c r="J20" s="1" t="s">
        <v>52</v>
      </c>
      <c r="K20" s="2" t="s">
        <v>28</v>
      </c>
      <c r="L20" s="89">
        <v>76</v>
      </c>
    </row>
    <row r="21" spans="2:12" x14ac:dyDescent="0.25">
      <c r="B21" s="124"/>
      <c r="C21" s="1" t="s">
        <v>53</v>
      </c>
      <c r="D21" s="122">
        <v>5</v>
      </c>
      <c r="E21" s="122"/>
      <c r="F21" s="122">
        <v>4</v>
      </c>
      <c r="G21" s="122"/>
      <c r="H21" s="122">
        <v>6</v>
      </c>
      <c r="I21" s="122"/>
      <c r="J21" s="1" t="s">
        <v>52</v>
      </c>
      <c r="K21" s="2" t="s">
        <v>28</v>
      </c>
      <c r="L21" s="89">
        <v>76</v>
      </c>
    </row>
    <row r="22" spans="2:12" x14ac:dyDescent="0.25">
      <c r="B22" s="124"/>
      <c r="C22" s="1" t="s">
        <v>54</v>
      </c>
      <c r="D22" s="122">
        <v>4.8</v>
      </c>
      <c r="E22" s="122"/>
      <c r="F22" s="122">
        <f>4.6</f>
        <v>4.5999999999999996</v>
      </c>
      <c r="G22" s="122"/>
      <c r="H22" s="122">
        <v>5</v>
      </c>
      <c r="I22" s="122"/>
      <c r="J22" s="1" t="s">
        <v>55</v>
      </c>
      <c r="K22" s="2" t="s">
        <v>28</v>
      </c>
      <c r="L22" s="89">
        <v>76</v>
      </c>
    </row>
    <row r="23" spans="2:12" x14ac:dyDescent="0.25">
      <c r="B23" s="124"/>
      <c r="C23" s="1" t="s">
        <v>56</v>
      </c>
      <c r="D23" s="122">
        <v>50000</v>
      </c>
      <c r="E23" s="122"/>
      <c r="F23" s="122">
        <f>D23*0.5</f>
        <v>25000</v>
      </c>
      <c r="G23" s="122"/>
      <c r="H23" s="122">
        <f>D23*2</f>
        <v>100000</v>
      </c>
      <c r="I23" s="122"/>
      <c r="J23" s="1" t="s">
        <v>57</v>
      </c>
      <c r="K23" s="2" t="s">
        <v>28</v>
      </c>
      <c r="L23" s="89">
        <v>76</v>
      </c>
    </row>
    <row r="24" spans="2:12" x14ac:dyDescent="0.25">
      <c r="B24" s="124"/>
      <c r="C24" s="1" t="s">
        <v>58</v>
      </c>
      <c r="D24" s="132">
        <v>1.25</v>
      </c>
      <c r="E24" s="132"/>
      <c r="F24" s="132">
        <v>1.125</v>
      </c>
      <c r="G24" s="132"/>
      <c r="H24" s="132">
        <v>1.5</v>
      </c>
      <c r="I24" s="132"/>
      <c r="J24" s="1" t="s">
        <v>59</v>
      </c>
      <c r="K24" s="2" t="s">
        <v>28</v>
      </c>
      <c r="L24" s="89">
        <v>76</v>
      </c>
    </row>
    <row r="25" spans="2:12" x14ac:dyDescent="0.25">
      <c r="B25" s="124"/>
      <c r="C25" s="1" t="s">
        <v>60</v>
      </c>
      <c r="D25" s="132">
        <v>1.5</v>
      </c>
      <c r="E25" s="132"/>
      <c r="F25" s="132">
        <v>1.4</v>
      </c>
      <c r="G25" s="132"/>
      <c r="H25" s="132">
        <v>1.6</v>
      </c>
      <c r="I25" s="132"/>
      <c r="J25" s="1" t="s">
        <v>61</v>
      </c>
      <c r="K25" s="2" t="s">
        <v>28</v>
      </c>
      <c r="L25" s="89">
        <v>76</v>
      </c>
    </row>
    <row r="26" spans="2:12" x14ac:dyDescent="0.25">
      <c r="B26" s="124"/>
      <c r="C26" s="1" t="s">
        <v>62</v>
      </c>
      <c r="D26" s="122">
        <v>7920</v>
      </c>
      <c r="E26" s="122"/>
      <c r="F26" s="122">
        <v>7440</v>
      </c>
      <c r="G26" s="122"/>
      <c r="H26" s="122">
        <v>8400</v>
      </c>
      <c r="I26" s="122"/>
      <c r="J26" s="1" t="s">
        <v>63</v>
      </c>
      <c r="K26" s="2" t="s">
        <v>28</v>
      </c>
      <c r="L26" s="89">
        <v>76</v>
      </c>
    </row>
    <row r="27" spans="2:12" x14ac:dyDescent="0.25">
      <c r="B27" s="124" t="s">
        <v>64</v>
      </c>
      <c r="C27" s="2" t="s">
        <v>65</v>
      </c>
      <c r="D27" s="122">
        <v>1</v>
      </c>
      <c r="E27" s="122"/>
      <c r="F27" s="134">
        <v>0.61</v>
      </c>
      <c r="G27" s="135"/>
      <c r="H27" s="134">
        <v>1.6</v>
      </c>
      <c r="I27" s="135"/>
      <c r="J27" s="4" t="s">
        <v>66</v>
      </c>
      <c r="K27" s="2" t="s">
        <v>28</v>
      </c>
      <c r="L27" s="89">
        <v>76</v>
      </c>
    </row>
    <row r="28" spans="2:12" x14ac:dyDescent="0.25">
      <c r="B28" s="124"/>
      <c r="C28" s="2" t="s">
        <v>67</v>
      </c>
      <c r="D28" s="122">
        <v>1.2</v>
      </c>
      <c r="E28" s="122"/>
      <c r="F28" s="134">
        <v>1.1499999999999999</v>
      </c>
      <c r="G28" s="135"/>
      <c r="H28" s="134">
        <v>1.25</v>
      </c>
      <c r="I28" s="135"/>
      <c r="J28" s="4" t="s">
        <v>68</v>
      </c>
      <c r="K28" s="2" t="s">
        <v>28</v>
      </c>
      <c r="L28" s="90">
        <v>48</v>
      </c>
    </row>
    <row r="29" spans="2:12" x14ac:dyDescent="0.25">
      <c r="B29" s="124"/>
      <c r="C29" s="2" t="s">
        <v>69</v>
      </c>
      <c r="D29" s="133">
        <f>AVERAGE(F29:H29)</f>
        <v>1.2749999999999999</v>
      </c>
      <c r="E29" s="133"/>
      <c r="F29" s="134">
        <v>1.1000000000000001</v>
      </c>
      <c r="G29" s="135"/>
      <c r="H29" s="134">
        <v>1.45</v>
      </c>
      <c r="I29" s="135"/>
      <c r="J29" s="4" t="s">
        <v>70</v>
      </c>
      <c r="K29" s="2" t="s">
        <v>28</v>
      </c>
      <c r="L29" s="90">
        <v>48</v>
      </c>
    </row>
    <row r="30" spans="2:12" x14ac:dyDescent="0.25">
      <c r="B30" s="124"/>
      <c r="C30" s="2" t="s">
        <v>71</v>
      </c>
      <c r="D30" s="133">
        <f>AVERAGE(F30:H30)</f>
        <v>1.3650000000000002</v>
      </c>
      <c r="E30" s="133"/>
      <c r="F30" s="134">
        <f>1+0.03+0.1+0.1</f>
        <v>1.2300000000000002</v>
      </c>
      <c r="G30" s="135"/>
      <c r="H30" s="134">
        <f>1+0.05+0.15+0.3</f>
        <v>1.5</v>
      </c>
      <c r="I30" s="135"/>
      <c r="J30" s="4" t="s">
        <v>72</v>
      </c>
      <c r="K30" s="2" t="s">
        <v>28</v>
      </c>
      <c r="L30" s="90">
        <v>48</v>
      </c>
    </row>
    <row r="31" spans="2:12" x14ac:dyDescent="0.25">
      <c r="B31" s="124"/>
      <c r="C31" s="2" t="s">
        <v>73</v>
      </c>
      <c r="D31" s="122">
        <v>1</v>
      </c>
      <c r="E31" s="122"/>
      <c r="F31" s="134">
        <v>0.7</v>
      </c>
      <c r="G31" s="135"/>
      <c r="H31" s="134">
        <v>1.3</v>
      </c>
      <c r="I31" s="135"/>
      <c r="J31" s="1" t="s">
        <v>74</v>
      </c>
      <c r="K31" s="2" t="s">
        <v>28</v>
      </c>
      <c r="L31" s="89">
        <v>76</v>
      </c>
    </row>
    <row r="32" spans="2:12" x14ac:dyDescent="0.25">
      <c r="B32" s="124" t="s">
        <v>75</v>
      </c>
      <c r="C32" s="6" t="s">
        <v>770</v>
      </c>
      <c r="D32" s="136">
        <v>0.7</v>
      </c>
      <c r="E32" s="136"/>
      <c r="F32" s="136">
        <v>0.5</v>
      </c>
      <c r="G32" s="136"/>
      <c r="H32" s="136">
        <v>0.9</v>
      </c>
      <c r="I32" s="136"/>
      <c r="J32" s="8" t="s">
        <v>76</v>
      </c>
      <c r="K32" s="6" t="s">
        <v>28</v>
      </c>
      <c r="L32" s="89" t="s">
        <v>929</v>
      </c>
    </row>
    <row r="33" spans="2:12" x14ac:dyDescent="0.25">
      <c r="B33" s="124"/>
      <c r="C33" s="8" t="s">
        <v>77</v>
      </c>
      <c r="D33" s="136">
        <v>0.5</v>
      </c>
      <c r="E33" s="136"/>
      <c r="F33" s="136">
        <v>0.01</v>
      </c>
      <c r="G33" s="136"/>
      <c r="H33" s="136">
        <v>0.99</v>
      </c>
      <c r="I33" s="136"/>
      <c r="J33" s="8" t="s">
        <v>78</v>
      </c>
      <c r="K33" s="6" t="s">
        <v>28</v>
      </c>
      <c r="L33" s="89"/>
    </row>
    <row r="34" spans="2:12" x14ac:dyDescent="0.25">
      <c r="B34" s="124"/>
      <c r="C34" s="6" t="s">
        <v>79</v>
      </c>
      <c r="D34" s="122">
        <v>1</v>
      </c>
      <c r="E34" s="122"/>
      <c r="F34" s="122">
        <v>0.5</v>
      </c>
      <c r="G34" s="122"/>
      <c r="H34" s="122">
        <v>2</v>
      </c>
      <c r="I34" s="122"/>
      <c r="J34" s="6" t="s">
        <v>80</v>
      </c>
      <c r="K34" s="6" t="s">
        <v>28</v>
      </c>
      <c r="L34" s="89"/>
    </row>
    <row r="35" spans="2:12" x14ac:dyDescent="0.25">
      <c r="B35" s="124"/>
      <c r="C35" s="6" t="s">
        <v>81</v>
      </c>
      <c r="D35" s="122">
        <v>20</v>
      </c>
      <c r="E35" s="122"/>
      <c r="F35" s="122">
        <v>10</v>
      </c>
      <c r="G35" s="122"/>
      <c r="H35" s="122">
        <v>30</v>
      </c>
      <c r="I35" s="122"/>
      <c r="J35" s="6" t="s">
        <v>82</v>
      </c>
      <c r="K35" s="6" t="s">
        <v>28</v>
      </c>
      <c r="L35" s="89">
        <v>93</v>
      </c>
    </row>
    <row r="36" spans="2:12" x14ac:dyDescent="0.25">
      <c r="B36" s="124"/>
      <c r="C36" s="6" t="s">
        <v>83</v>
      </c>
      <c r="D36" s="122">
        <v>6</v>
      </c>
      <c r="E36" s="122"/>
      <c r="F36" s="122">
        <v>3</v>
      </c>
      <c r="G36" s="122"/>
      <c r="H36" s="122">
        <v>9</v>
      </c>
      <c r="I36" s="122"/>
      <c r="J36" s="6" t="s">
        <v>84</v>
      </c>
      <c r="K36" s="6" t="s">
        <v>28</v>
      </c>
      <c r="L36" s="90">
        <v>48</v>
      </c>
    </row>
    <row r="37" spans="2:12" x14ac:dyDescent="0.25">
      <c r="B37" s="124"/>
      <c r="C37" s="6" t="s">
        <v>85</v>
      </c>
      <c r="D37" s="122">
        <v>5</v>
      </c>
      <c r="E37" s="122"/>
      <c r="F37" s="122">
        <v>1</v>
      </c>
      <c r="G37" s="122"/>
      <c r="H37" s="122">
        <v>5</v>
      </c>
      <c r="I37" s="122"/>
      <c r="J37" s="6" t="s">
        <v>86</v>
      </c>
      <c r="K37" s="6" t="s">
        <v>28</v>
      </c>
      <c r="L37" s="90">
        <v>48</v>
      </c>
    </row>
    <row r="38" spans="2:12" x14ac:dyDescent="0.25">
      <c r="B38" s="124"/>
      <c r="C38" s="6" t="s">
        <v>87</v>
      </c>
      <c r="D38" s="136">
        <v>0.2</v>
      </c>
      <c r="E38" s="136"/>
      <c r="F38" s="136">
        <v>0.1</v>
      </c>
      <c r="G38" s="136"/>
      <c r="H38" s="136">
        <v>0.3</v>
      </c>
      <c r="I38" s="136"/>
      <c r="J38" s="6" t="s">
        <v>88</v>
      </c>
      <c r="K38" s="6" t="s">
        <v>28</v>
      </c>
      <c r="L38" s="90">
        <v>48</v>
      </c>
    </row>
    <row r="39" spans="2:12" x14ac:dyDescent="0.25">
      <c r="B39" s="124"/>
      <c r="C39" s="6" t="s">
        <v>89</v>
      </c>
      <c r="D39" s="122">
        <v>1.25</v>
      </c>
      <c r="E39" s="122"/>
      <c r="F39" s="122">
        <v>1</v>
      </c>
      <c r="G39" s="122"/>
      <c r="H39" s="122">
        <v>1.5</v>
      </c>
      <c r="I39" s="122"/>
      <c r="J39" s="6" t="s">
        <v>90</v>
      </c>
      <c r="K39" s="6" t="s">
        <v>28</v>
      </c>
      <c r="L39" s="98">
        <v>48</v>
      </c>
    </row>
    <row r="40" spans="2:12" x14ac:dyDescent="0.25">
      <c r="B40" s="124"/>
      <c r="C40" s="6" t="s">
        <v>91</v>
      </c>
      <c r="D40" s="122">
        <v>0.5</v>
      </c>
      <c r="E40" s="122"/>
      <c r="F40" s="122">
        <v>0.3</v>
      </c>
      <c r="G40" s="122"/>
      <c r="H40" s="122">
        <v>1</v>
      </c>
      <c r="I40" s="122"/>
      <c r="J40" s="6" t="s">
        <v>92</v>
      </c>
      <c r="K40" s="6" t="s">
        <v>28</v>
      </c>
      <c r="L40" s="98">
        <v>85</v>
      </c>
    </row>
    <row r="41" spans="2:12" x14ac:dyDescent="0.25">
      <c r="B41" s="124"/>
      <c r="C41" s="6" t="s">
        <v>93</v>
      </c>
      <c r="D41" s="137">
        <v>1E-4</v>
      </c>
      <c r="E41" s="137"/>
      <c r="F41" s="137">
        <v>1.0000000000000001E-5</v>
      </c>
      <c r="G41" s="137"/>
      <c r="H41" s="137">
        <v>1E-3</v>
      </c>
      <c r="I41" s="137"/>
      <c r="J41" s="6" t="s">
        <v>94</v>
      </c>
      <c r="K41" s="6" t="s">
        <v>28</v>
      </c>
      <c r="L41" s="98">
        <v>48</v>
      </c>
    </row>
    <row r="42" spans="2:12" x14ac:dyDescent="0.25">
      <c r="B42" s="124"/>
      <c r="C42" s="6" t="s">
        <v>95</v>
      </c>
      <c r="D42" s="137">
        <v>5.0000000000000002E-5</v>
      </c>
      <c r="E42" s="137"/>
      <c r="F42" s="137">
        <v>5.0000000000000004E-6</v>
      </c>
      <c r="G42" s="137"/>
      <c r="H42" s="137">
        <v>5.0000000000000001E-4</v>
      </c>
      <c r="I42" s="137"/>
      <c r="J42" s="6" t="s">
        <v>94</v>
      </c>
      <c r="K42" s="6" t="s">
        <v>28</v>
      </c>
      <c r="L42" s="98">
        <v>48</v>
      </c>
    </row>
    <row r="43" spans="2:12" x14ac:dyDescent="0.25">
      <c r="B43" s="124"/>
      <c r="C43" s="6" t="s">
        <v>96</v>
      </c>
      <c r="D43" s="122">
        <v>2E-3</v>
      </c>
      <c r="E43" s="122"/>
      <c r="F43" s="122">
        <v>1E-3</v>
      </c>
      <c r="G43" s="122"/>
      <c r="H43" s="122">
        <v>4.0000000000000001E-3</v>
      </c>
      <c r="I43" s="122"/>
      <c r="J43" s="6" t="s">
        <v>94</v>
      </c>
      <c r="K43" s="6" t="s">
        <v>28</v>
      </c>
      <c r="L43" s="98">
        <v>48</v>
      </c>
    </row>
    <row r="44" spans="2:12" x14ac:dyDescent="0.25">
      <c r="B44" s="124"/>
      <c r="C44" s="6" t="s">
        <v>97</v>
      </c>
      <c r="D44" s="122">
        <v>1E-3</v>
      </c>
      <c r="E44" s="122"/>
      <c r="F44" s="122">
        <v>5.0000000000000001E-4</v>
      </c>
      <c r="G44" s="122"/>
      <c r="H44" s="122">
        <v>2E-3</v>
      </c>
      <c r="I44" s="122"/>
      <c r="J44" s="6" t="s">
        <v>94</v>
      </c>
      <c r="K44" s="6" t="s">
        <v>28</v>
      </c>
      <c r="L44" s="98">
        <v>48</v>
      </c>
    </row>
    <row r="45" spans="2:12" x14ac:dyDescent="0.25">
      <c r="B45" s="124"/>
      <c r="C45" s="6" t="s">
        <v>98</v>
      </c>
      <c r="D45" s="122">
        <v>2</v>
      </c>
      <c r="E45" s="122"/>
      <c r="F45" s="122">
        <f>D45*0.5</f>
        <v>1</v>
      </c>
      <c r="G45" s="122"/>
      <c r="H45" s="122">
        <v>3</v>
      </c>
      <c r="I45" s="122"/>
      <c r="J45" s="6" t="s">
        <v>99</v>
      </c>
      <c r="K45" s="6" t="s">
        <v>28</v>
      </c>
      <c r="L45" s="98">
        <v>86</v>
      </c>
    </row>
    <row r="46" spans="2:12" x14ac:dyDescent="0.25">
      <c r="B46" s="124"/>
      <c r="C46" s="6" t="s">
        <v>100</v>
      </c>
      <c r="D46" s="9">
        <v>1.75</v>
      </c>
      <c r="E46" s="9">
        <v>0.62</v>
      </c>
      <c r="F46" s="9">
        <v>0.75</v>
      </c>
      <c r="G46" s="9">
        <f>E46*0.5</f>
        <v>0.31</v>
      </c>
      <c r="H46" s="9">
        <v>2.75</v>
      </c>
      <c r="I46" s="9">
        <f>E46*2</f>
        <v>1.24</v>
      </c>
      <c r="J46" s="6" t="s">
        <v>101</v>
      </c>
      <c r="K46" s="6" t="s">
        <v>28</v>
      </c>
      <c r="L46" s="89"/>
    </row>
    <row r="47" spans="2:12" x14ac:dyDescent="0.25">
      <c r="B47" s="124"/>
      <c r="C47" s="6" t="s">
        <v>102</v>
      </c>
      <c r="D47" s="122">
        <v>76.3</v>
      </c>
      <c r="E47" s="122"/>
      <c r="F47" s="122">
        <f>D47*0.9</f>
        <v>68.67</v>
      </c>
      <c r="G47" s="122"/>
      <c r="H47" s="122">
        <f>D47*1.1</f>
        <v>83.93</v>
      </c>
      <c r="I47" s="122"/>
      <c r="J47" s="6" t="s">
        <v>103</v>
      </c>
      <c r="K47" s="6" t="s">
        <v>28</v>
      </c>
      <c r="L47" s="99">
        <v>92</v>
      </c>
    </row>
    <row r="48" spans="2:12" x14ac:dyDescent="0.25">
      <c r="B48" s="124"/>
      <c r="C48" s="6" t="s">
        <v>104</v>
      </c>
      <c r="D48" s="122">
        <v>39.700000000000003</v>
      </c>
      <c r="E48" s="122"/>
      <c r="F48" s="122">
        <f>D48*0.5</f>
        <v>19.850000000000001</v>
      </c>
      <c r="G48" s="122"/>
      <c r="H48" s="122">
        <f>D48*2</f>
        <v>79.400000000000006</v>
      </c>
      <c r="I48" s="122"/>
      <c r="J48" s="6" t="s">
        <v>105</v>
      </c>
      <c r="K48" s="6" t="s">
        <v>28</v>
      </c>
      <c r="L48" s="89">
        <v>90</v>
      </c>
    </row>
    <row r="49" spans="2:12" x14ac:dyDescent="0.25">
      <c r="B49" s="124"/>
      <c r="C49" s="6" t="s">
        <v>106</v>
      </c>
      <c r="D49" s="122">
        <v>2.7799999999999999E-3</v>
      </c>
      <c r="E49" s="122"/>
      <c r="F49" s="122">
        <f>D49*0.5</f>
        <v>1.39E-3</v>
      </c>
      <c r="G49" s="122"/>
      <c r="H49" s="122">
        <f>D49*2</f>
        <v>5.5599999999999998E-3</v>
      </c>
      <c r="I49" s="122"/>
      <c r="J49" s="6" t="s">
        <v>107</v>
      </c>
      <c r="K49" s="6" t="s">
        <v>28</v>
      </c>
      <c r="L49" s="90">
        <v>48</v>
      </c>
    </row>
    <row r="50" spans="2:12" x14ac:dyDescent="0.25">
      <c r="B50" s="124"/>
      <c r="C50" s="6" t="s">
        <v>108</v>
      </c>
      <c r="D50" s="9">
        <v>0.246</v>
      </c>
      <c r="E50" s="9" t="s">
        <v>109</v>
      </c>
      <c r="F50" s="9">
        <f>D50*0.9</f>
        <v>0.22140000000000001</v>
      </c>
      <c r="G50" s="9" t="s">
        <v>109</v>
      </c>
      <c r="H50" s="9">
        <f>D50*1.1</f>
        <v>0.27060000000000001</v>
      </c>
      <c r="I50" s="9"/>
      <c r="J50" s="6" t="s">
        <v>110</v>
      </c>
      <c r="K50" s="6" t="s">
        <v>28</v>
      </c>
      <c r="L50" s="89" t="s">
        <v>111</v>
      </c>
    </row>
    <row r="51" spans="2:12" x14ac:dyDescent="0.25">
      <c r="B51" s="124"/>
      <c r="C51" s="6" t="s">
        <v>112</v>
      </c>
      <c r="D51" s="9">
        <v>-7.4999999999999997E-2</v>
      </c>
      <c r="E51" s="9" t="s">
        <v>109</v>
      </c>
      <c r="F51" s="9">
        <f>D51*1.1</f>
        <v>-8.2500000000000004E-2</v>
      </c>
      <c r="G51" s="9" t="s">
        <v>109</v>
      </c>
      <c r="H51" s="9">
        <f>D51*0.9</f>
        <v>-6.7500000000000004E-2</v>
      </c>
      <c r="I51" s="9"/>
      <c r="J51" s="6" t="s">
        <v>113</v>
      </c>
      <c r="K51" s="6" t="s">
        <v>28</v>
      </c>
      <c r="L51" s="89">
        <v>87</v>
      </c>
    </row>
    <row r="52" spans="2:12" x14ac:dyDescent="0.25">
      <c r="B52" s="124"/>
      <c r="C52" s="6" t="s">
        <v>114</v>
      </c>
      <c r="D52" s="9" t="s">
        <v>109</v>
      </c>
      <c r="E52" s="9">
        <v>0.33300000000000002</v>
      </c>
      <c r="F52" s="9" t="s">
        <v>109</v>
      </c>
      <c r="G52" s="9">
        <f>E52*0.5</f>
        <v>0.16650000000000001</v>
      </c>
      <c r="H52" s="9" t="s">
        <v>109</v>
      </c>
      <c r="I52" s="9">
        <f>E52*2</f>
        <v>0.66600000000000004</v>
      </c>
      <c r="J52" s="6" t="s">
        <v>107</v>
      </c>
      <c r="K52" s="6" t="s">
        <v>28</v>
      </c>
      <c r="L52" s="90">
        <v>48</v>
      </c>
    </row>
    <row r="53" spans="2:12" x14ac:dyDescent="0.25">
      <c r="B53" s="124"/>
      <c r="C53" s="6" t="s">
        <v>115</v>
      </c>
      <c r="D53" s="9" t="s">
        <v>109</v>
      </c>
      <c r="E53" s="9">
        <v>1.03</v>
      </c>
      <c r="F53" s="9"/>
      <c r="G53" s="9">
        <f>E53*0.9</f>
        <v>0.92700000000000005</v>
      </c>
      <c r="H53" s="9"/>
      <c r="I53" s="9">
        <f>E53*1.1</f>
        <v>1.1330000000000002</v>
      </c>
      <c r="J53" s="6" t="s">
        <v>110</v>
      </c>
      <c r="K53" s="6" t="s">
        <v>28</v>
      </c>
      <c r="L53" s="89">
        <v>86</v>
      </c>
    </row>
    <row r="54" spans="2:12" x14ac:dyDescent="0.25">
      <c r="B54" s="124"/>
      <c r="C54" s="6" t="s">
        <v>116</v>
      </c>
      <c r="D54" s="9" t="s">
        <v>109</v>
      </c>
      <c r="E54" s="9">
        <v>9.7199999999999995E-3</v>
      </c>
      <c r="F54" s="9"/>
      <c r="G54" s="9">
        <f>E54*0.9</f>
        <v>8.7480000000000006E-3</v>
      </c>
      <c r="H54" s="9"/>
      <c r="I54" s="9">
        <f>E54*1.1</f>
        <v>1.0692E-2</v>
      </c>
      <c r="J54" s="6" t="s">
        <v>107</v>
      </c>
      <c r="K54" s="6" t="s">
        <v>28</v>
      </c>
      <c r="L54" s="89">
        <v>86</v>
      </c>
    </row>
    <row r="55" spans="2:12" x14ac:dyDescent="0.25">
      <c r="B55" s="124"/>
      <c r="C55" s="6" t="s">
        <v>117</v>
      </c>
      <c r="D55" s="136">
        <v>0.1</v>
      </c>
      <c r="E55" s="136"/>
      <c r="F55" s="136">
        <v>0.05</v>
      </c>
      <c r="G55" s="136"/>
      <c r="H55" s="136">
        <v>0.15</v>
      </c>
      <c r="I55" s="136"/>
      <c r="J55" s="6" t="s">
        <v>118</v>
      </c>
      <c r="K55" s="6" t="s">
        <v>28</v>
      </c>
      <c r="L55" s="89"/>
    </row>
  </sheetData>
  <mergeCells count="145">
    <mergeCell ref="D49:E49"/>
    <mergeCell ref="F49:G49"/>
    <mergeCell ref="H49:I49"/>
    <mergeCell ref="D55:E55"/>
    <mergeCell ref="F55:G55"/>
    <mergeCell ref="H55:I55"/>
    <mergeCell ref="D47:E47"/>
    <mergeCell ref="F47:G47"/>
    <mergeCell ref="H47:I47"/>
    <mergeCell ref="D48:E48"/>
    <mergeCell ref="F48:G48"/>
    <mergeCell ref="H48:I48"/>
    <mergeCell ref="D44:E44"/>
    <mergeCell ref="F44:G44"/>
    <mergeCell ref="H44:I44"/>
    <mergeCell ref="D45:E45"/>
    <mergeCell ref="F45:G45"/>
    <mergeCell ref="H45:I45"/>
    <mergeCell ref="D42:E42"/>
    <mergeCell ref="F42:G42"/>
    <mergeCell ref="H42:I42"/>
    <mergeCell ref="D43:E43"/>
    <mergeCell ref="F43:G43"/>
    <mergeCell ref="H43:I43"/>
    <mergeCell ref="F40:G40"/>
    <mergeCell ref="H40:I40"/>
    <mergeCell ref="D41:E41"/>
    <mergeCell ref="F41:G41"/>
    <mergeCell ref="H41:I41"/>
    <mergeCell ref="D38:E38"/>
    <mergeCell ref="F38:G38"/>
    <mergeCell ref="H38:I38"/>
    <mergeCell ref="D39:E39"/>
    <mergeCell ref="F39:G39"/>
    <mergeCell ref="H39:I39"/>
    <mergeCell ref="D31:E31"/>
    <mergeCell ref="F31:G31"/>
    <mergeCell ref="H31:I31"/>
    <mergeCell ref="B32:B55"/>
    <mergeCell ref="D32:E32"/>
    <mergeCell ref="F32:G32"/>
    <mergeCell ref="H32:I32"/>
    <mergeCell ref="D33:E33"/>
    <mergeCell ref="F33:G33"/>
    <mergeCell ref="H33:I33"/>
    <mergeCell ref="B27:B31"/>
    <mergeCell ref="D36:E36"/>
    <mergeCell ref="F36:G36"/>
    <mergeCell ref="H36:I36"/>
    <mergeCell ref="D37:E37"/>
    <mergeCell ref="F37:G37"/>
    <mergeCell ref="H37:I37"/>
    <mergeCell ref="D34:E34"/>
    <mergeCell ref="F34:G34"/>
    <mergeCell ref="H34:I34"/>
    <mergeCell ref="D35:E35"/>
    <mergeCell ref="F35:G35"/>
    <mergeCell ref="H35:I35"/>
    <mergeCell ref="D40:E40"/>
    <mergeCell ref="D29:E29"/>
    <mergeCell ref="F29:G29"/>
    <mergeCell ref="H29:I29"/>
    <mergeCell ref="D30:E30"/>
    <mergeCell ref="F30:G30"/>
    <mergeCell ref="H30:I30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4:E24"/>
    <mergeCell ref="F24:G24"/>
    <mergeCell ref="H24:I24"/>
    <mergeCell ref="D25:E25"/>
    <mergeCell ref="F25:G25"/>
    <mergeCell ref="H25:I25"/>
    <mergeCell ref="D22:E22"/>
    <mergeCell ref="F22:G22"/>
    <mergeCell ref="H22:I22"/>
    <mergeCell ref="D23:E23"/>
    <mergeCell ref="F23:G23"/>
    <mergeCell ref="H23:I23"/>
    <mergeCell ref="D20:E20"/>
    <mergeCell ref="F20:G20"/>
    <mergeCell ref="H20:I20"/>
    <mergeCell ref="D21:E21"/>
    <mergeCell ref="F21:G21"/>
    <mergeCell ref="H21:I21"/>
    <mergeCell ref="D18:E18"/>
    <mergeCell ref="F18:G18"/>
    <mergeCell ref="H18:I18"/>
    <mergeCell ref="D19:E19"/>
    <mergeCell ref="F19:G19"/>
    <mergeCell ref="H19:I19"/>
    <mergeCell ref="H11:I11"/>
    <mergeCell ref="D16:E16"/>
    <mergeCell ref="F16:G16"/>
    <mergeCell ref="H16:I16"/>
    <mergeCell ref="D17:E17"/>
    <mergeCell ref="F17:G17"/>
    <mergeCell ref="H17:I17"/>
    <mergeCell ref="D14:E14"/>
    <mergeCell ref="F14:G14"/>
    <mergeCell ref="H14:I14"/>
    <mergeCell ref="D15:E15"/>
    <mergeCell ref="F15:G15"/>
    <mergeCell ref="H15:I15"/>
    <mergeCell ref="D9:E9"/>
    <mergeCell ref="F9:G9"/>
    <mergeCell ref="H9:I9"/>
    <mergeCell ref="B5:B26"/>
    <mergeCell ref="D5:E5"/>
    <mergeCell ref="F5:G5"/>
    <mergeCell ref="H5:I5"/>
    <mergeCell ref="D6:E6"/>
    <mergeCell ref="F6:G6"/>
    <mergeCell ref="H6:I6"/>
    <mergeCell ref="D7:E7"/>
    <mergeCell ref="F7:G7"/>
    <mergeCell ref="H7:I7"/>
    <mergeCell ref="D12:E12"/>
    <mergeCell ref="F12:G12"/>
    <mergeCell ref="H12:I12"/>
    <mergeCell ref="D13:E13"/>
    <mergeCell ref="F13:G13"/>
    <mergeCell ref="H13:I13"/>
    <mergeCell ref="D10:E10"/>
    <mergeCell ref="F10:G10"/>
    <mergeCell ref="H10:I10"/>
    <mergeCell ref="D11:E11"/>
    <mergeCell ref="F11:G11"/>
    <mergeCell ref="C2:L2"/>
    <mergeCell ref="D3:E3"/>
    <mergeCell ref="F3:G3"/>
    <mergeCell ref="H3:I3"/>
    <mergeCell ref="J3:J4"/>
    <mergeCell ref="K3:K4"/>
    <mergeCell ref="L3:L4"/>
    <mergeCell ref="D8:E8"/>
    <mergeCell ref="F8:G8"/>
    <mergeCell ref="H8:I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P24"/>
  <sheetViews>
    <sheetView workbookViewId="0">
      <selection activeCell="N13" sqref="N13"/>
    </sheetView>
  </sheetViews>
  <sheetFormatPr defaultRowHeight="15" x14ac:dyDescent="0.25"/>
  <cols>
    <col min="3" max="3" width="38.28515625" bestFit="1" customWidth="1"/>
    <col min="8" max="8" width="38" bestFit="1" customWidth="1"/>
    <col min="13" max="13" width="38" bestFit="1" customWidth="1"/>
  </cols>
  <sheetData>
    <row r="2" spans="2:16" x14ac:dyDescent="0.25">
      <c r="B2" s="103" t="s">
        <v>732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2:16" x14ac:dyDescent="0.25">
      <c r="B3" s="124" t="s">
        <v>6</v>
      </c>
      <c r="C3" s="138" t="s">
        <v>777</v>
      </c>
      <c r="D3" s="138" t="s">
        <v>407</v>
      </c>
      <c r="E3" s="138"/>
      <c r="F3" s="138"/>
      <c r="G3" s="124" t="s">
        <v>6</v>
      </c>
      <c r="H3" s="138" t="s">
        <v>411</v>
      </c>
      <c r="I3" s="138" t="s">
        <v>407</v>
      </c>
      <c r="J3" s="138"/>
      <c r="K3" s="138"/>
      <c r="L3" s="124" t="s">
        <v>6</v>
      </c>
      <c r="M3" s="138" t="s">
        <v>412</v>
      </c>
      <c r="N3" s="138" t="s">
        <v>407</v>
      </c>
      <c r="O3" s="138"/>
      <c r="P3" s="138"/>
    </row>
    <row r="4" spans="2:16" x14ac:dyDescent="0.25">
      <c r="B4" s="124"/>
      <c r="C4" s="138"/>
      <c r="D4" s="18" t="s">
        <v>408</v>
      </c>
      <c r="E4" s="18" t="s">
        <v>409</v>
      </c>
      <c r="F4" s="18" t="s">
        <v>410</v>
      </c>
      <c r="G4" s="124"/>
      <c r="H4" s="138"/>
      <c r="I4" s="18" t="s">
        <v>408</v>
      </c>
      <c r="J4" s="18" t="s">
        <v>409</v>
      </c>
      <c r="K4" s="18" t="s">
        <v>410</v>
      </c>
      <c r="L4" s="124"/>
      <c r="M4" s="138"/>
      <c r="N4" s="18" t="s">
        <v>408</v>
      </c>
      <c r="O4" s="18" t="s">
        <v>409</v>
      </c>
      <c r="P4" s="18" t="s">
        <v>410</v>
      </c>
    </row>
    <row r="5" spans="2:16" x14ac:dyDescent="0.25">
      <c r="B5" s="124"/>
      <c r="C5" s="1" t="s">
        <v>778</v>
      </c>
      <c r="D5" s="46">
        <v>1495.0165607538872</v>
      </c>
      <c r="E5" s="46">
        <v>535.69225998345576</v>
      </c>
      <c r="F5" s="46">
        <v>194.15412770209971</v>
      </c>
      <c r="G5" s="124"/>
      <c r="H5" s="1" t="s">
        <v>778</v>
      </c>
      <c r="I5" s="46">
        <v>2047.2250983156998</v>
      </c>
      <c r="J5" s="46">
        <v>757.37317084677886</v>
      </c>
      <c r="K5" s="46">
        <v>281.91412967561979</v>
      </c>
      <c r="L5" s="124"/>
      <c r="M5" s="1" t="s">
        <v>778</v>
      </c>
      <c r="N5" s="47">
        <v>0.38415917798137439</v>
      </c>
      <c r="O5" s="47">
        <v>0.42804232779920909</v>
      </c>
      <c r="P5" s="47">
        <v>0.4657212727753452</v>
      </c>
    </row>
    <row r="6" spans="2:16" x14ac:dyDescent="0.25">
      <c r="B6" s="124"/>
      <c r="C6" s="1" t="s">
        <v>779</v>
      </c>
      <c r="D6" s="46">
        <v>222.68590703088532</v>
      </c>
      <c r="E6" s="46">
        <v>83.353400675499302</v>
      </c>
      <c r="F6" s="46">
        <v>31.386462632318946</v>
      </c>
      <c r="G6" s="124"/>
      <c r="H6" s="1" t="s">
        <v>779</v>
      </c>
      <c r="I6" s="46">
        <v>384.08280229110193</v>
      </c>
      <c r="J6" s="46">
        <v>147.95753243760453</v>
      </c>
      <c r="K6" s="46">
        <v>57.728542559328517</v>
      </c>
      <c r="L6" s="124"/>
      <c r="M6" s="1" t="s">
        <v>779</v>
      </c>
      <c r="N6" s="47">
        <v>0.25874191955892145</v>
      </c>
      <c r="O6" s="47">
        <v>0.26516723906462353</v>
      </c>
      <c r="P6" s="47">
        <v>0.27517488549157826</v>
      </c>
    </row>
    <row r="7" spans="2:16" x14ac:dyDescent="0.25">
      <c r="B7" s="124"/>
      <c r="C7" s="1" t="s">
        <v>780</v>
      </c>
      <c r="D7" s="46">
        <v>311.98954094721302</v>
      </c>
      <c r="E7" s="46">
        <v>78.629322688510172</v>
      </c>
      <c r="F7" s="46">
        <v>45.434371669267982</v>
      </c>
      <c r="G7" s="124"/>
      <c r="H7" s="1" t="s">
        <v>780</v>
      </c>
      <c r="I7" s="46">
        <v>395.87942368237333</v>
      </c>
      <c r="J7" s="46">
        <v>97.25118885057519</v>
      </c>
      <c r="K7" s="46">
        <v>51.654974675017947</v>
      </c>
      <c r="L7" s="124"/>
      <c r="M7" s="1" t="s">
        <v>780</v>
      </c>
      <c r="N7" s="47">
        <v>0.27072125121805141</v>
      </c>
      <c r="O7" s="47">
        <v>0.24020693231580251</v>
      </c>
      <c r="P7" s="47">
        <v>0.14678548382751536</v>
      </c>
    </row>
    <row r="8" spans="2:16" x14ac:dyDescent="0.25">
      <c r="B8" s="124"/>
      <c r="C8" s="1" t="s">
        <v>781</v>
      </c>
      <c r="D8" s="46">
        <v>65.216642849205243</v>
      </c>
      <c r="E8" s="46">
        <v>12.814350621860708</v>
      </c>
      <c r="F8" s="46">
        <v>9.9992986719914363</v>
      </c>
      <c r="G8" s="124"/>
      <c r="H8" s="1" t="s">
        <v>781</v>
      </c>
      <c r="I8" s="46">
        <v>80.12390282840191</v>
      </c>
      <c r="J8" s="46">
        <v>14.332501545827242</v>
      </c>
      <c r="K8" s="46">
        <v>9.3681028493929706</v>
      </c>
      <c r="L8" s="124"/>
      <c r="M8" s="1" t="s">
        <v>781</v>
      </c>
      <c r="N8" s="47">
        <v>2.2118838269606089E-2</v>
      </c>
      <c r="O8" s="47">
        <v>3.4589163601526758E-2</v>
      </c>
      <c r="P8" s="47">
        <v>5.5085186438814278E-2</v>
      </c>
    </row>
    <row r="9" spans="2:16" ht="18" x14ac:dyDescent="0.35">
      <c r="B9" s="124"/>
      <c r="C9" s="1" t="s">
        <v>771</v>
      </c>
      <c r="D9" s="48">
        <v>0.19735142315941565</v>
      </c>
      <c r="E9" s="48">
        <v>0.19735142315941565</v>
      </c>
      <c r="F9" s="48">
        <v>0.19735142315941565</v>
      </c>
      <c r="G9" s="124"/>
      <c r="H9" s="1" t="s">
        <v>771</v>
      </c>
      <c r="I9" s="48">
        <v>0.30163141485812422</v>
      </c>
      <c r="J9" s="48">
        <v>0.30163141485812422</v>
      </c>
      <c r="K9" s="48">
        <v>0.30163141485812422</v>
      </c>
      <c r="L9" s="124"/>
      <c r="M9" s="1" t="s">
        <v>771</v>
      </c>
      <c r="N9" s="47">
        <v>0.51238299785481822</v>
      </c>
      <c r="O9" s="47">
        <v>0.51238299785481822</v>
      </c>
      <c r="P9" s="47">
        <v>0.51238299785481822</v>
      </c>
    </row>
    <row r="10" spans="2:16" ht="18" x14ac:dyDescent="0.35">
      <c r="B10" s="124"/>
      <c r="C10" s="1" t="s">
        <v>776</v>
      </c>
      <c r="D10" s="48">
        <v>6.2873261880715556E-2</v>
      </c>
      <c r="E10" s="48">
        <v>6.2873261880715556E-2</v>
      </c>
      <c r="F10" s="48">
        <v>6.2873261880715556E-2</v>
      </c>
      <c r="G10" s="124"/>
      <c r="H10" s="1" t="s">
        <v>776</v>
      </c>
      <c r="I10" s="48">
        <v>0.11713183185078793</v>
      </c>
      <c r="J10" s="48">
        <v>0.11713183185078793</v>
      </c>
      <c r="K10" s="48">
        <v>0.11713183185078793</v>
      </c>
      <c r="L10" s="124"/>
      <c r="M10" s="1" t="s">
        <v>776</v>
      </c>
      <c r="N10" s="47">
        <v>0.28419850182308831</v>
      </c>
      <c r="O10" s="47">
        <v>0.28419850182308831</v>
      </c>
      <c r="P10" s="47">
        <v>0.28419850182308831</v>
      </c>
    </row>
    <row r="11" spans="2:16" ht="18" x14ac:dyDescent="0.35">
      <c r="B11" s="124"/>
      <c r="C11" s="1" t="s">
        <v>775</v>
      </c>
      <c r="D11" s="48">
        <v>9.1003021822646177E-3</v>
      </c>
      <c r="E11" s="48">
        <v>9.1003021822646177E-3</v>
      </c>
      <c r="F11" s="48">
        <v>9.1003021822646177E-3</v>
      </c>
      <c r="G11" s="124"/>
      <c r="H11" s="1" t="s">
        <v>775</v>
      </c>
      <c r="I11" s="48">
        <v>1.8200569186234781E-2</v>
      </c>
      <c r="J11" s="48">
        <v>1.8200569186234781E-2</v>
      </c>
      <c r="K11" s="48">
        <v>1.8200569186234781E-2</v>
      </c>
      <c r="L11" s="124"/>
      <c r="M11" s="1" t="s">
        <v>775</v>
      </c>
      <c r="N11" s="47">
        <v>0.99999662801206579</v>
      </c>
      <c r="O11" s="47">
        <v>0.99999662801206579</v>
      </c>
      <c r="P11" s="47">
        <v>0.99999662801206579</v>
      </c>
    </row>
    <row r="12" spans="2:16" ht="18" x14ac:dyDescent="0.35">
      <c r="B12" s="124"/>
      <c r="C12" s="1" t="s">
        <v>773</v>
      </c>
      <c r="D12" s="48">
        <v>4.5617638960769053E-3</v>
      </c>
      <c r="E12" s="48">
        <v>4.5617638960769053E-3</v>
      </c>
      <c r="F12" s="48">
        <v>4.5617638960769053E-3</v>
      </c>
      <c r="G12" s="124"/>
      <c r="H12" s="1" t="s">
        <v>773</v>
      </c>
      <c r="I12" s="48">
        <v>9.1235057258546391E-3</v>
      </c>
      <c r="J12" s="48">
        <v>9.1235057258546391E-3</v>
      </c>
      <c r="K12" s="48">
        <v>9.1235057258546391E-3</v>
      </c>
      <c r="L12" s="124"/>
      <c r="M12" s="1" t="s">
        <v>773</v>
      </c>
      <c r="N12" s="47">
        <v>2.5988027782320287E-6</v>
      </c>
      <c r="O12" s="47">
        <v>2.5988027782320287E-6</v>
      </c>
      <c r="P12" s="47">
        <v>2.5988027782320287E-6</v>
      </c>
    </row>
    <row r="13" spans="2:16" ht="18" x14ac:dyDescent="0.35">
      <c r="B13" s="124"/>
      <c r="C13" s="1" t="s">
        <v>774</v>
      </c>
      <c r="D13" s="46">
        <v>9.4873089777884587</v>
      </c>
      <c r="E13" s="46">
        <v>9.4873089777884587</v>
      </c>
      <c r="F13" s="46">
        <v>9.4873089777884587</v>
      </c>
      <c r="G13" s="124"/>
      <c r="H13" s="1" t="s">
        <v>774</v>
      </c>
      <c r="I13" s="46">
        <v>12.291821432252974</v>
      </c>
      <c r="J13" s="46">
        <v>12.291821432252974</v>
      </c>
      <c r="K13" s="46">
        <v>12.291821432252974</v>
      </c>
      <c r="L13" s="124"/>
      <c r="M13" s="1" t="s">
        <v>774</v>
      </c>
      <c r="N13" s="47">
        <v>0.28383076994534862</v>
      </c>
      <c r="O13" s="47">
        <v>0.28383076994534862</v>
      </c>
      <c r="P13" s="47">
        <v>0.28383076994534862</v>
      </c>
    </row>
    <row r="14" spans="2:16" ht="18" x14ac:dyDescent="0.35">
      <c r="B14" s="124"/>
      <c r="C14" s="1" t="s">
        <v>772</v>
      </c>
      <c r="D14" s="46">
        <v>1.7489601629266858</v>
      </c>
      <c r="E14" s="46">
        <v>1.7489601629266858</v>
      </c>
      <c r="F14" s="46">
        <v>1.7489601629266858</v>
      </c>
      <c r="G14" s="124"/>
      <c r="H14" s="1" t="s">
        <v>772</v>
      </c>
      <c r="I14" s="46">
        <v>3.0864081559953744</v>
      </c>
      <c r="J14" s="46">
        <v>3.0864081559953744</v>
      </c>
      <c r="K14" s="46">
        <v>3.0864081559953744</v>
      </c>
      <c r="L14" s="124"/>
      <c r="M14" s="1" t="s">
        <v>772</v>
      </c>
      <c r="N14" s="47">
        <v>0.12408625053866282</v>
      </c>
      <c r="O14" s="47">
        <v>0.12408625053866282</v>
      </c>
      <c r="P14" s="47">
        <v>0.12408625053866282</v>
      </c>
    </row>
    <row r="15" spans="2:16" x14ac:dyDescent="0.25">
      <c r="B15" s="124" t="s">
        <v>7</v>
      </c>
      <c r="C15" s="1" t="s">
        <v>778</v>
      </c>
      <c r="D15" s="46">
        <v>1379.3401096766147</v>
      </c>
      <c r="E15" s="46">
        <v>448.37220174018012</v>
      </c>
      <c r="F15" s="46">
        <v>148.48010152344196</v>
      </c>
      <c r="G15" s="124" t="s">
        <v>7</v>
      </c>
      <c r="H15" s="1" t="s">
        <v>778</v>
      </c>
      <c r="I15" s="46">
        <v>1514.4971226122827</v>
      </c>
      <c r="J15" s="46">
        <v>487.84341370201514</v>
      </c>
      <c r="K15" s="46">
        <v>161.04549448836025</v>
      </c>
      <c r="L15" s="124" t="s">
        <v>7</v>
      </c>
      <c r="M15" s="1" t="s">
        <v>778</v>
      </c>
      <c r="N15" s="47">
        <v>0.11551665912143499</v>
      </c>
      <c r="O15" s="47">
        <v>0.10495590880243436</v>
      </c>
      <c r="P15" s="47">
        <v>0.10162863720959392</v>
      </c>
    </row>
    <row r="16" spans="2:16" x14ac:dyDescent="0.25">
      <c r="B16" s="124"/>
      <c r="C16" s="1" t="s">
        <v>779</v>
      </c>
      <c r="D16" s="46">
        <v>171.04234341707235</v>
      </c>
      <c r="E16" s="46">
        <v>55.10537921426495</v>
      </c>
      <c r="F16" s="46">
        <v>18.346159538056121</v>
      </c>
      <c r="G16" s="124"/>
      <c r="H16" s="1" t="s">
        <v>779</v>
      </c>
      <c r="I16" s="46">
        <v>189.30554880862522</v>
      </c>
      <c r="J16" s="46">
        <v>61.33297144061082</v>
      </c>
      <c r="K16" s="46">
        <v>20.127648252537092</v>
      </c>
      <c r="L16" s="124"/>
      <c r="M16" s="1" t="s">
        <v>779</v>
      </c>
      <c r="N16" s="47">
        <v>0.20067438151670047</v>
      </c>
      <c r="O16" s="47">
        <v>0.19742022191777908</v>
      </c>
      <c r="P16" s="47">
        <v>0.19645197283398488</v>
      </c>
    </row>
    <row r="17" spans="2:16" x14ac:dyDescent="0.25">
      <c r="B17" s="124"/>
      <c r="C17" s="1" t="s">
        <v>780</v>
      </c>
      <c r="D17" s="46">
        <v>356.2747736658261</v>
      </c>
      <c r="E17" s="46">
        <v>124.00389135882436</v>
      </c>
      <c r="F17" s="46">
        <v>92.522755949882523</v>
      </c>
      <c r="G17" s="124"/>
      <c r="H17" s="1" t="s">
        <v>780</v>
      </c>
      <c r="I17" s="46">
        <v>495.21025313969625</v>
      </c>
      <c r="J17" s="46">
        <v>207.14924476175872</v>
      </c>
      <c r="K17" s="46">
        <v>167.44330957599431</v>
      </c>
      <c r="L17" s="124"/>
      <c r="M17" s="1" t="s">
        <v>780</v>
      </c>
      <c r="N17" s="47">
        <v>0.39516917699630083</v>
      </c>
      <c r="O17" s="47">
        <v>0.67965363674473334</v>
      </c>
      <c r="P17" s="47">
        <v>0.8320330106835172</v>
      </c>
    </row>
    <row r="18" spans="2:16" x14ac:dyDescent="0.25">
      <c r="B18" s="124"/>
      <c r="C18" s="1" t="s">
        <v>781</v>
      </c>
      <c r="D18" s="46">
        <v>67.575442071384828</v>
      </c>
      <c r="E18" s="46">
        <v>23.455225371492094</v>
      </c>
      <c r="F18" s="46">
        <v>22.507704199832887</v>
      </c>
      <c r="G18" s="124"/>
      <c r="H18" s="1" t="s">
        <v>781</v>
      </c>
      <c r="I18" s="46">
        <v>89.688148118621783</v>
      </c>
      <c r="J18" s="46">
        <v>45.201808269175274</v>
      </c>
      <c r="K18" s="46">
        <v>44.516607326188335</v>
      </c>
      <c r="L18" s="124"/>
      <c r="M18" s="1" t="s">
        <v>781</v>
      </c>
      <c r="N18" s="47">
        <v>9.5635643869452475E-2</v>
      </c>
      <c r="O18" s="47">
        <v>0.25667152985042802</v>
      </c>
      <c r="P18" s="47">
        <v>0.35549197444622499</v>
      </c>
    </row>
    <row r="19" spans="2:16" ht="18" x14ac:dyDescent="0.35">
      <c r="B19" s="124"/>
      <c r="C19" s="1" t="s">
        <v>771</v>
      </c>
      <c r="D19" s="49">
        <v>0.71241669938066565</v>
      </c>
      <c r="E19" s="49">
        <v>0.71241669938066565</v>
      </c>
      <c r="F19" s="49">
        <v>0.71241669938066565</v>
      </c>
      <c r="G19" s="124"/>
      <c r="H19" s="1" t="s">
        <v>771</v>
      </c>
      <c r="I19" s="49">
        <v>1.0821231423768642</v>
      </c>
      <c r="J19" s="49">
        <v>1.0821231423768642</v>
      </c>
      <c r="K19" s="49">
        <v>1.0821231423768642</v>
      </c>
      <c r="L19" s="124"/>
      <c r="M19" s="1" t="s">
        <v>771</v>
      </c>
      <c r="N19" s="47">
        <v>0.52135443751121768</v>
      </c>
      <c r="O19" s="47">
        <v>0.52135443751121768</v>
      </c>
      <c r="P19" s="47">
        <v>0.52135443751121768</v>
      </c>
    </row>
    <row r="20" spans="2:16" ht="18" x14ac:dyDescent="0.35">
      <c r="B20" s="124"/>
      <c r="C20" s="1" t="s">
        <v>776</v>
      </c>
      <c r="D20" s="49">
        <v>0.14740822172975201</v>
      </c>
      <c r="E20" s="49">
        <v>0.14740822172975201</v>
      </c>
      <c r="F20" s="49">
        <v>0.14740822172975201</v>
      </c>
      <c r="G20" s="124"/>
      <c r="H20" s="1" t="s">
        <v>776</v>
      </c>
      <c r="I20" s="49">
        <v>0.22983957818404213</v>
      </c>
      <c r="J20" s="49">
        <v>0.22983957818404213</v>
      </c>
      <c r="K20" s="49">
        <v>0.22983957818404213</v>
      </c>
      <c r="L20" s="124"/>
      <c r="M20" s="1" t="s">
        <v>776</v>
      </c>
      <c r="N20" s="47">
        <v>9.8938763945677646E-2</v>
      </c>
      <c r="O20" s="47">
        <v>9.8938763945677646E-2</v>
      </c>
      <c r="P20" s="47">
        <v>9.8938763945677646E-2</v>
      </c>
    </row>
    <row r="21" spans="2:16" ht="18" x14ac:dyDescent="0.35">
      <c r="B21" s="124"/>
      <c r="C21" s="1" t="s">
        <v>775</v>
      </c>
      <c r="D21" s="49">
        <v>3.0403386053277351E-3</v>
      </c>
      <c r="E21" s="49">
        <v>3.0403386053277351E-3</v>
      </c>
      <c r="F21" s="49">
        <v>3.0403386053277351E-3</v>
      </c>
      <c r="G21" s="124"/>
      <c r="H21" s="1" t="s">
        <v>775</v>
      </c>
      <c r="I21" s="49">
        <v>6.1894340958679843E-3</v>
      </c>
      <c r="J21" s="49">
        <v>6.1894340958679843E-3</v>
      </c>
      <c r="K21" s="49">
        <v>6.1894340958679843E-3</v>
      </c>
      <c r="L21" s="124"/>
      <c r="M21" s="1" t="s">
        <v>775</v>
      </c>
      <c r="N21" s="47">
        <v>1.0694722736489231</v>
      </c>
      <c r="O21" s="47">
        <v>1.0694722736489231</v>
      </c>
      <c r="P21" s="47">
        <v>1.0694722736489231</v>
      </c>
    </row>
    <row r="22" spans="2:16" ht="18" x14ac:dyDescent="0.35">
      <c r="B22" s="124"/>
      <c r="C22" s="1" t="s">
        <v>773</v>
      </c>
      <c r="D22" s="49">
        <v>1.47713041445693E-3</v>
      </c>
      <c r="E22" s="49">
        <v>1.47713041445693E-3</v>
      </c>
      <c r="F22" s="49">
        <v>1.47713041445693E-3</v>
      </c>
      <c r="G22" s="124"/>
      <c r="H22" s="1" t="s">
        <v>773</v>
      </c>
      <c r="I22" s="49">
        <v>2.872073816292924E-3</v>
      </c>
      <c r="J22" s="49">
        <v>2.872073816292924E-3</v>
      </c>
      <c r="K22" s="49">
        <v>2.872073816292924E-3</v>
      </c>
      <c r="L22" s="124"/>
      <c r="M22" s="1" t="s">
        <v>773</v>
      </c>
      <c r="N22" s="47">
        <v>0.15776561302090011</v>
      </c>
      <c r="O22" s="47">
        <v>0.15776561302090011</v>
      </c>
      <c r="P22" s="47">
        <v>0.15776561302090011</v>
      </c>
    </row>
    <row r="23" spans="2:16" ht="18" x14ac:dyDescent="0.35">
      <c r="B23" s="124"/>
      <c r="C23" s="1" t="s">
        <v>774</v>
      </c>
      <c r="D23" s="46">
        <v>38.599025169911876</v>
      </c>
      <c r="E23" s="46">
        <v>38.599025169911876</v>
      </c>
      <c r="F23" s="46">
        <v>38.599025169911876</v>
      </c>
      <c r="G23" s="124"/>
      <c r="H23" s="1" t="s">
        <v>774</v>
      </c>
      <c r="I23" s="46">
        <v>41.197749642670573</v>
      </c>
      <c r="J23" s="46">
        <v>41.197749642670573</v>
      </c>
      <c r="K23" s="46">
        <v>41.197749642670573</v>
      </c>
      <c r="L23" s="124"/>
      <c r="M23" s="1" t="s">
        <v>774</v>
      </c>
      <c r="N23" s="47">
        <v>6.9991311156148248E-2</v>
      </c>
      <c r="O23" s="47">
        <v>6.9991311156148234E-2</v>
      </c>
      <c r="P23" s="47">
        <v>6.9991311156148248E-2</v>
      </c>
    </row>
    <row r="24" spans="2:16" ht="18" x14ac:dyDescent="0.35">
      <c r="B24" s="124"/>
      <c r="C24" s="1" t="s">
        <v>772</v>
      </c>
      <c r="D24" s="46">
        <v>8.1696909824919519</v>
      </c>
      <c r="E24" s="46">
        <v>8.1696909824919519</v>
      </c>
      <c r="F24" s="46">
        <v>8.1696909824919519</v>
      </c>
      <c r="G24" s="124"/>
      <c r="H24" s="1" t="s">
        <v>772</v>
      </c>
      <c r="I24" s="46">
        <v>8.2838760127862852</v>
      </c>
      <c r="J24" s="46">
        <v>8.2838760127862852</v>
      </c>
      <c r="K24" s="46">
        <v>8.2838760127862852</v>
      </c>
      <c r="L24" s="124"/>
      <c r="M24" s="1" t="s">
        <v>772</v>
      </c>
      <c r="N24" s="47">
        <v>2.5036061283845064E-2</v>
      </c>
      <c r="O24" s="47">
        <v>2.5036061283845064E-2</v>
      </c>
      <c r="P24" s="47">
        <v>2.5036061283845064E-2</v>
      </c>
    </row>
  </sheetData>
  <mergeCells count="13">
    <mergeCell ref="B3:B14"/>
    <mergeCell ref="B15:B24"/>
    <mergeCell ref="G15:G24"/>
    <mergeCell ref="L15:L24"/>
    <mergeCell ref="B2:P2"/>
    <mergeCell ref="M3:M4"/>
    <mergeCell ref="L3:L14"/>
    <mergeCell ref="H3:H4"/>
    <mergeCell ref="D3:F3"/>
    <mergeCell ref="I3:K3"/>
    <mergeCell ref="N3:P3"/>
    <mergeCell ref="G3:G14"/>
    <mergeCell ref="C3:C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59"/>
  <sheetViews>
    <sheetView workbookViewId="0">
      <selection activeCell="D1" sqref="D1:D1048576"/>
    </sheetView>
  </sheetViews>
  <sheetFormatPr defaultRowHeight="15" x14ac:dyDescent="0.25"/>
  <cols>
    <col min="2" max="2" width="14" bestFit="1" customWidth="1"/>
    <col min="3" max="3" width="8.42578125" bestFit="1" customWidth="1"/>
    <col min="4" max="4" width="13.85546875" bestFit="1" customWidth="1"/>
    <col min="5" max="5" width="14.85546875" bestFit="1" customWidth="1"/>
    <col min="6" max="6" width="30.85546875" bestFit="1" customWidth="1"/>
    <col min="7" max="7" width="31" bestFit="1" customWidth="1"/>
    <col min="8" max="8" width="32.7109375" bestFit="1" customWidth="1"/>
    <col min="9" max="9" width="30" bestFit="1" customWidth="1"/>
    <col min="10" max="10" width="30.5703125" bestFit="1" customWidth="1"/>
    <col min="11" max="11" width="32.42578125" bestFit="1" customWidth="1"/>
    <col min="12" max="12" width="41.140625" bestFit="1" customWidth="1"/>
    <col min="13" max="13" width="71.7109375" bestFit="1" customWidth="1"/>
  </cols>
  <sheetData>
    <row r="2" spans="2:13" x14ac:dyDescent="0.25">
      <c r="B2" s="103" t="s">
        <v>533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2:13" x14ac:dyDescent="0.25">
      <c r="B3" s="18" t="s">
        <v>466</v>
      </c>
      <c r="C3" s="18" t="s">
        <v>467</v>
      </c>
      <c r="D3" s="18" t="s">
        <v>468</v>
      </c>
      <c r="E3" s="18" t="s">
        <v>469</v>
      </c>
      <c r="F3" s="18" t="s">
        <v>470</v>
      </c>
      <c r="G3" s="18" t="s">
        <v>471</v>
      </c>
      <c r="H3" s="18" t="s">
        <v>472</v>
      </c>
      <c r="I3" s="18" t="s">
        <v>473</v>
      </c>
      <c r="J3" s="18" t="s">
        <v>474</v>
      </c>
      <c r="K3" s="18" t="s">
        <v>475</v>
      </c>
      <c r="L3" s="18" t="s">
        <v>476</v>
      </c>
      <c r="M3" s="18" t="s">
        <v>477</v>
      </c>
    </row>
    <row r="4" spans="2:13" x14ac:dyDescent="0.25">
      <c r="B4" s="51">
        <v>3</v>
      </c>
      <c r="C4" s="51" t="s">
        <v>478</v>
      </c>
      <c r="D4" s="51">
        <v>1</v>
      </c>
      <c r="E4" s="51">
        <v>1</v>
      </c>
      <c r="F4" s="51">
        <v>-180426.4</v>
      </c>
      <c r="G4" s="51">
        <f t="shared" ref="G4:G35" si="0">F4*4/E4</f>
        <v>-721705.6</v>
      </c>
      <c r="H4" s="51">
        <f t="shared" ref="H4:H35" si="1">LOG10(EXP(G4/(8.3145*1273)))</f>
        <v>-29.612825343989954</v>
      </c>
      <c r="I4" s="51">
        <v>-214650.1</v>
      </c>
      <c r="J4" s="51">
        <f t="shared" ref="J4:J35" si="2">I4*4/D4</f>
        <v>-858600.4</v>
      </c>
      <c r="K4" s="51">
        <f t="shared" ref="K4:K35" si="3">LOG10(EXP(J4/(8.3145*1273)))</f>
        <v>-35.229855062063969</v>
      </c>
      <c r="L4" s="51">
        <v>0.48</v>
      </c>
      <c r="M4" s="1" t="s">
        <v>479</v>
      </c>
    </row>
    <row r="5" spans="2:13" x14ac:dyDescent="0.25">
      <c r="B5" s="51">
        <v>4</v>
      </c>
      <c r="C5" s="51" t="s">
        <v>480</v>
      </c>
      <c r="D5" s="51">
        <v>2</v>
      </c>
      <c r="E5" s="51">
        <v>2</v>
      </c>
      <c r="F5" s="51">
        <v>-195129.4</v>
      </c>
      <c r="G5" s="51">
        <f t="shared" si="0"/>
        <v>-390258.8</v>
      </c>
      <c r="H5" s="51">
        <f t="shared" si="1"/>
        <v>-16.012991562425324</v>
      </c>
      <c r="I5" s="51">
        <v>-483898.9</v>
      </c>
      <c r="J5" s="51">
        <f t="shared" si="2"/>
        <v>-967797.8</v>
      </c>
      <c r="K5" s="51">
        <f t="shared" si="3"/>
        <v>-39.710412694175744</v>
      </c>
      <c r="L5" s="51">
        <v>12.66</v>
      </c>
      <c r="M5" s="1"/>
    </row>
    <row r="6" spans="2:13" x14ac:dyDescent="0.25">
      <c r="B6" s="51">
        <v>5</v>
      </c>
      <c r="C6" s="51" t="s">
        <v>481</v>
      </c>
      <c r="D6" s="51">
        <v>3</v>
      </c>
      <c r="E6" s="51">
        <v>3</v>
      </c>
      <c r="F6" s="51">
        <v>-87265.4</v>
      </c>
      <c r="G6" s="51">
        <f t="shared" si="0"/>
        <v>-116353.86666666665</v>
      </c>
      <c r="H6" s="51">
        <f t="shared" si="1"/>
        <v>-4.7741998007191491</v>
      </c>
      <c r="I6" s="51">
        <v>-480037.2</v>
      </c>
      <c r="J6" s="51">
        <f t="shared" si="2"/>
        <v>-640049.6</v>
      </c>
      <c r="K6" s="51">
        <f t="shared" si="3"/>
        <v>-26.262338848819564</v>
      </c>
      <c r="L6" s="51">
        <v>10.527900000000001</v>
      </c>
      <c r="M6" s="1"/>
    </row>
    <row r="7" spans="2:13" x14ac:dyDescent="0.25">
      <c r="B7" s="51">
        <v>11</v>
      </c>
      <c r="C7" s="51" t="s">
        <v>482</v>
      </c>
      <c r="D7" s="51">
        <v>1</v>
      </c>
      <c r="E7" s="51">
        <v>1</v>
      </c>
      <c r="F7" s="51">
        <v>-132679.4</v>
      </c>
      <c r="G7" s="51">
        <f t="shared" si="0"/>
        <v>-530717.6</v>
      </c>
      <c r="H7" s="51">
        <f t="shared" si="1"/>
        <v>-21.776258346591078</v>
      </c>
      <c r="I7" s="51">
        <v>-114199.6</v>
      </c>
      <c r="J7" s="51">
        <f t="shared" si="2"/>
        <v>-456798.4</v>
      </c>
      <c r="K7" s="51">
        <f t="shared" si="3"/>
        <v>-18.743226097475286</v>
      </c>
      <c r="L7" s="51">
        <v>0.38540000000000002</v>
      </c>
      <c r="M7" s="1" t="s">
        <v>479</v>
      </c>
    </row>
    <row r="8" spans="2:13" x14ac:dyDescent="0.25">
      <c r="B8" s="51">
        <v>12</v>
      </c>
      <c r="C8" s="51" t="s">
        <v>483</v>
      </c>
      <c r="D8" s="51">
        <v>2</v>
      </c>
      <c r="E8" s="51">
        <v>2</v>
      </c>
      <c r="F8" s="51">
        <v>-287269.7</v>
      </c>
      <c r="G8" s="51">
        <f t="shared" si="0"/>
        <v>-574539.4</v>
      </c>
      <c r="H8" s="51">
        <f t="shared" si="1"/>
        <v>-23.57434237096232</v>
      </c>
      <c r="I8" s="51">
        <v>-461708.4</v>
      </c>
      <c r="J8" s="51">
        <f t="shared" si="2"/>
        <v>-923416.8</v>
      </c>
      <c r="K8" s="51">
        <f t="shared" si="3"/>
        <v>-37.889383729468229</v>
      </c>
      <c r="L8" s="51">
        <v>3.27</v>
      </c>
      <c r="M8" s="1"/>
    </row>
    <row r="9" spans="2:13" x14ac:dyDescent="0.25">
      <c r="B9" s="51">
        <v>13</v>
      </c>
      <c r="C9" s="51" t="s">
        <v>484</v>
      </c>
      <c r="D9" s="51">
        <v>3</v>
      </c>
      <c r="E9" s="51">
        <v>3</v>
      </c>
      <c r="F9" s="51">
        <v>-244288.4</v>
      </c>
      <c r="G9" s="51">
        <f t="shared" si="0"/>
        <v>-325717.86666666664</v>
      </c>
      <c r="H9" s="51">
        <f t="shared" si="1"/>
        <v>-13.364765767394635</v>
      </c>
      <c r="I9" s="51">
        <v>-635558.80000000005</v>
      </c>
      <c r="J9" s="51">
        <f t="shared" si="2"/>
        <v>-847411.7333333334</v>
      </c>
      <c r="K9" s="51">
        <f t="shared" si="3"/>
        <v>-34.770764773957403</v>
      </c>
      <c r="L9" s="51">
        <v>10.36</v>
      </c>
      <c r="M9" s="1"/>
    </row>
    <row r="10" spans="2:13" x14ac:dyDescent="0.25">
      <c r="B10" s="51">
        <v>14</v>
      </c>
      <c r="C10" s="51" t="s">
        <v>485</v>
      </c>
      <c r="D10" s="51">
        <v>4</v>
      </c>
      <c r="E10" s="51">
        <v>4</v>
      </c>
      <c r="F10" s="51">
        <v>-149299.1</v>
      </c>
      <c r="G10" s="51">
        <f t="shared" si="0"/>
        <v>-149299.1</v>
      </c>
      <c r="H10" s="51">
        <f t="shared" si="1"/>
        <v>-6.1259995381979726</v>
      </c>
      <c r="I10" s="51">
        <v>-683135.6</v>
      </c>
      <c r="J10" s="51">
        <f t="shared" si="2"/>
        <v>-683135.6</v>
      </c>
      <c r="K10" s="51">
        <f t="shared" si="3"/>
        <v>-28.030231730309122</v>
      </c>
      <c r="L10" s="51">
        <v>10.87</v>
      </c>
      <c r="M10" s="1"/>
    </row>
    <row r="11" spans="2:13" x14ac:dyDescent="0.25">
      <c r="B11" s="51">
        <v>19</v>
      </c>
      <c r="C11" s="51" t="s">
        <v>486</v>
      </c>
      <c r="D11" s="51">
        <v>1</v>
      </c>
      <c r="E11" s="51">
        <v>1</v>
      </c>
      <c r="F11" s="51">
        <v>-117780.9</v>
      </c>
      <c r="G11" s="51">
        <f t="shared" si="0"/>
        <v>-471123.6</v>
      </c>
      <c r="H11" s="51">
        <f t="shared" si="1"/>
        <v>-19.331013757177143</v>
      </c>
      <c r="I11" s="51">
        <v>-80103.100000000006</v>
      </c>
      <c r="J11" s="51">
        <f t="shared" si="2"/>
        <v>-320412.40000000002</v>
      </c>
      <c r="K11" s="51">
        <f t="shared" si="3"/>
        <v>-13.147073320823127</v>
      </c>
      <c r="L11" s="51">
        <v>0.65</v>
      </c>
      <c r="M11" s="1" t="s">
        <v>479</v>
      </c>
    </row>
    <row r="12" spans="2:13" x14ac:dyDescent="0.25">
      <c r="B12" s="51">
        <v>20</v>
      </c>
      <c r="C12" s="51" t="s">
        <v>487</v>
      </c>
      <c r="D12" s="51">
        <v>2</v>
      </c>
      <c r="E12" s="51">
        <v>2</v>
      </c>
      <c r="F12" s="51">
        <v>-412546.1</v>
      </c>
      <c r="G12" s="51">
        <f t="shared" si="0"/>
        <v>-825092.2</v>
      </c>
      <c r="H12" s="51">
        <f t="shared" si="1"/>
        <v>-33.854955831419936</v>
      </c>
      <c r="I12" s="51">
        <v>-500541.4</v>
      </c>
      <c r="J12" s="51">
        <f t="shared" si="2"/>
        <v>-1001082.8</v>
      </c>
      <c r="K12" s="51">
        <f t="shared" si="3"/>
        <v>-41.076153643913017</v>
      </c>
      <c r="L12" s="51">
        <v>-0.02</v>
      </c>
      <c r="M12" s="1" t="s">
        <v>488</v>
      </c>
    </row>
    <row r="13" spans="2:13" x14ac:dyDescent="0.25">
      <c r="B13" s="51">
        <v>21</v>
      </c>
      <c r="C13" s="51" t="s">
        <v>489</v>
      </c>
      <c r="D13" s="51">
        <v>3</v>
      </c>
      <c r="E13" s="51">
        <v>3</v>
      </c>
      <c r="F13" s="51">
        <v>-502947.7</v>
      </c>
      <c r="G13" s="51">
        <f t="shared" si="0"/>
        <v>-670596.93333333335</v>
      </c>
      <c r="H13" s="51">
        <f t="shared" si="1"/>
        <v>-27.5157486141375</v>
      </c>
      <c r="I13" s="51">
        <v>-767896.4</v>
      </c>
      <c r="J13" s="51">
        <f t="shared" si="2"/>
        <v>-1023861.8666666667</v>
      </c>
      <c r="K13" s="51">
        <f t="shared" si="3"/>
        <v>-42.010818031578985</v>
      </c>
      <c r="L13" s="51">
        <v>13.45</v>
      </c>
      <c r="M13" s="1" t="s">
        <v>490</v>
      </c>
    </row>
    <row r="14" spans="2:13" x14ac:dyDescent="0.25">
      <c r="B14" s="51">
        <v>22</v>
      </c>
      <c r="C14" s="51" t="s">
        <v>491</v>
      </c>
      <c r="D14" s="51">
        <v>4</v>
      </c>
      <c r="E14" s="51">
        <v>4</v>
      </c>
      <c r="F14" s="51">
        <v>-316851.59999999998</v>
      </c>
      <c r="G14" s="51">
        <f t="shared" si="0"/>
        <v>-316851.59999999998</v>
      </c>
      <c r="H14" s="51">
        <f t="shared" si="1"/>
        <v>-13.00096755624976</v>
      </c>
      <c r="I14" s="51">
        <v>-714648.2</v>
      </c>
      <c r="J14" s="51">
        <f t="shared" si="2"/>
        <v>-714648.2</v>
      </c>
      <c r="K14" s="51">
        <f t="shared" si="3"/>
        <v>-29.323248051555645</v>
      </c>
      <c r="L14" s="51">
        <v>5.27</v>
      </c>
      <c r="M14" s="1"/>
    </row>
    <row r="15" spans="2:13" x14ac:dyDescent="0.25">
      <c r="B15" s="51">
        <v>23</v>
      </c>
      <c r="C15" s="51" t="s">
        <v>492</v>
      </c>
      <c r="D15" s="51">
        <v>3</v>
      </c>
      <c r="E15" s="51">
        <v>3</v>
      </c>
      <c r="F15" s="51">
        <v>-190895.6</v>
      </c>
      <c r="G15" s="51">
        <f t="shared" si="0"/>
        <v>-254527.46666666667</v>
      </c>
      <c r="H15" s="51">
        <f t="shared" si="1"/>
        <v>-10.443700888074341</v>
      </c>
      <c r="I15" s="51">
        <v>-448487.1</v>
      </c>
      <c r="J15" s="51">
        <f t="shared" si="2"/>
        <v>-597982.79999999993</v>
      </c>
      <c r="K15" s="51">
        <f t="shared" si="3"/>
        <v>-24.536265500932892</v>
      </c>
      <c r="L15" s="51">
        <v>3.05</v>
      </c>
      <c r="M15" s="1"/>
    </row>
    <row r="16" spans="2:13" x14ac:dyDescent="0.25">
      <c r="B16" s="51">
        <v>24</v>
      </c>
      <c r="C16" s="51" t="s">
        <v>493</v>
      </c>
      <c r="D16" s="51">
        <v>3</v>
      </c>
      <c r="E16" s="51">
        <v>3</v>
      </c>
      <c r="F16" s="51">
        <v>-124145.7</v>
      </c>
      <c r="G16" s="51">
        <f t="shared" si="0"/>
        <v>-165527.6</v>
      </c>
      <c r="H16" s="51">
        <f t="shared" si="1"/>
        <v>-6.791882879126657</v>
      </c>
      <c r="I16" s="51">
        <v>-399863.3</v>
      </c>
      <c r="J16" s="51">
        <f t="shared" si="2"/>
        <v>-533151.06666666665</v>
      </c>
      <c r="K16" s="51">
        <f t="shared" si="3"/>
        <v>-21.87610768041975</v>
      </c>
      <c r="L16" s="51">
        <v>4.08</v>
      </c>
      <c r="M16" s="1"/>
    </row>
    <row r="17" spans="2:13" x14ac:dyDescent="0.25">
      <c r="B17" s="51">
        <v>25</v>
      </c>
      <c r="C17" s="51" t="s">
        <v>494</v>
      </c>
      <c r="D17" s="51">
        <v>2</v>
      </c>
      <c r="E17" s="51">
        <v>2</v>
      </c>
      <c r="F17" s="51">
        <v>-194575</v>
      </c>
      <c r="G17" s="51">
        <f t="shared" si="0"/>
        <v>-389150</v>
      </c>
      <c r="H17" s="51">
        <f t="shared" si="1"/>
        <v>-15.967495586307894</v>
      </c>
      <c r="I17" s="51">
        <v>-291493.90000000002</v>
      </c>
      <c r="J17" s="51">
        <f t="shared" si="2"/>
        <v>-582987.80000000005</v>
      </c>
      <c r="K17" s="51">
        <f t="shared" si="3"/>
        <v>-23.920994792165875</v>
      </c>
      <c r="L17" s="51">
        <v>-2.02</v>
      </c>
      <c r="M17" s="1"/>
    </row>
    <row r="18" spans="2:13" x14ac:dyDescent="0.25">
      <c r="B18" s="51">
        <v>26</v>
      </c>
      <c r="C18" s="51" t="s">
        <v>495</v>
      </c>
      <c r="D18" s="51">
        <v>3</v>
      </c>
      <c r="E18" s="51">
        <v>2</v>
      </c>
      <c r="F18" s="51">
        <v>-85054.6</v>
      </c>
      <c r="G18" s="51">
        <f t="shared" si="0"/>
        <v>-170109.2</v>
      </c>
      <c r="H18" s="51">
        <f t="shared" si="1"/>
        <v>-6.979873828062102</v>
      </c>
      <c r="I18" s="51">
        <v>-247901.3</v>
      </c>
      <c r="J18" s="51">
        <f t="shared" si="2"/>
        <v>-330535.06666666665</v>
      </c>
      <c r="K18" s="51">
        <f t="shared" si="3"/>
        <v>-13.562423790620546</v>
      </c>
      <c r="L18" s="51">
        <v>-1.42</v>
      </c>
      <c r="M18" s="1"/>
    </row>
    <row r="19" spans="2:13" x14ac:dyDescent="0.25">
      <c r="B19" s="51">
        <v>27</v>
      </c>
      <c r="C19" s="51" t="s">
        <v>496</v>
      </c>
      <c r="D19" s="51">
        <v>2</v>
      </c>
      <c r="E19" s="51">
        <v>2</v>
      </c>
      <c r="F19" s="51">
        <v>-47596.800000000003</v>
      </c>
      <c r="G19" s="51">
        <f t="shared" si="0"/>
        <v>-95193.600000000006</v>
      </c>
      <c r="H19" s="51">
        <f t="shared" si="1"/>
        <v>-3.9059575686618508</v>
      </c>
      <c r="I19" s="51">
        <v>-144606.6</v>
      </c>
      <c r="J19" s="51">
        <f t="shared" si="2"/>
        <v>-289213.2</v>
      </c>
      <c r="K19" s="51">
        <f t="shared" si="3"/>
        <v>-11.866916342032589</v>
      </c>
      <c r="L19" s="51">
        <v>-2.6</v>
      </c>
      <c r="M19" s="1"/>
    </row>
    <row r="20" spans="2:13" x14ac:dyDescent="0.25">
      <c r="B20" s="51">
        <v>28</v>
      </c>
      <c r="C20" s="51" t="s">
        <v>3</v>
      </c>
      <c r="D20" s="51">
        <v>2</v>
      </c>
      <c r="E20" s="51">
        <v>3</v>
      </c>
      <c r="F20" s="51">
        <v>-48254.7</v>
      </c>
      <c r="G20" s="51">
        <f t="shared" si="0"/>
        <v>-64339.6</v>
      </c>
      <c r="H20" s="51">
        <f t="shared" si="1"/>
        <v>-2.6399647411661706</v>
      </c>
      <c r="I20" s="51">
        <v>-126699.4</v>
      </c>
      <c r="J20" s="51">
        <f t="shared" si="2"/>
        <v>-253398.8</v>
      </c>
      <c r="K20" s="51">
        <f t="shared" si="3"/>
        <v>-10.397389748363656</v>
      </c>
      <c r="L20" s="51">
        <v>-4.33</v>
      </c>
      <c r="M20" s="1"/>
    </row>
    <row r="21" spans="2:13" x14ac:dyDescent="0.25">
      <c r="B21" s="51">
        <v>29</v>
      </c>
      <c r="C21" s="51" t="s">
        <v>2</v>
      </c>
      <c r="D21" s="51">
        <v>1</v>
      </c>
      <c r="E21" s="51">
        <v>1</v>
      </c>
      <c r="F21" s="51">
        <v>-47250.400000000001</v>
      </c>
      <c r="G21" s="51">
        <f t="shared" si="0"/>
        <v>-189001.60000000001</v>
      </c>
      <c r="H21" s="51">
        <f t="shared" si="1"/>
        <v>-7.7550615798667097</v>
      </c>
      <c r="I21" s="51">
        <v>-38056.699999999997</v>
      </c>
      <c r="J21" s="51">
        <f t="shared" si="2"/>
        <v>-152226.79999999999</v>
      </c>
      <c r="K21" s="51">
        <f t="shared" si="3"/>
        <v>-6.2461281179950516</v>
      </c>
      <c r="L21" s="51">
        <v>-7.74</v>
      </c>
      <c r="M21" s="1"/>
    </row>
    <row r="22" spans="2:13" x14ac:dyDescent="0.25">
      <c r="B22" s="51">
        <v>30</v>
      </c>
      <c r="C22" s="51" t="s">
        <v>497</v>
      </c>
      <c r="D22" s="51">
        <v>2</v>
      </c>
      <c r="E22" s="51">
        <v>2</v>
      </c>
      <c r="F22" s="51">
        <v>-133360</v>
      </c>
      <c r="G22" s="51">
        <f t="shared" si="0"/>
        <v>-266720</v>
      </c>
      <c r="H22" s="51">
        <f t="shared" si="1"/>
        <v>-10.94398155667491</v>
      </c>
      <c r="I22" s="51">
        <v>-209895.9</v>
      </c>
      <c r="J22" s="51">
        <f t="shared" si="2"/>
        <v>-419791.8</v>
      </c>
      <c r="K22" s="51">
        <f t="shared" si="3"/>
        <v>-17.224781481866234</v>
      </c>
      <c r="L22" s="51">
        <v>-3.17</v>
      </c>
      <c r="M22" s="1"/>
    </row>
    <row r="23" spans="2:13" x14ac:dyDescent="0.25">
      <c r="B23" s="51">
        <v>31</v>
      </c>
      <c r="C23" s="51" t="s">
        <v>498</v>
      </c>
      <c r="D23" s="51">
        <v>3</v>
      </c>
      <c r="E23" s="51">
        <v>3</v>
      </c>
      <c r="F23" s="51">
        <v>-161746.4</v>
      </c>
      <c r="G23" s="51">
        <f t="shared" si="0"/>
        <v>-215661.86666666667</v>
      </c>
      <c r="H23" s="51">
        <f t="shared" si="1"/>
        <v>-8.8489782966334882</v>
      </c>
      <c r="I23" s="51">
        <v>-336703.6</v>
      </c>
      <c r="J23" s="51">
        <f t="shared" si="2"/>
        <v>-448938.1333333333</v>
      </c>
      <c r="K23" s="51">
        <f t="shared" si="3"/>
        <v>-18.420705801169998</v>
      </c>
      <c r="L23" s="51">
        <v>-1.03</v>
      </c>
      <c r="M23" s="1"/>
    </row>
    <row r="24" spans="2:13" x14ac:dyDescent="0.25">
      <c r="B24" s="51">
        <v>32</v>
      </c>
      <c r="C24" s="51" t="s">
        <v>499</v>
      </c>
      <c r="D24" s="51">
        <v>4</v>
      </c>
      <c r="E24" s="51">
        <v>2</v>
      </c>
      <c r="F24" s="51">
        <v>-46663.1</v>
      </c>
      <c r="G24" s="51">
        <f t="shared" si="0"/>
        <v>-93326.2</v>
      </c>
      <c r="H24" s="51">
        <f t="shared" si="1"/>
        <v>-3.8293349263443091</v>
      </c>
      <c r="I24" s="51">
        <v>-335555.2</v>
      </c>
      <c r="J24" s="51">
        <f t="shared" si="2"/>
        <v>-335555.2</v>
      </c>
      <c r="K24" s="51">
        <f t="shared" si="3"/>
        <v>-13.76840851847016</v>
      </c>
      <c r="L24" s="51">
        <v>-0.30449999999999999</v>
      </c>
      <c r="M24" s="1"/>
    </row>
    <row r="25" spans="2:13" x14ac:dyDescent="0.25">
      <c r="B25" s="51">
        <v>37</v>
      </c>
      <c r="C25" s="51" t="s">
        <v>500</v>
      </c>
      <c r="D25" s="51">
        <v>1</v>
      </c>
      <c r="E25" s="51">
        <v>1</v>
      </c>
      <c r="F25" s="51">
        <v>-92590.6</v>
      </c>
      <c r="G25" s="51">
        <f t="shared" si="0"/>
        <v>-370362.4</v>
      </c>
      <c r="H25" s="51">
        <f t="shared" si="1"/>
        <v>-15.196607959230114</v>
      </c>
      <c r="I25" s="51">
        <v>-68824.3</v>
      </c>
      <c r="J25" s="51">
        <f t="shared" si="2"/>
        <v>-275297.2</v>
      </c>
      <c r="K25" s="51">
        <f t="shared" si="3"/>
        <v>-11.295918863993119</v>
      </c>
      <c r="L25" s="51">
        <v>2.27</v>
      </c>
      <c r="M25" s="1" t="s">
        <v>479</v>
      </c>
    </row>
    <row r="26" spans="2:13" x14ac:dyDescent="0.25">
      <c r="B26" s="51">
        <v>38</v>
      </c>
      <c r="C26" s="51" t="s">
        <v>501</v>
      </c>
      <c r="D26" s="51">
        <v>2</v>
      </c>
      <c r="E26" s="51">
        <v>2</v>
      </c>
      <c r="F26" s="51">
        <v>-406562.3</v>
      </c>
      <c r="G26" s="51">
        <f t="shared" si="0"/>
        <v>-813124.6</v>
      </c>
      <c r="H26" s="51">
        <f t="shared" si="1"/>
        <v>-33.363904565381915</v>
      </c>
      <c r="I26" s="51">
        <v>-464271.8</v>
      </c>
      <c r="J26" s="51">
        <f t="shared" si="2"/>
        <v>-928543.6</v>
      </c>
      <c r="K26" s="51">
        <f t="shared" si="3"/>
        <v>-38.099745174597054</v>
      </c>
      <c r="L26" s="51">
        <v>-0.26</v>
      </c>
      <c r="M26" s="1" t="s">
        <v>488</v>
      </c>
    </row>
    <row r="27" spans="2:13" x14ac:dyDescent="0.25">
      <c r="B27" s="51">
        <v>39</v>
      </c>
      <c r="C27" s="51" t="s">
        <v>502</v>
      </c>
      <c r="D27" s="51">
        <v>3</v>
      </c>
      <c r="E27" s="51">
        <v>3</v>
      </c>
      <c r="F27" s="51">
        <v>-546396.4</v>
      </c>
      <c r="G27" s="51">
        <f t="shared" si="0"/>
        <v>-728528.53333333333</v>
      </c>
      <c r="H27" s="51">
        <f t="shared" si="1"/>
        <v>-29.892782064754883</v>
      </c>
      <c r="I27" s="51">
        <v>-768815.7</v>
      </c>
      <c r="J27" s="51">
        <f t="shared" si="2"/>
        <v>-1025087.6</v>
      </c>
      <c r="K27" s="51">
        <f t="shared" si="3"/>
        <v>-42.061111984013749</v>
      </c>
      <c r="L27" s="51">
        <v>12.37</v>
      </c>
      <c r="M27" s="1" t="s">
        <v>490</v>
      </c>
    </row>
    <row r="28" spans="2:13" x14ac:dyDescent="0.25">
      <c r="B28" s="51">
        <v>40</v>
      </c>
      <c r="C28" s="51" t="s">
        <v>503</v>
      </c>
      <c r="D28" s="51">
        <v>4</v>
      </c>
      <c r="E28" s="51">
        <v>4</v>
      </c>
      <c r="F28" s="51">
        <v>-474448.5</v>
      </c>
      <c r="G28" s="51">
        <f t="shared" si="0"/>
        <v>-474448.5</v>
      </c>
      <c r="H28" s="51">
        <f t="shared" si="1"/>
        <v>-19.467440137942699</v>
      </c>
      <c r="I28" s="51">
        <v>-860591</v>
      </c>
      <c r="J28" s="51">
        <f t="shared" si="2"/>
        <v>-860591</v>
      </c>
      <c r="K28" s="51">
        <f t="shared" si="3"/>
        <v>-35.311532812838998</v>
      </c>
      <c r="L28" s="51">
        <v>4.74</v>
      </c>
      <c r="M28" s="1"/>
    </row>
    <row r="29" spans="2:13" x14ac:dyDescent="0.25">
      <c r="B29" s="51">
        <v>41</v>
      </c>
      <c r="C29" s="51" t="s">
        <v>504</v>
      </c>
      <c r="D29" s="51">
        <v>5</v>
      </c>
      <c r="E29" s="51">
        <v>4</v>
      </c>
      <c r="F29" s="51">
        <v>-246769.4</v>
      </c>
      <c r="G29" s="51">
        <f t="shared" si="0"/>
        <v>-246769.4</v>
      </c>
      <c r="H29" s="51">
        <f t="shared" si="1"/>
        <v>-10.125374034012198</v>
      </c>
      <c r="I29" s="51">
        <v>-674470.6</v>
      </c>
      <c r="J29" s="51">
        <f t="shared" si="2"/>
        <v>-539576.48</v>
      </c>
      <c r="K29" s="51">
        <f t="shared" si="3"/>
        <v>-22.13975347006437</v>
      </c>
      <c r="L29" s="51">
        <v>3</v>
      </c>
      <c r="M29" s="1"/>
    </row>
    <row r="30" spans="2:13" x14ac:dyDescent="0.25">
      <c r="B30" s="51">
        <v>42</v>
      </c>
      <c r="C30" s="51" t="s">
        <v>505</v>
      </c>
      <c r="D30" s="51">
        <v>4</v>
      </c>
      <c r="E30" s="51">
        <v>4</v>
      </c>
      <c r="F30" s="51">
        <v>-166760.70000000001</v>
      </c>
      <c r="G30" s="51">
        <f t="shared" si="0"/>
        <v>-166760.70000000001</v>
      </c>
      <c r="H30" s="51">
        <f t="shared" si="1"/>
        <v>-6.8424790985985231</v>
      </c>
      <c r="I30" s="51">
        <v>-358812.9</v>
      </c>
      <c r="J30" s="51">
        <f t="shared" si="2"/>
        <v>-358812.9</v>
      </c>
      <c r="K30" s="51">
        <f t="shared" si="3"/>
        <v>-14.722712057202459</v>
      </c>
      <c r="L30" s="51">
        <v>-2.13</v>
      </c>
      <c r="M30" s="1"/>
    </row>
    <row r="31" spans="2:13" x14ac:dyDescent="0.25">
      <c r="B31" s="51">
        <v>44</v>
      </c>
      <c r="C31" s="51" t="s">
        <v>506</v>
      </c>
      <c r="D31" s="51">
        <v>4</v>
      </c>
      <c r="E31" s="51">
        <v>4</v>
      </c>
      <c r="F31" s="51">
        <v>-86229.3</v>
      </c>
      <c r="G31" s="51">
        <f t="shared" si="0"/>
        <v>-86229.3</v>
      </c>
      <c r="H31" s="51">
        <f t="shared" si="1"/>
        <v>-3.5381368807925462</v>
      </c>
      <c r="I31" s="51">
        <v>-97386.6</v>
      </c>
      <c r="J31" s="51">
        <f t="shared" si="2"/>
        <v>-97386.6</v>
      </c>
      <c r="K31" s="51">
        <f t="shared" si="3"/>
        <v>-3.9959401404741937</v>
      </c>
      <c r="L31" s="51">
        <v>-3.58</v>
      </c>
      <c r="M31" s="1"/>
    </row>
    <row r="32" spans="2:13" x14ac:dyDescent="0.25">
      <c r="B32" s="51">
        <v>45</v>
      </c>
      <c r="C32" s="51" t="s">
        <v>507</v>
      </c>
      <c r="D32" s="51">
        <v>1</v>
      </c>
      <c r="E32" s="51">
        <v>3</v>
      </c>
      <c r="F32" s="51">
        <v>-56627</v>
      </c>
      <c r="G32" s="51">
        <f t="shared" si="0"/>
        <v>-75502.666666666672</v>
      </c>
      <c r="H32" s="51">
        <f t="shared" si="1"/>
        <v>-3.0980046171257261</v>
      </c>
      <c r="I32" s="51">
        <v>-19058.7</v>
      </c>
      <c r="J32" s="51">
        <f t="shared" si="2"/>
        <v>-76234.8</v>
      </c>
      <c r="K32" s="51">
        <f t="shared" si="3"/>
        <v>-3.1280453103509318</v>
      </c>
      <c r="L32" s="51">
        <v>-3.38</v>
      </c>
      <c r="M32" s="1"/>
    </row>
    <row r="33" spans="2:13" x14ac:dyDescent="0.25">
      <c r="B33" s="51">
        <v>47</v>
      </c>
      <c r="C33" s="51" t="s">
        <v>508</v>
      </c>
      <c r="D33" s="51">
        <v>1</v>
      </c>
      <c r="E33" s="51">
        <v>1</v>
      </c>
      <c r="F33" s="51">
        <v>-21933.5</v>
      </c>
      <c r="G33" s="51">
        <f t="shared" si="0"/>
        <v>-87734</v>
      </c>
      <c r="H33" s="51">
        <f t="shared" si="1"/>
        <v>-3.5998773166366096</v>
      </c>
      <c r="I33" s="51">
        <v>23049.9</v>
      </c>
      <c r="J33" s="51">
        <f t="shared" si="2"/>
        <v>92199.6</v>
      </c>
      <c r="K33" s="51">
        <f t="shared" si="3"/>
        <v>3.7831085855309095</v>
      </c>
      <c r="L33" s="51">
        <v>-3.58</v>
      </c>
      <c r="M33" s="1"/>
    </row>
    <row r="34" spans="2:13" x14ac:dyDescent="0.25">
      <c r="B34" s="51">
        <v>48</v>
      </c>
      <c r="C34" s="51" t="s">
        <v>509</v>
      </c>
      <c r="D34" s="51">
        <v>2</v>
      </c>
      <c r="E34" s="51">
        <v>2</v>
      </c>
      <c r="F34" s="51">
        <v>-61550.2</v>
      </c>
      <c r="G34" s="51">
        <f t="shared" si="0"/>
        <v>-123100.4</v>
      </c>
      <c r="H34" s="51">
        <f t="shared" si="1"/>
        <v>-5.0510216977328435</v>
      </c>
      <c r="I34" s="51">
        <v>-136052.1</v>
      </c>
      <c r="J34" s="51">
        <f t="shared" si="2"/>
        <v>-272104.2</v>
      </c>
      <c r="K34" s="51">
        <f t="shared" si="3"/>
        <v>-11.164904567688144</v>
      </c>
      <c r="L34" s="51">
        <v>-4.8499999999999996</v>
      </c>
      <c r="M34" s="1"/>
    </row>
    <row r="35" spans="2:13" x14ac:dyDescent="0.25">
      <c r="B35" s="51">
        <v>49</v>
      </c>
      <c r="C35" s="51" t="s">
        <v>510</v>
      </c>
      <c r="D35" s="51">
        <v>3</v>
      </c>
      <c r="E35" s="51">
        <v>3</v>
      </c>
      <c r="F35" s="51">
        <v>-89898.8</v>
      </c>
      <c r="G35" s="51">
        <f t="shared" si="0"/>
        <v>-119865.06666666667</v>
      </c>
      <c r="H35" s="51">
        <f t="shared" si="1"/>
        <v>-4.9182703917576811</v>
      </c>
      <c r="I35" s="51">
        <v>-264523.5</v>
      </c>
      <c r="J35" s="51">
        <f t="shared" si="2"/>
        <v>-352698</v>
      </c>
      <c r="K35" s="51">
        <f t="shared" si="3"/>
        <v>-14.471807165102456</v>
      </c>
      <c r="L35" s="51">
        <v>-1.22</v>
      </c>
      <c r="M35" s="1"/>
    </row>
    <row r="36" spans="2:13" x14ac:dyDescent="0.25">
      <c r="B36" s="51">
        <v>50</v>
      </c>
      <c r="C36" s="51" t="s">
        <v>511</v>
      </c>
      <c r="D36" s="51">
        <v>2</v>
      </c>
      <c r="E36" s="51">
        <v>4</v>
      </c>
      <c r="F36" s="51">
        <v>-42678</v>
      </c>
      <c r="G36" s="51">
        <f t="shared" ref="G36:G59" si="4">F36*4/E36</f>
        <v>-42678</v>
      </c>
      <c r="H36" s="51">
        <f t="shared" ref="H36:H59" si="5">LOG10(EXP(G36/(8.3145*1273)))</f>
        <v>-1.751151937896565</v>
      </c>
      <c r="I36" s="51">
        <v>-154389.70000000001</v>
      </c>
      <c r="J36" s="51">
        <f t="shared" ref="J36:J59" si="6">I36*4/D36</f>
        <v>-308779.40000000002</v>
      </c>
      <c r="K36" s="51">
        <f t="shared" ref="K36:K59" si="7">LOG10(EXP(J36/(8.3145*1273)))</f>
        <v>-12.669751269800335</v>
      </c>
      <c r="L36" s="51">
        <v>-0.71</v>
      </c>
      <c r="M36" s="1"/>
    </row>
    <row r="37" spans="2:13" x14ac:dyDescent="0.25">
      <c r="B37" s="51">
        <v>55</v>
      </c>
      <c r="C37" s="51" t="s">
        <v>512</v>
      </c>
      <c r="D37" s="51">
        <v>1</v>
      </c>
      <c r="E37" s="51">
        <v>1</v>
      </c>
      <c r="F37" s="51">
        <v>-84993.600000000006</v>
      </c>
      <c r="G37" s="51">
        <f t="shared" si="4"/>
        <v>-339974.40000000002</v>
      </c>
      <c r="H37" s="51">
        <f t="shared" si="5"/>
        <v>-13.949735915348004</v>
      </c>
      <c r="I37" s="51">
        <v>-65996.5</v>
      </c>
      <c r="J37" s="51">
        <f t="shared" si="6"/>
        <v>-263986</v>
      </c>
      <c r="K37" s="51">
        <f t="shared" si="7"/>
        <v>-10.831800821912054</v>
      </c>
      <c r="L37" s="51">
        <v>3.06</v>
      </c>
      <c r="M37" s="1" t="s">
        <v>479</v>
      </c>
    </row>
    <row r="38" spans="2:13" x14ac:dyDescent="0.25">
      <c r="B38" s="51">
        <v>56</v>
      </c>
      <c r="C38" s="51" t="s">
        <v>513</v>
      </c>
      <c r="D38" s="51">
        <v>2</v>
      </c>
      <c r="E38" s="51">
        <v>2</v>
      </c>
      <c r="F38" s="51">
        <v>-399072.8</v>
      </c>
      <c r="G38" s="51">
        <f t="shared" si="4"/>
        <v>-798145.6</v>
      </c>
      <c r="H38" s="51">
        <f t="shared" si="5"/>
        <v>-32.749290364206772</v>
      </c>
      <c r="I38" s="51">
        <v>-426489.4</v>
      </c>
      <c r="J38" s="51">
        <f t="shared" si="6"/>
        <v>-852978.8</v>
      </c>
      <c r="K38" s="51">
        <f t="shared" si="7"/>
        <v>-34.999191119656189</v>
      </c>
      <c r="L38" s="51">
        <v>0.48</v>
      </c>
      <c r="M38" s="1" t="s">
        <v>488</v>
      </c>
    </row>
    <row r="39" spans="2:13" x14ac:dyDescent="0.25">
      <c r="B39" s="51">
        <v>57</v>
      </c>
      <c r="C39" s="51" t="s">
        <v>259</v>
      </c>
      <c r="D39" s="51">
        <v>3</v>
      </c>
      <c r="E39" s="51">
        <v>3</v>
      </c>
      <c r="F39" s="51">
        <v>-527532.9</v>
      </c>
      <c r="G39" s="51">
        <f t="shared" si="4"/>
        <v>-703377.20000000007</v>
      </c>
      <c r="H39" s="51">
        <f t="shared" si="5"/>
        <v>-28.860779484799195</v>
      </c>
      <c r="I39" s="51">
        <v>-715869.8</v>
      </c>
      <c r="J39" s="51">
        <f t="shared" si="6"/>
        <v>-954493.06666666677</v>
      </c>
      <c r="K39" s="51">
        <f t="shared" si="7"/>
        <v>-39.164496541594467</v>
      </c>
      <c r="L39" s="51">
        <v>10.81</v>
      </c>
      <c r="M39" s="1" t="s">
        <v>490</v>
      </c>
    </row>
    <row r="40" spans="2:13" x14ac:dyDescent="0.25">
      <c r="B40" s="51">
        <v>58</v>
      </c>
      <c r="C40" s="51" t="s">
        <v>514</v>
      </c>
      <c r="D40" s="51">
        <v>4</v>
      </c>
      <c r="E40" s="51">
        <v>3</v>
      </c>
      <c r="F40" s="51">
        <v>-505434.1</v>
      </c>
      <c r="G40" s="51">
        <f t="shared" si="4"/>
        <v>-673912.1333333333</v>
      </c>
      <c r="H40" s="51">
        <f t="shared" si="5"/>
        <v>-27.651776987175474</v>
      </c>
      <c r="I40" s="51">
        <v>-825796.5</v>
      </c>
      <c r="J40" s="51">
        <f t="shared" si="6"/>
        <v>-825796.5</v>
      </c>
      <c r="K40" s="51">
        <f t="shared" si="7"/>
        <v>-33.883854474980104</v>
      </c>
      <c r="L40" s="51">
        <v>12.36</v>
      </c>
      <c r="M40" s="1" t="s">
        <v>490</v>
      </c>
    </row>
    <row r="41" spans="2:13" x14ac:dyDescent="0.25">
      <c r="B41" s="51">
        <v>59</v>
      </c>
      <c r="C41" s="51" t="s">
        <v>515</v>
      </c>
      <c r="D41" s="51">
        <v>3</v>
      </c>
      <c r="E41" s="51">
        <v>3</v>
      </c>
      <c r="F41" s="51">
        <v>-488754.5</v>
      </c>
      <c r="G41" s="51">
        <f t="shared" si="4"/>
        <v>-651672.66666666663</v>
      </c>
      <c r="H41" s="51">
        <f t="shared" si="5"/>
        <v>-26.739253318045726</v>
      </c>
      <c r="I41" s="51">
        <v>-722476.5</v>
      </c>
      <c r="J41" s="51">
        <f t="shared" si="6"/>
        <v>-963302</v>
      </c>
      <c r="K41" s="51">
        <f t="shared" si="7"/>
        <v>-39.525942267201764</v>
      </c>
      <c r="L41" s="51">
        <v>13.29</v>
      </c>
      <c r="M41" s="1" t="s">
        <v>490</v>
      </c>
    </row>
    <row r="42" spans="2:13" x14ac:dyDescent="0.25">
      <c r="B42" s="51">
        <v>60</v>
      </c>
      <c r="C42" s="51" t="s">
        <v>4</v>
      </c>
      <c r="D42" s="51">
        <v>3</v>
      </c>
      <c r="E42" s="51">
        <v>3</v>
      </c>
      <c r="F42" s="51">
        <v>-504179.8</v>
      </c>
      <c r="G42" s="51">
        <f t="shared" si="4"/>
        <v>-672239.73333333328</v>
      </c>
      <c r="H42" s="51">
        <f t="shared" si="5"/>
        <v>-27.583155531133997</v>
      </c>
      <c r="I42" s="51">
        <v>-725187.1</v>
      </c>
      <c r="J42" s="51">
        <f t="shared" si="6"/>
        <v>-966916.1333333333</v>
      </c>
      <c r="K42" s="51">
        <f t="shared" si="7"/>
        <v>-39.674236390414741</v>
      </c>
      <c r="L42" s="51">
        <v>11.5</v>
      </c>
      <c r="M42" s="1" t="s">
        <v>490</v>
      </c>
    </row>
    <row r="43" spans="2:13" x14ac:dyDescent="0.25">
      <c r="B43" s="51">
        <v>62</v>
      </c>
      <c r="C43" s="51" t="s">
        <v>516</v>
      </c>
      <c r="D43" s="51">
        <v>3</v>
      </c>
      <c r="E43" s="51">
        <v>3</v>
      </c>
      <c r="F43" s="51">
        <v>-512933.1</v>
      </c>
      <c r="G43" s="51">
        <f t="shared" si="4"/>
        <v>-683910.79999999993</v>
      </c>
      <c r="H43" s="51">
        <f t="shared" si="5"/>
        <v>-28.062039523135805</v>
      </c>
      <c r="I43" s="51">
        <v>-727641.1</v>
      </c>
      <c r="J43" s="51">
        <f t="shared" si="6"/>
        <v>-970188.1333333333</v>
      </c>
      <c r="K43" s="51">
        <f t="shared" si="7"/>
        <v>-39.808492192954624</v>
      </c>
      <c r="L43" s="51">
        <v>11.75</v>
      </c>
      <c r="M43" s="1" t="s">
        <v>490</v>
      </c>
    </row>
    <row r="44" spans="2:13" x14ac:dyDescent="0.25">
      <c r="B44" s="51">
        <v>63</v>
      </c>
      <c r="C44" s="51" t="s">
        <v>517</v>
      </c>
      <c r="D44" s="51">
        <v>3</v>
      </c>
      <c r="E44" s="51">
        <v>3</v>
      </c>
      <c r="F44" s="51">
        <v>-405578.1</v>
      </c>
      <c r="G44" s="51">
        <f t="shared" si="4"/>
        <v>-540770.79999999993</v>
      </c>
      <c r="H44" s="51">
        <f t="shared" si="5"/>
        <v>-22.188758479260407</v>
      </c>
      <c r="I44" s="51">
        <v>-630640.69999999995</v>
      </c>
      <c r="J44" s="51">
        <f t="shared" si="6"/>
        <v>-840854.2666666666</v>
      </c>
      <c r="K44" s="51">
        <f t="shared" si="7"/>
        <v>-34.501700608321109</v>
      </c>
      <c r="L44" s="51">
        <v>12.42</v>
      </c>
      <c r="M44" s="1" t="s">
        <v>490</v>
      </c>
    </row>
    <row r="45" spans="2:13" x14ac:dyDescent="0.25">
      <c r="B45" s="51">
        <v>64</v>
      </c>
      <c r="C45" s="51" t="s">
        <v>518</v>
      </c>
      <c r="D45" s="51">
        <v>3</v>
      </c>
      <c r="E45" s="51">
        <v>3</v>
      </c>
      <c r="F45" s="51">
        <v>-523929.1</v>
      </c>
      <c r="G45" s="51">
        <f t="shared" si="4"/>
        <v>-698572.1333333333</v>
      </c>
      <c r="H45" s="51">
        <f t="shared" si="5"/>
        <v>-28.663619313163789</v>
      </c>
      <c r="I45" s="51">
        <v>-731007.2</v>
      </c>
      <c r="J45" s="51">
        <f t="shared" si="6"/>
        <v>-974676.2666666666</v>
      </c>
      <c r="K45" s="51">
        <f t="shared" si="7"/>
        <v>-39.992648043374167</v>
      </c>
      <c r="L45" s="51">
        <v>10.11</v>
      </c>
      <c r="M45" s="1" t="s">
        <v>490</v>
      </c>
    </row>
    <row r="46" spans="2:13" x14ac:dyDescent="0.25">
      <c r="B46" s="51">
        <v>65</v>
      </c>
      <c r="C46" s="51" t="s">
        <v>519</v>
      </c>
      <c r="D46" s="51">
        <v>3</v>
      </c>
      <c r="E46" s="51">
        <v>3</v>
      </c>
      <c r="F46" s="51">
        <v>-527117.69999999995</v>
      </c>
      <c r="G46" s="51">
        <f t="shared" si="4"/>
        <v>-702823.6</v>
      </c>
      <c r="H46" s="51">
        <f t="shared" si="5"/>
        <v>-28.838064322120065</v>
      </c>
      <c r="I46" s="51">
        <v>-752447.5</v>
      </c>
      <c r="J46" s="51">
        <f t="shared" si="6"/>
        <v>-1003263.3333333334</v>
      </c>
      <c r="K46" s="51">
        <f t="shared" si="7"/>
        <v>-41.165624686893352</v>
      </c>
      <c r="L46" s="51">
        <v>10.45</v>
      </c>
      <c r="M46" s="1" t="s">
        <v>490</v>
      </c>
    </row>
    <row r="47" spans="2:13" x14ac:dyDescent="0.25">
      <c r="B47" s="51">
        <v>66</v>
      </c>
      <c r="C47" s="51" t="s">
        <v>520</v>
      </c>
      <c r="D47" s="51">
        <v>3</v>
      </c>
      <c r="E47" s="51">
        <v>3</v>
      </c>
      <c r="F47" s="51">
        <v>-530404.5</v>
      </c>
      <c r="G47" s="51">
        <f t="shared" si="4"/>
        <v>-707206</v>
      </c>
      <c r="H47" s="51">
        <f t="shared" si="5"/>
        <v>-29.017881751536581</v>
      </c>
      <c r="I47" s="51">
        <v>-747338.7</v>
      </c>
      <c r="J47" s="51">
        <f t="shared" si="6"/>
        <v>-996451.6</v>
      </c>
      <c r="K47" s="51">
        <f t="shared" si="7"/>
        <v>-40.886127521442731</v>
      </c>
      <c r="L47" s="51">
        <v>11.74</v>
      </c>
      <c r="M47" s="1" t="s">
        <v>490</v>
      </c>
    </row>
    <row r="48" spans="2:13" x14ac:dyDescent="0.25">
      <c r="B48" s="51">
        <v>67</v>
      </c>
      <c r="C48" s="51" t="s">
        <v>521</v>
      </c>
      <c r="D48" s="51">
        <v>3</v>
      </c>
      <c r="E48" s="51">
        <v>3</v>
      </c>
      <c r="F48" s="51">
        <v>-532511.5</v>
      </c>
      <c r="G48" s="51">
        <f t="shared" si="4"/>
        <v>-710015.33333333337</v>
      </c>
      <c r="H48" s="51">
        <f t="shared" si="5"/>
        <v>-29.133153542877885</v>
      </c>
      <c r="I48" s="51">
        <v>-758612.8</v>
      </c>
      <c r="J48" s="51">
        <f t="shared" si="6"/>
        <v>-1011483.7333333334</v>
      </c>
      <c r="K48" s="51">
        <f t="shared" si="7"/>
        <v>-41.50292187491258</v>
      </c>
      <c r="L48" s="51">
        <v>10.8</v>
      </c>
      <c r="M48" s="1" t="s">
        <v>490</v>
      </c>
    </row>
    <row r="49" spans="2:13" x14ac:dyDescent="0.25">
      <c r="B49" s="51">
        <v>68</v>
      </c>
      <c r="C49" s="51" t="s">
        <v>522</v>
      </c>
      <c r="D49" s="51">
        <v>3</v>
      </c>
      <c r="E49" s="51">
        <v>3</v>
      </c>
      <c r="F49" s="51">
        <v>-538652.4</v>
      </c>
      <c r="G49" s="51">
        <f t="shared" si="4"/>
        <v>-718203.20000000007</v>
      </c>
      <c r="H49" s="51">
        <f t="shared" si="5"/>
        <v>-29.469115832126963</v>
      </c>
      <c r="I49" s="51">
        <v>-765405.4</v>
      </c>
      <c r="J49" s="51">
        <f t="shared" si="6"/>
        <v>-1020540.5333333333</v>
      </c>
      <c r="K49" s="51">
        <f t="shared" si="7"/>
        <v>-41.874537997297452</v>
      </c>
      <c r="L49" s="51">
        <v>11.14</v>
      </c>
      <c r="M49" s="1" t="s">
        <v>490</v>
      </c>
    </row>
    <row r="50" spans="2:13" x14ac:dyDescent="0.25">
      <c r="B50" s="51">
        <v>72</v>
      </c>
      <c r="C50" s="51" t="s">
        <v>523</v>
      </c>
      <c r="D50" s="51">
        <v>4</v>
      </c>
      <c r="E50" s="51">
        <v>4</v>
      </c>
      <c r="F50" s="51">
        <v>-485121.2</v>
      </c>
      <c r="G50" s="51">
        <f t="shared" si="4"/>
        <v>-485121.2</v>
      </c>
      <c r="H50" s="51">
        <f t="shared" si="5"/>
        <v>-19.905359423935217</v>
      </c>
      <c r="I50" s="51">
        <v>-913709.8</v>
      </c>
      <c r="J50" s="51">
        <f t="shared" si="6"/>
        <v>-913709.8</v>
      </c>
      <c r="K50" s="51">
        <f t="shared" si="7"/>
        <v>-37.491088779818242</v>
      </c>
      <c r="L50" s="51">
        <v>6.54</v>
      </c>
      <c r="M50" s="1"/>
    </row>
    <row r="51" spans="2:13" x14ac:dyDescent="0.25">
      <c r="B51" s="51">
        <v>73</v>
      </c>
      <c r="C51" s="51" t="s">
        <v>524</v>
      </c>
      <c r="D51" s="51">
        <v>5</v>
      </c>
      <c r="E51" s="51">
        <v>4</v>
      </c>
      <c r="F51" s="51">
        <v>-249397.2</v>
      </c>
      <c r="G51" s="51">
        <f t="shared" si="4"/>
        <v>-249397.2</v>
      </c>
      <c r="H51" s="51">
        <f t="shared" si="5"/>
        <v>-10.233197199633938</v>
      </c>
      <c r="I51" s="51">
        <v>-746204.2</v>
      </c>
      <c r="J51" s="51">
        <f t="shared" si="6"/>
        <v>-596963.36</v>
      </c>
      <c r="K51" s="51">
        <f t="shared" si="7"/>
        <v>-24.494436119716127</v>
      </c>
      <c r="L51" s="51">
        <v>5.25</v>
      </c>
      <c r="M51" s="1"/>
    </row>
    <row r="52" spans="2:13" x14ac:dyDescent="0.25">
      <c r="B52" s="51">
        <v>74</v>
      </c>
      <c r="C52" s="51" t="s">
        <v>525</v>
      </c>
      <c r="D52" s="51">
        <v>6</v>
      </c>
      <c r="E52" s="51">
        <v>4</v>
      </c>
      <c r="F52" s="51">
        <v>-149524.29999999999</v>
      </c>
      <c r="G52" s="51">
        <f t="shared" si="4"/>
        <v>-149524.29999999999</v>
      </c>
      <c r="H52" s="51">
        <f t="shared" si="5"/>
        <v>-6.1352398825537122</v>
      </c>
      <c r="I52" s="51">
        <v>-519863.9</v>
      </c>
      <c r="J52" s="51">
        <f t="shared" si="6"/>
        <v>-346575.93333333335</v>
      </c>
      <c r="K52" s="51">
        <f t="shared" si="7"/>
        <v>-14.220608212310262</v>
      </c>
      <c r="L52" s="51">
        <v>-0.75</v>
      </c>
      <c r="M52" s="1"/>
    </row>
    <row r="53" spans="2:13" x14ac:dyDescent="0.25">
      <c r="B53" s="51">
        <v>75</v>
      </c>
      <c r="C53" s="51" t="s">
        <v>526</v>
      </c>
      <c r="D53" s="51">
        <v>4</v>
      </c>
      <c r="E53" s="51">
        <v>4</v>
      </c>
      <c r="F53" s="51">
        <v>-58452.3</v>
      </c>
      <c r="G53" s="51">
        <f t="shared" si="4"/>
        <v>-58452.3</v>
      </c>
      <c r="H53" s="51">
        <f t="shared" si="5"/>
        <v>-2.398398669560696</v>
      </c>
      <c r="I53" s="51">
        <v>-210165.6</v>
      </c>
      <c r="J53" s="51">
        <f t="shared" si="6"/>
        <v>-210165.6</v>
      </c>
      <c r="K53" s="51">
        <f t="shared" si="7"/>
        <v>-8.6234569970287822</v>
      </c>
      <c r="L53" s="51">
        <v>-2.4</v>
      </c>
      <c r="M53" s="1"/>
    </row>
    <row r="54" spans="2:13" x14ac:dyDescent="0.25">
      <c r="B54" s="51">
        <v>77</v>
      </c>
      <c r="C54" s="51" t="s">
        <v>527</v>
      </c>
      <c r="D54" s="51">
        <v>4</v>
      </c>
      <c r="E54" s="51">
        <v>3</v>
      </c>
      <c r="F54" s="51">
        <v>-23784.5</v>
      </c>
      <c r="G54" s="51">
        <f t="shared" si="4"/>
        <v>-31712.666666666668</v>
      </c>
      <c r="H54" s="51">
        <f t="shared" si="5"/>
        <v>-1.3012254015933533</v>
      </c>
      <c r="I54" s="51">
        <v>-23307.599999999999</v>
      </c>
      <c r="J54" s="51">
        <f t="shared" si="6"/>
        <v>-23307.599999999999</v>
      </c>
      <c r="K54" s="51">
        <f t="shared" si="7"/>
        <v>-0.95635102178447862</v>
      </c>
      <c r="L54" s="51">
        <v>-1.28</v>
      </c>
      <c r="M54" s="1"/>
    </row>
    <row r="55" spans="2:13" x14ac:dyDescent="0.25">
      <c r="B55" s="51">
        <v>81</v>
      </c>
      <c r="C55" s="51" t="s">
        <v>528</v>
      </c>
      <c r="D55" s="51">
        <v>1</v>
      </c>
      <c r="E55" s="51">
        <v>1</v>
      </c>
      <c r="F55" s="51">
        <v>-26026.7</v>
      </c>
      <c r="G55" s="51">
        <f t="shared" si="4"/>
        <v>-104106.8</v>
      </c>
      <c r="H55" s="51">
        <f t="shared" si="5"/>
        <v>-4.2716815354095816</v>
      </c>
      <c r="I55" s="51">
        <v>-21767.8</v>
      </c>
      <c r="J55" s="51">
        <f t="shared" si="6"/>
        <v>-87071.2</v>
      </c>
      <c r="K55" s="51">
        <f t="shared" si="7"/>
        <v>-3.5726814896428927</v>
      </c>
      <c r="L55" s="51">
        <v>-5.18</v>
      </c>
      <c r="M55" s="1"/>
    </row>
    <row r="56" spans="2:13" x14ac:dyDescent="0.25">
      <c r="B56" s="51">
        <v>82</v>
      </c>
      <c r="C56" s="51" t="s">
        <v>529</v>
      </c>
      <c r="D56" s="51">
        <v>2</v>
      </c>
      <c r="E56" s="51">
        <v>2</v>
      </c>
      <c r="F56" s="51">
        <v>-50999</v>
      </c>
      <c r="G56" s="51">
        <f t="shared" si="4"/>
        <v>-101998</v>
      </c>
      <c r="H56" s="51">
        <f t="shared" si="5"/>
        <v>-4.185153834799519</v>
      </c>
      <c r="I56" s="51">
        <v>-95414.399999999994</v>
      </c>
      <c r="J56" s="51">
        <f t="shared" si="6"/>
        <v>-190828.79999999999</v>
      </c>
      <c r="K56" s="51">
        <f t="shared" si="7"/>
        <v>-7.8300347468596474</v>
      </c>
      <c r="L56" s="51">
        <v>-4.2300000000000004</v>
      </c>
      <c r="M56" s="1"/>
    </row>
    <row r="57" spans="2:13" x14ac:dyDescent="0.25">
      <c r="B57" s="51">
        <v>83</v>
      </c>
      <c r="C57" s="51" t="s">
        <v>530</v>
      </c>
      <c r="D57" s="51">
        <v>3</v>
      </c>
      <c r="E57" s="51">
        <v>3</v>
      </c>
      <c r="F57" s="51">
        <v>-7392.5</v>
      </c>
      <c r="G57" s="51">
        <f t="shared" si="4"/>
        <v>-9856.6666666666661</v>
      </c>
      <c r="H57" s="51">
        <f t="shared" si="5"/>
        <v>-0.40443603108237991</v>
      </c>
      <c r="I57" s="51">
        <v>-115912.9</v>
      </c>
      <c r="J57" s="51">
        <f t="shared" si="6"/>
        <v>-154550.53333333333</v>
      </c>
      <c r="K57" s="51">
        <f t="shared" si="7"/>
        <v>-6.3414749039227312</v>
      </c>
      <c r="L57" s="51">
        <v>-0.17</v>
      </c>
      <c r="M57" s="1"/>
    </row>
    <row r="58" spans="2:13" x14ac:dyDescent="0.25">
      <c r="B58" s="51">
        <v>90</v>
      </c>
      <c r="C58" s="51" t="s">
        <v>531</v>
      </c>
      <c r="D58" s="51">
        <v>4</v>
      </c>
      <c r="E58" s="51">
        <v>4</v>
      </c>
      <c r="F58" s="51">
        <v>-528917.4</v>
      </c>
      <c r="G58" s="51">
        <f t="shared" si="4"/>
        <v>-528917.4</v>
      </c>
      <c r="H58" s="51">
        <f t="shared" si="5"/>
        <v>-21.702393036159446</v>
      </c>
      <c r="I58" s="51">
        <v>-987863.8</v>
      </c>
      <c r="J58" s="51">
        <f t="shared" si="6"/>
        <v>-987863.8</v>
      </c>
      <c r="K58" s="51">
        <f t="shared" si="7"/>
        <v>-40.533755277844904</v>
      </c>
      <c r="L58" s="51">
        <v>7.77</v>
      </c>
      <c r="M58" s="1"/>
    </row>
    <row r="59" spans="2:13" x14ac:dyDescent="0.25">
      <c r="B59" s="51">
        <v>92</v>
      </c>
      <c r="C59" s="51" t="s">
        <v>532</v>
      </c>
      <c r="D59" s="51">
        <v>4</v>
      </c>
      <c r="E59" s="51">
        <v>4</v>
      </c>
      <c r="F59" s="51">
        <v>-447567.4</v>
      </c>
      <c r="G59" s="51">
        <f t="shared" si="4"/>
        <v>-447567.4</v>
      </c>
      <c r="H59" s="51">
        <f t="shared" si="5"/>
        <v>-18.3644622486838</v>
      </c>
      <c r="I59" s="51">
        <v>-865403.1</v>
      </c>
      <c r="J59" s="51">
        <f t="shared" si="6"/>
        <v>-865403.1</v>
      </c>
      <c r="K59" s="51">
        <f t="shared" si="7"/>
        <v>-35.508981574269995</v>
      </c>
      <c r="L59" s="51">
        <v>6.08</v>
      </c>
      <c r="M59" s="1"/>
    </row>
  </sheetData>
  <mergeCells count="1">
    <mergeCell ref="B2:M2"/>
  </mergeCells>
  <pageMargins left="0.7" right="0.7" top="0.75" bottom="0.75" header="0.3" footer="0.3"/>
  <pageSetup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H32"/>
  <sheetViews>
    <sheetView workbookViewId="0">
      <selection activeCell="A22" sqref="A22:XFD22"/>
    </sheetView>
  </sheetViews>
  <sheetFormatPr defaultRowHeight="15" x14ac:dyDescent="0.25"/>
  <cols>
    <col min="2" max="2" width="47.140625" bestFit="1" customWidth="1"/>
    <col min="3" max="3" width="41.140625" bestFit="1" customWidth="1"/>
  </cols>
  <sheetData>
    <row r="2" spans="2:8" x14ac:dyDescent="0.25">
      <c r="B2" s="103" t="s">
        <v>731</v>
      </c>
      <c r="C2" s="103"/>
    </row>
    <row r="3" spans="2:8" x14ac:dyDescent="0.25">
      <c r="B3" s="50" t="s">
        <v>19</v>
      </c>
      <c r="C3" s="50" t="s">
        <v>155</v>
      </c>
    </row>
    <row r="4" spans="2:8" x14ac:dyDescent="0.25">
      <c r="B4" s="6" t="s">
        <v>770</v>
      </c>
      <c r="C4" s="52">
        <v>0.7</v>
      </c>
    </row>
    <row r="5" spans="2:8" x14ac:dyDescent="0.25">
      <c r="B5" s="8" t="s">
        <v>554</v>
      </c>
      <c r="C5" s="52">
        <v>0.67</v>
      </c>
    </row>
    <row r="6" spans="2:8" x14ac:dyDescent="0.25">
      <c r="B6" s="8" t="s">
        <v>536</v>
      </c>
      <c r="C6" s="52" t="s">
        <v>26</v>
      </c>
    </row>
    <row r="7" spans="2:8" x14ac:dyDescent="0.25">
      <c r="B7" s="6" t="s">
        <v>79</v>
      </c>
      <c r="C7" s="51" t="s">
        <v>537</v>
      </c>
    </row>
    <row r="8" spans="2:8" x14ac:dyDescent="0.25">
      <c r="B8" s="6" t="s">
        <v>81</v>
      </c>
      <c r="C8" s="51" t="s">
        <v>538</v>
      </c>
    </row>
    <row r="9" spans="2:8" x14ac:dyDescent="0.25">
      <c r="B9" s="6" t="s">
        <v>83</v>
      </c>
      <c r="C9" s="51" t="s">
        <v>540</v>
      </c>
    </row>
    <row r="10" spans="2:8" x14ac:dyDescent="0.25">
      <c r="B10" s="6" t="s">
        <v>85</v>
      </c>
      <c r="C10" s="51" t="s">
        <v>539</v>
      </c>
    </row>
    <row r="11" spans="2:8" x14ac:dyDescent="0.25">
      <c r="B11" s="6" t="s">
        <v>87</v>
      </c>
      <c r="C11" s="52">
        <v>0.2</v>
      </c>
    </row>
    <row r="12" spans="2:8" x14ac:dyDescent="0.25">
      <c r="B12" s="6" t="s">
        <v>89</v>
      </c>
      <c r="C12" s="51">
        <v>1.25</v>
      </c>
      <c r="D12" s="57"/>
      <c r="E12" s="57"/>
      <c r="F12" s="57"/>
      <c r="G12" s="57"/>
      <c r="H12" s="57"/>
    </row>
    <row r="13" spans="2:8" x14ac:dyDescent="0.25">
      <c r="B13" s="6" t="s">
        <v>91</v>
      </c>
      <c r="C13" s="51" t="s">
        <v>541</v>
      </c>
      <c r="D13" s="63"/>
      <c r="E13" s="57"/>
      <c r="F13" s="57"/>
      <c r="G13" s="57"/>
      <c r="H13" s="57"/>
    </row>
    <row r="14" spans="2:8" x14ac:dyDescent="0.25">
      <c r="B14" s="6" t="s">
        <v>93</v>
      </c>
      <c r="C14" s="53" t="s">
        <v>542</v>
      </c>
      <c r="D14" s="63"/>
      <c r="E14" s="57"/>
      <c r="F14" s="57"/>
      <c r="G14" s="57"/>
      <c r="H14" s="57"/>
    </row>
    <row r="15" spans="2:8" x14ac:dyDescent="0.25">
      <c r="B15" s="6" t="s">
        <v>95</v>
      </c>
      <c r="C15" s="53" t="s">
        <v>543</v>
      </c>
      <c r="D15" s="63"/>
      <c r="E15" s="57"/>
      <c r="F15" s="57"/>
      <c r="G15" s="57"/>
      <c r="H15" s="57"/>
    </row>
    <row r="16" spans="2:8" x14ac:dyDescent="0.25">
      <c r="B16" s="6" t="s">
        <v>96</v>
      </c>
      <c r="C16" s="51" t="s">
        <v>544</v>
      </c>
      <c r="D16" s="63"/>
      <c r="E16" s="57"/>
      <c r="F16" s="57"/>
      <c r="G16" s="57"/>
      <c r="H16" s="57"/>
    </row>
    <row r="17" spans="2:8" x14ac:dyDescent="0.25">
      <c r="B17" s="6" t="s">
        <v>97</v>
      </c>
      <c r="C17" s="51" t="s">
        <v>545</v>
      </c>
      <c r="D17" s="63"/>
      <c r="E17" s="57"/>
      <c r="F17" s="57"/>
      <c r="G17" s="57"/>
      <c r="H17" s="57"/>
    </row>
    <row r="18" spans="2:8" x14ac:dyDescent="0.25">
      <c r="B18" s="6" t="s">
        <v>98</v>
      </c>
      <c r="C18" s="51" t="s">
        <v>546</v>
      </c>
      <c r="D18" s="63"/>
      <c r="E18" s="57"/>
      <c r="F18" s="57"/>
      <c r="G18" s="57"/>
      <c r="H18" s="57"/>
    </row>
    <row r="19" spans="2:8" x14ac:dyDescent="0.25">
      <c r="B19" s="6" t="s">
        <v>100</v>
      </c>
      <c r="C19" s="51" t="s">
        <v>547</v>
      </c>
      <c r="D19" s="63"/>
      <c r="E19" s="57"/>
      <c r="F19" s="57"/>
      <c r="G19" s="57"/>
      <c r="H19" s="57"/>
    </row>
    <row r="20" spans="2:8" x14ac:dyDescent="0.25">
      <c r="B20" s="6" t="s">
        <v>102</v>
      </c>
      <c r="C20" s="51" t="s">
        <v>548</v>
      </c>
      <c r="D20" s="63"/>
      <c r="E20" s="57"/>
      <c r="F20" s="57"/>
      <c r="G20" s="57"/>
      <c r="H20" s="57"/>
    </row>
    <row r="21" spans="2:8" x14ac:dyDescent="0.25">
      <c r="B21" s="6" t="s">
        <v>104</v>
      </c>
      <c r="C21" s="51" t="s">
        <v>549</v>
      </c>
      <c r="D21" s="63"/>
      <c r="E21" s="57"/>
      <c r="F21" s="57"/>
      <c r="G21" s="57"/>
      <c r="H21" s="57"/>
    </row>
    <row r="22" spans="2:8" x14ac:dyDescent="0.25">
      <c r="B22" s="6" t="s">
        <v>106</v>
      </c>
      <c r="C22" s="51" t="s">
        <v>550</v>
      </c>
      <c r="D22" s="63"/>
      <c r="E22" s="57"/>
      <c r="F22" s="57"/>
      <c r="G22" s="57"/>
      <c r="H22" s="57"/>
    </row>
    <row r="23" spans="2:8" x14ac:dyDescent="0.25">
      <c r="B23" s="6" t="s">
        <v>108</v>
      </c>
      <c r="C23" s="51" t="s">
        <v>551</v>
      </c>
      <c r="D23" s="63"/>
      <c r="E23" s="57"/>
      <c r="F23" s="57"/>
      <c r="G23" s="57"/>
      <c r="H23" s="57"/>
    </row>
    <row r="24" spans="2:8" x14ac:dyDescent="0.25">
      <c r="B24" s="6" t="s">
        <v>112</v>
      </c>
      <c r="C24" s="62" t="s">
        <v>553</v>
      </c>
      <c r="D24" s="63"/>
      <c r="E24" s="57"/>
      <c r="F24" s="57"/>
      <c r="G24" s="57"/>
      <c r="H24" s="57"/>
    </row>
    <row r="25" spans="2:8" x14ac:dyDescent="0.25">
      <c r="B25" s="6" t="s">
        <v>117</v>
      </c>
      <c r="C25" s="52" t="s">
        <v>552</v>
      </c>
      <c r="D25" s="63"/>
      <c r="E25" s="57"/>
      <c r="F25" s="57"/>
      <c r="G25" s="57"/>
      <c r="H25" s="57"/>
    </row>
    <row r="26" spans="2:8" x14ac:dyDescent="0.25">
      <c r="D26" s="63"/>
      <c r="E26" s="57"/>
      <c r="F26" s="57"/>
      <c r="G26" s="57"/>
      <c r="H26" s="57"/>
    </row>
    <row r="27" spans="2:8" x14ac:dyDescent="0.25">
      <c r="D27" s="63"/>
      <c r="E27" s="57"/>
      <c r="F27" s="57"/>
      <c r="G27" s="57"/>
      <c r="H27" s="57"/>
    </row>
    <row r="28" spans="2:8" x14ac:dyDescent="0.25">
      <c r="D28" s="63"/>
      <c r="E28" s="57"/>
      <c r="F28" s="57"/>
      <c r="G28" s="57"/>
      <c r="H28" s="57"/>
    </row>
    <row r="29" spans="2:8" x14ac:dyDescent="0.25">
      <c r="D29" s="57"/>
      <c r="E29" s="57"/>
      <c r="F29" s="57"/>
      <c r="G29" s="57"/>
      <c r="H29" s="57"/>
    </row>
    <row r="30" spans="2:8" x14ac:dyDescent="0.25">
      <c r="D30" s="57"/>
      <c r="E30" s="57"/>
      <c r="F30" s="57"/>
      <c r="G30" s="57"/>
      <c r="H30" s="57"/>
    </row>
    <row r="31" spans="2:8" x14ac:dyDescent="0.25">
      <c r="D31" s="57"/>
      <c r="E31" s="57"/>
      <c r="F31" s="57"/>
      <c r="G31" s="57"/>
      <c r="H31" s="57"/>
    </row>
    <row r="32" spans="2:8" x14ac:dyDescent="0.25">
      <c r="D32" s="57"/>
      <c r="E32" s="57"/>
      <c r="F32" s="57"/>
      <c r="G32" s="57"/>
      <c r="H32" s="57"/>
    </row>
  </sheetData>
  <mergeCells count="1">
    <mergeCell ref="B2:C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C25"/>
  <sheetViews>
    <sheetView workbookViewId="0">
      <selection activeCell="B4" sqref="B4"/>
    </sheetView>
  </sheetViews>
  <sheetFormatPr defaultRowHeight="15" x14ac:dyDescent="0.25"/>
  <cols>
    <col min="2" max="2" width="47.140625" bestFit="1" customWidth="1"/>
    <col min="3" max="3" width="41.140625" bestFit="1" customWidth="1"/>
  </cols>
  <sheetData>
    <row r="2" spans="2:3" x14ac:dyDescent="0.25">
      <c r="B2" s="103" t="s">
        <v>730</v>
      </c>
      <c r="C2" s="103"/>
    </row>
    <row r="3" spans="2:3" x14ac:dyDescent="0.25">
      <c r="B3" s="50" t="s">
        <v>19</v>
      </c>
      <c r="C3" s="50" t="s">
        <v>155</v>
      </c>
    </row>
    <row r="4" spans="2:3" x14ac:dyDescent="0.25">
      <c r="B4" s="6" t="s">
        <v>770</v>
      </c>
      <c r="C4" s="52">
        <v>0.7</v>
      </c>
    </row>
    <row r="5" spans="2:3" x14ac:dyDescent="0.25">
      <c r="B5" s="8" t="s">
        <v>554</v>
      </c>
      <c r="C5" s="52">
        <v>0.47</v>
      </c>
    </row>
    <row r="6" spans="2:3" x14ac:dyDescent="0.25">
      <c r="B6" s="8" t="s">
        <v>536</v>
      </c>
      <c r="C6" s="52" t="s">
        <v>27</v>
      </c>
    </row>
    <row r="7" spans="2:3" x14ac:dyDescent="0.25">
      <c r="B7" s="6" t="s">
        <v>79</v>
      </c>
      <c r="C7" s="51" t="s">
        <v>537</v>
      </c>
    </row>
    <row r="8" spans="2:3" x14ac:dyDescent="0.25">
      <c r="B8" s="6" t="s">
        <v>81</v>
      </c>
      <c r="C8" s="51" t="s">
        <v>538</v>
      </c>
    </row>
    <row r="9" spans="2:3" x14ac:dyDescent="0.25">
      <c r="B9" s="6" t="s">
        <v>83</v>
      </c>
      <c r="C9" s="51" t="s">
        <v>540</v>
      </c>
    </row>
    <row r="10" spans="2:3" x14ac:dyDescent="0.25">
      <c r="B10" s="6" t="s">
        <v>85</v>
      </c>
      <c r="C10" s="51" t="s">
        <v>539</v>
      </c>
    </row>
    <row r="11" spans="2:3" x14ac:dyDescent="0.25">
      <c r="B11" s="6" t="s">
        <v>87</v>
      </c>
      <c r="C11" s="52">
        <v>0.2</v>
      </c>
    </row>
    <row r="12" spans="2:3" x14ac:dyDescent="0.25">
      <c r="B12" s="6" t="s">
        <v>89</v>
      </c>
      <c r="C12" s="51">
        <v>1.25</v>
      </c>
    </row>
    <row r="13" spans="2:3" x14ac:dyDescent="0.25">
      <c r="B13" s="6" t="s">
        <v>91</v>
      </c>
      <c r="C13" s="51" t="s">
        <v>541</v>
      </c>
    </row>
    <row r="14" spans="2:3" x14ac:dyDescent="0.25">
      <c r="B14" s="6" t="s">
        <v>93</v>
      </c>
      <c r="C14" s="53" t="s">
        <v>542</v>
      </c>
    </row>
    <row r="15" spans="2:3" x14ac:dyDescent="0.25">
      <c r="B15" s="6" t="s">
        <v>95</v>
      </c>
      <c r="C15" s="53" t="s">
        <v>543</v>
      </c>
    </row>
    <row r="16" spans="2:3" x14ac:dyDescent="0.25">
      <c r="B16" s="6" t="s">
        <v>96</v>
      </c>
      <c r="C16" s="51" t="s">
        <v>544</v>
      </c>
    </row>
    <row r="17" spans="2:3" x14ac:dyDescent="0.25">
      <c r="B17" s="6" t="s">
        <v>97</v>
      </c>
      <c r="C17" s="51" t="s">
        <v>545</v>
      </c>
    </row>
    <row r="18" spans="2:3" x14ac:dyDescent="0.25">
      <c r="B18" s="6" t="s">
        <v>98</v>
      </c>
      <c r="C18" s="51" t="s">
        <v>546</v>
      </c>
    </row>
    <row r="19" spans="2:3" x14ac:dyDescent="0.25">
      <c r="B19" s="6" t="s">
        <v>100</v>
      </c>
      <c r="C19" s="51" t="s">
        <v>547</v>
      </c>
    </row>
    <row r="20" spans="2:3" x14ac:dyDescent="0.25">
      <c r="B20" s="6" t="s">
        <v>102</v>
      </c>
      <c r="C20" s="51" t="s">
        <v>548</v>
      </c>
    </row>
    <row r="21" spans="2:3" x14ac:dyDescent="0.25">
      <c r="B21" s="6" t="s">
        <v>104</v>
      </c>
      <c r="C21" s="51" t="s">
        <v>549</v>
      </c>
    </row>
    <row r="22" spans="2:3" x14ac:dyDescent="0.25">
      <c r="B22" s="6" t="s">
        <v>106</v>
      </c>
      <c r="C22" s="51" t="s">
        <v>550</v>
      </c>
    </row>
    <row r="23" spans="2:3" x14ac:dyDescent="0.25">
      <c r="B23" s="6" t="s">
        <v>108</v>
      </c>
      <c r="C23" s="51" t="s">
        <v>551</v>
      </c>
    </row>
    <row r="24" spans="2:3" x14ac:dyDescent="0.25">
      <c r="B24" s="6" t="s">
        <v>112</v>
      </c>
      <c r="C24" s="62" t="s">
        <v>553</v>
      </c>
    </row>
    <row r="25" spans="2:3" x14ac:dyDescent="0.25">
      <c r="B25" s="6" t="s">
        <v>117</v>
      </c>
      <c r="C25" s="52" t="s">
        <v>552</v>
      </c>
    </row>
  </sheetData>
  <mergeCells count="1">
    <mergeCell ref="B2:C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M32"/>
  <sheetViews>
    <sheetView workbookViewId="0">
      <selection activeCell="C10" sqref="C10"/>
    </sheetView>
  </sheetViews>
  <sheetFormatPr defaultRowHeight="15" x14ac:dyDescent="0.25"/>
  <cols>
    <col min="3" max="3" width="47.140625" bestFit="1" customWidth="1"/>
    <col min="4" max="4" width="41.140625" bestFit="1" customWidth="1"/>
    <col min="13" max="13" width="14.140625" bestFit="1" customWidth="1"/>
  </cols>
  <sheetData>
    <row r="2" spans="2:13" x14ac:dyDescent="0.25">
      <c r="B2" s="103" t="s">
        <v>729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2:13" x14ac:dyDescent="0.25">
      <c r="B3" s="112" t="s">
        <v>19</v>
      </c>
      <c r="C3" s="112"/>
      <c r="D3" s="112" t="s">
        <v>155</v>
      </c>
      <c r="E3" s="112"/>
      <c r="F3" s="112"/>
      <c r="G3" s="112"/>
      <c r="H3" s="112"/>
      <c r="I3" s="112"/>
      <c r="J3" s="112"/>
      <c r="K3" s="112"/>
      <c r="L3" s="112"/>
      <c r="M3" s="112"/>
    </row>
    <row r="4" spans="2:13" x14ac:dyDescent="0.25">
      <c r="B4" s="124" t="s">
        <v>566</v>
      </c>
      <c r="C4" s="1" t="s">
        <v>556</v>
      </c>
      <c r="D4" s="136" t="s">
        <v>557</v>
      </c>
      <c r="E4" s="136"/>
      <c r="F4" s="136"/>
      <c r="G4" s="136"/>
      <c r="H4" s="136"/>
      <c r="I4" s="136"/>
      <c r="J4" s="136"/>
      <c r="K4" s="136"/>
      <c r="L4" s="136"/>
      <c r="M4" s="136"/>
    </row>
    <row r="5" spans="2:13" x14ac:dyDescent="0.25">
      <c r="B5" s="124"/>
      <c r="C5" s="8" t="s">
        <v>558</v>
      </c>
      <c r="D5" s="136" t="s">
        <v>559</v>
      </c>
      <c r="E5" s="136"/>
      <c r="F5" s="136"/>
      <c r="G5" s="136"/>
      <c r="H5" s="136"/>
      <c r="I5" s="136"/>
      <c r="J5" s="136"/>
      <c r="K5" s="136"/>
      <c r="L5" s="136"/>
      <c r="M5" s="136"/>
    </row>
    <row r="6" spans="2:13" x14ac:dyDescent="0.25">
      <c r="B6" s="124"/>
      <c r="C6" s="8" t="s">
        <v>560</v>
      </c>
      <c r="D6" s="136" t="s">
        <v>561</v>
      </c>
      <c r="E6" s="136"/>
      <c r="F6" s="136"/>
      <c r="G6" s="136"/>
      <c r="H6" s="136"/>
      <c r="I6" s="136"/>
      <c r="J6" s="136"/>
      <c r="K6" s="136"/>
      <c r="L6" s="136"/>
      <c r="M6" s="136"/>
    </row>
    <row r="7" spans="2:13" x14ac:dyDescent="0.25">
      <c r="B7" s="124"/>
      <c r="C7" s="6" t="s">
        <v>562</v>
      </c>
      <c r="D7" s="122" t="s">
        <v>563</v>
      </c>
      <c r="E7" s="122"/>
      <c r="F7" s="122"/>
      <c r="G7" s="122"/>
      <c r="H7" s="122"/>
      <c r="I7" s="122"/>
      <c r="J7" s="122"/>
      <c r="K7" s="122"/>
      <c r="L7" s="122"/>
      <c r="M7" s="122"/>
    </row>
    <row r="8" spans="2:13" x14ac:dyDescent="0.25">
      <c r="B8" s="124"/>
      <c r="C8" s="6" t="s">
        <v>564</v>
      </c>
      <c r="D8" s="122" t="s">
        <v>565</v>
      </c>
      <c r="E8" s="122"/>
      <c r="F8" s="122"/>
      <c r="G8" s="122"/>
      <c r="H8" s="122"/>
      <c r="I8" s="122"/>
      <c r="J8" s="122"/>
      <c r="K8" s="122"/>
      <c r="L8" s="122"/>
      <c r="M8" s="122"/>
    </row>
    <row r="9" spans="2:13" x14ac:dyDescent="0.25">
      <c r="B9" s="124" t="s">
        <v>581</v>
      </c>
      <c r="C9" s="6" t="s">
        <v>567</v>
      </c>
      <c r="D9" s="51" t="s">
        <v>568</v>
      </c>
      <c r="E9" s="51" t="s">
        <v>569</v>
      </c>
      <c r="F9" s="51" t="s">
        <v>570</v>
      </c>
      <c r="G9" s="51" t="s">
        <v>571</v>
      </c>
      <c r="H9" s="51" t="s">
        <v>572</v>
      </c>
      <c r="I9" s="51" t="s">
        <v>573</v>
      </c>
      <c r="J9" s="51" t="s">
        <v>574</v>
      </c>
      <c r="K9" s="51" t="s">
        <v>575</v>
      </c>
      <c r="L9" s="51" t="s">
        <v>576</v>
      </c>
      <c r="M9" s="51" t="s">
        <v>577</v>
      </c>
    </row>
    <row r="10" spans="2:13" x14ac:dyDescent="0.25">
      <c r="B10" s="124"/>
      <c r="C10" s="6" t="s">
        <v>770</v>
      </c>
      <c r="D10" s="136">
        <v>0.7</v>
      </c>
      <c r="E10" s="122"/>
      <c r="F10" s="122"/>
      <c r="G10" s="122"/>
      <c r="H10" s="122"/>
      <c r="I10" s="122"/>
      <c r="J10" s="122"/>
      <c r="K10" s="122"/>
      <c r="L10" s="122"/>
      <c r="M10" s="122"/>
    </row>
    <row r="11" spans="2:13" x14ac:dyDescent="0.25">
      <c r="B11" s="124"/>
      <c r="C11" s="8" t="s">
        <v>554</v>
      </c>
      <c r="D11" s="52">
        <v>0.4</v>
      </c>
      <c r="E11" s="64">
        <v>6.9318866787220299E-3</v>
      </c>
      <c r="F11" s="64">
        <v>8.0930703085485404E-4</v>
      </c>
      <c r="G11" s="64">
        <v>0.240963855421687</v>
      </c>
      <c r="H11" s="64">
        <v>0.23742830465519499</v>
      </c>
      <c r="I11" s="64">
        <v>1.22441840125946E-3</v>
      </c>
      <c r="J11" s="64">
        <v>1.57618213660243E-2</v>
      </c>
      <c r="K11" s="64">
        <v>0.89145907473309605</v>
      </c>
      <c r="L11" s="64">
        <v>1.63934426229508E-2</v>
      </c>
      <c r="M11" s="64">
        <v>3.3333333333333298E-2</v>
      </c>
    </row>
    <row r="12" spans="2:13" x14ac:dyDescent="0.25">
      <c r="B12" s="124"/>
      <c r="C12" s="8" t="s">
        <v>536</v>
      </c>
      <c r="D12" s="51" t="s">
        <v>25</v>
      </c>
      <c r="E12" s="122" t="s">
        <v>26</v>
      </c>
      <c r="F12" s="122"/>
      <c r="G12" s="122"/>
      <c r="H12" s="122"/>
      <c r="I12" s="122"/>
      <c r="J12" s="122"/>
      <c r="K12" s="122"/>
      <c r="L12" s="122"/>
      <c r="M12" s="122"/>
    </row>
    <row r="13" spans="2:13" x14ac:dyDescent="0.25">
      <c r="B13" s="124"/>
      <c r="C13" s="6" t="s">
        <v>79</v>
      </c>
      <c r="D13" s="122" t="s">
        <v>579</v>
      </c>
      <c r="E13" s="122"/>
      <c r="F13" s="122"/>
      <c r="G13" s="122"/>
      <c r="H13" s="122"/>
      <c r="I13" s="122"/>
      <c r="J13" s="122"/>
      <c r="K13" s="122"/>
      <c r="L13" s="122"/>
      <c r="M13" s="122"/>
    </row>
    <row r="14" spans="2:13" x14ac:dyDescent="0.25">
      <c r="B14" s="124"/>
      <c r="C14" s="6" t="s">
        <v>578</v>
      </c>
      <c r="D14" s="58" t="s">
        <v>580</v>
      </c>
      <c r="E14" s="122" t="s">
        <v>582</v>
      </c>
      <c r="F14" s="122"/>
      <c r="G14" s="122"/>
      <c r="H14" s="122"/>
      <c r="I14" s="122"/>
      <c r="J14" s="122"/>
      <c r="K14" s="122"/>
      <c r="L14" s="122"/>
      <c r="M14" s="122"/>
    </row>
    <row r="15" spans="2:13" x14ac:dyDescent="0.25">
      <c r="B15" s="124"/>
      <c r="C15" s="6" t="s">
        <v>81</v>
      </c>
      <c r="D15" s="122" t="s">
        <v>538</v>
      </c>
      <c r="E15" s="122"/>
      <c r="F15" s="122"/>
      <c r="G15" s="122"/>
      <c r="H15" s="122"/>
      <c r="I15" s="122"/>
      <c r="J15" s="122"/>
      <c r="K15" s="122"/>
      <c r="L15" s="122"/>
      <c r="M15" s="122"/>
    </row>
    <row r="16" spans="2:13" x14ac:dyDescent="0.25">
      <c r="B16" s="124"/>
      <c r="C16" s="6" t="s">
        <v>83</v>
      </c>
      <c r="D16" s="122" t="s">
        <v>540</v>
      </c>
      <c r="E16" s="122"/>
      <c r="F16" s="122"/>
      <c r="G16" s="122"/>
      <c r="H16" s="122"/>
      <c r="I16" s="122"/>
      <c r="J16" s="122"/>
      <c r="K16" s="122"/>
      <c r="L16" s="122"/>
      <c r="M16" s="122"/>
    </row>
    <row r="17" spans="2:13" x14ac:dyDescent="0.25">
      <c r="B17" s="124"/>
      <c r="C17" s="6" t="s">
        <v>85</v>
      </c>
      <c r="D17" s="122" t="s">
        <v>539</v>
      </c>
      <c r="E17" s="122"/>
      <c r="F17" s="122"/>
      <c r="G17" s="122"/>
      <c r="H17" s="122"/>
      <c r="I17" s="122"/>
      <c r="J17" s="122"/>
      <c r="K17" s="122"/>
      <c r="L17" s="122"/>
      <c r="M17" s="122"/>
    </row>
    <row r="18" spans="2:13" x14ac:dyDescent="0.25">
      <c r="B18" s="124"/>
      <c r="C18" s="6" t="s">
        <v>87</v>
      </c>
      <c r="D18" s="136">
        <v>0.2</v>
      </c>
      <c r="E18" s="136"/>
      <c r="F18" s="136"/>
      <c r="G18" s="136"/>
      <c r="H18" s="136"/>
      <c r="I18" s="136"/>
      <c r="J18" s="136"/>
      <c r="K18" s="136"/>
      <c r="L18" s="136"/>
      <c r="M18" s="136"/>
    </row>
    <row r="19" spans="2:13" x14ac:dyDescent="0.25">
      <c r="B19" s="124"/>
      <c r="C19" s="6" t="s">
        <v>89</v>
      </c>
      <c r="D19" s="122">
        <v>1.25</v>
      </c>
      <c r="E19" s="122"/>
      <c r="F19" s="122"/>
      <c r="G19" s="122"/>
      <c r="H19" s="122"/>
      <c r="I19" s="122"/>
      <c r="J19" s="122"/>
      <c r="K19" s="122"/>
      <c r="L19" s="122"/>
      <c r="M19" s="122"/>
    </row>
    <row r="20" spans="2:13" x14ac:dyDescent="0.25">
      <c r="B20" s="124"/>
      <c r="C20" s="6" t="s">
        <v>91</v>
      </c>
      <c r="D20" s="122" t="s">
        <v>541</v>
      </c>
      <c r="E20" s="122"/>
      <c r="F20" s="122"/>
      <c r="G20" s="122"/>
      <c r="H20" s="122"/>
      <c r="I20" s="122"/>
      <c r="J20" s="122"/>
      <c r="K20" s="122"/>
      <c r="L20" s="122"/>
      <c r="M20" s="122"/>
    </row>
    <row r="21" spans="2:13" x14ac:dyDescent="0.25">
      <c r="B21" s="124"/>
      <c r="C21" s="6" t="s">
        <v>93</v>
      </c>
      <c r="D21" s="137" t="s">
        <v>542</v>
      </c>
      <c r="E21" s="137"/>
      <c r="F21" s="137"/>
      <c r="G21" s="137"/>
      <c r="H21" s="137"/>
      <c r="I21" s="137"/>
      <c r="J21" s="137"/>
      <c r="K21" s="137"/>
      <c r="L21" s="137"/>
      <c r="M21" s="137"/>
    </row>
    <row r="22" spans="2:13" x14ac:dyDescent="0.25">
      <c r="B22" s="124"/>
      <c r="C22" s="6" t="s">
        <v>95</v>
      </c>
      <c r="D22" s="137" t="s">
        <v>543</v>
      </c>
      <c r="E22" s="137"/>
      <c r="F22" s="137"/>
      <c r="G22" s="137"/>
      <c r="H22" s="137"/>
      <c r="I22" s="137"/>
      <c r="J22" s="137"/>
      <c r="K22" s="137"/>
      <c r="L22" s="137"/>
      <c r="M22" s="137"/>
    </row>
    <row r="23" spans="2:13" x14ac:dyDescent="0.25">
      <c r="B23" s="124"/>
      <c r="C23" s="6" t="s">
        <v>96</v>
      </c>
      <c r="D23" s="122" t="s">
        <v>544</v>
      </c>
      <c r="E23" s="122"/>
      <c r="F23" s="122"/>
      <c r="G23" s="122"/>
      <c r="H23" s="122"/>
      <c r="I23" s="122"/>
      <c r="J23" s="122"/>
      <c r="K23" s="122"/>
      <c r="L23" s="122"/>
      <c r="M23" s="122"/>
    </row>
    <row r="24" spans="2:13" x14ac:dyDescent="0.25">
      <c r="B24" s="124"/>
      <c r="C24" s="6" t="s">
        <v>97</v>
      </c>
      <c r="D24" s="122" t="s">
        <v>545</v>
      </c>
      <c r="E24" s="122"/>
      <c r="F24" s="122"/>
      <c r="G24" s="122"/>
      <c r="H24" s="122"/>
      <c r="I24" s="122"/>
      <c r="J24" s="122"/>
      <c r="K24" s="122"/>
      <c r="L24" s="122"/>
      <c r="M24" s="122"/>
    </row>
    <row r="25" spans="2:13" x14ac:dyDescent="0.25">
      <c r="B25" s="124"/>
      <c r="C25" s="6" t="s">
        <v>98</v>
      </c>
      <c r="D25" s="122" t="s">
        <v>546</v>
      </c>
      <c r="E25" s="122"/>
      <c r="F25" s="122"/>
      <c r="G25" s="122"/>
      <c r="H25" s="122"/>
      <c r="I25" s="122"/>
      <c r="J25" s="122"/>
      <c r="K25" s="122"/>
      <c r="L25" s="122"/>
      <c r="M25" s="122"/>
    </row>
    <row r="26" spans="2:13" x14ac:dyDescent="0.25">
      <c r="B26" s="124"/>
      <c r="C26" s="6" t="s">
        <v>100</v>
      </c>
      <c r="D26" s="122" t="s">
        <v>547</v>
      </c>
      <c r="E26" s="122"/>
      <c r="F26" s="122"/>
      <c r="G26" s="122"/>
      <c r="H26" s="122"/>
      <c r="I26" s="122"/>
      <c r="J26" s="122"/>
      <c r="K26" s="122"/>
      <c r="L26" s="122"/>
      <c r="M26" s="122"/>
    </row>
    <row r="27" spans="2:13" x14ac:dyDescent="0.25">
      <c r="B27" s="124"/>
      <c r="C27" s="6" t="s">
        <v>102</v>
      </c>
      <c r="D27" s="122" t="s">
        <v>548</v>
      </c>
      <c r="E27" s="122"/>
      <c r="F27" s="122"/>
      <c r="G27" s="122"/>
      <c r="H27" s="122"/>
      <c r="I27" s="122"/>
      <c r="J27" s="122"/>
      <c r="K27" s="122"/>
      <c r="L27" s="122"/>
      <c r="M27" s="122"/>
    </row>
    <row r="28" spans="2:13" x14ac:dyDescent="0.25">
      <c r="B28" s="124"/>
      <c r="C28" s="6" t="s">
        <v>104</v>
      </c>
      <c r="D28" s="122" t="s">
        <v>549</v>
      </c>
      <c r="E28" s="122"/>
      <c r="F28" s="122"/>
      <c r="G28" s="122"/>
      <c r="H28" s="122"/>
      <c r="I28" s="122"/>
      <c r="J28" s="122"/>
      <c r="K28" s="122"/>
      <c r="L28" s="122"/>
      <c r="M28" s="122"/>
    </row>
    <row r="29" spans="2:13" x14ac:dyDescent="0.25">
      <c r="B29" s="124"/>
      <c r="C29" s="6" t="s">
        <v>106</v>
      </c>
      <c r="D29" s="122" t="s">
        <v>550</v>
      </c>
      <c r="E29" s="122"/>
      <c r="F29" s="122"/>
      <c r="G29" s="122"/>
      <c r="H29" s="122"/>
      <c r="I29" s="122"/>
      <c r="J29" s="122"/>
      <c r="K29" s="122"/>
      <c r="L29" s="122"/>
      <c r="M29" s="122"/>
    </row>
    <row r="30" spans="2:13" x14ac:dyDescent="0.25">
      <c r="B30" s="124"/>
      <c r="C30" s="6" t="s">
        <v>108</v>
      </c>
      <c r="D30" s="122" t="s">
        <v>551</v>
      </c>
      <c r="E30" s="122"/>
      <c r="F30" s="122"/>
      <c r="G30" s="122"/>
      <c r="H30" s="122"/>
      <c r="I30" s="122"/>
      <c r="J30" s="122"/>
      <c r="K30" s="122"/>
      <c r="L30" s="122"/>
      <c r="M30" s="122"/>
    </row>
    <row r="31" spans="2:13" x14ac:dyDescent="0.25">
      <c r="B31" s="124"/>
      <c r="C31" s="6" t="s">
        <v>112</v>
      </c>
      <c r="D31" s="139" t="s">
        <v>553</v>
      </c>
      <c r="E31" s="139"/>
      <c r="F31" s="139"/>
      <c r="G31" s="139"/>
      <c r="H31" s="139"/>
      <c r="I31" s="139"/>
      <c r="J31" s="139"/>
      <c r="K31" s="139"/>
      <c r="L31" s="139"/>
      <c r="M31" s="139"/>
    </row>
    <row r="32" spans="2:13" x14ac:dyDescent="0.25">
      <c r="B32" s="124"/>
      <c r="C32" s="6" t="s">
        <v>117</v>
      </c>
      <c r="D32" s="136" t="s">
        <v>552</v>
      </c>
      <c r="E32" s="136"/>
      <c r="F32" s="136"/>
      <c r="G32" s="136"/>
      <c r="H32" s="136"/>
      <c r="I32" s="136"/>
      <c r="J32" s="136"/>
      <c r="K32" s="136"/>
      <c r="L32" s="136"/>
      <c r="M32" s="136"/>
    </row>
  </sheetData>
  <mergeCells count="32">
    <mergeCell ref="D7:M7"/>
    <mergeCell ref="D31:M31"/>
    <mergeCell ref="D32:M32"/>
    <mergeCell ref="E14:M14"/>
    <mergeCell ref="D25:M25"/>
    <mergeCell ref="D26:M26"/>
    <mergeCell ref="D27:M27"/>
    <mergeCell ref="D28:M28"/>
    <mergeCell ref="D29:M29"/>
    <mergeCell ref="D30:M30"/>
    <mergeCell ref="D19:M19"/>
    <mergeCell ref="D20:M20"/>
    <mergeCell ref="D21:M21"/>
    <mergeCell ref="D22:M22"/>
    <mergeCell ref="D23:M23"/>
    <mergeCell ref="D24:M24"/>
    <mergeCell ref="D8:M8"/>
    <mergeCell ref="D3:M3"/>
    <mergeCell ref="B9:B32"/>
    <mergeCell ref="B2:M2"/>
    <mergeCell ref="B3:C3"/>
    <mergeCell ref="D13:M13"/>
    <mergeCell ref="D15:M15"/>
    <mergeCell ref="D16:M16"/>
    <mergeCell ref="D17:M17"/>
    <mergeCell ref="D18:M18"/>
    <mergeCell ref="B4:B8"/>
    <mergeCell ref="D10:M10"/>
    <mergeCell ref="E12:M12"/>
    <mergeCell ref="D4:M4"/>
    <mergeCell ref="D5:M5"/>
    <mergeCell ref="D6:M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G27"/>
  <sheetViews>
    <sheetView workbookViewId="0">
      <selection activeCell="D32" sqref="D32"/>
    </sheetView>
  </sheetViews>
  <sheetFormatPr defaultRowHeight="15" x14ac:dyDescent="0.25"/>
  <cols>
    <col min="2" max="2" width="29.42578125" bestFit="1" customWidth="1"/>
    <col min="3" max="3" width="9.85546875" bestFit="1" customWidth="1"/>
    <col min="4" max="4" width="13.42578125" bestFit="1" customWidth="1"/>
    <col min="5" max="5" width="83.140625" bestFit="1" customWidth="1"/>
  </cols>
  <sheetData>
    <row r="2" spans="2:7" x14ac:dyDescent="0.25">
      <c r="B2" s="103" t="s">
        <v>728</v>
      </c>
      <c r="C2" s="103"/>
      <c r="D2" s="103"/>
      <c r="E2" s="103"/>
    </row>
    <row r="3" spans="2:7" x14ac:dyDescent="0.25">
      <c r="B3" s="138" t="s">
        <v>583</v>
      </c>
      <c r="C3" s="138"/>
      <c r="D3" s="138"/>
      <c r="E3" s="138"/>
    </row>
    <row r="4" spans="2:7" x14ac:dyDescent="0.25">
      <c r="B4" s="18" t="s">
        <v>421</v>
      </c>
      <c r="C4" s="18" t="s">
        <v>627</v>
      </c>
      <c r="D4" s="18" t="s">
        <v>156</v>
      </c>
      <c r="E4" s="18" t="s">
        <v>30</v>
      </c>
    </row>
    <row r="5" spans="2:7" x14ac:dyDescent="0.25">
      <c r="B5" s="8" t="s">
        <v>593</v>
      </c>
      <c r="C5" s="46">
        <v>0</v>
      </c>
      <c r="D5" s="1" t="s">
        <v>587</v>
      </c>
      <c r="E5" s="2" t="s">
        <v>588</v>
      </c>
      <c r="F5" s="57"/>
      <c r="G5" s="57"/>
    </row>
    <row r="6" spans="2:7" x14ac:dyDescent="0.25">
      <c r="B6" s="8" t="s">
        <v>34</v>
      </c>
      <c r="C6" s="59">
        <f>0.014/0.67</f>
        <v>2.0895522388059702E-2</v>
      </c>
      <c r="D6" s="1" t="s">
        <v>154</v>
      </c>
      <c r="E6" s="2" t="s">
        <v>915</v>
      </c>
      <c r="F6" s="57"/>
      <c r="G6" s="57"/>
    </row>
    <row r="7" spans="2:7" x14ac:dyDescent="0.25">
      <c r="B7" s="1" t="s">
        <v>424</v>
      </c>
      <c r="C7" s="60">
        <f>1/0.67</f>
        <v>1.4925373134328357</v>
      </c>
      <c r="D7" s="1" t="s">
        <v>152</v>
      </c>
      <c r="E7" s="2" t="s">
        <v>912</v>
      </c>
    </row>
    <row r="8" spans="2:7" x14ac:dyDescent="0.25">
      <c r="B8" s="1" t="s">
        <v>44</v>
      </c>
      <c r="C8" s="60">
        <f>0.52/0.67</f>
        <v>0.77611940298507465</v>
      </c>
      <c r="D8" s="1" t="s">
        <v>152</v>
      </c>
      <c r="E8" s="2" t="s">
        <v>912</v>
      </c>
      <c r="F8" s="57"/>
      <c r="G8" s="57"/>
    </row>
    <row r="9" spans="2:7" x14ac:dyDescent="0.25">
      <c r="B9" s="6" t="s">
        <v>584</v>
      </c>
      <c r="C9" s="59">
        <f>0.0001*6*1.17/0.67</f>
        <v>1.0477611940298507E-3</v>
      </c>
      <c r="D9" s="1" t="s">
        <v>152</v>
      </c>
      <c r="E9" s="2">
        <v>48</v>
      </c>
      <c r="F9" s="65"/>
      <c r="G9" s="57"/>
    </row>
    <row r="10" spans="2:7" x14ac:dyDescent="0.25">
      <c r="B10" s="6" t="s">
        <v>585</v>
      </c>
      <c r="C10" s="59">
        <f>0.0005*6*1.17/0.67</f>
        <v>5.2388059701492526E-3</v>
      </c>
      <c r="D10" s="1" t="s">
        <v>152</v>
      </c>
      <c r="E10" s="2">
        <v>48</v>
      </c>
      <c r="F10" s="65"/>
      <c r="G10" s="57"/>
    </row>
    <row r="11" spans="2:7" x14ac:dyDescent="0.25">
      <c r="B11" s="6" t="s">
        <v>42</v>
      </c>
      <c r="C11" s="59">
        <f>0.002*6*1.17/0.67</f>
        <v>2.095522388059701E-2</v>
      </c>
      <c r="D11" s="1" t="s">
        <v>152</v>
      </c>
      <c r="E11" s="2">
        <v>48</v>
      </c>
      <c r="F11" s="3"/>
      <c r="G11" s="57"/>
    </row>
    <row r="12" spans="2:7" x14ac:dyDescent="0.25">
      <c r="B12" s="6" t="s">
        <v>586</v>
      </c>
      <c r="C12" s="59">
        <f>0.001*6*1.17/0.67</f>
        <v>1.0477611940298505E-2</v>
      </c>
      <c r="D12" s="1" t="s">
        <v>152</v>
      </c>
      <c r="E12" s="2">
        <v>48</v>
      </c>
      <c r="F12" s="3"/>
      <c r="G12" s="57"/>
    </row>
    <row r="13" spans="2:7" x14ac:dyDescent="0.25">
      <c r="B13" s="138" t="s">
        <v>589</v>
      </c>
      <c r="C13" s="138"/>
      <c r="D13" s="138"/>
      <c r="E13" s="138"/>
      <c r="F13" s="57"/>
      <c r="G13" s="57"/>
    </row>
    <row r="14" spans="2:7" x14ac:dyDescent="0.25">
      <c r="B14" s="8" t="s">
        <v>32</v>
      </c>
      <c r="C14" s="46">
        <v>23</v>
      </c>
      <c r="D14" s="1" t="s">
        <v>152</v>
      </c>
      <c r="E14" s="1" t="s">
        <v>913</v>
      </c>
      <c r="F14" s="57"/>
      <c r="G14" s="57"/>
    </row>
    <row r="15" spans="2:7" x14ac:dyDescent="0.25">
      <c r="B15" s="8" t="s">
        <v>787</v>
      </c>
      <c r="C15" s="66">
        <v>3.5</v>
      </c>
      <c r="D15" s="1" t="s">
        <v>152</v>
      </c>
      <c r="E15" s="1" t="s">
        <v>912</v>
      </c>
      <c r="F15" s="57"/>
      <c r="G15" s="57"/>
    </row>
    <row r="16" spans="2:7" x14ac:dyDescent="0.25">
      <c r="B16" s="138" t="s">
        <v>590</v>
      </c>
      <c r="C16" s="138"/>
      <c r="D16" s="138"/>
      <c r="E16" s="138"/>
    </row>
    <row r="17" spans="2:5" x14ac:dyDescent="0.25">
      <c r="B17" s="8" t="s">
        <v>678</v>
      </c>
      <c r="C17" s="1">
        <f>0.67/0.67</f>
        <v>1</v>
      </c>
      <c r="D17" s="1" t="s">
        <v>152</v>
      </c>
      <c r="E17" s="1"/>
    </row>
    <row r="18" spans="2:5" x14ac:dyDescent="0.25">
      <c r="B18" s="71" t="s">
        <v>679</v>
      </c>
      <c r="C18" s="1">
        <v>0.93</v>
      </c>
      <c r="D18" s="1" t="s">
        <v>152</v>
      </c>
      <c r="E18" s="1" t="s">
        <v>912</v>
      </c>
    </row>
    <row r="19" spans="2:5" x14ac:dyDescent="0.25">
      <c r="B19" s="71" t="s">
        <v>680</v>
      </c>
      <c r="C19" s="1">
        <v>7.0000000000000007E-2</v>
      </c>
      <c r="D19" s="1" t="s">
        <v>152</v>
      </c>
      <c r="E19" s="1" t="s">
        <v>912</v>
      </c>
    </row>
    <row r="20" spans="2:5" x14ac:dyDescent="0.25">
      <c r="B20" s="8" t="s">
        <v>609</v>
      </c>
      <c r="C20" s="60">
        <f>0.33/0.67</f>
        <v>0.4925373134328358</v>
      </c>
      <c r="D20" s="1" t="s">
        <v>152</v>
      </c>
      <c r="E20" s="1" t="s">
        <v>912</v>
      </c>
    </row>
    <row r="21" spans="2:5" x14ac:dyDescent="0.25">
      <c r="B21" s="8" t="s">
        <v>605</v>
      </c>
      <c r="C21" s="66">
        <f>1.6/0.67</f>
        <v>2.3880597014925371</v>
      </c>
      <c r="D21" s="1" t="s">
        <v>152</v>
      </c>
      <c r="E21" s="1" t="s">
        <v>912</v>
      </c>
    </row>
    <row r="22" spans="2:5" x14ac:dyDescent="0.25">
      <c r="B22" s="8" t="s">
        <v>608</v>
      </c>
      <c r="C22" s="66">
        <v>0.09</v>
      </c>
      <c r="D22" s="1" t="s">
        <v>152</v>
      </c>
      <c r="E22" s="1" t="s">
        <v>912</v>
      </c>
    </row>
    <row r="23" spans="2:5" x14ac:dyDescent="0.25">
      <c r="B23" s="8" t="s">
        <v>592</v>
      </c>
      <c r="C23" s="60">
        <f>SUM(C9:C12)</f>
        <v>3.7719402985074618E-2</v>
      </c>
      <c r="D23" s="1" t="s">
        <v>152</v>
      </c>
      <c r="E23" s="1" t="s">
        <v>912</v>
      </c>
    </row>
    <row r="24" spans="2:5" x14ac:dyDescent="0.25">
      <c r="B24" s="8" t="s">
        <v>598</v>
      </c>
      <c r="C24" s="66">
        <f>22.2</f>
        <v>22.2</v>
      </c>
      <c r="D24" s="1" t="s">
        <v>152</v>
      </c>
      <c r="E24" s="1" t="s">
        <v>912</v>
      </c>
    </row>
    <row r="25" spans="2:5" x14ac:dyDescent="0.25">
      <c r="B25" s="138" t="s">
        <v>591</v>
      </c>
      <c r="C25" s="138"/>
      <c r="D25" s="138"/>
      <c r="E25" s="138"/>
    </row>
    <row r="26" spans="2:5" x14ac:dyDescent="0.25">
      <c r="B26" s="8" t="s">
        <v>606</v>
      </c>
      <c r="C26" s="59">
        <v>1.6E-2</v>
      </c>
      <c r="D26" s="1" t="s">
        <v>152</v>
      </c>
      <c r="E26" s="1" t="s">
        <v>912</v>
      </c>
    </row>
    <row r="27" spans="2:5" x14ac:dyDescent="0.25">
      <c r="B27" s="8" t="s">
        <v>607</v>
      </c>
      <c r="C27" s="66">
        <v>2.6</v>
      </c>
      <c r="D27" s="1" t="s">
        <v>152</v>
      </c>
      <c r="E27" s="1" t="s">
        <v>912</v>
      </c>
    </row>
  </sheetData>
  <mergeCells count="5">
    <mergeCell ref="B3:E3"/>
    <mergeCell ref="B13:E13"/>
    <mergeCell ref="B16:E16"/>
    <mergeCell ref="B25:E25"/>
    <mergeCell ref="B2:E2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E26"/>
  <sheetViews>
    <sheetView workbookViewId="0">
      <selection activeCell="D28" sqref="D28"/>
    </sheetView>
  </sheetViews>
  <sheetFormatPr defaultRowHeight="15" x14ac:dyDescent="0.25"/>
  <cols>
    <col min="2" max="2" width="29.42578125" bestFit="1" customWidth="1"/>
    <col min="3" max="3" width="9.85546875" bestFit="1" customWidth="1"/>
    <col min="4" max="4" width="13.42578125" bestFit="1" customWidth="1"/>
    <col min="5" max="5" width="82.5703125" bestFit="1" customWidth="1"/>
  </cols>
  <sheetData>
    <row r="2" spans="2:5" x14ac:dyDescent="0.25">
      <c r="B2" s="103" t="s">
        <v>727</v>
      </c>
      <c r="C2" s="103"/>
      <c r="D2" s="103"/>
      <c r="E2" s="103"/>
    </row>
    <row r="3" spans="2:5" x14ac:dyDescent="0.25">
      <c r="B3" s="138" t="s">
        <v>583</v>
      </c>
      <c r="C3" s="138"/>
      <c r="D3" s="138"/>
      <c r="E3" s="138"/>
    </row>
    <row r="4" spans="2:5" x14ac:dyDescent="0.25">
      <c r="B4" s="18" t="s">
        <v>421</v>
      </c>
      <c r="C4" s="18" t="s">
        <v>627</v>
      </c>
      <c r="D4" s="18" t="s">
        <v>156</v>
      </c>
      <c r="E4" s="18" t="s">
        <v>30</v>
      </c>
    </row>
    <row r="5" spans="2:5" x14ac:dyDescent="0.25">
      <c r="B5" s="8" t="s">
        <v>593</v>
      </c>
      <c r="C5" s="46">
        <v>3.99</v>
      </c>
      <c r="D5" s="1" t="s">
        <v>587</v>
      </c>
      <c r="E5" s="2" t="s">
        <v>918</v>
      </c>
    </row>
    <row r="6" spans="2:5" x14ac:dyDescent="0.25">
      <c r="B6" s="8" t="s">
        <v>34</v>
      </c>
      <c r="C6" s="59">
        <v>0.105</v>
      </c>
      <c r="D6" s="1" t="s">
        <v>154</v>
      </c>
      <c r="E6" s="2" t="s">
        <v>914</v>
      </c>
    </row>
    <row r="7" spans="2:5" x14ac:dyDescent="0.25">
      <c r="B7" s="1" t="s">
        <v>602</v>
      </c>
      <c r="C7" s="60">
        <v>1.9</v>
      </c>
      <c r="D7" s="1" t="s">
        <v>152</v>
      </c>
      <c r="E7" s="2" t="s">
        <v>916</v>
      </c>
    </row>
    <row r="8" spans="2:5" x14ac:dyDescent="0.25">
      <c r="B8" s="1" t="s">
        <v>44</v>
      </c>
      <c r="C8" s="60">
        <v>0.60199999999999998</v>
      </c>
      <c r="D8" s="1" t="s">
        <v>152</v>
      </c>
      <c r="E8" s="2" t="s">
        <v>916</v>
      </c>
    </row>
    <row r="9" spans="2:5" x14ac:dyDescent="0.25">
      <c r="B9" s="6" t="s">
        <v>584</v>
      </c>
      <c r="C9" s="59">
        <f>0.0001*6*2.1</f>
        <v>1.2600000000000003E-3</v>
      </c>
      <c r="D9" s="1" t="s">
        <v>152</v>
      </c>
      <c r="E9" s="2">
        <v>48</v>
      </c>
    </row>
    <row r="10" spans="2:5" x14ac:dyDescent="0.25">
      <c r="B10" s="6" t="s">
        <v>585</v>
      </c>
      <c r="C10" s="59">
        <f>0.0005*6*2.1</f>
        <v>6.3E-3</v>
      </c>
      <c r="D10" s="1" t="s">
        <v>152</v>
      </c>
      <c r="E10" s="2">
        <v>48</v>
      </c>
    </row>
    <row r="11" spans="2:5" x14ac:dyDescent="0.25">
      <c r="B11" s="6" t="s">
        <v>42</v>
      </c>
      <c r="C11" s="59">
        <f>0.002*6*2.1</f>
        <v>2.52E-2</v>
      </c>
      <c r="D11" s="1" t="s">
        <v>152</v>
      </c>
      <c r="E11" s="2">
        <v>48</v>
      </c>
    </row>
    <row r="12" spans="2:5" x14ac:dyDescent="0.25">
      <c r="B12" s="6" t="s">
        <v>586</v>
      </c>
      <c r="C12" s="59">
        <f>0.001*6*2.1</f>
        <v>1.26E-2</v>
      </c>
      <c r="D12" s="1" t="s">
        <v>152</v>
      </c>
      <c r="E12" s="2">
        <v>48</v>
      </c>
    </row>
    <row r="13" spans="2:5" x14ac:dyDescent="0.25">
      <c r="B13" s="138" t="s">
        <v>589</v>
      </c>
      <c r="C13" s="138"/>
      <c r="D13" s="138"/>
      <c r="E13" s="138"/>
    </row>
    <row r="14" spans="2:5" x14ac:dyDescent="0.25">
      <c r="B14" s="8" t="s">
        <v>32</v>
      </c>
      <c r="C14" s="66">
        <v>8.49</v>
      </c>
      <c r="D14" s="1" t="s">
        <v>152</v>
      </c>
      <c r="E14" s="1" t="s">
        <v>913</v>
      </c>
    </row>
    <row r="15" spans="2:5" x14ac:dyDescent="0.25">
      <c r="B15" s="8" t="s">
        <v>787</v>
      </c>
      <c r="C15" s="60">
        <f>0.33/0.755</f>
        <v>0.4370860927152318</v>
      </c>
      <c r="D15" s="1" t="s">
        <v>152</v>
      </c>
      <c r="E15" s="1" t="s">
        <v>916</v>
      </c>
    </row>
    <row r="16" spans="2:5" x14ac:dyDescent="0.25">
      <c r="B16" s="138" t="s">
        <v>590</v>
      </c>
      <c r="C16" s="138"/>
      <c r="D16" s="138"/>
      <c r="E16" s="138"/>
    </row>
    <row r="17" spans="2:5" x14ac:dyDescent="0.25">
      <c r="B17" s="8" t="s">
        <v>603</v>
      </c>
      <c r="C17" s="66">
        <f>0.67/0.67</f>
        <v>1</v>
      </c>
      <c r="D17" s="1" t="s">
        <v>152</v>
      </c>
      <c r="E17" s="1"/>
    </row>
    <row r="18" spans="2:5" x14ac:dyDescent="0.25">
      <c r="B18" s="8" t="s">
        <v>604</v>
      </c>
      <c r="C18" s="60">
        <v>1.1000000000000001</v>
      </c>
      <c r="D18" s="1" t="s">
        <v>152</v>
      </c>
      <c r="E18" s="1" t="s">
        <v>916</v>
      </c>
    </row>
    <row r="19" spans="2:5" x14ac:dyDescent="0.25">
      <c r="B19" s="8" t="s">
        <v>605</v>
      </c>
      <c r="C19" s="60">
        <f>0.61</f>
        <v>0.61</v>
      </c>
      <c r="D19" s="1" t="s">
        <v>152</v>
      </c>
      <c r="E19" s="1" t="s">
        <v>916</v>
      </c>
    </row>
    <row r="20" spans="2:5" x14ac:dyDescent="0.25">
      <c r="B20" s="8" t="s">
        <v>608</v>
      </c>
      <c r="C20" s="60">
        <v>0.11</v>
      </c>
      <c r="D20" s="1" t="s">
        <v>152</v>
      </c>
      <c r="E20" s="1" t="s">
        <v>916</v>
      </c>
    </row>
    <row r="21" spans="2:5" x14ac:dyDescent="0.25">
      <c r="B21" s="8" t="s">
        <v>592</v>
      </c>
      <c r="C21" s="60">
        <f>SUM(C9:C12)</f>
        <v>4.5359999999999998E-2</v>
      </c>
      <c r="D21" s="1" t="s">
        <v>152</v>
      </c>
      <c r="E21" s="1" t="s">
        <v>916</v>
      </c>
    </row>
    <row r="22" spans="2:5" x14ac:dyDescent="0.25">
      <c r="B22" s="8" t="s">
        <v>598</v>
      </c>
      <c r="C22" s="66">
        <f>4.97</f>
        <v>4.97</v>
      </c>
      <c r="D22" s="1" t="s">
        <v>152</v>
      </c>
      <c r="E22" s="1" t="s">
        <v>916</v>
      </c>
    </row>
    <row r="23" spans="2:5" x14ac:dyDescent="0.25">
      <c r="B23" s="138" t="s">
        <v>591</v>
      </c>
      <c r="C23" s="138"/>
      <c r="D23" s="138"/>
      <c r="E23" s="138"/>
    </row>
    <row r="24" spans="2:5" x14ac:dyDescent="0.25">
      <c r="B24" s="5" t="s">
        <v>786</v>
      </c>
      <c r="C24" s="67">
        <v>3.3</v>
      </c>
      <c r="D24" s="5" t="s">
        <v>152</v>
      </c>
      <c r="E24" s="1" t="s">
        <v>916</v>
      </c>
    </row>
    <row r="25" spans="2:5" x14ac:dyDescent="0.25">
      <c r="B25" s="8" t="s">
        <v>606</v>
      </c>
      <c r="C25" s="83">
        <f>0.00675*C19</f>
        <v>4.1174999999999996E-3</v>
      </c>
      <c r="D25" s="4" t="s">
        <v>152</v>
      </c>
      <c r="E25" s="1" t="s">
        <v>916</v>
      </c>
    </row>
    <row r="26" spans="2:5" x14ac:dyDescent="0.25">
      <c r="B26" s="8" t="s">
        <v>607</v>
      </c>
      <c r="C26" s="84">
        <v>0.33</v>
      </c>
      <c r="D26" s="4" t="s">
        <v>152</v>
      </c>
      <c r="E26" s="1" t="s">
        <v>916</v>
      </c>
    </row>
  </sheetData>
  <mergeCells count="5">
    <mergeCell ref="B2:E2"/>
    <mergeCell ref="B3:E3"/>
    <mergeCell ref="B13:E13"/>
    <mergeCell ref="B16:E16"/>
    <mergeCell ref="B23:E2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F68"/>
  <sheetViews>
    <sheetView topLeftCell="A22" workbookViewId="0">
      <selection activeCell="E49" sqref="E49"/>
    </sheetView>
  </sheetViews>
  <sheetFormatPr defaultRowHeight="15" x14ac:dyDescent="0.25"/>
  <cols>
    <col min="3" max="3" width="31.7109375" bestFit="1" customWidth="1"/>
    <col min="4" max="4" width="9.85546875" bestFit="1" customWidth="1"/>
    <col min="6" max="6" width="85.140625" bestFit="1" customWidth="1"/>
  </cols>
  <sheetData>
    <row r="2" spans="2:6" ht="14.45" customHeight="1" x14ac:dyDescent="0.25">
      <c r="B2" s="103" t="s">
        <v>726</v>
      </c>
      <c r="C2" s="103"/>
      <c r="D2" s="103"/>
      <c r="E2" s="103"/>
      <c r="F2" s="103"/>
    </row>
    <row r="3" spans="2:6" x14ac:dyDescent="0.25">
      <c r="B3" s="124" t="s">
        <v>614</v>
      </c>
      <c r="C3" s="138" t="s">
        <v>583</v>
      </c>
      <c r="D3" s="138"/>
      <c r="E3" s="138"/>
      <c r="F3" s="138"/>
    </row>
    <row r="4" spans="2:6" x14ac:dyDescent="0.25">
      <c r="B4" s="124"/>
      <c r="C4" s="18" t="s">
        <v>421</v>
      </c>
      <c r="D4" s="18" t="s">
        <v>627</v>
      </c>
      <c r="E4" s="18" t="s">
        <v>156</v>
      </c>
      <c r="F4" s="18" t="s">
        <v>30</v>
      </c>
    </row>
    <row r="5" spans="2:6" x14ac:dyDescent="0.25">
      <c r="B5" s="124"/>
      <c r="C5" s="8" t="s">
        <v>593</v>
      </c>
      <c r="D5" s="1">
        <v>19</v>
      </c>
      <c r="E5" s="1" t="s">
        <v>587</v>
      </c>
      <c r="F5" s="2" t="s">
        <v>918</v>
      </c>
    </row>
    <row r="6" spans="2:6" x14ac:dyDescent="0.25">
      <c r="B6" s="124"/>
      <c r="C6" s="8" t="s">
        <v>34</v>
      </c>
      <c r="D6" s="1">
        <v>9.8000000000000004E-2</v>
      </c>
      <c r="E6" s="1" t="s">
        <v>154</v>
      </c>
      <c r="F6" s="2" t="s">
        <v>917</v>
      </c>
    </row>
    <row r="7" spans="2:6" x14ac:dyDescent="0.25">
      <c r="B7" s="124"/>
      <c r="C7" s="8" t="s">
        <v>611</v>
      </c>
      <c r="D7" s="66">
        <v>1.2248000000000001</v>
      </c>
      <c r="E7" s="1" t="s">
        <v>613</v>
      </c>
      <c r="F7" s="2">
        <v>9</v>
      </c>
    </row>
    <row r="8" spans="2:6" x14ac:dyDescent="0.25">
      <c r="B8" s="124"/>
      <c r="C8" s="8" t="s">
        <v>612</v>
      </c>
      <c r="D8" s="46">
        <v>16.564</v>
      </c>
      <c r="E8" s="1" t="s">
        <v>613</v>
      </c>
      <c r="F8" s="2">
        <v>9</v>
      </c>
    </row>
    <row r="9" spans="2:6" x14ac:dyDescent="0.25">
      <c r="B9" s="124"/>
      <c r="C9" s="1" t="s">
        <v>555</v>
      </c>
      <c r="D9" s="1">
        <v>1.33</v>
      </c>
      <c r="E9" s="1" t="s">
        <v>152</v>
      </c>
      <c r="F9" s="2" t="s">
        <v>916</v>
      </c>
    </row>
    <row r="10" spans="2:6" x14ac:dyDescent="0.25">
      <c r="B10" s="124"/>
      <c r="C10" s="1" t="s">
        <v>594</v>
      </c>
      <c r="D10" s="1">
        <v>0.64</v>
      </c>
      <c r="E10" s="1" t="s">
        <v>152</v>
      </c>
      <c r="F10" s="2" t="s">
        <v>916</v>
      </c>
    </row>
    <row r="11" spans="2:6" x14ac:dyDescent="0.25">
      <c r="B11" s="124"/>
      <c r="C11" s="1" t="s">
        <v>595</v>
      </c>
      <c r="D11" s="1">
        <v>0.33</v>
      </c>
      <c r="E11" s="1" t="s">
        <v>152</v>
      </c>
      <c r="F11" s="2" t="s">
        <v>916</v>
      </c>
    </row>
    <row r="12" spans="2:6" x14ac:dyDescent="0.25">
      <c r="B12" s="124"/>
      <c r="C12" s="1" t="s">
        <v>44</v>
      </c>
      <c r="D12" s="60">
        <f>0.2576*1.33</f>
        <v>0.34260800000000002</v>
      </c>
      <c r="E12" s="1" t="s">
        <v>152</v>
      </c>
      <c r="F12" s="2" t="s">
        <v>916</v>
      </c>
    </row>
    <row r="13" spans="2:6" x14ac:dyDescent="0.25">
      <c r="B13" s="124"/>
      <c r="C13" s="6" t="s">
        <v>584</v>
      </c>
      <c r="D13" s="59">
        <f>0.0001*6*2</f>
        <v>1.2000000000000001E-3</v>
      </c>
      <c r="E13" s="1" t="s">
        <v>152</v>
      </c>
      <c r="F13" s="2">
        <v>48</v>
      </c>
    </row>
    <row r="14" spans="2:6" x14ac:dyDescent="0.25">
      <c r="B14" s="124"/>
      <c r="C14" s="6" t="s">
        <v>585</v>
      </c>
      <c r="D14" s="59">
        <f>0.0005*6*2</f>
        <v>6.0000000000000001E-3</v>
      </c>
      <c r="E14" s="1" t="s">
        <v>152</v>
      </c>
      <c r="F14" s="2">
        <v>48</v>
      </c>
    </row>
    <row r="15" spans="2:6" x14ac:dyDescent="0.25">
      <c r="B15" s="124"/>
      <c r="C15" s="6" t="s">
        <v>42</v>
      </c>
      <c r="D15" s="59">
        <f>0.002*6*2</f>
        <v>2.4E-2</v>
      </c>
      <c r="E15" s="1" t="s">
        <v>152</v>
      </c>
      <c r="F15" s="2">
        <v>48</v>
      </c>
    </row>
    <row r="16" spans="2:6" x14ac:dyDescent="0.25">
      <c r="B16" s="124"/>
      <c r="C16" s="6" t="s">
        <v>586</v>
      </c>
      <c r="D16" s="59">
        <f>0.001*6*2</f>
        <v>1.2E-2</v>
      </c>
      <c r="E16" s="1" t="s">
        <v>152</v>
      </c>
      <c r="F16" s="2">
        <v>48</v>
      </c>
    </row>
    <row r="17" spans="2:6" ht="14.45" customHeight="1" x14ac:dyDescent="0.25">
      <c r="B17" s="124"/>
      <c r="C17" s="138" t="s">
        <v>589</v>
      </c>
      <c r="D17" s="138"/>
      <c r="E17" s="138"/>
      <c r="F17" s="138"/>
    </row>
    <row r="18" spans="2:6" x14ac:dyDescent="0.25">
      <c r="B18" s="124"/>
      <c r="C18" s="8" t="s">
        <v>32</v>
      </c>
      <c r="D18" s="46">
        <f>8.5*1.33+16.5</f>
        <v>27.805</v>
      </c>
      <c r="E18" s="1" t="s">
        <v>152</v>
      </c>
      <c r="F18" s="1" t="s">
        <v>913</v>
      </c>
    </row>
    <row r="19" spans="2:6" x14ac:dyDescent="0.25">
      <c r="B19" s="124"/>
      <c r="C19" s="8" t="s">
        <v>787</v>
      </c>
      <c r="D19" s="60">
        <v>0.44</v>
      </c>
      <c r="E19" s="1" t="s">
        <v>152</v>
      </c>
      <c r="F19" s="2" t="s">
        <v>916</v>
      </c>
    </row>
    <row r="20" spans="2:6" x14ac:dyDescent="0.25">
      <c r="B20" s="124"/>
      <c r="C20" s="138" t="s">
        <v>590</v>
      </c>
      <c r="D20" s="138"/>
      <c r="E20" s="138"/>
      <c r="F20" s="138"/>
    </row>
    <row r="21" spans="2:6" x14ac:dyDescent="0.25">
      <c r="B21" s="124"/>
      <c r="C21" s="1" t="s">
        <v>935</v>
      </c>
      <c r="D21" s="1">
        <v>1</v>
      </c>
      <c r="E21" s="1" t="s">
        <v>152</v>
      </c>
      <c r="F21" s="1"/>
    </row>
    <row r="22" spans="2:6" x14ac:dyDescent="0.25">
      <c r="B22" s="124"/>
      <c r="C22" s="1" t="s">
        <v>628</v>
      </c>
      <c r="D22" s="1">
        <v>0.01</v>
      </c>
      <c r="E22" s="1" t="s">
        <v>152</v>
      </c>
      <c r="F22" s="2" t="s">
        <v>916</v>
      </c>
    </row>
    <row r="23" spans="2:6" x14ac:dyDescent="0.25">
      <c r="B23" s="124"/>
      <c r="C23" s="8" t="s">
        <v>600</v>
      </c>
      <c r="D23" s="60">
        <v>0.7</v>
      </c>
      <c r="E23" s="1" t="s">
        <v>152</v>
      </c>
      <c r="F23" s="2" t="s">
        <v>916</v>
      </c>
    </row>
    <row r="24" spans="2:6" x14ac:dyDescent="0.25">
      <c r="B24" s="124"/>
      <c r="C24" s="8" t="s">
        <v>601</v>
      </c>
      <c r="D24" s="60">
        <v>0.77</v>
      </c>
      <c r="E24" s="1" t="s">
        <v>152</v>
      </c>
      <c r="F24" s="2" t="s">
        <v>916</v>
      </c>
    </row>
    <row r="25" spans="2:6" x14ac:dyDescent="0.25">
      <c r="B25" s="124"/>
      <c r="C25" s="8" t="s">
        <v>592</v>
      </c>
      <c r="D25" s="60">
        <f>SUM(D13:D16)</f>
        <v>4.3200000000000002E-2</v>
      </c>
      <c r="E25" s="1" t="s">
        <v>152</v>
      </c>
      <c r="F25" s="2" t="s">
        <v>916</v>
      </c>
    </row>
    <row r="26" spans="2:6" x14ac:dyDescent="0.25">
      <c r="B26" s="124"/>
      <c r="C26" s="1" t="s">
        <v>596</v>
      </c>
      <c r="D26" s="66">
        <v>22.2</v>
      </c>
      <c r="E26" s="4" t="s">
        <v>152</v>
      </c>
      <c r="F26" s="2" t="s">
        <v>916</v>
      </c>
    </row>
    <row r="27" spans="2:6" x14ac:dyDescent="0.25">
      <c r="B27" s="124"/>
      <c r="C27" s="1" t="s">
        <v>597</v>
      </c>
      <c r="D27" s="1">
        <v>0.26</v>
      </c>
      <c r="E27" s="4" t="s">
        <v>152</v>
      </c>
      <c r="F27" s="2" t="s">
        <v>916</v>
      </c>
    </row>
    <row r="28" spans="2:6" x14ac:dyDescent="0.25">
      <c r="B28" s="124"/>
      <c r="C28" s="138" t="s">
        <v>599</v>
      </c>
      <c r="D28" s="138"/>
      <c r="E28" s="138"/>
      <c r="F28" s="138"/>
    </row>
    <row r="29" spans="2:6" x14ac:dyDescent="0.25">
      <c r="B29" s="124"/>
      <c r="C29" s="5" t="s">
        <v>786</v>
      </c>
      <c r="D29" s="85">
        <v>5.2</v>
      </c>
      <c r="E29" s="5" t="s">
        <v>152</v>
      </c>
      <c r="F29" s="2" t="s">
        <v>916</v>
      </c>
    </row>
    <row r="30" spans="2:6" x14ac:dyDescent="0.25">
      <c r="B30" s="124"/>
      <c r="C30" s="1" t="s">
        <v>610</v>
      </c>
      <c r="D30" s="1">
        <v>0.41</v>
      </c>
      <c r="E30" s="4" t="s">
        <v>152</v>
      </c>
      <c r="F30" s="2" t="s">
        <v>916</v>
      </c>
    </row>
    <row r="31" spans="2:6" x14ac:dyDescent="0.25">
      <c r="B31" s="124"/>
      <c r="C31" s="8" t="s">
        <v>606</v>
      </c>
      <c r="D31" s="59">
        <f>0.00675*D24</f>
        <v>5.1974999999999999E-3</v>
      </c>
      <c r="E31" s="1" t="s">
        <v>152</v>
      </c>
      <c r="F31" s="2" t="s">
        <v>916</v>
      </c>
    </row>
    <row r="32" spans="2:6" x14ac:dyDescent="0.25">
      <c r="B32" s="124"/>
      <c r="C32" s="8" t="s">
        <v>607</v>
      </c>
      <c r="D32" s="60">
        <f>0.33</f>
        <v>0.33</v>
      </c>
      <c r="E32" s="1" t="s">
        <v>152</v>
      </c>
      <c r="F32" s="2" t="s">
        <v>916</v>
      </c>
    </row>
    <row r="33" spans="2:6" x14ac:dyDescent="0.25">
      <c r="B33" s="140" t="s">
        <v>581</v>
      </c>
      <c r="C33" s="138" t="s">
        <v>583</v>
      </c>
      <c r="D33" s="138"/>
      <c r="E33" s="138"/>
      <c r="F33" s="138"/>
    </row>
    <row r="34" spans="2:6" x14ac:dyDescent="0.25">
      <c r="B34" s="141"/>
      <c r="C34" s="18" t="s">
        <v>421</v>
      </c>
      <c r="D34" s="18" t="s">
        <v>155</v>
      </c>
      <c r="E34" s="18" t="s">
        <v>156</v>
      </c>
      <c r="F34" s="18" t="s">
        <v>30</v>
      </c>
    </row>
    <row r="35" spans="2:6" x14ac:dyDescent="0.25">
      <c r="B35" s="141"/>
      <c r="C35" s="8" t="s">
        <v>593</v>
      </c>
      <c r="D35" s="46">
        <v>10.9</v>
      </c>
      <c r="E35" s="1" t="s">
        <v>587</v>
      </c>
      <c r="F35" s="1" t="s">
        <v>111</v>
      </c>
    </row>
    <row r="36" spans="2:6" x14ac:dyDescent="0.25">
      <c r="B36" s="141"/>
      <c r="C36" s="8" t="s">
        <v>34</v>
      </c>
      <c r="D36" s="66">
        <v>3.7</v>
      </c>
      <c r="E36" s="1" t="s">
        <v>154</v>
      </c>
      <c r="F36" s="2" t="s">
        <v>917</v>
      </c>
    </row>
    <row r="37" spans="2:6" x14ac:dyDescent="0.25">
      <c r="B37" s="141"/>
      <c r="C37" s="1" t="s">
        <v>935</v>
      </c>
      <c r="D37" s="60">
        <v>1.9</v>
      </c>
      <c r="E37" s="1" t="s">
        <v>152</v>
      </c>
      <c r="F37" s="2" t="s">
        <v>916</v>
      </c>
    </row>
    <row r="38" spans="2:6" x14ac:dyDescent="0.25">
      <c r="B38" s="141"/>
      <c r="C38" s="1" t="s">
        <v>44</v>
      </c>
      <c r="D38" s="60">
        <v>1.85</v>
      </c>
      <c r="E38" s="1" t="s">
        <v>152</v>
      </c>
      <c r="F38" s="2" t="s">
        <v>916</v>
      </c>
    </row>
    <row r="39" spans="2:6" x14ac:dyDescent="0.25">
      <c r="B39" s="141"/>
      <c r="C39" s="6" t="s">
        <v>584</v>
      </c>
      <c r="D39" s="59">
        <f>0.0001*6*5</f>
        <v>3.0000000000000001E-3</v>
      </c>
      <c r="E39" s="1" t="s">
        <v>152</v>
      </c>
      <c r="F39" s="2">
        <v>48</v>
      </c>
    </row>
    <row r="40" spans="2:6" x14ac:dyDescent="0.25">
      <c r="B40" s="141"/>
      <c r="C40" s="6" t="s">
        <v>585</v>
      </c>
      <c r="D40" s="59">
        <f>0.0005*6*5</f>
        <v>1.4999999999999999E-2</v>
      </c>
      <c r="E40" s="1" t="s">
        <v>152</v>
      </c>
      <c r="F40" s="2">
        <v>48</v>
      </c>
    </row>
    <row r="41" spans="2:6" x14ac:dyDescent="0.25">
      <c r="B41" s="141"/>
      <c r="C41" s="6" t="s">
        <v>42</v>
      </c>
      <c r="D41" s="59">
        <f>0.002*6*5</f>
        <v>0.06</v>
      </c>
      <c r="E41" s="1" t="s">
        <v>152</v>
      </c>
      <c r="F41" s="2">
        <v>48</v>
      </c>
    </row>
    <row r="42" spans="2:6" x14ac:dyDescent="0.25">
      <c r="B42" s="141"/>
      <c r="C42" s="6" t="s">
        <v>586</v>
      </c>
      <c r="D42" s="59">
        <f>0.001*6*5</f>
        <v>0.03</v>
      </c>
      <c r="E42" s="1" t="s">
        <v>152</v>
      </c>
      <c r="F42" s="2">
        <v>48</v>
      </c>
    </row>
    <row r="43" spans="2:6" x14ac:dyDescent="0.25">
      <c r="B43" s="141"/>
      <c r="C43" s="6" t="s">
        <v>615</v>
      </c>
      <c r="D43" s="59">
        <v>0.39</v>
      </c>
      <c r="E43" s="1" t="s">
        <v>152</v>
      </c>
      <c r="F43" s="2" t="s">
        <v>916</v>
      </c>
    </row>
    <row r="44" spans="2:6" x14ac:dyDescent="0.25">
      <c r="B44" s="141"/>
      <c r="C44" s="138" t="s">
        <v>589</v>
      </c>
      <c r="D44" s="138"/>
      <c r="E44" s="138"/>
      <c r="F44" s="138"/>
    </row>
    <row r="45" spans="2:6" x14ac:dyDescent="0.25">
      <c r="B45" s="141"/>
      <c r="C45" s="8" t="s">
        <v>32</v>
      </c>
      <c r="D45" s="66">
        <v>40</v>
      </c>
      <c r="E45" s="1" t="s">
        <v>152</v>
      </c>
      <c r="F45" s="1" t="s">
        <v>913</v>
      </c>
    </row>
    <row r="46" spans="2:6" x14ac:dyDescent="0.25">
      <c r="B46" s="141"/>
      <c r="C46" s="8" t="s">
        <v>787</v>
      </c>
      <c r="D46" s="66">
        <v>1.5</v>
      </c>
      <c r="E46" s="1" t="s">
        <v>152</v>
      </c>
      <c r="F46" s="2" t="s">
        <v>916</v>
      </c>
    </row>
    <row r="47" spans="2:6" ht="14.45" customHeight="1" x14ac:dyDescent="0.25">
      <c r="B47" s="141"/>
      <c r="C47" s="138" t="s">
        <v>590</v>
      </c>
      <c r="D47" s="138"/>
      <c r="E47" s="138"/>
      <c r="F47" s="138"/>
    </row>
    <row r="48" spans="2:6" x14ac:dyDescent="0.25">
      <c r="B48" s="141"/>
      <c r="C48" s="1" t="s">
        <v>616</v>
      </c>
      <c r="D48" s="1">
        <v>1</v>
      </c>
      <c r="E48" s="1" t="s">
        <v>152</v>
      </c>
      <c r="F48" s="1"/>
    </row>
    <row r="49" spans="2:6" x14ac:dyDescent="0.25">
      <c r="B49" s="141"/>
      <c r="C49" s="72" t="s">
        <v>617</v>
      </c>
      <c r="D49" s="68">
        <v>0.23799999999999999</v>
      </c>
      <c r="E49" s="1" t="s">
        <v>152</v>
      </c>
      <c r="F49" s="2" t="s">
        <v>916</v>
      </c>
    </row>
    <row r="50" spans="2:6" x14ac:dyDescent="0.25">
      <c r="B50" s="141"/>
      <c r="C50" s="72" t="s">
        <v>618</v>
      </c>
      <c r="D50" s="68">
        <v>0.501</v>
      </c>
      <c r="E50" s="1" t="s">
        <v>152</v>
      </c>
      <c r="F50" s="2" t="s">
        <v>916</v>
      </c>
    </row>
    <row r="51" spans="2:6" x14ac:dyDescent="0.25">
      <c r="B51" s="141"/>
      <c r="C51" s="72" t="s">
        <v>619</v>
      </c>
      <c r="D51" s="68">
        <v>5.8000000000000003E-2</v>
      </c>
      <c r="E51" s="1" t="s">
        <v>152</v>
      </c>
      <c r="F51" s="2" t="s">
        <v>916</v>
      </c>
    </row>
    <row r="52" spans="2:6" x14ac:dyDescent="0.25">
      <c r="B52" s="141"/>
      <c r="C52" s="72" t="s">
        <v>620</v>
      </c>
      <c r="D52" s="68">
        <v>0.17799999999999999</v>
      </c>
      <c r="E52" s="1" t="s">
        <v>152</v>
      </c>
      <c r="F52" s="2" t="s">
        <v>916</v>
      </c>
    </row>
    <row r="53" spans="2:6" x14ac:dyDescent="0.25">
      <c r="B53" s="141"/>
      <c r="C53" s="72" t="s">
        <v>621</v>
      </c>
      <c r="D53" s="69">
        <v>8.9999999999999993E-3</v>
      </c>
      <c r="E53" s="1" t="s">
        <v>152</v>
      </c>
      <c r="F53" s="2" t="s">
        <v>916</v>
      </c>
    </row>
    <row r="54" spans="2:6" x14ac:dyDescent="0.25">
      <c r="B54" s="141"/>
      <c r="C54" s="72" t="s">
        <v>622</v>
      </c>
      <c r="D54" s="69">
        <v>2E-3</v>
      </c>
      <c r="E54" s="1" t="s">
        <v>152</v>
      </c>
      <c r="F54" s="2" t="s">
        <v>916</v>
      </c>
    </row>
    <row r="55" spans="2:6" x14ac:dyDescent="0.25">
      <c r="B55" s="141"/>
      <c r="C55" s="72" t="s">
        <v>623</v>
      </c>
      <c r="D55" s="69">
        <v>6.8999999999999999E-3</v>
      </c>
      <c r="E55" s="1" t="s">
        <v>152</v>
      </c>
      <c r="F55" s="2" t="s">
        <v>916</v>
      </c>
    </row>
    <row r="56" spans="2:6" x14ac:dyDescent="0.25">
      <c r="B56" s="141"/>
      <c r="C56" s="72" t="s">
        <v>624</v>
      </c>
      <c r="D56" s="69">
        <v>8.0000000000000004E-4</v>
      </c>
      <c r="E56" s="1" t="s">
        <v>152</v>
      </c>
      <c r="F56" s="2" t="s">
        <v>916</v>
      </c>
    </row>
    <row r="57" spans="2:6" x14ac:dyDescent="0.25">
      <c r="B57" s="141"/>
      <c r="C57" s="72" t="s">
        <v>625</v>
      </c>
      <c r="D57" s="69">
        <v>6.9999999999999999E-4</v>
      </c>
      <c r="E57" s="1" t="s">
        <v>152</v>
      </c>
      <c r="F57" s="2" t="s">
        <v>916</v>
      </c>
    </row>
    <row r="58" spans="2:6" x14ac:dyDescent="0.25">
      <c r="B58" s="141"/>
      <c r="C58" s="72" t="s">
        <v>626</v>
      </c>
      <c r="D58" s="69">
        <v>1E-3</v>
      </c>
      <c r="E58" s="1" t="s">
        <v>152</v>
      </c>
      <c r="F58" s="2" t="s">
        <v>916</v>
      </c>
    </row>
    <row r="59" spans="2:6" x14ac:dyDescent="0.25">
      <c r="B59" s="141"/>
      <c r="C59" s="8" t="s">
        <v>605</v>
      </c>
      <c r="D59" s="66">
        <v>4.76</v>
      </c>
      <c r="E59" s="1" t="s">
        <v>152</v>
      </c>
      <c r="F59" s="2" t="s">
        <v>916</v>
      </c>
    </row>
    <row r="60" spans="2:6" x14ac:dyDescent="0.25">
      <c r="B60" s="141"/>
      <c r="C60" s="8" t="s">
        <v>592</v>
      </c>
      <c r="D60" s="60">
        <f>SUM(D39:D42)</f>
        <v>0.108</v>
      </c>
      <c r="E60" s="1" t="s">
        <v>152</v>
      </c>
      <c r="F60" s="2" t="s">
        <v>916</v>
      </c>
    </row>
    <row r="61" spans="2:6" x14ac:dyDescent="0.25">
      <c r="B61" s="141"/>
      <c r="C61" s="8" t="s">
        <v>598</v>
      </c>
      <c r="D61" s="66">
        <v>11.5</v>
      </c>
      <c r="E61" s="1" t="s">
        <v>152</v>
      </c>
      <c r="F61" s="2" t="s">
        <v>916</v>
      </c>
    </row>
    <row r="62" spans="2:6" x14ac:dyDescent="0.25">
      <c r="B62" s="141"/>
      <c r="C62" s="138" t="s">
        <v>591</v>
      </c>
      <c r="D62" s="138"/>
      <c r="E62" s="138"/>
      <c r="F62" s="138"/>
    </row>
    <row r="63" spans="2:6" x14ac:dyDescent="0.25">
      <c r="B63" s="141"/>
      <c r="C63" s="5" t="s">
        <v>786</v>
      </c>
      <c r="D63" s="85">
        <v>25.9</v>
      </c>
      <c r="E63" s="5" t="s">
        <v>152</v>
      </c>
      <c r="F63" s="2" t="s">
        <v>916</v>
      </c>
    </row>
    <row r="64" spans="2:6" x14ac:dyDescent="0.25">
      <c r="B64" s="141"/>
      <c r="C64" s="5" t="s">
        <v>610</v>
      </c>
      <c r="D64" s="67">
        <v>1.3</v>
      </c>
      <c r="E64" s="5" t="s">
        <v>152</v>
      </c>
      <c r="F64" s="2" t="s">
        <v>916</v>
      </c>
    </row>
    <row r="65" spans="2:6" x14ac:dyDescent="0.25">
      <c r="B65" s="141"/>
      <c r="C65" s="1" t="s">
        <v>927</v>
      </c>
      <c r="D65" s="1">
        <v>3.0000000000000001E-3</v>
      </c>
      <c r="E65" s="4" t="s">
        <v>152</v>
      </c>
      <c r="F65" s="2" t="s">
        <v>916</v>
      </c>
    </row>
    <row r="66" spans="2:6" x14ac:dyDescent="0.25">
      <c r="B66" s="141"/>
      <c r="C66" s="8" t="s">
        <v>606</v>
      </c>
      <c r="D66" s="59">
        <f>0.00675*D59</f>
        <v>3.2129999999999999E-2</v>
      </c>
      <c r="E66" s="1" t="s">
        <v>152</v>
      </c>
      <c r="F66" s="2" t="s">
        <v>916</v>
      </c>
    </row>
    <row r="67" spans="2:6" x14ac:dyDescent="0.25">
      <c r="B67" s="141"/>
      <c r="C67" s="8" t="s">
        <v>607</v>
      </c>
      <c r="D67" s="66">
        <v>1.1000000000000001</v>
      </c>
      <c r="E67" s="1" t="s">
        <v>152</v>
      </c>
      <c r="F67" s="2" t="s">
        <v>916</v>
      </c>
    </row>
    <row r="68" spans="2:6" x14ac:dyDescent="0.25">
      <c r="B68" s="142"/>
      <c r="C68" s="8" t="s">
        <v>926</v>
      </c>
      <c r="D68" s="100">
        <v>2.0000000000000001E-4</v>
      </c>
      <c r="E68" s="4" t="s">
        <v>152</v>
      </c>
      <c r="F68" s="2" t="s">
        <v>916</v>
      </c>
    </row>
  </sheetData>
  <mergeCells count="11">
    <mergeCell ref="C44:F44"/>
    <mergeCell ref="C47:F47"/>
    <mergeCell ref="C62:F62"/>
    <mergeCell ref="B2:F2"/>
    <mergeCell ref="B33:B68"/>
    <mergeCell ref="C3:F3"/>
    <mergeCell ref="C17:F17"/>
    <mergeCell ref="C20:F20"/>
    <mergeCell ref="C28:F28"/>
    <mergeCell ref="B3:B32"/>
    <mergeCell ref="C33:F3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E19"/>
  <sheetViews>
    <sheetView workbookViewId="0">
      <selection activeCell="E26" sqref="E26"/>
    </sheetView>
  </sheetViews>
  <sheetFormatPr defaultRowHeight="15" x14ac:dyDescent="0.25"/>
  <cols>
    <col min="2" max="2" width="25" bestFit="1" customWidth="1"/>
    <col min="4" max="4" width="16.5703125" bestFit="1" customWidth="1"/>
    <col min="5" max="5" width="183.5703125" bestFit="1" customWidth="1"/>
  </cols>
  <sheetData>
    <row r="2" spans="2:5" x14ac:dyDescent="0.25">
      <c r="B2" s="103" t="s">
        <v>901</v>
      </c>
      <c r="C2" s="103"/>
      <c r="D2" s="103"/>
      <c r="E2" s="103"/>
    </row>
    <row r="3" spans="2:5" x14ac:dyDescent="0.25">
      <c r="B3" s="138" t="s">
        <v>676</v>
      </c>
      <c r="C3" s="138"/>
      <c r="D3" s="138"/>
      <c r="E3" s="138"/>
    </row>
    <row r="4" spans="2:5" x14ac:dyDescent="0.25">
      <c r="B4" s="1" t="s">
        <v>422</v>
      </c>
      <c r="C4" s="1" t="s">
        <v>677</v>
      </c>
      <c r="D4" s="1" t="s">
        <v>685</v>
      </c>
      <c r="E4" s="1" t="s">
        <v>477</v>
      </c>
    </row>
    <row r="5" spans="2:5" ht="17.25" x14ac:dyDescent="0.25">
      <c r="B5" s="1" t="s">
        <v>686</v>
      </c>
      <c r="C5" s="1" t="s">
        <v>682</v>
      </c>
      <c r="D5" s="73">
        <v>0.93</v>
      </c>
      <c r="E5" s="1" t="s">
        <v>919</v>
      </c>
    </row>
    <row r="6" spans="2:5" ht="17.25" x14ac:dyDescent="0.25">
      <c r="B6" s="1" t="s">
        <v>681</v>
      </c>
      <c r="C6" s="1" t="s">
        <v>683</v>
      </c>
      <c r="D6" s="73">
        <v>7.0000000000000007E-2</v>
      </c>
      <c r="E6" s="1" t="s">
        <v>920</v>
      </c>
    </row>
    <row r="7" spans="2:5" x14ac:dyDescent="0.25">
      <c r="B7" s="1" t="s">
        <v>609</v>
      </c>
      <c r="C7" s="1" t="s">
        <v>684</v>
      </c>
      <c r="D7" s="73">
        <v>0</v>
      </c>
      <c r="E7" s="1" t="s">
        <v>737</v>
      </c>
    </row>
    <row r="8" spans="2:5" x14ac:dyDescent="0.25">
      <c r="B8" s="1" t="s">
        <v>608</v>
      </c>
      <c r="C8" s="1" t="s">
        <v>789</v>
      </c>
      <c r="D8" s="73">
        <v>0</v>
      </c>
      <c r="E8" s="1" t="s">
        <v>737</v>
      </c>
    </row>
    <row r="9" spans="2:5" x14ac:dyDescent="0.25">
      <c r="B9" s="1" t="s">
        <v>605</v>
      </c>
      <c r="C9" s="1" t="s">
        <v>788</v>
      </c>
      <c r="D9" s="73">
        <v>0</v>
      </c>
      <c r="E9" s="1" t="s">
        <v>737</v>
      </c>
    </row>
    <row r="10" spans="2:5" x14ac:dyDescent="0.25">
      <c r="B10" s="138" t="s">
        <v>687</v>
      </c>
      <c r="C10" s="138"/>
      <c r="D10" s="138"/>
      <c r="E10" s="138"/>
    </row>
    <row r="11" spans="2:5" ht="17.25" x14ac:dyDescent="0.25">
      <c r="B11" s="1" t="s">
        <v>603</v>
      </c>
      <c r="C11" s="1" t="s">
        <v>688</v>
      </c>
      <c r="D11" s="73">
        <v>1</v>
      </c>
      <c r="E11" s="1" t="s">
        <v>921</v>
      </c>
    </row>
    <row r="12" spans="2:5" x14ac:dyDescent="0.25">
      <c r="B12" s="1" t="s">
        <v>604</v>
      </c>
      <c r="C12" s="1" t="s">
        <v>689</v>
      </c>
      <c r="D12" s="73">
        <v>0</v>
      </c>
      <c r="E12" s="1" t="s">
        <v>738</v>
      </c>
    </row>
    <row r="13" spans="2:5" x14ac:dyDescent="0.25">
      <c r="B13" s="1" t="s">
        <v>608</v>
      </c>
      <c r="C13" s="1" t="s">
        <v>790</v>
      </c>
      <c r="D13" s="73">
        <v>0</v>
      </c>
      <c r="E13" s="1" t="s">
        <v>738</v>
      </c>
    </row>
    <row r="14" spans="2:5" x14ac:dyDescent="0.25">
      <c r="B14" s="1" t="s">
        <v>605</v>
      </c>
      <c r="C14" s="1" t="s">
        <v>690</v>
      </c>
      <c r="D14" s="73">
        <v>0</v>
      </c>
      <c r="E14" s="1" t="s">
        <v>738</v>
      </c>
    </row>
    <row r="15" spans="2:5" x14ac:dyDescent="0.25">
      <c r="B15" s="138" t="s">
        <v>784</v>
      </c>
      <c r="C15" s="138"/>
      <c r="D15" s="138"/>
      <c r="E15" s="138"/>
    </row>
    <row r="16" spans="2:5" ht="17.25" x14ac:dyDescent="0.25">
      <c r="B16" s="1" t="s">
        <v>785</v>
      </c>
      <c r="C16" s="1" t="s">
        <v>688</v>
      </c>
      <c r="D16" s="73">
        <v>1</v>
      </c>
      <c r="E16" s="1" t="s">
        <v>922</v>
      </c>
    </row>
    <row r="17" spans="2:5" x14ac:dyDescent="0.25">
      <c r="B17" s="1" t="s">
        <v>628</v>
      </c>
      <c r="C17" s="1" t="s">
        <v>692</v>
      </c>
      <c r="D17" s="73">
        <v>0</v>
      </c>
      <c r="E17" s="1" t="s">
        <v>768</v>
      </c>
    </row>
    <row r="18" spans="2:5" x14ac:dyDescent="0.25">
      <c r="B18" s="8" t="s">
        <v>600</v>
      </c>
      <c r="C18" s="60" t="s">
        <v>693</v>
      </c>
      <c r="D18" s="73">
        <v>0</v>
      </c>
      <c r="E18" s="1" t="s">
        <v>767</v>
      </c>
    </row>
    <row r="19" spans="2:5" x14ac:dyDescent="0.25">
      <c r="B19" s="8" t="s">
        <v>605</v>
      </c>
      <c r="C19" s="1" t="s">
        <v>691</v>
      </c>
      <c r="D19" s="73">
        <v>0</v>
      </c>
      <c r="E19" s="1" t="s">
        <v>769</v>
      </c>
    </row>
  </sheetData>
  <mergeCells count="4">
    <mergeCell ref="B3:E3"/>
    <mergeCell ref="B2:E2"/>
    <mergeCell ref="B10:E10"/>
    <mergeCell ref="B15:E1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2E4BC-9E8C-4589-88E5-98C72C534C17}">
  <dimension ref="B2:H17"/>
  <sheetViews>
    <sheetView workbookViewId="0">
      <selection activeCell="F9" sqref="F9"/>
    </sheetView>
  </sheetViews>
  <sheetFormatPr defaultRowHeight="15" x14ac:dyDescent="0.25"/>
  <cols>
    <col min="2" max="2" width="13.42578125" bestFit="1" customWidth="1"/>
    <col min="3" max="3" width="11.85546875" bestFit="1" customWidth="1"/>
    <col min="4" max="4" width="17.5703125" bestFit="1" customWidth="1"/>
    <col min="5" max="5" width="13.42578125" bestFit="1" customWidth="1"/>
    <col min="6" max="6" width="17.5703125" bestFit="1" customWidth="1"/>
    <col min="7" max="7" width="28.85546875" bestFit="1" customWidth="1"/>
    <col min="8" max="8" width="17.5703125" bestFit="1" customWidth="1"/>
  </cols>
  <sheetData>
    <row r="2" spans="2:8" x14ac:dyDescent="0.25">
      <c r="B2" s="103" t="s">
        <v>902</v>
      </c>
      <c r="C2" s="103"/>
      <c r="D2" s="103"/>
      <c r="E2" s="103"/>
      <c r="F2" s="103"/>
      <c r="G2" s="103"/>
      <c r="H2" s="103"/>
    </row>
    <row r="3" spans="2:8" x14ac:dyDescent="0.25">
      <c r="B3" s="18" t="s">
        <v>830</v>
      </c>
      <c r="C3" s="138" t="s">
        <v>831</v>
      </c>
      <c r="D3" s="138"/>
      <c r="E3" s="138" t="s">
        <v>832</v>
      </c>
      <c r="F3" s="138"/>
      <c r="G3" s="138" t="s">
        <v>833</v>
      </c>
      <c r="H3" s="138"/>
    </row>
    <row r="4" spans="2:8" x14ac:dyDescent="0.25">
      <c r="B4" s="18" t="s">
        <v>342</v>
      </c>
      <c r="C4" s="122" t="s">
        <v>424</v>
      </c>
      <c r="D4" s="122"/>
      <c r="E4" s="122" t="s">
        <v>834</v>
      </c>
      <c r="F4" s="122"/>
      <c r="G4" s="122" t="s">
        <v>835</v>
      </c>
      <c r="H4" s="122"/>
    </row>
    <row r="5" spans="2:8" ht="18" x14ac:dyDescent="0.35">
      <c r="B5" s="18" t="s">
        <v>836</v>
      </c>
      <c r="C5" s="122" t="s">
        <v>837</v>
      </c>
      <c r="D5" s="122"/>
      <c r="E5" s="122" t="s">
        <v>838</v>
      </c>
      <c r="F5" s="122"/>
      <c r="G5" s="122" t="s">
        <v>893</v>
      </c>
      <c r="H5" s="122"/>
    </row>
    <row r="6" spans="2:8" ht="18" x14ac:dyDescent="0.35">
      <c r="B6" s="18" t="s">
        <v>839</v>
      </c>
      <c r="C6" s="122" t="s">
        <v>840</v>
      </c>
      <c r="D6" s="122"/>
      <c r="E6" s="122" t="s">
        <v>841</v>
      </c>
      <c r="F6" s="122"/>
      <c r="G6" s="122" t="s">
        <v>842</v>
      </c>
      <c r="H6" s="122"/>
    </row>
    <row r="7" spans="2:8" x14ac:dyDescent="0.25">
      <c r="B7" s="18" t="s">
        <v>843</v>
      </c>
      <c r="C7" s="82" t="s">
        <v>844</v>
      </c>
      <c r="D7" s="82" t="s">
        <v>845</v>
      </c>
      <c r="E7" s="82" t="s">
        <v>846</v>
      </c>
      <c r="F7" s="82" t="s">
        <v>845</v>
      </c>
      <c r="G7" s="82" t="s">
        <v>847</v>
      </c>
      <c r="H7" s="82" t="s">
        <v>845</v>
      </c>
    </row>
    <row r="8" spans="2:8" ht="18" x14ac:dyDescent="0.35">
      <c r="B8" s="18" t="s">
        <v>848</v>
      </c>
      <c r="C8" s="82" t="s">
        <v>849</v>
      </c>
      <c r="D8" s="82" t="s">
        <v>850</v>
      </c>
      <c r="E8" s="82" t="s">
        <v>851</v>
      </c>
      <c r="F8" s="82" t="s">
        <v>852</v>
      </c>
      <c r="G8" s="82" t="s">
        <v>279</v>
      </c>
      <c r="H8" s="82" t="s">
        <v>853</v>
      </c>
    </row>
    <row r="9" spans="2:8" ht="18" x14ac:dyDescent="0.35">
      <c r="B9" s="18" t="s">
        <v>854</v>
      </c>
      <c r="C9" s="82" t="s">
        <v>855</v>
      </c>
      <c r="D9" s="82" t="s">
        <v>856</v>
      </c>
      <c r="E9" s="82" t="s">
        <v>857</v>
      </c>
      <c r="F9" s="82" t="s">
        <v>858</v>
      </c>
      <c r="G9" s="82" t="s">
        <v>859</v>
      </c>
      <c r="H9" s="82" t="s">
        <v>860</v>
      </c>
    </row>
    <row r="10" spans="2:8" ht="18" x14ac:dyDescent="0.35">
      <c r="B10" s="18" t="s">
        <v>861</v>
      </c>
      <c r="C10" s="82" t="s">
        <v>862</v>
      </c>
      <c r="D10" s="82" t="s">
        <v>863</v>
      </c>
      <c r="E10" s="82" t="s">
        <v>864</v>
      </c>
      <c r="F10" s="82" t="s">
        <v>865</v>
      </c>
      <c r="G10" s="82" t="s">
        <v>279</v>
      </c>
      <c r="H10" s="82" t="s">
        <v>866</v>
      </c>
    </row>
    <row r="11" spans="2:8" ht="18" x14ac:dyDescent="0.35">
      <c r="B11" s="18" t="s">
        <v>867</v>
      </c>
      <c r="C11" s="82" t="s">
        <v>279</v>
      </c>
      <c r="D11" s="82" t="s">
        <v>868</v>
      </c>
      <c r="E11" s="82" t="s">
        <v>279</v>
      </c>
      <c r="F11" s="82" t="s">
        <v>869</v>
      </c>
      <c r="G11" s="82" t="s">
        <v>279</v>
      </c>
      <c r="H11" s="82" t="s">
        <v>868</v>
      </c>
    </row>
    <row r="12" spans="2:8" ht="18" x14ac:dyDescent="0.35">
      <c r="B12" s="18" t="s">
        <v>870</v>
      </c>
      <c r="C12" s="82" t="s">
        <v>279</v>
      </c>
      <c r="D12" s="82" t="s">
        <v>871</v>
      </c>
      <c r="E12" s="82" t="s">
        <v>279</v>
      </c>
      <c r="F12" s="82" t="s">
        <v>868</v>
      </c>
      <c r="G12" s="82" t="s">
        <v>872</v>
      </c>
      <c r="H12" s="82" t="s">
        <v>873</v>
      </c>
    </row>
    <row r="13" spans="2:8" ht="18" x14ac:dyDescent="0.35">
      <c r="B13" s="18" t="s">
        <v>874</v>
      </c>
      <c r="C13" s="82" t="s">
        <v>279</v>
      </c>
      <c r="D13" s="82" t="s">
        <v>875</v>
      </c>
      <c r="E13" s="82" t="s">
        <v>279</v>
      </c>
      <c r="F13" s="82" t="s">
        <v>871</v>
      </c>
      <c r="G13" s="82" t="s">
        <v>279</v>
      </c>
      <c r="H13" s="82" t="s">
        <v>876</v>
      </c>
    </row>
    <row r="14" spans="2:8" ht="18" x14ac:dyDescent="0.35">
      <c r="B14" s="18" t="s">
        <v>877</v>
      </c>
      <c r="C14" s="82" t="s">
        <v>279</v>
      </c>
      <c r="D14" s="82" t="s">
        <v>878</v>
      </c>
      <c r="E14" s="82" t="s">
        <v>279</v>
      </c>
      <c r="F14" s="82" t="s">
        <v>879</v>
      </c>
      <c r="G14" s="82" t="s">
        <v>279</v>
      </c>
      <c r="H14" s="82" t="s">
        <v>880</v>
      </c>
    </row>
    <row r="15" spans="2:8" ht="18" x14ac:dyDescent="0.35">
      <c r="B15" s="18" t="s">
        <v>881</v>
      </c>
      <c r="C15" s="82" t="s">
        <v>279</v>
      </c>
      <c r="D15" s="82" t="s">
        <v>882</v>
      </c>
      <c r="E15" s="82" t="s">
        <v>279</v>
      </c>
      <c r="F15" s="82" t="s">
        <v>883</v>
      </c>
      <c r="G15" s="82" t="s">
        <v>884</v>
      </c>
      <c r="H15" s="82" t="s">
        <v>885</v>
      </c>
    </row>
    <row r="16" spans="2:8" ht="18" x14ac:dyDescent="0.35">
      <c r="B16" s="18" t="s">
        <v>886</v>
      </c>
      <c r="C16" s="82" t="s">
        <v>279</v>
      </c>
      <c r="D16" s="82" t="s">
        <v>887</v>
      </c>
      <c r="E16" s="82" t="s">
        <v>279</v>
      </c>
      <c r="F16" s="82" t="s">
        <v>888</v>
      </c>
      <c r="G16" s="82" t="s">
        <v>279</v>
      </c>
      <c r="H16" s="82" t="s">
        <v>889</v>
      </c>
    </row>
    <row r="17" spans="2:8" x14ac:dyDescent="0.25">
      <c r="B17" s="18" t="s">
        <v>30</v>
      </c>
      <c r="C17" s="82" t="s">
        <v>890</v>
      </c>
      <c r="D17" s="82" t="s">
        <v>891</v>
      </c>
      <c r="E17" s="82" t="s">
        <v>890</v>
      </c>
      <c r="F17" s="82" t="s">
        <v>891</v>
      </c>
      <c r="G17" s="82" t="s">
        <v>892</v>
      </c>
      <c r="H17" s="82" t="s">
        <v>891</v>
      </c>
    </row>
  </sheetData>
  <mergeCells count="13">
    <mergeCell ref="B2:H2"/>
    <mergeCell ref="C5:D5"/>
    <mergeCell ref="E5:F5"/>
    <mergeCell ref="G5:H5"/>
    <mergeCell ref="C6:D6"/>
    <mergeCell ref="E6:F6"/>
    <mergeCell ref="G6:H6"/>
    <mergeCell ref="C3:D3"/>
    <mergeCell ref="E3:F3"/>
    <mergeCell ref="G3:H3"/>
    <mergeCell ref="C4:D4"/>
    <mergeCell ref="E4:F4"/>
    <mergeCell ref="G4:H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C0F5F-CE63-4C92-B3B4-D5EEE0094B5A}">
  <dimension ref="B2:G7"/>
  <sheetViews>
    <sheetView workbookViewId="0">
      <selection activeCell="K42" sqref="K42"/>
    </sheetView>
  </sheetViews>
  <sheetFormatPr defaultRowHeight="15" x14ac:dyDescent="0.25"/>
  <cols>
    <col min="2" max="2" width="33.5703125" bestFit="1" customWidth="1"/>
    <col min="3" max="3" width="13.140625" bestFit="1" customWidth="1"/>
    <col min="4" max="4" width="11.85546875" bestFit="1" customWidth="1"/>
    <col min="5" max="5" width="29.85546875" bestFit="1" customWidth="1"/>
    <col min="6" max="6" width="13.42578125" bestFit="1" customWidth="1"/>
    <col min="7" max="7" width="10.42578125" bestFit="1" customWidth="1"/>
  </cols>
  <sheetData>
    <row r="2" spans="2:7" x14ac:dyDescent="0.25">
      <c r="B2" s="103" t="s">
        <v>903</v>
      </c>
      <c r="C2" s="103"/>
      <c r="D2" s="103"/>
      <c r="E2" s="103"/>
      <c r="F2" s="103"/>
      <c r="G2" s="103"/>
    </row>
    <row r="3" spans="2:7" x14ac:dyDescent="0.25">
      <c r="B3" s="127" t="s">
        <v>824</v>
      </c>
      <c r="C3" s="138" t="s">
        <v>823</v>
      </c>
      <c r="D3" s="138"/>
      <c r="E3" s="138"/>
      <c r="F3" s="138"/>
      <c r="G3" s="138"/>
    </row>
    <row r="4" spans="2:7" x14ac:dyDescent="0.25">
      <c r="B4" s="127"/>
      <c r="C4" s="18" t="s">
        <v>819</v>
      </c>
      <c r="D4" s="18" t="s">
        <v>820</v>
      </c>
      <c r="E4" s="18" t="s">
        <v>828</v>
      </c>
      <c r="F4" s="18" t="s">
        <v>821</v>
      </c>
      <c r="G4" s="18" t="s">
        <v>822</v>
      </c>
    </row>
    <row r="5" spans="2:7" ht="18" x14ac:dyDescent="0.35">
      <c r="B5" s="1" t="s">
        <v>827</v>
      </c>
      <c r="C5" s="60">
        <v>0.47527661576075442</v>
      </c>
      <c r="D5" s="59">
        <v>3.4420144258521197E-2</v>
      </c>
      <c r="E5" s="66">
        <v>7.1939818161325766</v>
      </c>
      <c r="F5" s="60">
        <v>0.4190457757944</v>
      </c>
      <c r="G5" s="66">
        <f>SUM(C5:F5)</f>
        <v>8.1227243519462533</v>
      </c>
    </row>
    <row r="6" spans="2:7" ht="18" x14ac:dyDescent="0.35">
      <c r="B6" s="1" t="s">
        <v>826</v>
      </c>
      <c r="C6" s="86">
        <v>4.565389016142965E-4</v>
      </c>
      <c r="D6" s="59">
        <v>1.3375215959878633E-2</v>
      </c>
      <c r="E6" s="59">
        <v>6.7353916400949482E-2</v>
      </c>
      <c r="F6" s="87">
        <v>6.8224162014620792E-3</v>
      </c>
      <c r="G6" s="59">
        <f>SUM(C6:F6)</f>
        <v>8.8008087463904497E-2</v>
      </c>
    </row>
    <row r="7" spans="2:7" ht="18" x14ac:dyDescent="0.35">
      <c r="B7" s="1" t="s">
        <v>825</v>
      </c>
      <c r="C7" s="46">
        <v>16.858401084875293</v>
      </c>
      <c r="D7" s="66">
        <v>6.8413198712982322</v>
      </c>
      <c r="E7" s="46">
        <v>48.269578313706653</v>
      </c>
      <c r="F7" s="49">
        <v>3.2444336588651749E-5</v>
      </c>
      <c r="G7" s="46">
        <f>SUM(C7:F7)</f>
        <v>71.969331714216764</v>
      </c>
    </row>
  </sheetData>
  <mergeCells count="3">
    <mergeCell ref="C3:G3"/>
    <mergeCell ref="B3:B4"/>
    <mergeCell ref="B2:G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K34"/>
  <sheetViews>
    <sheetView workbookViewId="0">
      <selection activeCell="L4" sqref="L4"/>
    </sheetView>
  </sheetViews>
  <sheetFormatPr defaultRowHeight="15" x14ac:dyDescent="0.25"/>
  <cols>
    <col min="2" max="2" width="6.85546875" bestFit="1" customWidth="1"/>
    <col min="3" max="3" width="27.42578125" bestFit="1" customWidth="1"/>
    <col min="4" max="4" width="11.42578125" bestFit="1" customWidth="1"/>
    <col min="5" max="5" width="7.85546875" bestFit="1" customWidth="1"/>
    <col min="6" max="7" width="6.85546875" bestFit="1" customWidth="1"/>
    <col min="8" max="8" width="8.42578125" bestFit="1" customWidth="1"/>
    <col min="9" max="9" width="8.85546875" bestFit="1" customWidth="1"/>
    <col min="10" max="11" width="11.42578125" bestFit="1" customWidth="1"/>
  </cols>
  <sheetData>
    <row r="2" spans="2:11" x14ac:dyDescent="0.25">
      <c r="B2" s="103" t="s">
        <v>932</v>
      </c>
      <c r="C2" s="103"/>
      <c r="D2" s="103"/>
      <c r="E2" s="103"/>
      <c r="F2" s="103"/>
      <c r="G2" s="103"/>
      <c r="H2" s="103"/>
      <c r="I2" s="103"/>
      <c r="J2" s="103"/>
      <c r="K2" s="103"/>
    </row>
    <row r="3" spans="2:11" x14ac:dyDescent="0.25">
      <c r="B3" s="138" t="s">
        <v>630</v>
      </c>
      <c r="C3" s="138"/>
      <c r="D3" s="138"/>
      <c r="E3" s="138"/>
      <c r="F3" s="138"/>
      <c r="G3" s="138"/>
      <c r="H3" s="138"/>
      <c r="I3" s="138"/>
      <c r="J3" s="138"/>
      <c r="K3" s="138"/>
    </row>
    <row r="4" spans="2:11" x14ac:dyDescent="0.25">
      <c r="B4" s="143" t="s">
        <v>371</v>
      </c>
      <c r="C4" s="143" t="s">
        <v>631</v>
      </c>
      <c r="D4" s="138" t="s">
        <v>632</v>
      </c>
      <c r="E4" s="138"/>
      <c r="F4" s="138"/>
      <c r="G4" s="138"/>
      <c r="H4" s="143" t="s">
        <v>633</v>
      </c>
      <c r="I4" s="143" t="s">
        <v>634</v>
      </c>
      <c r="J4" s="143" t="s">
        <v>635</v>
      </c>
      <c r="K4" s="143" t="s">
        <v>636</v>
      </c>
    </row>
    <row r="5" spans="2:11" x14ac:dyDescent="0.25">
      <c r="B5" s="143"/>
      <c r="C5" s="143"/>
      <c r="D5" s="18" t="s">
        <v>637</v>
      </c>
      <c r="E5" s="18" t="s">
        <v>638</v>
      </c>
      <c r="F5" s="18" t="s">
        <v>639</v>
      </c>
      <c r="G5" s="18" t="s">
        <v>640</v>
      </c>
      <c r="H5" s="143"/>
      <c r="I5" s="143"/>
      <c r="J5" s="143"/>
      <c r="K5" s="143"/>
    </row>
    <row r="6" spans="2:11" x14ac:dyDescent="0.25">
      <c r="B6" s="1" t="s">
        <v>153</v>
      </c>
      <c r="C6" s="1" t="s">
        <v>641</v>
      </c>
      <c r="D6" s="1">
        <v>-27540000</v>
      </c>
      <c r="E6" s="1">
        <v>1030000</v>
      </c>
      <c r="F6" s="1">
        <v>88.68</v>
      </c>
      <c r="G6" s="1">
        <v>0</v>
      </c>
      <c r="H6" s="1">
        <v>25</v>
      </c>
      <c r="I6" s="1">
        <v>1600</v>
      </c>
      <c r="J6" s="1">
        <v>-1734575</v>
      </c>
      <c r="K6" s="1">
        <v>1847480800</v>
      </c>
    </row>
    <row r="7" spans="2:11" x14ac:dyDescent="0.25">
      <c r="B7" s="1" t="s">
        <v>642</v>
      </c>
      <c r="C7" s="1" t="s">
        <v>641</v>
      </c>
      <c r="D7" s="1">
        <v>-29660000.000000004</v>
      </c>
      <c r="E7" s="1">
        <v>1042999.9999999999</v>
      </c>
      <c r="F7" s="1">
        <v>89.27</v>
      </c>
      <c r="G7" s="1">
        <v>0</v>
      </c>
      <c r="H7" s="1">
        <v>25</v>
      </c>
      <c r="I7" s="1">
        <v>1600</v>
      </c>
      <c r="J7" s="1">
        <v>-3529206.2500000075</v>
      </c>
      <c r="K7" s="1">
        <v>1867671199.9999998</v>
      </c>
    </row>
    <row r="8" spans="2:11" x14ac:dyDescent="0.25">
      <c r="B8" s="1" t="s">
        <v>44</v>
      </c>
      <c r="C8" s="1" t="s">
        <v>643</v>
      </c>
      <c r="D8" s="1">
        <v>1292000000</v>
      </c>
      <c r="E8" s="1">
        <v>2091000.0000000002</v>
      </c>
      <c r="F8" s="1">
        <v>-1139</v>
      </c>
      <c r="G8" s="1">
        <v>0.29370000000000002</v>
      </c>
      <c r="H8" s="1">
        <v>800</v>
      </c>
      <c r="I8" s="1">
        <v>1600</v>
      </c>
      <c r="J8" s="1">
        <v>2386214400</v>
      </c>
      <c r="K8" s="1">
        <v>2924755200</v>
      </c>
    </row>
    <row r="9" spans="2:11" x14ac:dyDescent="0.25">
      <c r="B9" s="1" t="s">
        <v>534</v>
      </c>
      <c r="C9" s="1" t="s">
        <v>641</v>
      </c>
      <c r="D9" s="1">
        <v>28080000</v>
      </c>
      <c r="E9" s="1">
        <v>373300</v>
      </c>
      <c r="F9" s="1">
        <v>121.9</v>
      </c>
      <c r="G9" s="1">
        <v>0</v>
      </c>
      <c r="H9" s="1">
        <v>800</v>
      </c>
      <c r="I9" s="1">
        <v>1600</v>
      </c>
      <c r="J9" s="1">
        <v>404736000</v>
      </c>
      <c r="K9" s="1">
        <v>937424000</v>
      </c>
    </row>
    <row r="10" spans="2:11" x14ac:dyDescent="0.25">
      <c r="B10" s="1" t="s">
        <v>535</v>
      </c>
      <c r="C10" s="1" t="s">
        <v>641</v>
      </c>
      <c r="D10" s="1">
        <v>56800000</v>
      </c>
      <c r="E10" s="1">
        <v>482400</v>
      </c>
      <c r="F10" s="1">
        <v>28.33</v>
      </c>
      <c r="G10" s="1">
        <v>0</v>
      </c>
      <c r="H10" s="1">
        <v>800</v>
      </c>
      <c r="I10" s="1">
        <v>1600</v>
      </c>
      <c r="J10" s="1">
        <v>460851200</v>
      </c>
      <c r="K10" s="1">
        <v>901164800</v>
      </c>
    </row>
    <row r="11" spans="2:11" x14ac:dyDescent="0.25">
      <c r="B11" s="1" t="s">
        <v>644</v>
      </c>
      <c r="C11" s="1" t="s">
        <v>641</v>
      </c>
      <c r="D11" s="1">
        <v>15360000</v>
      </c>
      <c r="E11" s="1">
        <v>651300</v>
      </c>
      <c r="F11" s="1">
        <v>61.3</v>
      </c>
      <c r="G11" s="1">
        <v>0</v>
      </c>
      <c r="H11" s="1">
        <v>800</v>
      </c>
      <c r="I11" s="1">
        <v>1600</v>
      </c>
      <c r="J11" s="1">
        <v>575632000</v>
      </c>
      <c r="K11" s="1">
        <v>1214368000</v>
      </c>
    </row>
    <row r="12" spans="2:11" x14ac:dyDescent="0.25">
      <c r="B12" s="1" t="s">
        <v>645</v>
      </c>
      <c r="C12" s="1" t="s">
        <v>641</v>
      </c>
      <c r="D12" s="1">
        <v>-526400000</v>
      </c>
      <c r="E12" s="1">
        <v>1481000</v>
      </c>
      <c r="F12" s="1">
        <v>-199</v>
      </c>
      <c r="G12" s="1">
        <v>0</v>
      </c>
      <c r="H12" s="1">
        <v>800</v>
      </c>
      <c r="I12" s="1">
        <v>1600</v>
      </c>
      <c r="J12" s="1">
        <v>531040000</v>
      </c>
      <c r="K12" s="1">
        <v>1333760000</v>
      </c>
    </row>
    <row r="13" spans="2:11" x14ac:dyDescent="0.25">
      <c r="B13" s="1" t="s">
        <v>572</v>
      </c>
      <c r="C13" s="1" t="s">
        <v>641</v>
      </c>
      <c r="D13" s="1">
        <v>-66400000</v>
      </c>
      <c r="E13" s="1">
        <v>459000</v>
      </c>
      <c r="F13" s="1">
        <v>3.1120000000000001</v>
      </c>
      <c r="G13" s="1">
        <v>0</v>
      </c>
      <c r="H13" s="1">
        <v>800</v>
      </c>
      <c r="I13" s="1">
        <v>1600</v>
      </c>
      <c r="J13" s="1">
        <v>302791680</v>
      </c>
      <c r="K13" s="1">
        <v>675966720</v>
      </c>
    </row>
    <row r="14" spans="2:11" x14ac:dyDescent="0.25">
      <c r="B14" s="1" t="s">
        <v>646</v>
      </c>
      <c r="C14" s="1" t="s">
        <v>641</v>
      </c>
      <c r="D14" s="1">
        <v>-7951000</v>
      </c>
      <c r="E14" s="1">
        <v>317600</v>
      </c>
      <c r="F14" s="1">
        <v>17.350000000000001</v>
      </c>
      <c r="G14" s="1">
        <v>0</v>
      </c>
      <c r="H14" s="1">
        <v>800</v>
      </c>
      <c r="I14" s="1">
        <v>1600</v>
      </c>
      <c r="J14" s="1">
        <v>257233000</v>
      </c>
      <c r="K14" s="1">
        <v>544625000</v>
      </c>
    </row>
    <row r="15" spans="2:11" x14ac:dyDescent="0.25">
      <c r="B15" s="1" t="s">
        <v>149</v>
      </c>
      <c r="C15" s="1" t="s">
        <v>641</v>
      </c>
      <c r="D15" s="1">
        <v>-55519999.999999993</v>
      </c>
      <c r="E15" s="1">
        <v>782400</v>
      </c>
      <c r="F15" s="1">
        <v>46.68</v>
      </c>
      <c r="G15" s="1"/>
      <c r="H15" s="1">
        <v>800</v>
      </c>
      <c r="I15" s="1">
        <v>1600</v>
      </c>
      <c r="J15" s="1">
        <v>600275200</v>
      </c>
      <c r="K15" s="1">
        <v>1315820800</v>
      </c>
    </row>
    <row r="16" spans="2:11" x14ac:dyDescent="0.25">
      <c r="B16" s="1" t="s">
        <v>151</v>
      </c>
      <c r="C16" s="1" t="s">
        <v>641</v>
      </c>
      <c r="D16" s="1">
        <v>-31800000</v>
      </c>
      <c r="E16" s="1">
        <v>965600.00000000012</v>
      </c>
      <c r="F16" s="1">
        <v>75.55</v>
      </c>
      <c r="G16" s="1">
        <v>0</v>
      </c>
      <c r="H16" s="1">
        <v>25</v>
      </c>
      <c r="I16" s="1">
        <v>1600</v>
      </c>
      <c r="J16" s="1">
        <v>-7612781.2499999963</v>
      </c>
      <c r="K16" s="1">
        <v>1706568000.0000002</v>
      </c>
    </row>
    <row r="17" spans="2:11" x14ac:dyDescent="0.25">
      <c r="B17" s="138" t="s">
        <v>647</v>
      </c>
      <c r="C17" s="138"/>
      <c r="D17" s="138"/>
      <c r="E17" s="138"/>
      <c r="F17" s="138"/>
      <c r="G17" s="138"/>
      <c r="H17" s="138"/>
      <c r="I17" s="138"/>
      <c r="J17" s="138"/>
      <c r="K17" s="138"/>
    </row>
    <row r="18" spans="2:11" x14ac:dyDescent="0.25">
      <c r="B18" s="143" t="s">
        <v>371</v>
      </c>
      <c r="C18" s="143" t="s">
        <v>631</v>
      </c>
      <c r="D18" s="138" t="s">
        <v>632</v>
      </c>
      <c r="E18" s="138"/>
      <c r="F18" s="138"/>
      <c r="G18" s="138"/>
      <c r="H18" s="143" t="s">
        <v>633</v>
      </c>
      <c r="I18" s="143" t="s">
        <v>634</v>
      </c>
      <c r="J18" s="143" t="s">
        <v>635</v>
      </c>
      <c r="K18" s="143" t="s">
        <v>636</v>
      </c>
    </row>
    <row r="19" spans="2:11" x14ac:dyDescent="0.25">
      <c r="B19" s="143"/>
      <c r="C19" s="143"/>
      <c r="D19" s="18" t="s">
        <v>637</v>
      </c>
      <c r="E19" s="18" t="s">
        <v>638</v>
      </c>
      <c r="F19" s="18" t="s">
        <v>639</v>
      </c>
      <c r="G19" s="18" t="s">
        <v>640</v>
      </c>
      <c r="H19" s="143"/>
      <c r="I19" s="143"/>
      <c r="J19" s="143"/>
      <c r="K19" s="143"/>
    </row>
    <row r="20" spans="2:11" x14ac:dyDescent="0.25">
      <c r="B20" s="1" t="s">
        <v>534</v>
      </c>
      <c r="C20" s="1" t="s">
        <v>641</v>
      </c>
      <c r="D20" s="1">
        <v>-1198000000</v>
      </c>
      <c r="E20" s="1">
        <v>163100</v>
      </c>
      <c r="F20" s="1">
        <v>-92.12</v>
      </c>
      <c r="G20" s="1">
        <v>0</v>
      </c>
      <c r="H20" s="1">
        <v>800</v>
      </c>
      <c r="I20" s="1">
        <v>1600</v>
      </c>
      <c r="J20" s="1">
        <v>-1126476800</v>
      </c>
      <c r="K20" s="1">
        <v>-1172867200</v>
      </c>
    </row>
    <row r="21" spans="2:11" x14ac:dyDescent="0.25">
      <c r="B21" s="1" t="s">
        <v>644</v>
      </c>
      <c r="C21" s="1" t="s">
        <v>641</v>
      </c>
      <c r="D21" s="1">
        <v>-1312000000</v>
      </c>
      <c r="E21" s="1">
        <v>103400</v>
      </c>
      <c r="F21" s="1">
        <v>-64.59</v>
      </c>
      <c r="G21" s="1">
        <v>0</v>
      </c>
      <c r="H21" s="1">
        <v>800</v>
      </c>
      <c r="I21" s="1">
        <v>1600</v>
      </c>
      <c r="J21" s="1">
        <v>-1270617600</v>
      </c>
      <c r="K21" s="1">
        <v>-1311910400</v>
      </c>
    </row>
    <row r="22" spans="2:11" x14ac:dyDescent="0.25">
      <c r="B22" s="1" t="s">
        <v>572</v>
      </c>
      <c r="C22" s="1" t="s">
        <v>641</v>
      </c>
      <c r="D22" s="1">
        <v>-313400000</v>
      </c>
      <c r="E22" s="1">
        <v>-70260</v>
      </c>
      <c r="F22" s="1">
        <v>6.4790000000000001</v>
      </c>
      <c r="G22" s="1">
        <v>0</v>
      </c>
      <c r="H22" s="1">
        <v>800</v>
      </c>
      <c r="I22" s="1">
        <v>1600</v>
      </c>
      <c r="J22" s="1">
        <v>-365461440</v>
      </c>
      <c r="K22" s="1">
        <v>-409229760</v>
      </c>
    </row>
    <row r="23" spans="2:11" x14ac:dyDescent="0.25">
      <c r="B23" s="138" t="s">
        <v>648</v>
      </c>
      <c r="C23" s="138"/>
      <c r="D23" s="138"/>
      <c r="E23" s="138"/>
      <c r="F23" s="138"/>
      <c r="G23" s="138"/>
      <c r="H23" s="138"/>
      <c r="I23" s="138"/>
      <c r="J23" s="138"/>
      <c r="K23" s="138"/>
    </row>
    <row r="24" spans="2:11" x14ac:dyDescent="0.25">
      <c r="B24" s="143" t="s">
        <v>371</v>
      </c>
      <c r="C24" s="143" t="s">
        <v>631</v>
      </c>
      <c r="D24" s="138" t="s">
        <v>632</v>
      </c>
      <c r="E24" s="138"/>
      <c r="F24" s="138"/>
      <c r="G24" s="138"/>
      <c r="H24" s="143" t="s">
        <v>633</v>
      </c>
      <c r="I24" s="143" t="s">
        <v>634</v>
      </c>
      <c r="J24" s="143" t="s">
        <v>635</v>
      </c>
      <c r="K24" s="143" t="s">
        <v>636</v>
      </c>
    </row>
    <row r="25" spans="2:11" x14ac:dyDescent="0.25">
      <c r="B25" s="143"/>
      <c r="C25" s="143"/>
      <c r="D25" s="18" t="s">
        <v>637</v>
      </c>
      <c r="E25" s="18" t="s">
        <v>638</v>
      </c>
      <c r="F25" s="18" t="s">
        <v>639</v>
      </c>
      <c r="G25" s="18" t="s">
        <v>640</v>
      </c>
      <c r="H25" s="143"/>
      <c r="I25" s="143"/>
      <c r="J25" s="143"/>
      <c r="K25" s="143"/>
    </row>
    <row r="26" spans="2:11" x14ac:dyDescent="0.25">
      <c r="B26" s="1" t="s">
        <v>534</v>
      </c>
      <c r="C26" s="1" t="s">
        <v>641</v>
      </c>
      <c r="D26" s="1">
        <v>-683700000</v>
      </c>
      <c r="E26" s="1">
        <v>122000</v>
      </c>
      <c r="F26" s="1">
        <v>-96.64</v>
      </c>
      <c r="G26" s="1">
        <v>0</v>
      </c>
      <c r="H26" s="1">
        <v>800</v>
      </c>
      <c r="I26" s="1">
        <v>1600</v>
      </c>
      <c r="J26" s="1">
        <v>-647949600</v>
      </c>
      <c r="K26" s="1">
        <v>-735898400</v>
      </c>
    </row>
    <row r="27" spans="2:11" x14ac:dyDescent="0.25">
      <c r="B27" s="1" t="s">
        <v>644</v>
      </c>
      <c r="C27" s="1" t="s">
        <v>641</v>
      </c>
      <c r="D27" s="1">
        <v>-325600000</v>
      </c>
      <c r="E27" s="1">
        <v>24650</v>
      </c>
      <c r="F27" s="1">
        <v>-73.23</v>
      </c>
      <c r="G27" s="1">
        <v>0</v>
      </c>
      <c r="H27" s="1">
        <v>800</v>
      </c>
      <c r="I27" s="1">
        <v>1600</v>
      </c>
      <c r="J27" s="1">
        <v>-352747200</v>
      </c>
      <c r="K27" s="1">
        <v>-473628800</v>
      </c>
    </row>
    <row r="28" spans="2:11" x14ac:dyDescent="0.25">
      <c r="B28" s="1" t="s">
        <v>572</v>
      </c>
      <c r="C28" s="1" t="s">
        <v>641</v>
      </c>
      <c r="D28" s="1">
        <v>343200000</v>
      </c>
      <c r="E28" s="1">
        <v>-122700.00000000001</v>
      </c>
      <c r="F28" s="1">
        <v>0.7329</v>
      </c>
      <c r="G28" s="1">
        <v>0</v>
      </c>
      <c r="H28" s="1">
        <v>800</v>
      </c>
      <c r="I28" s="1">
        <v>1600</v>
      </c>
      <c r="J28" s="1">
        <v>245509056</v>
      </c>
      <c r="K28" s="1">
        <v>148756223.99999997</v>
      </c>
    </row>
    <row r="29" spans="2:11" x14ac:dyDescent="0.25">
      <c r="B29" s="138" t="s">
        <v>649</v>
      </c>
      <c r="C29" s="138"/>
      <c r="D29" s="138"/>
      <c r="E29" s="138"/>
      <c r="F29" s="138"/>
      <c r="G29" s="138"/>
      <c r="H29" s="138"/>
      <c r="I29" s="138"/>
      <c r="J29" s="138"/>
      <c r="K29" s="138"/>
    </row>
    <row r="30" spans="2:11" x14ac:dyDescent="0.25">
      <c r="B30" s="143" t="s">
        <v>371</v>
      </c>
      <c r="C30" s="143" t="s">
        <v>631</v>
      </c>
      <c r="D30" s="138" t="s">
        <v>632</v>
      </c>
      <c r="E30" s="138"/>
      <c r="F30" s="138"/>
      <c r="G30" s="138"/>
      <c r="H30" s="143" t="s">
        <v>633</v>
      </c>
      <c r="I30" s="143" t="s">
        <v>634</v>
      </c>
      <c r="J30" s="143" t="s">
        <v>635</v>
      </c>
      <c r="K30" s="143" t="s">
        <v>636</v>
      </c>
    </row>
    <row r="31" spans="2:11" x14ac:dyDescent="0.25">
      <c r="B31" s="143"/>
      <c r="C31" s="143"/>
      <c r="D31" s="18" t="s">
        <v>637</v>
      </c>
      <c r="E31" s="18" t="s">
        <v>638</v>
      </c>
      <c r="F31" s="18" t="s">
        <v>639</v>
      </c>
      <c r="G31" s="18" t="s">
        <v>640</v>
      </c>
      <c r="H31" s="143"/>
      <c r="I31" s="143"/>
      <c r="J31" s="143"/>
      <c r="K31" s="143"/>
    </row>
    <row r="32" spans="2:11" x14ac:dyDescent="0.25">
      <c r="B32" s="1" t="s">
        <v>535</v>
      </c>
      <c r="C32" s="1" t="s">
        <v>641</v>
      </c>
      <c r="D32" s="1">
        <v>-2345000000</v>
      </c>
      <c r="E32" s="1">
        <v>-128899.99999999999</v>
      </c>
      <c r="F32" s="1">
        <v>79.62</v>
      </c>
      <c r="G32" s="1">
        <v>0</v>
      </c>
      <c r="H32" s="1">
        <v>800</v>
      </c>
      <c r="I32" s="1">
        <v>1600</v>
      </c>
      <c r="J32" s="1">
        <v>-2397163200</v>
      </c>
      <c r="K32" s="1">
        <v>-2347412800</v>
      </c>
    </row>
    <row r="33" spans="2:11" x14ac:dyDescent="0.25">
      <c r="B33" s="1" t="s">
        <v>645</v>
      </c>
      <c r="C33" s="1" t="s">
        <v>641</v>
      </c>
      <c r="D33" s="1">
        <v>-4923000000</v>
      </c>
      <c r="E33" s="1">
        <v>-53869.999999999993</v>
      </c>
      <c r="F33" s="1">
        <v>47.48</v>
      </c>
      <c r="G33" s="1">
        <v>0</v>
      </c>
      <c r="H33" s="1">
        <v>800</v>
      </c>
      <c r="I33" s="1">
        <v>1600</v>
      </c>
      <c r="J33" s="1">
        <v>-4935708800</v>
      </c>
      <c r="K33" s="1">
        <v>-4887643200</v>
      </c>
    </row>
    <row r="34" spans="2:11" x14ac:dyDescent="0.25">
      <c r="B34" s="1" t="s">
        <v>646</v>
      </c>
      <c r="C34" s="1" t="s">
        <v>641</v>
      </c>
      <c r="D34" s="1">
        <v>-3974000000</v>
      </c>
      <c r="E34" s="1">
        <v>83470</v>
      </c>
      <c r="F34" s="1">
        <v>-9.6560000000000006</v>
      </c>
      <c r="G34" s="1">
        <v>0</v>
      </c>
      <c r="H34" s="1">
        <v>800</v>
      </c>
      <c r="I34" s="1">
        <v>1600</v>
      </c>
      <c r="J34" s="1">
        <v>-3913403840</v>
      </c>
      <c r="K34" s="1">
        <v>-3865167360</v>
      </c>
    </row>
  </sheetData>
  <mergeCells count="33">
    <mergeCell ref="B2:K2"/>
    <mergeCell ref="B24:B25"/>
    <mergeCell ref="C24:C25"/>
    <mergeCell ref="D24:G24"/>
    <mergeCell ref="H24:H25"/>
    <mergeCell ref="I24:I25"/>
    <mergeCell ref="J24:J25"/>
    <mergeCell ref="B17:K17"/>
    <mergeCell ref="B23:K23"/>
    <mergeCell ref="B18:B19"/>
    <mergeCell ref="C18:C19"/>
    <mergeCell ref="D18:G18"/>
    <mergeCell ref="H18:H19"/>
    <mergeCell ref="I18:I19"/>
    <mergeCell ref="J18:J19"/>
    <mergeCell ref="K18:K19"/>
    <mergeCell ref="B29:K29"/>
    <mergeCell ref="B30:B31"/>
    <mergeCell ref="C30:C31"/>
    <mergeCell ref="D30:G30"/>
    <mergeCell ref="H30:H31"/>
    <mergeCell ref="I30:I31"/>
    <mergeCell ref="J30:J31"/>
    <mergeCell ref="K30:K31"/>
    <mergeCell ref="K24:K25"/>
    <mergeCell ref="B3:K3"/>
    <mergeCell ref="B4:B5"/>
    <mergeCell ref="C4:C5"/>
    <mergeCell ref="D4:G4"/>
    <mergeCell ref="H4:H5"/>
    <mergeCell ref="I4:I5"/>
    <mergeCell ref="J4:J5"/>
    <mergeCell ref="K4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39"/>
  <sheetViews>
    <sheetView workbookViewId="0">
      <selection activeCell="G8" sqref="G8"/>
    </sheetView>
  </sheetViews>
  <sheetFormatPr defaultRowHeight="15" x14ac:dyDescent="0.25"/>
  <cols>
    <col min="2" max="2" width="43.5703125" bestFit="1" customWidth="1"/>
    <col min="3" max="3" width="7.5703125" bestFit="1" customWidth="1"/>
    <col min="4" max="4" width="39.28515625" bestFit="1" customWidth="1"/>
    <col min="5" max="5" width="11.42578125" bestFit="1" customWidth="1"/>
  </cols>
  <sheetData>
    <row r="2" spans="2:5" x14ac:dyDescent="0.25">
      <c r="B2" s="103" t="s">
        <v>252</v>
      </c>
      <c r="C2" s="103"/>
      <c r="D2" s="103"/>
      <c r="E2" s="103"/>
    </row>
    <row r="3" spans="2:5" x14ac:dyDescent="0.25">
      <c r="B3" s="11" t="s">
        <v>19</v>
      </c>
      <c r="C3" s="11" t="s">
        <v>157</v>
      </c>
      <c r="D3" s="11" t="s">
        <v>155</v>
      </c>
      <c r="E3" s="11" t="s">
        <v>911</v>
      </c>
    </row>
    <row r="4" spans="2:5" ht="18" x14ac:dyDescent="0.25">
      <c r="B4" s="12" t="s">
        <v>158</v>
      </c>
      <c r="C4" s="13" t="s">
        <v>199</v>
      </c>
      <c r="D4" s="13" t="s">
        <v>200</v>
      </c>
      <c r="E4" s="13" t="s">
        <v>159</v>
      </c>
    </row>
    <row r="5" spans="2:5" x14ac:dyDescent="0.25">
      <c r="B5" s="104" t="s">
        <v>160</v>
      </c>
      <c r="C5" s="105" t="s">
        <v>161</v>
      </c>
      <c r="D5" s="13" t="s">
        <v>162</v>
      </c>
      <c r="E5" s="105" t="s">
        <v>163</v>
      </c>
    </row>
    <row r="6" spans="2:5" x14ac:dyDescent="0.25">
      <c r="B6" s="104"/>
      <c r="C6" s="105"/>
      <c r="D6" s="13" t="s">
        <v>164</v>
      </c>
      <c r="E6" s="105"/>
    </row>
    <row r="7" spans="2:5" x14ac:dyDescent="0.25">
      <c r="B7" s="104"/>
      <c r="C7" s="105"/>
      <c r="D7" s="13" t="s">
        <v>165</v>
      </c>
      <c r="E7" s="105"/>
    </row>
    <row r="8" spans="2:5" x14ac:dyDescent="0.25">
      <c r="B8" s="104"/>
      <c r="C8" s="105"/>
      <c r="D8" s="13" t="s">
        <v>166</v>
      </c>
      <c r="E8" s="105"/>
    </row>
    <row r="9" spans="2:5" ht="17.25" x14ac:dyDescent="0.25">
      <c r="B9" s="12" t="s">
        <v>167</v>
      </c>
      <c r="C9" s="13" t="s">
        <v>168</v>
      </c>
      <c r="D9" s="13" t="s">
        <v>201</v>
      </c>
      <c r="E9" s="13" t="s">
        <v>169</v>
      </c>
    </row>
    <row r="10" spans="2:5" ht="17.25" x14ac:dyDescent="0.25">
      <c r="B10" s="12" t="s">
        <v>170</v>
      </c>
      <c r="C10" s="13" t="s">
        <v>171</v>
      </c>
      <c r="D10" s="13">
        <v>3</v>
      </c>
      <c r="E10" s="14">
        <v>63</v>
      </c>
    </row>
    <row r="11" spans="2:5" ht="18" x14ac:dyDescent="0.25">
      <c r="B11" s="12" t="s">
        <v>172</v>
      </c>
      <c r="C11" s="13" t="s">
        <v>202</v>
      </c>
      <c r="D11" s="13" t="s">
        <v>173</v>
      </c>
      <c r="E11" s="13" t="s">
        <v>159</v>
      </c>
    </row>
    <row r="12" spans="2:5" ht="18" x14ac:dyDescent="0.25">
      <c r="B12" s="12" t="s">
        <v>174</v>
      </c>
      <c r="C12" s="13" t="s">
        <v>203</v>
      </c>
      <c r="D12" s="13" t="s">
        <v>175</v>
      </c>
      <c r="E12" s="13" t="s">
        <v>159</v>
      </c>
    </row>
    <row r="13" spans="2:5" x14ac:dyDescent="0.25">
      <c r="B13" s="12" t="s">
        <v>176</v>
      </c>
      <c r="C13" s="13" t="s">
        <v>177</v>
      </c>
      <c r="D13" s="13" t="s">
        <v>178</v>
      </c>
      <c r="E13" s="13" t="s">
        <v>169</v>
      </c>
    </row>
    <row r="14" spans="2:5" ht="18" x14ac:dyDescent="0.25">
      <c r="B14" s="12" t="s">
        <v>179</v>
      </c>
      <c r="C14" s="13" t="s">
        <v>204</v>
      </c>
      <c r="D14" s="13" t="s">
        <v>180</v>
      </c>
      <c r="E14" s="13" t="s">
        <v>907</v>
      </c>
    </row>
    <row r="15" spans="2:5" x14ac:dyDescent="0.25">
      <c r="B15" s="104" t="s">
        <v>181</v>
      </c>
      <c r="C15" s="105" t="s">
        <v>182</v>
      </c>
      <c r="D15" s="13" t="s">
        <v>183</v>
      </c>
      <c r="E15" s="105" t="s">
        <v>907</v>
      </c>
    </row>
    <row r="16" spans="2:5" x14ac:dyDescent="0.25">
      <c r="B16" s="104"/>
      <c r="C16" s="105"/>
      <c r="D16" s="13" t="s">
        <v>184</v>
      </c>
      <c r="E16" s="105"/>
    </row>
    <row r="17" spans="2:5" x14ac:dyDescent="0.25">
      <c r="B17" s="104"/>
      <c r="C17" s="105"/>
      <c r="D17" s="13" t="s">
        <v>185</v>
      </c>
      <c r="E17" s="105"/>
    </row>
    <row r="18" spans="2:5" x14ac:dyDescent="0.25">
      <c r="B18" s="104"/>
      <c r="C18" s="105"/>
      <c r="D18" s="13" t="s">
        <v>186</v>
      </c>
      <c r="E18" s="105"/>
    </row>
    <row r="19" spans="2:5" ht="18" x14ac:dyDescent="0.25">
      <c r="B19" s="12" t="s">
        <v>187</v>
      </c>
      <c r="C19" s="13" t="s">
        <v>205</v>
      </c>
      <c r="D19" s="13" t="s">
        <v>206</v>
      </c>
      <c r="E19" s="15">
        <v>71</v>
      </c>
    </row>
    <row r="20" spans="2:5" ht="17.25" x14ac:dyDescent="0.25">
      <c r="B20" s="104" t="s">
        <v>188</v>
      </c>
      <c r="C20" s="105" t="s">
        <v>207</v>
      </c>
      <c r="D20" s="13" t="s">
        <v>208</v>
      </c>
      <c r="E20" s="105" t="s">
        <v>163</v>
      </c>
    </row>
    <row r="21" spans="2:5" ht="17.25" x14ac:dyDescent="0.25">
      <c r="B21" s="104"/>
      <c r="C21" s="105"/>
      <c r="D21" s="13" t="s">
        <v>209</v>
      </c>
      <c r="E21" s="105"/>
    </row>
    <row r="22" spans="2:5" ht="17.25" x14ac:dyDescent="0.25">
      <c r="B22" s="104"/>
      <c r="C22" s="105"/>
      <c r="D22" s="13" t="s">
        <v>210</v>
      </c>
      <c r="E22" s="105"/>
    </row>
    <row r="23" spans="2:5" ht="17.25" x14ac:dyDescent="0.25">
      <c r="B23" s="104"/>
      <c r="C23" s="105"/>
      <c r="D23" s="13" t="s">
        <v>211</v>
      </c>
      <c r="E23" s="105"/>
    </row>
    <row r="24" spans="2:5" ht="17.25" x14ac:dyDescent="0.25">
      <c r="B24" s="104" t="s">
        <v>189</v>
      </c>
      <c r="C24" s="105" t="s">
        <v>212</v>
      </c>
      <c r="D24" s="13" t="s">
        <v>213</v>
      </c>
      <c r="E24" s="105" t="s">
        <v>163</v>
      </c>
    </row>
    <row r="25" spans="2:5" ht="17.25" x14ac:dyDescent="0.25">
      <c r="B25" s="104"/>
      <c r="C25" s="105"/>
      <c r="D25" s="13" t="s">
        <v>214</v>
      </c>
      <c r="E25" s="105"/>
    </row>
    <row r="26" spans="2:5" ht="17.25" x14ac:dyDescent="0.25">
      <c r="B26" s="104"/>
      <c r="C26" s="105"/>
      <c r="D26" s="13" t="s">
        <v>215</v>
      </c>
      <c r="E26" s="105"/>
    </row>
    <row r="27" spans="2:5" ht="17.25" x14ac:dyDescent="0.25">
      <c r="B27" s="104"/>
      <c r="C27" s="105"/>
      <c r="D27" s="13" t="s">
        <v>216</v>
      </c>
      <c r="E27" s="105"/>
    </row>
    <row r="28" spans="2:5" ht="17.25" x14ac:dyDescent="0.25">
      <c r="B28" s="104" t="s">
        <v>190</v>
      </c>
      <c r="C28" s="105" t="s">
        <v>217</v>
      </c>
      <c r="D28" s="13" t="s">
        <v>218</v>
      </c>
      <c r="E28" s="105" t="s">
        <v>163</v>
      </c>
    </row>
    <row r="29" spans="2:5" ht="17.25" x14ac:dyDescent="0.25">
      <c r="B29" s="104"/>
      <c r="C29" s="105"/>
      <c r="D29" s="13" t="s">
        <v>219</v>
      </c>
      <c r="E29" s="105"/>
    </row>
    <row r="30" spans="2:5" ht="17.25" x14ac:dyDescent="0.25">
      <c r="B30" s="104"/>
      <c r="C30" s="105"/>
      <c r="D30" s="13" t="s">
        <v>220</v>
      </c>
      <c r="E30" s="105"/>
    </row>
    <row r="31" spans="2:5" ht="17.25" x14ac:dyDescent="0.25">
      <c r="B31" s="104"/>
      <c r="C31" s="105"/>
      <c r="D31" s="13" t="s">
        <v>221</v>
      </c>
      <c r="E31" s="105"/>
    </row>
    <row r="32" spans="2:5" ht="18" x14ac:dyDescent="0.25">
      <c r="B32" s="12" t="s">
        <v>191</v>
      </c>
      <c r="C32" s="13" t="s">
        <v>222</v>
      </c>
      <c r="D32" s="13" t="s">
        <v>223</v>
      </c>
      <c r="E32" s="15">
        <v>69</v>
      </c>
    </row>
    <row r="33" spans="2:5" ht="18" x14ac:dyDescent="0.25">
      <c r="B33" s="12" t="s">
        <v>192</v>
      </c>
      <c r="C33" s="13" t="s">
        <v>224</v>
      </c>
      <c r="D33" s="13" t="s">
        <v>225</v>
      </c>
      <c r="E33" s="13" t="s">
        <v>169</v>
      </c>
    </row>
    <row r="34" spans="2:5" ht="18" x14ac:dyDescent="0.25">
      <c r="B34" s="12" t="s">
        <v>193</v>
      </c>
      <c r="C34" s="13" t="s">
        <v>226</v>
      </c>
      <c r="D34" s="13" t="s">
        <v>227</v>
      </c>
      <c r="E34" s="13" t="s">
        <v>163</v>
      </c>
    </row>
    <row r="35" spans="2:5" ht="18" x14ac:dyDescent="0.25">
      <c r="B35" s="12" t="s">
        <v>194</v>
      </c>
      <c r="C35" s="13" t="s">
        <v>228</v>
      </c>
      <c r="D35" s="13" t="s">
        <v>229</v>
      </c>
      <c r="E35" s="13" t="s">
        <v>163</v>
      </c>
    </row>
    <row r="36" spans="2:5" ht="18" x14ac:dyDescent="0.25">
      <c r="B36" s="12" t="s">
        <v>195</v>
      </c>
      <c r="C36" s="13" t="s">
        <v>230</v>
      </c>
      <c r="D36" s="13" t="s">
        <v>231</v>
      </c>
      <c r="E36" s="13" t="s">
        <v>163</v>
      </c>
    </row>
    <row r="37" spans="2:5" ht="18" x14ac:dyDescent="0.25">
      <c r="B37" s="12" t="s">
        <v>196</v>
      </c>
      <c r="C37" s="13" t="s">
        <v>232</v>
      </c>
      <c r="D37" s="13" t="s">
        <v>233</v>
      </c>
      <c r="E37" s="13" t="s">
        <v>163</v>
      </c>
    </row>
    <row r="38" spans="2:5" ht="18" x14ac:dyDescent="0.25">
      <c r="B38" s="12" t="s">
        <v>197</v>
      </c>
      <c r="C38" s="13" t="s">
        <v>234</v>
      </c>
      <c r="D38" s="13">
        <v>2</v>
      </c>
      <c r="E38" s="15">
        <v>65</v>
      </c>
    </row>
    <row r="39" spans="2:5" ht="18" x14ac:dyDescent="0.25">
      <c r="B39" s="12" t="s">
        <v>198</v>
      </c>
      <c r="C39" s="13" t="s">
        <v>235</v>
      </c>
      <c r="D39" s="13">
        <v>1</v>
      </c>
      <c r="E39" s="15">
        <v>65</v>
      </c>
    </row>
  </sheetData>
  <mergeCells count="16">
    <mergeCell ref="B28:B31"/>
    <mergeCell ref="C28:C31"/>
    <mergeCell ref="E28:E31"/>
    <mergeCell ref="B2:E2"/>
    <mergeCell ref="B20:B23"/>
    <mergeCell ref="C20:C23"/>
    <mergeCell ref="E20:E23"/>
    <mergeCell ref="B24:B27"/>
    <mergeCell ref="C24:C27"/>
    <mergeCell ref="E24:E27"/>
    <mergeCell ref="B5:B8"/>
    <mergeCell ref="C5:C8"/>
    <mergeCell ref="E5:E8"/>
    <mergeCell ref="B15:B18"/>
    <mergeCell ref="C15:C18"/>
    <mergeCell ref="E15:E18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D31"/>
  <sheetViews>
    <sheetView workbookViewId="0">
      <selection activeCell="B3" sqref="B3:D3"/>
    </sheetView>
  </sheetViews>
  <sheetFormatPr defaultRowHeight="15" x14ac:dyDescent="0.25"/>
  <cols>
    <col min="2" max="2" width="38.140625" customWidth="1"/>
  </cols>
  <sheetData>
    <row r="2" spans="2:4" x14ac:dyDescent="0.25">
      <c r="B2" s="103" t="s">
        <v>906</v>
      </c>
      <c r="C2" s="103"/>
      <c r="D2" s="103"/>
    </row>
    <row r="3" spans="2:4" x14ac:dyDescent="0.25">
      <c r="B3" s="138" t="s">
        <v>662</v>
      </c>
      <c r="C3" s="138"/>
      <c r="D3" s="138"/>
    </row>
    <row r="4" spans="2:4" x14ac:dyDescent="0.25">
      <c r="B4" s="18" t="s">
        <v>657</v>
      </c>
      <c r="C4" s="18" t="s">
        <v>421</v>
      </c>
      <c r="D4" s="18" t="s">
        <v>658</v>
      </c>
    </row>
    <row r="5" spans="2:4" x14ac:dyDescent="0.25">
      <c r="B5" s="4" t="s">
        <v>150</v>
      </c>
      <c r="C5" s="4">
        <v>1</v>
      </c>
      <c r="D5" s="4" t="s">
        <v>152</v>
      </c>
    </row>
    <row r="6" spans="2:4" x14ac:dyDescent="0.25">
      <c r="B6" s="4" t="s">
        <v>147</v>
      </c>
      <c r="C6" s="4">
        <v>0.52</v>
      </c>
      <c r="D6" s="4" t="s">
        <v>152</v>
      </c>
    </row>
    <row r="7" spans="2:4" x14ac:dyDescent="0.25">
      <c r="B7" s="4" t="s">
        <v>153</v>
      </c>
      <c r="C7" s="4">
        <v>1.75</v>
      </c>
      <c r="D7" s="4" t="s">
        <v>152</v>
      </c>
    </row>
    <row r="8" spans="2:4" x14ac:dyDescent="0.25">
      <c r="B8" s="138" t="s">
        <v>659</v>
      </c>
      <c r="C8" s="138"/>
      <c r="D8" s="138"/>
    </row>
    <row r="9" spans="2:4" x14ac:dyDescent="0.25">
      <c r="B9" s="4" t="s">
        <v>664</v>
      </c>
      <c r="C9" s="144">
        <v>4972960</v>
      </c>
      <c r="D9" s="144"/>
    </row>
    <row r="10" spans="2:4" x14ac:dyDescent="0.25">
      <c r="B10" s="138" t="s">
        <v>660</v>
      </c>
      <c r="C10" s="138"/>
      <c r="D10" s="138"/>
    </row>
    <row r="11" spans="2:4" x14ac:dyDescent="0.25">
      <c r="B11" s="4" t="s">
        <v>665</v>
      </c>
      <c r="C11" s="144">
        <v>314093.59999999998</v>
      </c>
      <c r="D11" s="144"/>
    </row>
    <row r="12" spans="2:4" x14ac:dyDescent="0.25">
      <c r="B12" s="18" t="s">
        <v>422</v>
      </c>
      <c r="C12" s="18" t="s">
        <v>421</v>
      </c>
      <c r="D12" s="18" t="s">
        <v>658</v>
      </c>
    </row>
    <row r="13" spans="2:4" x14ac:dyDescent="0.25">
      <c r="B13" s="4" t="s">
        <v>148</v>
      </c>
      <c r="C13" s="4">
        <v>0.84</v>
      </c>
      <c r="D13" s="4" t="s">
        <v>152</v>
      </c>
    </row>
    <row r="14" spans="2:4" x14ac:dyDescent="0.25">
      <c r="B14" s="4" t="s">
        <v>146</v>
      </c>
      <c r="C14" s="4">
        <v>0.33</v>
      </c>
      <c r="D14" s="4" t="s">
        <v>152</v>
      </c>
    </row>
    <row r="15" spans="2:4" x14ac:dyDescent="0.25">
      <c r="B15" s="4" t="s">
        <v>149</v>
      </c>
      <c r="C15" s="4">
        <v>0.35</v>
      </c>
      <c r="D15" s="4" t="s">
        <v>152</v>
      </c>
    </row>
    <row r="16" spans="2:4" x14ac:dyDescent="0.25">
      <c r="B16" s="4" t="s">
        <v>153</v>
      </c>
      <c r="C16" s="4">
        <v>1.75</v>
      </c>
      <c r="D16" s="4" t="s">
        <v>152</v>
      </c>
    </row>
    <row r="17" spans="2:4" x14ac:dyDescent="0.25">
      <c r="B17" s="138" t="s">
        <v>661</v>
      </c>
      <c r="C17" s="138"/>
      <c r="D17" s="138"/>
    </row>
    <row r="18" spans="2:4" x14ac:dyDescent="0.25">
      <c r="B18" s="4" t="s">
        <v>666</v>
      </c>
      <c r="C18" s="144">
        <v>-3833090</v>
      </c>
      <c r="D18" s="144"/>
    </row>
    <row r="19" spans="2:4" x14ac:dyDescent="0.25">
      <c r="B19" s="138" t="s">
        <v>663</v>
      </c>
      <c r="C19" s="138"/>
      <c r="D19" s="138"/>
    </row>
    <row r="20" spans="2:4" x14ac:dyDescent="0.25">
      <c r="B20" s="18" t="s">
        <v>657</v>
      </c>
      <c r="C20" s="18" t="s">
        <v>421</v>
      </c>
      <c r="D20" s="18" t="s">
        <v>658</v>
      </c>
    </row>
    <row r="21" spans="2:4" x14ac:dyDescent="0.25">
      <c r="B21" s="4" t="s">
        <v>148</v>
      </c>
      <c r="C21" s="4">
        <v>0.84</v>
      </c>
      <c r="D21" s="4" t="s">
        <v>152</v>
      </c>
    </row>
    <row r="22" spans="2:4" x14ac:dyDescent="0.25">
      <c r="B22" s="4" t="s">
        <v>151</v>
      </c>
      <c r="C22" s="4">
        <v>0.52</v>
      </c>
      <c r="D22" s="4" t="s">
        <v>152</v>
      </c>
    </row>
    <row r="23" spans="2:4" x14ac:dyDescent="0.25">
      <c r="B23" s="138" t="s">
        <v>659</v>
      </c>
      <c r="C23" s="138"/>
      <c r="D23" s="138"/>
    </row>
    <row r="24" spans="2:4" x14ac:dyDescent="0.25">
      <c r="B24" s="4" t="s">
        <v>664</v>
      </c>
      <c r="C24" s="144">
        <v>842964</v>
      </c>
      <c r="D24" s="144"/>
    </row>
    <row r="25" spans="2:4" x14ac:dyDescent="0.25">
      <c r="B25" s="138" t="s">
        <v>660</v>
      </c>
      <c r="C25" s="138"/>
      <c r="D25" s="138"/>
    </row>
    <row r="26" spans="2:4" x14ac:dyDescent="0.25">
      <c r="B26" s="4" t="s">
        <v>665</v>
      </c>
      <c r="C26" s="144">
        <v>-6012922.2999999998</v>
      </c>
      <c r="D26" s="144"/>
    </row>
    <row r="27" spans="2:4" x14ac:dyDescent="0.25">
      <c r="B27" s="4" t="s">
        <v>422</v>
      </c>
      <c r="C27" s="4" t="s">
        <v>421</v>
      </c>
      <c r="D27" s="4" t="s">
        <v>658</v>
      </c>
    </row>
    <row r="28" spans="2:4" x14ac:dyDescent="0.25">
      <c r="B28" s="4" t="s">
        <v>145</v>
      </c>
      <c r="C28" s="4">
        <v>0.67</v>
      </c>
      <c r="D28" s="4" t="s">
        <v>152</v>
      </c>
    </row>
    <row r="29" spans="2:4" x14ac:dyDescent="0.25">
      <c r="B29" s="4" t="s">
        <v>149</v>
      </c>
      <c r="C29" s="4">
        <v>0.69</v>
      </c>
      <c r="D29" s="4" t="s">
        <v>152</v>
      </c>
    </row>
    <row r="30" spans="2:4" x14ac:dyDescent="0.25">
      <c r="B30" s="138" t="s">
        <v>661</v>
      </c>
      <c r="C30" s="138"/>
      <c r="D30" s="138"/>
    </row>
    <row r="31" spans="2:4" x14ac:dyDescent="0.25">
      <c r="B31" s="4" t="s">
        <v>666</v>
      </c>
      <c r="C31" s="144">
        <v>-1345000</v>
      </c>
      <c r="D31" s="144"/>
    </row>
  </sheetData>
  <mergeCells count="15">
    <mergeCell ref="B30:D30"/>
    <mergeCell ref="C31:D31"/>
    <mergeCell ref="B2:D2"/>
    <mergeCell ref="B3:D3"/>
    <mergeCell ref="B19:D19"/>
    <mergeCell ref="B23:D23"/>
    <mergeCell ref="C24:D24"/>
    <mergeCell ref="B25:D25"/>
    <mergeCell ref="C26:D26"/>
    <mergeCell ref="B8:D8"/>
    <mergeCell ref="C9:D9"/>
    <mergeCell ref="B10:D10"/>
    <mergeCell ref="C11:D11"/>
    <mergeCell ref="B17:D17"/>
    <mergeCell ref="C18:D1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K20"/>
  <sheetViews>
    <sheetView workbookViewId="0">
      <selection activeCell="B3" sqref="B3:D3"/>
    </sheetView>
  </sheetViews>
  <sheetFormatPr defaultRowHeight="15" x14ac:dyDescent="0.25"/>
  <cols>
    <col min="2" max="2" width="37.5703125" customWidth="1"/>
    <col min="3" max="3" width="8" bestFit="1" customWidth="1"/>
  </cols>
  <sheetData>
    <row r="2" spans="2:11" x14ac:dyDescent="0.25">
      <c r="B2" s="103" t="s">
        <v>905</v>
      </c>
      <c r="C2" s="103"/>
      <c r="D2" s="103"/>
    </row>
    <row r="3" spans="2:11" x14ac:dyDescent="0.25">
      <c r="B3" s="138" t="s">
        <v>673</v>
      </c>
      <c r="C3" s="138"/>
      <c r="D3" s="138"/>
    </row>
    <row r="4" spans="2:11" x14ac:dyDescent="0.25">
      <c r="B4" s="18" t="s">
        <v>657</v>
      </c>
      <c r="C4" s="18" t="s">
        <v>421</v>
      </c>
      <c r="D4" s="18" t="s">
        <v>658</v>
      </c>
    </row>
    <row r="5" spans="2:11" x14ac:dyDescent="0.25">
      <c r="B5" s="1" t="s">
        <v>425</v>
      </c>
      <c r="C5" s="1">
        <v>1.9</v>
      </c>
      <c r="D5" s="4" t="s">
        <v>152</v>
      </c>
    </row>
    <row r="6" spans="2:11" x14ac:dyDescent="0.25">
      <c r="B6" s="1" t="s">
        <v>147</v>
      </c>
      <c r="C6" s="1">
        <v>0.60199999999999998</v>
      </c>
      <c r="D6" s="4" t="s">
        <v>152</v>
      </c>
    </row>
    <row r="7" spans="2:11" x14ac:dyDescent="0.25">
      <c r="B7" s="1" t="s">
        <v>153</v>
      </c>
      <c r="C7" s="1">
        <f>1.75*C5</f>
        <v>3.3249999999999997</v>
      </c>
      <c r="D7" s="4" t="s">
        <v>152</v>
      </c>
    </row>
    <row r="8" spans="2:11" x14ac:dyDescent="0.25">
      <c r="B8" s="1" t="s">
        <v>147</v>
      </c>
      <c r="C8" s="1">
        <f>C5-C6</f>
        <v>1.298</v>
      </c>
      <c r="D8" s="4" t="s">
        <v>152</v>
      </c>
    </row>
    <row r="9" spans="2:11" x14ac:dyDescent="0.25">
      <c r="B9" s="138" t="s">
        <v>670</v>
      </c>
      <c r="C9" s="138"/>
      <c r="D9" s="138"/>
    </row>
    <row r="10" spans="2:11" x14ac:dyDescent="0.25">
      <c r="B10" s="4" t="s">
        <v>664</v>
      </c>
      <c r="C10" s="144">
        <v>11410000</v>
      </c>
      <c r="D10" s="144"/>
    </row>
    <row r="11" spans="2:11" x14ac:dyDescent="0.25">
      <c r="B11" s="138" t="s">
        <v>671</v>
      </c>
      <c r="C11" s="138"/>
      <c r="D11" s="138"/>
    </row>
    <row r="12" spans="2:11" x14ac:dyDescent="0.25">
      <c r="B12" s="4" t="s">
        <v>665</v>
      </c>
      <c r="C12" s="144">
        <v>-241786.5</v>
      </c>
      <c r="D12" s="144"/>
      <c r="K12" t="s">
        <v>669</v>
      </c>
    </row>
    <row r="13" spans="2:11" x14ac:dyDescent="0.25">
      <c r="B13" s="18" t="s">
        <v>422</v>
      </c>
      <c r="C13" s="18" t="s">
        <v>421</v>
      </c>
      <c r="D13" s="18" t="s">
        <v>658</v>
      </c>
    </row>
    <row r="14" spans="2:11" x14ac:dyDescent="0.25">
      <c r="B14" s="1" t="s">
        <v>423</v>
      </c>
      <c r="C14" s="1">
        <v>1</v>
      </c>
      <c r="D14" s="4" t="s">
        <v>152</v>
      </c>
    </row>
    <row r="15" spans="2:11" x14ac:dyDescent="0.25">
      <c r="B15" s="1" t="s">
        <v>426</v>
      </c>
      <c r="C15" s="1">
        <v>1.1000000000000001</v>
      </c>
      <c r="D15" s="4" t="s">
        <v>152</v>
      </c>
    </row>
    <row r="16" spans="2:11" x14ac:dyDescent="0.25">
      <c r="B16" s="1" t="s">
        <v>149</v>
      </c>
      <c r="C16" s="1">
        <v>0.40100000000000002</v>
      </c>
      <c r="D16" s="4" t="s">
        <v>152</v>
      </c>
    </row>
    <row r="17" spans="2:4" x14ac:dyDescent="0.25">
      <c r="B17" s="1" t="s">
        <v>147</v>
      </c>
      <c r="C17" s="1">
        <v>1.298</v>
      </c>
      <c r="D17" s="4" t="s">
        <v>152</v>
      </c>
    </row>
    <row r="18" spans="2:4" x14ac:dyDescent="0.25">
      <c r="B18" s="1" t="s">
        <v>153</v>
      </c>
      <c r="C18" s="1">
        <v>3.3250000000000002</v>
      </c>
      <c r="D18" s="4" t="s">
        <v>152</v>
      </c>
    </row>
    <row r="19" spans="2:4" x14ac:dyDescent="0.25">
      <c r="B19" s="138" t="s">
        <v>672</v>
      </c>
      <c r="C19" s="138"/>
      <c r="D19" s="138"/>
    </row>
    <row r="20" spans="2:4" x14ac:dyDescent="0.25">
      <c r="B20" s="4" t="s">
        <v>666</v>
      </c>
      <c r="C20" s="144">
        <v>-3833090</v>
      </c>
      <c r="D20" s="144"/>
    </row>
  </sheetData>
  <mergeCells count="8">
    <mergeCell ref="B19:D19"/>
    <mergeCell ref="C20:D20"/>
    <mergeCell ref="B2:D2"/>
    <mergeCell ref="B3:D3"/>
    <mergeCell ref="B9:D9"/>
    <mergeCell ref="C10:D10"/>
    <mergeCell ref="B11:D11"/>
    <mergeCell ref="C12:D1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H8"/>
  <sheetViews>
    <sheetView workbookViewId="0">
      <selection activeCell="B3" sqref="B3:H3"/>
    </sheetView>
  </sheetViews>
  <sheetFormatPr defaultRowHeight="15" x14ac:dyDescent="0.25"/>
  <cols>
    <col min="3" max="3" width="27.140625" bestFit="1" customWidth="1"/>
    <col min="4" max="4" width="6.42578125" bestFit="1" customWidth="1"/>
    <col min="5" max="5" width="5.85546875" bestFit="1" customWidth="1"/>
    <col min="6" max="6" width="9.42578125" bestFit="1" customWidth="1"/>
    <col min="7" max="7" width="9.85546875" bestFit="1" customWidth="1"/>
    <col min="8" max="8" width="17.42578125" bestFit="1" customWidth="1"/>
  </cols>
  <sheetData>
    <row r="2" spans="2:8" x14ac:dyDescent="0.25">
      <c r="B2" s="103" t="s">
        <v>904</v>
      </c>
      <c r="C2" s="103"/>
      <c r="D2" s="103"/>
      <c r="E2" s="103"/>
      <c r="F2" s="103"/>
      <c r="G2" s="103"/>
      <c r="H2" s="103"/>
    </row>
    <row r="3" spans="2:8" x14ac:dyDescent="0.25">
      <c r="B3" s="112" t="s">
        <v>650</v>
      </c>
      <c r="C3" s="112"/>
      <c r="D3" s="112"/>
      <c r="E3" s="112"/>
      <c r="F3" s="112"/>
      <c r="G3" s="112"/>
      <c r="H3" s="112"/>
    </row>
    <row r="4" spans="2:8" x14ac:dyDescent="0.25">
      <c r="B4" s="41"/>
      <c r="C4" s="110" t="s">
        <v>631</v>
      </c>
      <c r="D4" s="112" t="s">
        <v>632</v>
      </c>
      <c r="E4" s="112"/>
      <c r="F4" s="112"/>
      <c r="G4" s="112"/>
      <c r="H4" s="110" t="s">
        <v>651</v>
      </c>
    </row>
    <row r="5" spans="2:8" x14ac:dyDescent="0.25">
      <c r="B5" s="41" t="s">
        <v>652</v>
      </c>
      <c r="C5" s="110"/>
      <c r="D5" s="41" t="s">
        <v>637</v>
      </c>
      <c r="E5" s="41" t="s">
        <v>638</v>
      </c>
      <c r="F5" s="41" t="s">
        <v>639</v>
      </c>
      <c r="G5" s="41" t="s">
        <v>640</v>
      </c>
      <c r="H5" s="110"/>
    </row>
    <row r="6" spans="2:8" x14ac:dyDescent="0.25">
      <c r="B6" s="70" t="s">
        <v>153</v>
      </c>
      <c r="C6" s="70" t="s">
        <v>653</v>
      </c>
      <c r="D6" s="70">
        <v>800.6</v>
      </c>
      <c r="E6" s="70">
        <v>2.93</v>
      </c>
      <c r="F6" s="70">
        <v>0</v>
      </c>
      <c r="G6" s="70">
        <v>0</v>
      </c>
      <c r="H6" s="70" t="s">
        <v>654</v>
      </c>
    </row>
    <row r="7" spans="2:8" x14ac:dyDescent="0.25">
      <c r="B7" s="70" t="s">
        <v>642</v>
      </c>
      <c r="C7" s="70" t="s">
        <v>653</v>
      </c>
      <c r="D7" s="70">
        <v>800.6</v>
      </c>
      <c r="E7" s="70">
        <v>2.93</v>
      </c>
      <c r="F7" s="70">
        <v>0</v>
      </c>
      <c r="G7" s="70">
        <v>0</v>
      </c>
      <c r="H7" s="70" t="s">
        <v>654</v>
      </c>
    </row>
    <row r="8" spans="2:8" x14ac:dyDescent="0.25">
      <c r="B8" s="70" t="s">
        <v>44</v>
      </c>
      <c r="C8" s="70" t="s">
        <v>655</v>
      </c>
      <c r="D8" s="70">
        <v>-147.4</v>
      </c>
      <c r="E8" s="70">
        <v>2.3530000000000002</v>
      </c>
      <c r="F8" s="70">
        <v>-7.94E-4</v>
      </c>
      <c r="G8" s="70">
        <f>1.974*10^-7</f>
        <v>1.9739999999999998E-7</v>
      </c>
      <c r="H8" s="70" t="s">
        <v>656</v>
      </c>
    </row>
  </sheetData>
  <mergeCells count="5">
    <mergeCell ref="B3:H3"/>
    <mergeCell ref="C4:C5"/>
    <mergeCell ref="D4:G4"/>
    <mergeCell ref="H4:H5"/>
    <mergeCell ref="B2:H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U241"/>
  <sheetViews>
    <sheetView workbookViewId="0">
      <selection activeCell="B3" sqref="B3"/>
    </sheetView>
  </sheetViews>
  <sheetFormatPr defaultRowHeight="15" x14ac:dyDescent="0.25"/>
  <cols>
    <col min="2" max="2" width="26.5703125" bestFit="1" customWidth="1"/>
    <col min="3" max="3" width="15.85546875" bestFit="1" customWidth="1"/>
    <col min="4" max="4" width="17.42578125" bestFit="1" customWidth="1"/>
    <col min="5" max="5" width="18.140625" bestFit="1" customWidth="1"/>
    <col min="6" max="6" width="16.7109375" bestFit="1" customWidth="1"/>
    <col min="7" max="7" width="15.85546875" bestFit="1" customWidth="1"/>
    <col min="8" max="8" width="17.42578125" bestFit="1" customWidth="1"/>
    <col min="9" max="9" width="18.140625" bestFit="1" customWidth="1"/>
    <col min="10" max="10" width="16.7109375" bestFit="1" customWidth="1"/>
    <col min="11" max="11" width="15.85546875" bestFit="1" customWidth="1"/>
    <col min="12" max="12" width="17.42578125" bestFit="1" customWidth="1"/>
    <col min="13" max="13" width="18.140625" bestFit="1" customWidth="1"/>
    <col min="14" max="14" width="16.7109375" bestFit="1" customWidth="1"/>
    <col min="15" max="15" width="15.85546875" bestFit="1" customWidth="1"/>
    <col min="16" max="16" width="17.42578125" bestFit="1" customWidth="1"/>
    <col min="17" max="17" width="18.140625" bestFit="1" customWidth="1"/>
    <col min="18" max="18" width="16.7109375" bestFit="1" customWidth="1"/>
    <col min="19" max="19" width="15.85546875" bestFit="1" customWidth="1"/>
    <col min="20" max="20" width="17.42578125" bestFit="1" customWidth="1"/>
    <col min="21" max="21" width="18.140625" bestFit="1" customWidth="1"/>
  </cols>
  <sheetData>
    <row r="2" spans="2:21" x14ac:dyDescent="0.25">
      <c r="B2" s="103" t="s">
        <v>934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</row>
    <row r="3" spans="2:21" x14ac:dyDescent="0.25">
      <c r="B3" s="18" t="s">
        <v>749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</row>
    <row r="4" spans="2:21" x14ac:dyDescent="0.25">
      <c r="B4" s="138" t="s">
        <v>739</v>
      </c>
      <c r="C4" s="138"/>
      <c r="D4" s="138"/>
      <c r="E4" s="138"/>
      <c r="F4" s="138" t="s">
        <v>740</v>
      </c>
      <c r="G4" s="138"/>
      <c r="H4" s="138"/>
      <c r="I4" s="138"/>
      <c r="J4" s="138" t="s">
        <v>741</v>
      </c>
      <c r="K4" s="138"/>
      <c r="L4" s="138"/>
      <c r="M4" s="138"/>
      <c r="N4" s="138" t="s">
        <v>742</v>
      </c>
      <c r="O4" s="138"/>
      <c r="P4" s="138"/>
      <c r="Q4" s="138"/>
      <c r="R4" s="138" t="s">
        <v>743</v>
      </c>
      <c r="S4" s="138"/>
      <c r="T4" s="138"/>
      <c r="U4" s="138"/>
    </row>
    <row r="5" spans="2:21" x14ac:dyDescent="0.25">
      <c r="B5" s="18" t="s">
        <v>744</v>
      </c>
      <c r="C5" s="18" t="s">
        <v>745</v>
      </c>
      <c r="D5" s="18" t="s">
        <v>746</v>
      </c>
      <c r="E5" s="18" t="s">
        <v>747</v>
      </c>
      <c r="F5" s="18" t="s">
        <v>744</v>
      </c>
      <c r="G5" s="18" t="s">
        <v>745</v>
      </c>
      <c r="H5" s="18" t="s">
        <v>746</v>
      </c>
      <c r="I5" s="18" t="s">
        <v>747</v>
      </c>
      <c r="J5" s="18" t="s">
        <v>744</v>
      </c>
      <c r="K5" s="18" t="s">
        <v>745</v>
      </c>
      <c r="L5" s="18" t="s">
        <v>746</v>
      </c>
      <c r="M5" s="18" t="s">
        <v>747</v>
      </c>
      <c r="N5" s="18" t="s">
        <v>744</v>
      </c>
      <c r="O5" s="18" t="s">
        <v>745</v>
      </c>
      <c r="P5" s="18" t="s">
        <v>746</v>
      </c>
      <c r="Q5" s="18" t="s">
        <v>747</v>
      </c>
      <c r="R5" s="18" t="s">
        <v>744</v>
      </c>
      <c r="S5" s="18" t="s">
        <v>745</v>
      </c>
      <c r="T5" s="18" t="s">
        <v>746</v>
      </c>
      <c r="U5" s="18" t="s">
        <v>747</v>
      </c>
    </row>
    <row r="6" spans="2:21" x14ac:dyDescent="0.25">
      <c r="B6" s="1">
        <v>-5</v>
      </c>
      <c r="C6" s="48">
        <v>4.3663E-6</v>
      </c>
      <c r="D6" s="1">
        <v>0.99997999999999998</v>
      </c>
      <c r="E6" s="1">
        <f t="shared" ref="E6:E20" si="0">LOG10(C6/D6)</f>
        <v>-5.3598777420941426</v>
      </c>
      <c r="F6" s="1">
        <v>-5</v>
      </c>
      <c r="G6" s="48">
        <v>8.8212000000000001E-7</v>
      </c>
      <c r="H6" s="1">
        <v>0.99994000000000005</v>
      </c>
      <c r="I6" s="1">
        <f t="shared" ref="I6:I20" si="1">LOG10(G6/H6)</f>
        <v>-6.0544462727520978</v>
      </c>
      <c r="J6" s="1">
        <v>-5</v>
      </c>
      <c r="K6" s="48">
        <v>8.6867999999999994E-8</v>
      </c>
      <c r="L6" s="1">
        <v>0.99978999999999996</v>
      </c>
      <c r="M6" s="1">
        <f t="shared" ref="M6:M20" si="2">LOG10(K6/L6)</f>
        <v>-7.0610489659051927</v>
      </c>
      <c r="N6" s="1">
        <v>-5</v>
      </c>
      <c r="O6" s="48">
        <v>1.0093E-7</v>
      </c>
      <c r="P6" s="1">
        <v>0.99929999999999997</v>
      </c>
      <c r="Q6" s="1">
        <f t="shared" ref="Q6:Q20" si="3">LOG10(O6/P6)</f>
        <v>-6.995675614157598</v>
      </c>
      <c r="R6" s="1">
        <v>-5</v>
      </c>
      <c r="S6" s="48">
        <v>5.7444E-7</v>
      </c>
      <c r="T6" s="1">
        <v>0.99744999999999995</v>
      </c>
      <c r="U6" s="1">
        <f t="shared" ref="U6:U20" si="4">LOG10(S6/T6)</f>
        <v>-6.2396464611366387</v>
      </c>
    </row>
    <row r="7" spans="2:21" x14ac:dyDescent="0.25">
      <c r="B7" s="1">
        <v>-4</v>
      </c>
      <c r="C7" s="48">
        <v>6.4830000000000001E-5</v>
      </c>
      <c r="D7" s="1">
        <v>0.99987999999999999</v>
      </c>
      <c r="E7" s="1">
        <f t="shared" si="0"/>
        <v>-4.1881718599320976</v>
      </c>
      <c r="F7" s="1">
        <v>-4</v>
      </c>
      <c r="G7" s="48">
        <v>4.6903000000000001E-5</v>
      </c>
      <c r="H7" s="1">
        <v>0.99978999999999996</v>
      </c>
      <c r="I7" s="1">
        <f t="shared" si="1"/>
        <v>-4.328708166723807</v>
      </c>
      <c r="J7" s="1">
        <v>-4</v>
      </c>
      <c r="K7" s="48">
        <v>7.3344999999999998E-6</v>
      </c>
      <c r="L7" s="1">
        <v>0.99958000000000002</v>
      </c>
      <c r="M7" s="1">
        <f t="shared" si="2"/>
        <v>-5.1344470450910116</v>
      </c>
      <c r="N7" s="1">
        <v>-4</v>
      </c>
      <c r="O7" s="48">
        <v>4.5699999999999998E-7</v>
      </c>
      <c r="P7" s="1">
        <v>0.99922</v>
      </c>
      <c r="Q7" s="1">
        <f t="shared" si="3"/>
        <v>-6.3397449180531451</v>
      </c>
      <c r="R7" s="1">
        <v>-4</v>
      </c>
      <c r="S7" s="48">
        <v>7.9095000000000003E-7</v>
      </c>
      <c r="T7" s="1">
        <v>0.99743000000000004</v>
      </c>
      <c r="U7" s="1">
        <f t="shared" si="4"/>
        <v>-6.1007333960964809</v>
      </c>
    </row>
    <row r="8" spans="2:21" x14ac:dyDescent="0.25">
      <c r="B8" s="1">
        <v>-3</v>
      </c>
      <c r="C8" s="48">
        <v>7.8611999999999996E-4</v>
      </c>
      <c r="D8" s="1">
        <v>0.99890999999999996</v>
      </c>
      <c r="E8" s="1">
        <f t="shared" si="0"/>
        <v>-3.1040375153548956</v>
      </c>
      <c r="F8" s="1">
        <v>-3</v>
      </c>
      <c r="G8" s="48">
        <v>7.5217999999999997E-4</v>
      </c>
      <c r="H8" s="1">
        <v>0.99875000000000003</v>
      </c>
      <c r="I8" s="1">
        <f t="shared" si="1"/>
        <v>-3.1231350107032472</v>
      </c>
      <c r="J8" s="1">
        <v>-3</v>
      </c>
      <c r="K8" s="48">
        <v>5.7781E-4</v>
      </c>
      <c r="L8" s="1">
        <v>0.99809999999999999</v>
      </c>
      <c r="M8" s="1">
        <f t="shared" si="2"/>
        <v>-3.2373890017991753</v>
      </c>
      <c r="N8" s="1">
        <v>-3</v>
      </c>
      <c r="O8" s="48">
        <v>2.2096E-4</v>
      </c>
      <c r="P8" s="1">
        <v>0.99678999999999995</v>
      </c>
      <c r="Q8" s="1">
        <f t="shared" si="3"/>
        <v>-3.6542900111718266</v>
      </c>
      <c r="R8" s="1">
        <v>-3</v>
      </c>
      <c r="S8" s="48">
        <v>2.3541999999999999E-5</v>
      </c>
      <c r="T8" s="1">
        <v>0.99561999999999995</v>
      </c>
      <c r="U8" s="1">
        <f t="shared" si="4"/>
        <v>-4.6262502567586861</v>
      </c>
    </row>
    <row r="9" spans="2:21" x14ac:dyDescent="0.25">
      <c r="B9" s="1">
        <v>-2</v>
      </c>
      <c r="C9" s="48">
        <v>8.6060000000000008E-3</v>
      </c>
      <c r="D9" s="1">
        <v>0.98967000000000005</v>
      </c>
      <c r="E9" s="1">
        <f t="shared" si="0"/>
        <v>-2.0606890638908779</v>
      </c>
      <c r="F9" s="1">
        <v>-2</v>
      </c>
      <c r="G9" s="48">
        <v>8.6225999999999994E-3</v>
      </c>
      <c r="H9" s="1">
        <v>0.98938000000000004</v>
      </c>
      <c r="I9" s="1">
        <f t="shared" si="1"/>
        <v>-2.0597248872244682</v>
      </c>
      <c r="J9" s="1">
        <v>-2</v>
      </c>
      <c r="K9" s="48">
        <v>8.2941000000000004E-3</v>
      </c>
      <c r="L9" s="1">
        <v>0.98812999999999995</v>
      </c>
      <c r="M9" s="1">
        <f t="shared" si="2"/>
        <v>-2.0760448175939499</v>
      </c>
      <c r="N9" s="1">
        <v>-2</v>
      </c>
      <c r="O9" s="48">
        <v>7.2573000000000004E-3</v>
      </c>
      <c r="P9" s="1">
        <v>0.98468</v>
      </c>
      <c r="Q9" s="1">
        <f t="shared" si="3"/>
        <v>-2.1325200407990517</v>
      </c>
      <c r="R9" s="1">
        <v>-2</v>
      </c>
      <c r="S9" s="48">
        <v>5.1869000000000004E-3</v>
      </c>
      <c r="T9" s="1">
        <v>0.97797000000000001</v>
      </c>
      <c r="U9" s="1">
        <f t="shared" si="4"/>
        <v>-2.2754176575026075</v>
      </c>
    </row>
    <row r="10" spans="2:21" x14ac:dyDescent="0.25">
      <c r="B10" s="1">
        <v>-1</v>
      </c>
      <c r="C10" s="48">
        <v>8.2738000000000006E-2</v>
      </c>
      <c r="D10" s="1">
        <v>0.90734000000000004</v>
      </c>
      <c r="E10" s="1">
        <f t="shared" si="0"/>
        <v>-1.0400650385107617</v>
      </c>
      <c r="F10" s="1">
        <v>-1</v>
      </c>
      <c r="G10" s="48">
        <v>8.4071000000000007E-2</v>
      </c>
      <c r="H10" s="1">
        <v>0.90658000000000005</v>
      </c>
      <c r="I10" s="1">
        <f t="shared" si="1"/>
        <v>-1.0327599206332347</v>
      </c>
      <c r="J10" s="1">
        <v>-1</v>
      </c>
      <c r="K10" s="48">
        <v>8.3958000000000005E-2</v>
      </c>
      <c r="L10" s="1">
        <v>0.90444999999999998</v>
      </c>
      <c r="M10" s="1">
        <f t="shared" si="2"/>
        <v>-1.0323224785821887</v>
      </c>
      <c r="N10" s="1">
        <v>-1</v>
      </c>
      <c r="O10" s="48">
        <v>8.2161999999999999E-2</v>
      </c>
      <c r="P10" s="1">
        <v>0.89849000000000001</v>
      </c>
      <c r="Q10" s="1">
        <f t="shared" si="3"/>
        <v>-1.0388422454871831</v>
      </c>
      <c r="R10" s="1">
        <v>-1</v>
      </c>
      <c r="S10" s="48">
        <v>7.7687999999999993E-2</v>
      </c>
      <c r="T10" s="1">
        <v>0.88563000000000003</v>
      </c>
      <c r="U10" s="1">
        <f t="shared" si="4"/>
        <v>-1.0568983783800012</v>
      </c>
    </row>
    <row r="11" spans="2:21" x14ac:dyDescent="0.25">
      <c r="B11" s="1">
        <v>0</v>
      </c>
      <c r="C11" s="1">
        <v>0.46133999999999997</v>
      </c>
      <c r="D11" s="1">
        <v>0.49680999999999997</v>
      </c>
      <c r="E11" s="1">
        <f t="shared" si="0"/>
        <v>-3.216921763039083E-2</v>
      </c>
      <c r="F11" s="1">
        <v>0</v>
      </c>
      <c r="G11" s="1">
        <v>0.47665000000000002</v>
      </c>
      <c r="H11" s="1">
        <v>0.49324000000000001</v>
      </c>
      <c r="I11" s="1">
        <f t="shared" si="1"/>
        <v>-1.4858691722986438E-2</v>
      </c>
      <c r="J11" s="1">
        <v>0</v>
      </c>
      <c r="K11" s="1">
        <v>0.48058000000000001</v>
      </c>
      <c r="L11" s="1">
        <v>0.49058000000000002</v>
      </c>
      <c r="M11" s="1">
        <f t="shared" si="2"/>
        <v>-8.9441458035580835E-3</v>
      </c>
      <c r="N11" s="1">
        <v>0</v>
      </c>
      <c r="O11" s="1">
        <v>0.47946</v>
      </c>
      <c r="P11" s="1">
        <v>0.48462</v>
      </c>
      <c r="Q11" s="1">
        <f t="shared" si="3"/>
        <v>-4.6489522147971285E-3</v>
      </c>
      <c r="R11" s="1">
        <v>0</v>
      </c>
      <c r="S11" s="1">
        <v>0.47294999999999998</v>
      </c>
      <c r="T11" s="1">
        <v>0.47194999999999998</v>
      </c>
      <c r="U11" s="1">
        <f t="shared" si="4"/>
        <v>9.1923937780468941E-4</v>
      </c>
    </row>
    <row r="12" spans="2:21" x14ac:dyDescent="0.25">
      <c r="B12" s="1">
        <v>1</v>
      </c>
      <c r="C12" s="1">
        <v>0.84841999999999995</v>
      </c>
      <c r="D12" s="48">
        <v>8.6513999999999994E-2</v>
      </c>
      <c r="E12" s="1">
        <f t="shared" si="0"/>
        <v>0.99152450547544613</v>
      </c>
      <c r="F12" s="1">
        <v>1</v>
      </c>
      <c r="G12" s="1">
        <v>0.88138000000000005</v>
      </c>
      <c r="H12" s="48">
        <v>8.4782999999999997E-2</v>
      </c>
      <c r="I12" s="1">
        <f t="shared" si="1"/>
        <v>1.016854411634442</v>
      </c>
      <c r="J12" s="1">
        <v>1</v>
      </c>
      <c r="K12" s="1">
        <v>0.89065000000000005</v>
      </c>
      <c r="L12" s="48">
        <v>8.3811999999999998E-2</v>
      </c>
      <c r="M12" s="1">
        <f t="shared" si="2"/>
        <v>1.0264008679212551</v>
      </c>
      <c r="N12" s="1">
        <v>1</v>
      </c>
      <c r="O12" s="1">
        <v>0.89271</v>
      </c>
      <c r="P12" s="48">
        <v>8.1591999999999998E-2</v>
      </c>
      <c r="Q12" s="1">
        <f t="shared" si="3"/>
        <v>1.0390628209248516</v>
      </c>
      <c r="R12" s="1">
        <v>1</v>
      </c>
      <c r="S12" s="1">
        <v>0.88966000000000001</v>
      </c>
      <c r="T12" s="48">
        <v>7.6874999999999999E-2</v>
      </c>
      <c r="U12" s="1">
        <f t="shared" si="4"/>
        <v>1.0634389359111305</v>
      </c>
    </row>
    <row r="13" spans="2:21" x14ac:dyDescent="0.25">
      <c r="B13" s="1">
        <v>2</v>
      </c>
      <c r="C13" s="1">
        <v>0.92935999999999996</v>
      </c>
      <c r="D13" s="48">
        <v>7.8393999999999998E-3</v>
      </c>
      <c r="E13" s="1">
        <f t="shared" si="0"/>
        <v>2.0739011517591344</v>
      </c>
      <c r="F13" s="1">
        <v>2</v>
      </c>
      <c r="G13" s="1">
        <v>0.96562999999999999</v>
      </c>
      <c r="H13" s="48">
        <v>7.6603000000000001E-3</v>
      </c>
      <c r="I13" s="1">
        <f t="shared" si="1"/>
        <v>2.1005649716513153</v>
      </c>
      <c r="J13" s="1">
        <v>2</v>
      </c>
      <c r="K13" s="1">
        <v>0.97618000000000005</v>
      </c>
      <c r="L13" s="48">
        <v>7.4795E-3</v>
      </c>
      <c r="M13" s="1">
        <f t="shared" si="2"/>
        <v>2.1156573390612117</v>
      </c>
      <c r="N13" s="1">
        <v>2</v>
      </c>
      <c r="O13" s="1">
        <v>0.97989999999999999</v>
      </c>
      <c r="P13" s="48">
        <v>6.9426000000000002E-3</v>
      </c>
      <c r="Q13" s="1">
        <f t="shared" si="3"/>
        <v>2.1496596136985251</v>
      </c>
      <c r="R13" s="1">
        <v>2</v>
      </c>
      <c r="S13" s="1">
        <v>0.98</v>
      </c>
      <c r="T13" s="48">
        <v>5.8525000000000001E-3</v>
      </c>
      <c r="U13" s="1">
        <f t="shared" si="4"/>
        <v>2.2238846533238328</v>
      </c>
    </row>
    <row r="14" spans="2:21" x14ac:dyDescent="0.25">
      <c r="B14" s="1">
        <v>3</v>
      </c>
      <c r="C14" s="1">
        <v>0.93942000000000003</v>
      </c>
      <c r="D14" s="48">
        <v>4.4901000000000001E-4</v>
      </c>
      <c r="E14" s="1">
        <f t="shared" si="0"/>
        <v>3.32060378858026</v>
      </c>
      <c r="F14" s="1">
        <v>3</v>
      </c>
      <c r="G14" s="1">
        <v>0.97607999999999995</v>
      </c>
      <c r="H14" s="48">
        <v>4.3948000000000001E-4</v>
      </c>
      <c r="I14" s="1">
        <f t="shared" si="1"/>
        <v>3.3465462982724441</v>
      </c>
      <c r="J14" s="1">
        <v>3</v>
      </c>
      <c r="K14" s="1">
        <v>0.98685</v>
      </c>
      <c r="L14" s="48">
        <v>4.1475000000000003E-4</v>
      </c>
      <c r="M14" s="1">
        <f t="shared" si="2"/>
        <v>3.376464750756468</v>
      </c>
      <c r="N14" s="1">
        <v>3</v>
      </c>
      <c r="O14" s="1">
        <v>0.99104999999999999</v>
      </c>
      <c r="P14" s="48">
        <v>3.3740000000000002E-4</v>
      </c>
      <c r="Q14" s="1">
        <f t="shared" si="3"/>
        <v>3.4679504876108926</v>
      </c>
      <c r="R14" s="1">
        <v>3</v>
      </c>
      <c r="S14" s="1">
        <v>0.99209999999999998</v>
      </c>
      <c r="T14" s="48">
        <v>2.1586000000000001E-4</v>
      </c>
      <c r="U14" s="1">
        <f t="shared" si="4"/>
        <v>3.6623832769087592</v>
      </c>
    </row>
    <row r="15" spans="2:21" x14ac:dyDescent="0.25">
      <c r="B15" s="1">
        <v>4</v>
      </c>
      <c r="C15" s="1">
        <v>0.94071000000000005</v>
      </c>
      <c r="D15" s="48">
        <v>1.1131999999999999E-5</v>
      </c>
      <c r="E15" s="1">
        <f t="shared" si="0"/>
        <v>4.9268825630544733</v>
      </c>
      <c r="F15" s="1">
        <v>4</v>
      </c>
      <c r="G15" s="1">
        <v>0.97741999999999996</v>
      </c>
      <c r="H15" s="48">
        <v>1.0930999999999999E-5</v>
      </c>
      <c r="I15" s="1">
        <f t="shared" si="1"/>
        <v>4.9514213270284664</v>
      </c>
      <c r="J15" s="1">
        <v>4</v>
      </c>
      <c r="K15" s="1">
        <v>0.98823000000000005</v>
      </c>
      <c r="L15" s="48">
        <v>9.7903000000000001E-6</v>
      </c>
      <c r="M15" s="1">
        <f t="shared" si="2"/>
        <v>5.004062033855595</v>
      </c>
      <c r="N15" s="1">
        <v>4</v>
      </c>
      <c r="O15" s="1">
        <v>0.99251</v>
      </c>
      <c r="P15" s="48">
        <v>6.6780000000000003E-6</v>
      </c>
      <c r="Q15" s="1">
        <f t="shared" si="3"/>
        <v>5.1720884764577981</v>
      </c>
      <c r="R15" s="1">
        <v>4</v>
      </c>
      <c r="S15" s="1">
        <v>0.99368000000000001</v>
      </c>
      <c r="T15" s="48">
        <v>3.2841E-6</v>
      </c>
      <c r="U15" s="1">
        <f t="shared" si="4"/>
        <v>5.4808301759704934</v>
      </c>
    </row>
    <row r="16" spans="2:21" x14ac:dyDescent="0.25">
      <c r="B16" s="1">
        <v>5</v>
      </c>
      <c r="C16" s="1">
        <v>0.94086999999999998</v>
      </c>
      <c r="D16" s="48">
        <v>1.3603000000000001E-7</v>
      </c>
      <c r="E16" s="1">
        <f t="shared" si="0"/>
        <v>6.8398949230485755</v>
      </c>
      <c r="F16" s="1">
        <v>5</v>
      </c>
      <c r="G16" s="1">
        <v>0.97758999999999996</v>
      </c>
      <c r="H16" s="48">
        <v>1.3377000000000001E-7</v>
      </c>
      <c r="I16" s="1">
        <f t="shared" si="1"/>
        <v>6.8637980233506584</v>
      </c>
      <c r="J16" s="1">
        <v>5</v>
      </c>
      <c r="K16" s="1">
        <v>0.98839999999999995</v>
      </c>
      <c r="L16" s="48">
        <v>1.1735E-7</v>
      </c>
      <c r="M16" s="1">
        <f t="shared" si="2"/>
        <v>6.9254496427954306</v>
      </c>
      <c r="N16" s="1">
        <v>5</v>
      </c>
      <c r="O16" s="1">
        <v>0.99268000000000001</v>
      </c>
      <c r="P16" s="48">
        <v>7.5488999999999995E-8</v>
      </c>
      <c r="Q16" s="1">
        <f t="shared" si="3"/>
        <v>7.1189255997018677</v>
      </c>
      <c r="R16" s="1">
        <v>5</v>
      </c>
      <c r="S16" s="1">
        <v>0.99385000000000001</v>
      </c>
      <c r="T16" s="48">
        <v>3.4861999999999998E-8</v>
      </c>
      <c r="U16" s="1">
        <f t="shared" si="4"/>
        <v>7.4549685435024218</v>
      </c>
    </row>
    <row r="17" spans="2:21" x14ac:dyDescent="0.25">
      <c r="B17" s="1">
        <v>6</v>
      </c>
      <c r="C17" s="1">
        <v>0.94089</v>
      </c>
      <c r="D17" s="48">
        <v>1.393E-9</v>
      </c>
      <c r="E17" s="1">
        <f t="shared" si="0"/>
        <v>8.8295877363492554</v>
      </c>
      <c r="F17" s="1">
        <v>6</v>
      </c>
      <c r="G17" s="1">
        <v>0.97760999999999998</v>
      </c>
      <c r="H17" s="48">
        <v>1.37E-9</v>
      </c>
      <c r="I17" s="1">
        <f t="shared" si="1"/>
        <v>8.85344506817518</v>
      </c>
      <c r="J17" s="1">
        <v>6</v>
      </c>
      <c r="K17" s="1">
        <v>0.98841999999999997</v>
      </c>
      <c r="L17" s="48">
        <v>1.1984999999999999E-9</v>
      </c>
      <c r="M17" s="1">
        <f t="shared" si="2"/>
        <v>8.916303486099908</v>
      </c>
      <c r="N17" s="1">
        <v>6</v>
      </c>
      <c r="O17" s="1">
        <v>0.99270000000000003</v>
      </c>
      <c r="P17" s="48">
        <v>7.6520999999999999E-10</v>
      </c>
      <c r="Q17" s="1">
        <f t="shared" si="3"/>
        <v>9.1130373849931008</v>
      </c>
      <c r="R17" s="1">
        <v>6</v>
      </c>
      <c r="S17" s="1">
        <v>0.99387000000000003</v>
      </c>
      <c r="T17" s="48">
        <v>3.5081999999999998E-10</v>
      </c>
      <c r="U17" s="1">
        <f t="shared" si="4"/>
        <v>9.4522452373847266</v>
      </c>
    </row>
    <row r="18" spans="2:21" x14ac:dyDescent="0.25">
      <c r="B18" s="1">
        <v>7</v>
      </c>
      <c r="C18" s="1">
        <v>0.94089</v>
      </c>
      <c r="D18" s="48">
        <v>1.3962999999999999E-11</v>
      </c>
      <c r="E18" s="1">
        <f t="shared" si="0"/>
        <v>10.828560114753188</v>
      </c>
      <c r="F18" s="1">
        <v>7</v>
      </c>
      <c r="G18" s="1">
        <v>0.97760999999999998</v>
      </c>
      <c r="H18" s="48">
        <v>1.3733999999999999E-11</v>
      </c>
      <c r="I18" s="1">
        <f t="shared" si="1"/>
        <v>10.8523685922734</v>
      </c>
      <c r="J18" s="1">
        <v>7</v>
      </c>
      <c r="K18" s="1">
        <v>0.98841999999999997</v>
      </c>
      <c r="L18" s="48">
        <v>1.2011E-11</v>
      </c>
      <c r="M18" s="1">
        <f t="shared" si="2"/>
        <v>10.91536235749945</v>
      </c>
      <c r="N18" s="1">
        <v>7</v>
      </c>
      <c r="O18" s="1">
        <v>0.99270000000000003</v>
      </c>
      <c r="P18" s="48">
        <v>7.6625999999999993E-12</v>
      </c>
      <c r="Q18" s="1">
        <f t="shared" si="3"/>
        <v>11.112441866599074</v>
      </c>
      <c r="R18" s="1">
        <v>7</v>
      </c>
      <c r="S18" s="1">
        <v>0.99387000000000003</v>
      </c>
      <c r="T18" s="48">
        <v>3.5104000000000001E-12</v>
      </c>
      <c r="U18" s="1">
        <f t="shared" si="4"/>
        <v>11.451972975711037</v>
      </c>
    </row>
    <row r="19" spans="2:21" x14ac:dyDescent="0.25">
      <c r="B19" s="1">
        <v>8</v>
      </c>
      <c r="C19" s="1">
        <v>0.94089</v>
      </c>
      <c r="D19" s="48">
        <v>1.3967E-13</v>
      </c>
      <c r="E19" s="1">
        <f t="shared" si="0"/>
        <v>12.828435719626837</v>
      </c>
      <c r="F19" s="1">
        <v>8</v>
      </c>
      <c r="G19" s="1">
        <v>0.97760999999999998</v>
      </c>
      <c r="H19" s="48">
        <v>1.3737E-13</v>
      </c>
      <c r="I19" s="1">
        <f t="shared" si="1"/>
        <v>12.852273737084229</v>
      </c>
      <c r="J19" s="1">
        <v>8</v>
      </c>
      <c r="K19" s="1">
        <v>0.98841999999999997</v>
      </c>
      <c r="L19" s="48">
        <v>1.2014000000000001E-13</v>
      </c>
      <c r="M19" s="1">
        <f t="shared" si="2"/>
        <v>12.915253896858244</v>
      </c>
      <c r="N19" s="1">
        <v>8</v>
      </c>
      <c r="O19" s="1">
        <v>0.99270000000000003</v>
      </c>
      <c r="P19" s="48">
        <v>7.6636999999999999E-14</v>
      </c>
      <c r="Q19" s="1">
        <f t="shared" si="3"/>
        <v>13.112379526186722</v>
      </c>
      <c r="R19" s="1">
        <v>8</v>
      </c>
      <c r="S19" s="1">
        <v>0.99387000000000003</v>
      </c>
      <c r="T19" s="48">
        <v>3.5106000000000002E-14</v>
      </c>
      <c r="U19" s="1">
        <f t="shared" si="4"/>
        <v>13.451948233111292</v>
      </c>
    </row>
    <row r="20" spans="2:21" x14ac:dyDescent="0.25">
      <c r="B20" s="1">
        <v>9</v>
      </c>
      <c r="C20" s="1">
        <v>0.94089</v>
      </c>
      <c r="D20" s="48">
        <v>1.3967E-15</v>
      </c>
      <c r="E20" s="1">
        <f t="shared" si="0"/>
        <v>14.828435719626837</v>
      </c>
      <c r="F20" s="1">
        <v>9</v>
      </c>
      <c r="G20" s="1">
        <v>0.97760999999999998</v>
      </c>
      <c r="H20" s="48">
        <v>1.3737E-15</v>
      </c>
      <c r="I20" s="1">
        <f t="shared" si="1"/>
        <v>14.852273737084229</v>
      </c>
      <c r="J20" s="1">
        <v>9</v>
      </c>
      <c r="K20" s="1">
        <v>0.98841999999999997</v>
      </c>
      <c r="L20" s="48">
        <v>1.2014E-15</v>
      </c>
      <c r="M20" s="1">
        <f t="shared" si="2"/>
        <v>14.915253896858244</v>
      </c>
      <c r="N20" s="1">
        <v>9</v>
      </c>
      <c r="O20" s="1">
        <v>0.99270000000000003</v>
      </c>
      <c r="P20" s="48">
        <v>7.6638000000000004E-16</v>
      </c>
      <c r="Q20" s="1">
        <f t="shared" si="3"/>
        <v>15.112373859320215</v>
      </c>
      <c r="R20" s="1">
        <v>9</v>
      </c>
      <c r="S20" s="1">
        <v>0.99387000000000003</v>
      </c>
      <c r="T20" s="48">
        <v>3.5105999999999998E-16</v>
      </c>
      <c r="U20" s="1">
        <f t="shared" si="4"/>
        <v>15.451948233111292</v>
      </c>
    </row>
    <row r="21" spans="2:21" x14ac:dyDescent="0.25">
      <c r="B21" s="18" t="s">
        <v>750</v>
      </c>
      <c r="C21" s="127" t="s">
        <v>748</v>
      </c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</row>
    <row r="22" spans="2:21" x14ac:dyDescent="0.25">
      <c r="B22" s="138" t="s">
        <v>739</v>
      </c>
      <c r="C22" s="138"/>
      <c r="D22" s="138"/>
      <c r="E22" s="138"/>
      <c r="F22" s="138" t="s">
        <v>740</v>
      </c>
      <c r="G22" s="138"/>
      <c r="H22" s="138"/>
      <c r="I22" s="138"/>
      <c r="J22" s="138" t="s">
        <v>741</v>
      </c>
      <c r="K22" s="138"/>
      <c r="L22" s="138"/>
      <c r="M22" s="138"/>
      <c r="N22" s="138" t="s">
        <v>742</v>
      </c>
      <c r="O22" s="138"/>
      <c r="P22" s="138"/>
      <c r="Q22" s="138"/>
      <c r="R22" s="138" t="s">
        <v>743</v>
      </c>
      <c r="S22" s="138"/>
      <c r="T22" s="138"/>
      <c r="U22" s="138"/>
    </row>
    <row r="23" spans="2:21" x14ac:dyDescent="0.25">
      <c r="B23" s="18" t="s">
        <v>744</v>
      </c>
      <c r="C23" s="18" t="s">
        <v>745</v>
      </c>
      <c r="D23" s="18" t="s">
        <v>746</v>
      </c>
      <c r="E23" s="18" t="s">
        <v>747</v>
      </c>
      <c r="F23" s="18" t="s">
        <v>744</v>
      </c>
      <c r="G23" s="18" t="s">
        <v>745</v>
      </c>
      <c r="H23" s="18" t="s">
        <v>746</v>
      </c>
      <c r="I23" s="18" t="s">
        <v>747</v>
      </c>
      <c r="J23" s="18" t="s">
        <v>744</v>
      </c>
      <c r="K23" s="18" t="s">
        <v>745</v>
      </c>
      <c r="L23" s="18" t="s">
        <v>746</v>
      </c>
      <c r="M23" s="18" t="s">
        <v>747</v>
      </c>
      <c r="N23" s="18" t="s">
        <v>744</v>
      </c>
      <c r="O23" s="18" t="s">
        <v>745</v>
      </c>
      <c r="P23" s="18" t="s">
        <v>746</v>
      </c>
      <c r="Q23" s="18" t="s">
        <v>747</v>
      </c>
      <c r="R23" s="18" t="s">
        <v>744</v>
      </c>
      <c r="S23" s="18" t="s">
        <v>745</v>
      </c>
      <c r="T23" s="18" t="s">
        <v>746</v>
      </c>
      <c r="U23" s="18" t="s">
        <v>747</v>
      </c>
    </row>
    <row r="24" spans="2:21" x14ac:dyDescent="0.25">
      <c r="B24" s="1">
        <v>0</v>
      </c>
      <c r="C24" s="1">
        <v>0.52975000000000005</v>
      </c>
      <c r="D24" s="1">
        <v>0.1424</v>
      </c>
      <c r="E24" s="1">
        <f t="shared" ref="E24:E33" si="5">LOG10(C24/D24)</f>
        <v>0.57056097608199463</v>
      </c>
      <c r="F24" s="1">
        <v>0</v>
      </c>
      <c r="G24" s="1">
        <v>0.54232999999999998</v>
      </c>
      <c r="H24" s="1">
        <v>0.14779</v>
      </c>
      <c r="I24" s="1">
        <f t="shared" ref="I24:I33" si="6">LOG10(G24/H24)</f>
        <v>0.56461857977789864</v>
      </c>
      <c r="J24" s="1">
        <v>0</v>
      </c>
      <c r="K24" s="1">
        <v>0.53444000000000003</v>
      </c>
      <c r="L24" s="1">
        <v>0.16167999999999999</v>
      </c>
      <c r="M24" s="1">
        <f t="shared" ref="M24:M33" si="7">LOG10(K24/L24)</f>
        <v>0.51924265481571918</v>
      </c>
      <c r="N24" s="1">
        <v>0</v>
      </c>
      <c r="O24" s="1">
        <v>0.51661999999999997</v>
      </c>
      <c r="P24" s="1">
        <v>0.17960999999999999</v>
      </c>
      <c r="Q24" s="1">
        <f t="shared" ref="Q24:Q33" si="8">LOG10(O24/P24)</f>
        <v>0.45884070221528583</v>
      </c>
      <c r="R24" s="1">
        <v>0</v>
      </c>
      <c r="S24" s="1">
        <v>0.49479000000000001</v>
      </c>
      <c r="T24" s="1">
        <v>0.19308</v>
      </c>
      <c r="U24" s="1">
        <f t="shared" ref="U24:U33" si="9">LOG10(S24/T24)</f>
        <v>0.40868362354950405</v>
      </c>
    </row>
    <row r="25" spans="2:21" x14ac:dyDescent="0.25">
      <c r="B25" s="1">
        <v>1</v>
      </c>
      <c r="C25" s="1">
        <v>0.85190999999999995</v>
      </c>
      <c r="D25" s="48">
        <v>2.8316999999999998E-2</v>
      </c>
      <c r="E25" s="1">
        <f t="shared" si="5"/>
        <v>1.4783464753564011</v>
      </c>
      <c r="F25" s="1">
        <v>1</v>
      </c>
      <c r="G25" s="1">
        <v>0.88187000000000004</v>
      </c>
      <c r="H25" s="48">
        <v>3.0664E-2</v>
      </c>
      <c r="I25" s="1">
        <f t="shared" si="6"/>
        <v>1.4587757625093176</v>
      </c>
      <c r="J25" s="1">
        <v>1</v>
      </c>
      <c r="K25" s="1">
        <v>0.88565000000000005</v>
      </c>
      <c r="L25" s="48">
        <v>3.5425999999999999E-2</v>
      </c>
      <c r="M25" s="1">
        <f t="shared" si="7"/>
        <v>1.3979400086720377</v>
      </c>
      <c r="N25" s="1">
        <v>1</v>
      </c>
      <c r="O25" s="1">
        <v>0.88219999999999998</v>
      </c>
      <c r="P25" s="48">
        <v>3.9591000000000001E-2</v>
      </c>
      <c r="Q25" s="1">
        <f t="shared" si="8"/>
        <v>1.3479705820262007</v>
      </c>
      <c r="R25" s="1">
        <v>1</v>
      </c>
      <c r="S25" s="1">
        <v>0.87570999999999999</v>
      </c>
      <c r="T25" s="48">
        <v>4.0523999999999998E-2</v>
      </c>
      <c r="U25" s="1">
        <f t="shared" si="9"/>
        <v>1.334648002394313</v>
      </c>
    </row>
    <row r="26" spans="2:21" x14ac:dyDescent="0.25">
      <c r="B26" s="1">
        <v>2</v>
      </c>
      <c r="C26" s="1">
        <v>0.92964000000000002</v>
      </c>
      <c r="D26" s="48">
        <v>2.7095000000000001E-3</v>
      </c>
      <c r="E26" s="1">
        <f t="shared" si="5"/>
        <v>2.5354256466659391</v>
      </c>
      <c r="F26" s="1">
        <v>2</v>
      </c>
      <c r="G26" s="1">
        <v>0.96514999999999995</v>
      </c>
      <c r="H26" s="48">
        <v>3.1825E-3</v>
      </c>
      <c r="I26" s="1">
        <f t="shared" si="6"/>
        <v>2.4818264026862775</v>
      </c>
      <c r="J26" s="1">
        <v>2</v>
      </c>
      <c r="K26" s="1">
        <v>0.97482000000000002</v>
      </c>
      <c r="L26" s="48">
        <v>3.7190999999999999E-3</v>
      </c>
      <c r="M26" s="1">
        <f t="shared" si="7"/>
        <v>2.4184865749298243</v>
      </c>
      <c r="N26" s="1">
        <v>2</v>
      </c>
      <c r="O26" s="1">
        <v>0.97804000000000002</v>
      </c>
      <c r="P26" s="48">
        <v>3.7940000000000001E-3</v>
      </c>
      <c r="Q26" s="1">
        <f t="shared" si="8"/>
        <v>2.4112592904272221</v>
      </c>
      <c r="R26" s="1">
        <v>2</v>
      </c>
      <c r="S26" s="1">
        <v>0.97809999999999997</v>
      </c>
      <c r="T26" s="48">
        <v>3.2591999999999999E-3</v>
      </c>
      <c r="U26" s="1">
        <f t="shared" si="9"/>
        <v>2.4772722472501445</v>
      </c>
    </row>
    <row r="27" spans="2:21" x14ac:dyDescent="0.25">
      <c r="B27" s="1">
        <v>3</v>
      </c>
      <c r="C27" s="1">
        <v>0.93945999999999996</v>
      </c>
      <c r="D27" s="48">
        <v>1.6745E-4</v>
      </c>
      <c r="E27" s="1">
        <f t="shared" si="5"/>
        <v>3.7489931417154265</v>
      </c>
      <c r="F27" s="1">
        <v>3</v>
      </c>
      <c r="G27" s="1">
        <v>0.97602</v>
      </c>
      <c r="H27" s="48">
        <v>2.0011000000000001E-4</v>
      </c>
      <c r="I27" s="1">
        <f t="shared" si="6"/>
        <v>3.6881899250865353</v>
      </c>
      <c r="J27" s="1">
        <v>3</v>
      </c>
      <c r="K27" s="1">
        <v>0.98673</v>
      </c>
      <c r="L27" s="48">
        <v>2.1117E-4</v>
      </c>
      <c r="M27" s="1">
        <f t="shared" si="7"/>
        <v>3.6695661125323653</v>
      </c>
      <c r="N27" s="1">
        <v>3</v>
      </c>
      <c r="O27" s="1">
        <v>0.99092000000000002</v>
      </c>
      <c r="P27" s="48">
        <v>1.7467000000000001E-4</v>
      </c>
      <c r="Q27" s="1">
        <f t="shared" si="8"/>
        <v>3.7538202737321216</v>
      </c>
      <c r="R27" s="1">
        <v>3</v>
      </c>
      <c r="S27" s="1">
        <v>0.99200999999999995</v>
      </c>
      <c r="T27" s="48">
        <v>1.0743000000000001E-4</v>
      </c>
      <c r="U27" s="1">
        <f t="shared" si="9"/>
        <v>3.9653904743691144</v>
      </c>
    </row>
    <row r="28" spans="2:21" x14ac:dyDescent="0.25">
      <c r="B28" s="1">
        <v>4</v>
      </c>
      <c r="C28" s="1">
        <v>0.94072</v>
      </c>
      <c r="D28" s="48">
        <v>4.6632999999999999E-6</v>
      </c>
      <c r="E28" s="1">
        <f t="shared" si="5"/>
        <v>5.3047670219186909</v>
      </c>
      <c r="F28" s="1">
        <v>4</v>
      </c>
      <c r="G28" s="1">
        <v>0.97741999999999996</v>
      </c>
      <c r="H28" s="48">
        <v>4.9494000000000004E-6</v>
      </c>
      <c r="I28" s="1">
        <f t="shared" si="6"/>
        <v>5.2955286673434427</v>
      </c>
      <c r="J28" s="1">
        <v>4</v>
      </c>
      <c r="K28" s="1">
        <v>0.98823000000000005</v>
      </c>
      <c r="L28" s="48">
        <v>4.5502000000000001E-6</v>
      </c>
      <c r="M28" s="1">
        <f t="shared" si="7"/>
        <v>5.3368275476588716</v>
      </c>
      <c r="N28" s="1">
        <v>4</v>
      </c>
      <c r="O28" s="1">
        <v>0.99251</v>
      </c>
      <c r="P28" s="48">
        <v>3.0804000000000002E-6</v>
      </c>
      <c r="Q28" s="1">
        <f t="shared" si="8"/>
        <v>5.5081277764570826</v>
      </c>
      <c r="R28" s="1">
        <v>4</v>
      </c>
      <c r="S28" s="1">
        <v>0.99367000000000005</v>
      </c>
      <c r="T28" s="48">
        <v>1.4896999999999999E-6</v>
      </c>
      <c r="U28" s="1">
        <f t="shared" si="9"/>
        <v>5.8241433604194457</v>
      </c>
    </row>
    <row r="29" spans="2:21" x14ac:dyDescent="0.25">
      <c r="B29" s="1">
        <v>5</v>
      </c>
      <c r="C29" s="1">
        <v>0.94086999999999998</v>
      </c>
      <c r="D29" s="48">
        <v>5.9967999999999998E-8</v>
      </c>
      <c r="E29" s="1">
        <f t="shared" si="5"/>
        <v>7.1956100562358376</v>
      </c>
      <c r="F29" s="1">
        <v>5</v>
      </c>
      <c r="G29" s="1">
        <v>0.97758999999999996</v>
      </c>
      <c r="H29" s="48">
        <v>5.9617999999999998E-8</v>
      </c>
      <c r="I29" s="1">
        <f t="shared" si="6"/>
        <v>7.2147793477191708</v>
      </c>
      <c r="J29" s="1">
        <v>5</v>
      </c>
      <c r="K29" s="1">
        <v>0.98839999999999995</v>
      </c>
      <c r="L29" s="48">
        <v>5.2479000000000003E-8</v>
      </c>
      <c r="M29" s="1">
        <f t="shared" si="7"/>
        <v>7.2749471858696726</v>
      </c>
      <c r="N29" s="1">
        <v>5</v>
      </c>
      <c r="O29" s="1">
        <v>0.99268000000000001</v>
      </c>
      <c r="P29" s="48">
        <v>3.3770999999999998E-8</v>
      </c>
      <c r="Q29" s="1">
        <f t="shared" si="8"/>
        <v>7.4682653512197694</v>
      </c>
      <c r="R29" s="1">
        <v>5</v>
      </c>
      <c r="S29" s="1">
        <v>0.99385000000000001</v>
      </c>
      <c r="T29" s="48">
        <v>1.5685999999999999E-8</v>
      </c>
      <c r="U29" s="1">
        <f t="shared" si="9"/>
        <v>7.8018086313811041</v>
      </c>
    </row>
    <row r="30" spans="2:21" x14ac:dyDescent="0.25">
      <c r="B30" s="1">
        <v>6</v>
      </c>
      <c r="C30" s="1">
        <v>0.94089</v>
      </c>
      <c r="D30" s="48">
        <v>6.1858000000000005E-10</v>
      </c>
      <c r="E30" s="1">
        <f t="shared" si="5"/>
        <v>9.1821429785384119</v>
      </c>
      <c r="F30" s="1">
        <v>6</v>
      </c>
      <c r="G30" s="1">
        <v>0.97760999999999998</v>
      </c>
      <c r="H30" s="48">
        <v>6.0933999999999999E-10</v>
      </c>
      <c r="I30" s="1">
        <f t="shared" si="6"/>
        <v>9.2053059470986653</v>
      </c>
      <c r="J30" s="1">
        <v>6</v>
      </c>
      <c r="K30" s="1">
        <v>0.98841999999999997</v>
      </c>
      <c r="L30" s="48">
        <v>5.3506999999999999E-10</v>
      </c>
      <c r="M30" s="1">
        <f t="shared" si="7"/>
        <v>9.2665309225883874</v>
      </c>
      <c r="N30" s="1">
        <v>6</v>
      </c>
      <c r="O30" s="1">
        <v>0.99270000000000003</v>
      </c>
      <c r="P30" s="48">
        <v>3.4757000000000002E-10</v>
      </c>
      <c r="Q30" s="1">
        <f t="shared" si="8"/>
        <v>9.4557757379829876</v>
      </c>
      <c r="R30" s="1">
        <v>6</v>
      </c>
      <c r="S30" s="1">
        <v>0.99387000000000003</v>
      </c>
      <c r="T30" s="48">
        <v>1.7037E-10</v>
      </c>
      <c r="U30" s="1">
        <f t="shared" si="9"/>
        <v>9.7659364582025319</v>
      </c>
    </row>
    <row r="31" spans="2:21" x14ac:dyDescent="0.25">
      <c r="B31" s="1">
        <v>7</v>
      </c>
      <c r="C31" s="1">
        <v>0.94089</v>
      </c>
      <c r="D31" s="48">
        <v>6.2063000000000003E-12</v>
      </c>
      <c r="E31" s="1">
        <f t="shared" si="5"/>
        <v>11.180706088100067</v>
      </c>
      <c r="F31" s="1">
        <v>7</v>
      </c>
      <c r="G31" s="1">
        <v>0.97760999999999998</v>
      </c>
      <c r="H31" s="48">
        <v>6.1307000000000001E-12</v>
      </c>
      <c r="I31" s="1">
        <f t="shared" si="6"/>
        <v>11.202655570473688</v>
      </c>
      <c r="J31" s="1">
        <v>7</v>
      </c>
      <c r="K31" s="1">
        <v>0.98841999999999997</v>
      </c>
      <c r="L31" s="48">
        <v>5.5376000000000002E-12</v>
      </c>
      <c r="M31" s="1">
        <f t="shared" si="7"/>
        <v>11.251619942519529</v>
      </c>
      <c r="N31" s="1">
        <v>7</v>
      </c>
      <c r="O31" s="1">
        <v>0.99270000000000003</v>
      </c>
      <c r="P31" s="48">
        <v>4.0070000000000002E-12</v>
      </c>
      <c r="Q31" s="1">
        <f t="shared" si="8"/>
        <v>11.393998679446815</v>
      </c>
      <c r="R31" s="1">
        <v>7</v>
      </c>
      <c r="S31" s="1">
        <v>0.99387000000000003</v>
      </c>
      <c r="T31" s="48">
        <v>2.3565999999999999E-12</v>
      </c>
      <c r="U31" s="1">
        <f t="shared" si="9"/>
        <v>11.625043708260378</v>
      </c>
    </row>
    <row r="32" spans="2:21" x14ac:dyDescent="0.25">
      <c r="B32" s="1">
        <v>8</v>
      </c>
      <c r="C32" s="1">
        <v>0.94089</v>
      </c>
      <c r="D32" s="48">
        <v>6.2166999999999999E-14</v>
      </c>
      <c r="E32" s="1">
        <f t="shared" si="5"/>
        <v>13.179978942697678</v>
      </c>
      <c r="F32" s="1">
        <v>8</v>
      </c>
      <c r="G32" s="1">
        <v>0.97760999999999998</v>
      </c>
      <c r="H32" s="48">
        <v>6.3604000000000001E-14</v>
      </c>
      <c r="I32" s="1">
        <f t="shared" si="6"/>
        <v>13.186681206423714</v>
      </c>
      <c r="J32" s="1">
        <v>8</v>
      </c>
      <c r="K32" s="1">
        <v>0.98841999999999997</v>
      </c>
      <c r="L32" s="48">
        <v>6.8007999999999999E-14</v>
      </c>
      <c r="M32" s="1">
        <f t="shared" si="7"/>
        <v>13.162381521300148</v>
      </c>
      <c r="N32" s="1">
        <v>8</v>
      </c>
      <c r="O32" s="1">
        <v>0.99270000000000003</v>
      </c>
      <c r="P32" s="48">
        <v>5.8781E-14</v>
      </c>
      <c r="Q32" s="1">
        <f t="shared" si="8"/>
        <v>13.227581051732107</v>
      </c>
      <c r="R32" s="1">
        <v>8</v>
      </c>
      <c r="S32" s="1">
        <v>0.99387000000000003</v>
      </c>
      <c r="T32" s="48">
        <v>3.2314999999999999E-14</v>
      </c>
      <c r="U32" s="1">
        <f t="shared" si="9"/>
        <v>13.487925421346963</v>
      </c>
    </row>
    <row r="33" spans="2:21" x14ac:dyDescent="0.25">
      <c r="B33" s="1">
        <v>9</v>
      </c>
      <c r="C33" s="1">
        <v>0.94089</v>
      </c>
      <c r="D33" s="48">
        <v>6.2999999999999998E-16</v>
      </c>
      <c r="E33" s="1">
        <f t="shared" si="5"/>
        <v>15.174198303319637</v>
      </c>
      <c r="F33" s="1">
        <v>9</v>
      </c>
      <c r="G33" s="1">
        <v>0.97760999999999998</v>
      </c>
      <c r="H33" s="48">
        <v>7.9255000000000003E-16</v>
      </c>
      <c r="I33" s="1">
        <f t="shared" si="6"/>
        <v>15.091138965023355</v>
      </c>
      <c r="J33" s="1">
        <v>9</v>
      </c>
      <c r="K33" s="1">
        <v>0.98841999999999997</v>
      </c>
      <c r="L33" s="48">
        <v>1.0024000000000001E-15</v>
      </c>
      <c r="M33" s="1">
        <f t="shared" si="7"/>
        <v>14.993900466483488</v>
      </c>
      <c r="N33" s="1">
        <v>9</v>
      </c>
      <c r="O33" s="1">
        <v>0.99270000000000003</v>
      </c>
      <c r="P33" s="48">
        <v>7.3489E-16</v>
      </c>
      <c r="Q33" s="1">
        <f t="shared" si="8"/>
        <v>15.13059568411256</v>
      </c>
      <c r="R33" s="1">
        <v>9</v>
      </c>
      <c r="S33" s="1">
        <v>0.99387000000000003</v>
      </c>
      <c r="T33" s="48">
        <v>3.4774999999999998E-16</v>
      </c>
      <c r="U33" s="1">
        <f t="shared" si="9"/>
        <v>15.456062442941571</v>
      </c>
    </row>
    <row r="34" spans="2:21" x14ac:dyDescent="0.25">
      <c r="B34" s="18" t="s">
        <v>751</v>
      </c>
      <c r="C34" s="127" t="s">
        <v>748</v>
      </c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</row>
    <row r="35" spans="2:21" x14ac:dyDescent="0.25">
      <c r="B35" s="138" t="s">
        <v>739</v>
      </c>
      <c r="C35" s="138"/>
      <c r="D35" s="138"/>
      <c r="E35" s="138"/>
      <c r="F35" s="138" t="s">
        <v>740</v>
      </c>
      <c r="G35" s="138"/>
      <c r="H35" s="138"/>
      <c r="I35" s="138"/>
      <c r="J35" s="138" t="s">
        <v>741</v>
      </c>
      <c r="K35" s="138"/>
      <c r="L35" s="138"/>
      <c r="M35" s="138"/>
      <c r="N35" s="138" t="s">
        <v>742</v>
      </c>
      <c r="O35" s="138"/>
      <c r="P35" s="138"/>
      <c r="Q35" s="138"/>
      <c r="R35" s="138" t="s">
        <v>743</v>
      </c>
      <c r="S35" s="138"/>
      <c r="T35" s="138"/>
      <c r="U35" s="138"/>
    </row>
    <row r="36" spans="2:21" x14ac:dyDescent="0.25">
      <c r="B36" s="18" t="s">
        <v>744</v>
      </c>
      <c r="C36" s="18" t="s">
        <v>745</v>
      </c>
      <c r="D36" s="18" t="s">
        <v>746</v>
      </c>
      <c r="E36" s="18" t="s">
        <v>747</v>
      </c>
      <c r="F36" s="18" t="s">
        <v>744</v>
      </c>
      <c r="G36" s="18" t="s">
        <v>745</v>
      </c>
      <c r="H36" s="18" t="s">
        <v>746</v>
      </c>
      <c r="I36" s="18" t="s">
        <v>747</v>
      </c>
      <c r="J36" s="18" t="s">
        <v>744</v>
      </c>
      <c r="K36" s="18" t="s">
        <v>745</v>
      </c>
      <c r="L36" s="18" t="s">
        <v>746</v>
      </c>
      <c r="M36" s="18" t="s">
        <v>747</v>
      </c>
      <c r="N36" s="18" t="s">
        <v>744</v>
      </c>
      <c r="O36" s="18" t="s">
        <v>745</v>
      </c>
      <c r="P36" s="18" t="s">
        <v>746</v>
      </c>
      <c r="Q36" s="18" t="s">
        <v>747</v>
      </c>
      <c r="R36" s="18" t="s">
        <v>744</v>
      </c>
      <c r="S36" s="18" t="s">
        <v>745</v>
      </c>
      <c r="T36" s="18" t="s">
        <v>746</v>
      </c>
      <c r="U36" s="18" t="s">
        <v>747</v>
      </c>
    </row>
    <row r="37" spans="2:21" x14ac:dyDescent="0.25">
      <c r="B37" s="1">
        <v>0</v>
      </c>
      <c r="C37" s="1">
        <v>0.46879999999999999</v>
      </c>
      <c r="D37" s="48">
        <v>9.1478999999999996E-5</v>
      </c>
      <c r="E37" s="1">
        <f t="shared" ref="E37:E46" si="10">LOG10(C37/D37)</f>
        <v>3.7096661945267404</v>
      </c>
      <c r="F37" s="1">
        <v>0</v>
      </c>
      <c r="G37" s="1">
        <v>0.50390000000000001</v>
      </c>
      <c r="H37" s="48">
        <v>9.2144000000000004E-4</v>
      </c>
      <c r="I37" s="1">
        <f t="shared" ref="I37:I46" si="11">LOG10(G37/H37)</f>
        <v>2.7378772971699377</v>
      </c>
      <c r="J37" s="1">
        <v>0</v>
      </c>
      <c r="K37" s="1">
        <v>0.51053999999999999</v>
      </c>
      <c r="L37" s="48">
        <v>6.7957E-3</v>
      </c>
      <c r="M37" s="1">
        <f t="shared" ref="M37:M46" si="12">LOG10(K37/L37)</f>
        <v>1.8757955755945011</v>
      </c>
      <c r="N37" s="1">
        <v>0</v>
      </c>
      <c r="O37" s="1">
        <v>0.49963000000000002</v>
      </c>
      <c r="P37" s="48">
        <v>2.2439000000000001E-2</v>
      </c>
      <c r="Q37" s="1">
        <f t="shared" ref="Q37:Q46" si="13">LOG10(O37/P37)</f>
        <v>1.3476450088845429</v>
      </c>
      <c r="R37" s="1">
        <v>0</v>
      </c>
      <c r="S37" s="1">
        <v>0.48115999999999998</v>
      </c>
      <c r="T37" s="48">
        <v>4.0273999999999997E-2</v>
      </c>
      <c r="U37" s="1">
        <f t="shared" ref="U37:U46" si="14">LOG10(S37/T37)</f>
        <v>1.0772647504828055</v>
      </c>
    </row>
    <row r="38" spans="2:21" x14ac:dyDescent="0.25">
      <c r="B38" s="1">
        <v>1</v>
      </c>
      <c r="C38" s="48">
        <v>0.83247000000000004</v>
      </c>
      <c r="D38" s="48">
        <v>1.6456000000000001E-4</v>
      </c>
      <c r="E38" s="1">
        <f t="shared" si="10"/>
        <v>3.7040443129580964</v>
      </c>
      <c r="F38" s="1">
        <v>1</v>
      </c>
      <c r="G38" s="1">
        <v>0.86397999999999997</v>
      </c>
      <c r="H38" s="48">
        <v>1.1103E-3</v>
      </c>
      <c r="I38" s="1">
        <f t="shared" si="11"/>
        <v>2.8910633494347548</v>
      </c>
      <c r="J38" s="1">
        <v>1</v>
      </c>
      <c r="K38" s="1">
        <v>0.86863000000000001</v>
      </c>
      <c r="L38" s="48">
        <v>4.7840000000000001E-3</v>
      </c>
      <c r="M38" s="1">
        <f t="shared" si="12"/>
        <v>2.2590436535962417</v>
      </c>
      <c r="N38" s="1">
        <v>1</v>
      </c>
      <c r="O38" s="1">
        <v>0.86499000000000004</v>
      </c>
      <c r="P38" s="48">
        <v>9.8539000000000005E-3</v>
      </c>
      <c r="Q38" s="1">
        <f t="shared" si="13"/>
        <v>1.9434029360650813</v>
      </c>
      <c r="R38" s="1">
        <v>1</v>
      </c>
      <c r="S38" s="1">
        <v>0.85872999999999999</v>
      </c>
      <c r="T38" s="48">
        <v>1.2947999999999999E-2</v>
      </c>
      <c r="U38" s="1">
        <f t="shared" si="14"/>
        <v>1.8216539446462006</v>
      </c>
    </row>
    <row r="39" spans="2:21" x14ac:dyDescent="0.25">
      <c r="B39" s="1">
        <v>2</v>
      </c>
      <c r="C39" s="1">
        <v>0.92788999999999999</v>
      </c>
      <c r="D39" s="48">
        <v>1.2097E-4</v>
      </c>
      <c r="E39" s="1">
        <f t="shared" si="10"/>
        <v>3.8848188136477209</v>
      </c>
      <c r="F39" s="1">
        <v>2</v>
      </c>
      <c r="G39" s="1">
        <v>0.96326000000000001</v>
      </c>
      <c r="H39" s="48">
        <v>4.4653999999999999E-4</v>
      </c>
      <c r="I39" s="1">
        <f t="shared" si="11"/>
        <v>3.3338831582564099</v>
      </c>
      <c r="J39" s="1">
        <v>2</v>
      </c>
      <c r="K39" s="1">
        <v>0.97274000000000005</v>
      </c>
      <c r="L39" s="48">
        <v>9.8378000000000007E-4</v>
      </c>
      <c r="M39" s="1">
        <f t="shared" si="12"/>
        <v>2.9950987856320608</v>
      </c>
      <c r="N39" s="1">
        <v>2</v>
      </c>
      <c r="O39" s="1">
        <v>0.97592999999999996</v>
      </c>
      <c r="P39" s="48">
        <v>1.2699E-3</v>
      </c>
      <c r="Q39" s="1">
        <f t="shared" si="13"/>
        <v>2.8856491451861634</v>
      </c>
      <c r="R39" s="1">
        <v>2</v>
      </c>
      <c r="S39" s="1">
        <v>0.97621000000000002</v>
      </c>
      <c r="T39" s="48">
        <v>1.1341000000000001E-3</v>
      </c>
      <c r="U39" s="1">
        <f t="shared" si="14"/>
        <v>2.9348919016828736</v>
      </c>
    </row>
    <row r="40" spans="2:21" x14ac:dyDescent="0.25">
      <c r="B40" s="1">
        <v>3</v>
      </c>
      <c r="C40" s="1">
        <v>0.93935999999999997</v>
      </c>
      <c r="D40" s="48">
        <v>2.5320000000000002E-5</v>
      </c>
      <c r="E40" s="1">
        <f t="shared" si="10"/>
        <v>4.5693683616882712</v>
      </c>
      <c r="F40" s="1">
        <v>3</v>
      </c>
      <c r="G40" s="1">
        <v>0.97589000000000004</v>
      </c>
      <c r="H40" s="48">
        <v>4.8130000000000002E-5</v>
      </c>
      <c r="I40" s="1">
        <f t="shared" si="11"/>
        <v>4.3069850061068502</v>
      </c>
      <c r="J40" s="1">
        <v>3</v>
      </c>
      <c r="K40" s="1">
        <v>0.98658999999999997</v>
      </c>
      <c r="L40" s="48">
        <v>6.2588000000000005E-5</v>
      </c>
      <c r="M40" s="1">
        <f t="shared" si="12"/>
        <v>4.1976456352814591</v>
      </c>
      <c r="N40" s="1">
        <v>3</v>
      </c>
      <c r="O40" s="1">
        <v>0.99080000000000001</v>
      </c>
      <c r="P40" s="48">
        <v>5.3174999999999998E-5</v>
      </c>
      <c r="Q40" s="1">
        <f t="shared" si="13"/>
        <v>4.2702784993390326</v>
      </c>
      <c r="R40" s="1">
        <v>3</v>
      </c>
      <c r="S40" s="1">
        <v>0.99192999999999998</v>
      </c>
      <c r="T40" s="48">
        <v>3.0791999999999999E-5</v>
      </c>
      <c r="U40" s="1">
        <f t="shared" si="14"/>
        <v>4.5080431272063679</v>
      </c>
    </row>
    <row r="41" spans="2:21" x14ac:dyDescent="0.25">
      <c r="B41" s="1">
        <v>4</v>
      </c>
      <c r="C41" s="1">
        <v>0.94071000000000005</v>
      </c>
      <c r="D41" s="48">
        <v>1.0768E-6</v>
      </c>
      <c r="E41" s="1">
        <f t="shared" si="10"/>
        <v>5.9413207138365776</v>
      </c>
      <c r="F41" s="1">
        <v>4</v>
      </c>
      <c r="G41" s="1">
        <v>0.97741999999999996</v>
      </c>
      <c r="H41" s="48">
        <v>1.2589999999999999E-6</v>
      </c>
      <c r="I41" s="1">
        <f t="shared" si="11"/>
        <v>5.8900554912230998</v>
      </c>
      <c r="J41" s="1">
        <v>4</v>
      </c>
      <c r="K41" s="1">
        <v>0.98821999999999999</v>
      </c>
      <c r="L41" s="48">
        <v>1.1940999999999999E-6</v>
      </c>
      <c r="M41" s="1">
        <f t="shared" si="12"/>
        <v>5.917812940728993</v>
      </c>
      <c r="N41" s="1">
        <v>4</v>
      </c>
      <c r="O41" s="1">
        <v>0.99250000000000005</v>
      </c>
      <c r="P41" s="48">
        <v>8.0215999999999998E-7</v>
      </c>
      <c r="Q41" s="1">
        <f t="shared" si="13"/>
        <v>6.0924695135018085</v>
      </c>
      <c r="R41" s="1">
        <v>4</v>
      </c>
      <c r="S41" s="1">
        <v>0.99367000000000005</v>
      </c>
      <c r="T41" s="48">
        <v>3.8271000000000002E-7</v>
      </c>
      <c r="U41" s="1">
        <f t="shared" si="14"/>
        <v>6.4143723679390181</v>
      </c>
    </row>
    <row r="42" spans="2:21" x14ac:dyDescent="0.25">
      <c r="B42" s="1">
        <v>5</v>
      </c>
      <c r="C42" s="1">
        <v>0.94086999999999998</v>
      </c>
      <c r="D42" s="48">
        <v>1.4866000000000001E-8</v>
      </c>
      <c r="E42" s="1">
        <f t="shared" si="10"/>
        <v>7.8013354926405727</v>
      </c>
      <c r="F42" s="1">
        <v>5</v>
      </c>
      <c r="G42" s="1">
        <v>0.97758999999999996</v>
      </c>
      <c r="H42" s="48">
        <v>1.4950000000000002E-8</v>
      </c>
      <c r="I42" s="1">
        <f t="shared" si="11"/>
        <v>7.815515557759479</v>
      </c>
      <c r="J42" s="1">
        <v>5</v>
      </c>
      <c r="K42" s="1">
        <v>0.98839999999999995</v>
      </c>
      <c r="L42" s="48">
        <v>1.3232000000000001E-8</v>
      </c>
      <c r="M42" s="1">
        <f t="shared" si="12"/>
        <v>7.8733072445215706</v>
      </c>
      <c r="N42" s="1">
        <v>5</v>
      </c>
      <c r="O42" s="1">
        <v>0.99268000000000001</v>
      </c>
      <c r="P42" s="48">
        <v>8.6096999999999993E-9</v>
      </c>
      <c r="Q42" s="1">
        <f t="shared" si="13"/>
        <v>8.0618212530503577</v>
      </c>
      <c r="R42" s="1">
        <v>5</v>
      </c>
      <c r="S42" s="1">
        <v>0.99385000000000001</v>
      </c>
      <c r="T42" s="48">
        <v>4.2007999999999998E-9</v>
      </c>
      <c r="U42" s="1">
        <f t="shared" si="14"/>
        <v>8.3739888367761743</v>
      </c>
    </row>
    <row r="43" spans="2:21" x14ac:dyDescent="0.25">
      <c r="B43" s="1">
        <v>6</v>
      </c>
      <c r="C43" s="1">
        <v>0.94089</v>
      </c>
      <c r="D43" s="48">
        <v>1.5453000000000001E-10</v>
      </c>
      <c r="E43" s="1">
        <f t="shared" si="10"/>
        <v>9.7845260481729781</v>
      </c>
      <c r="F43" s="1">
        <v>6</v>
      </c>
      <c r="G43" s="1">
        <v>0.97760999999999998</v>
      </c>
      <c r="H43" s="48">
        <v>1.5284999999999999E-10</v>
      </c>
      <c r="I43" s="1">
        <f t="shared" si="11"/>
        <v>9.8059001922694797</v>
      </c>
      <c r="J43" s="1">
        <v>6</v>
      </c>
      <c r="K43" s="1">
        <v>0.98841999999999997</v>
      </c>
      <c r="L43" s="48">
        <v>1.3743000000000001E-10</v>
      </c>
      <c r="M43" s="1">
        <f t="shared" si="12"/>
        <v>9.8568599779738353</v>
      </c>
      <c r="N43" s="1">
        <v>6</v>
      </c>
      <c r="O43" s="1">
        <v>0.99270000000000003</v>
      </c>
      <c r="P43" s="48">
        <v>9.9034999999999997E-11</v>
      </c>
      <c r="Q43" s="1">
        <f t="shared" si="13"/>
        <v>10.001029315963008</v>
      </c>
      <c r="R43" s="1">
        <v>6</v>
      </c>
      <c r="S43" s="1">
        <v>0.99387000000000003</v>
      </c>
      <c r="T43" s="48">
        <v>6.3824999999999997E-11</v>
      </c>
      <c r="U43" s="1">
        <f t="shared" si="14"/>
        <v>10.192338758129367</v>
      </c>
    </row>
    <row r="44" spans="2:21" x14ac:dyDescent="0.25">
      <c r="B44" s="1">
        <v>7</v>
      </c>
      <c r="C44" s="1">
        <v>0.94089</v>
      </c>
      <c r="D44" s="48">
        <v>1.5530999999999999E-12</v>
      </c>
      <c r="E44" s="1">
        <f t="shared" si="10"/>
        <v>11.7823394330717</v>
      </c>
      <c r="F44" s="1">
        <v>7</v>
      </c>
      <c r="G44" s="1">
        <v>0.97760999999999998</v>
      </c>
      <c r="H44" s="48">
        <v>1.5789000000000001E-12</v>
      </c>
      <c r="I44" s="1">
        <f t="shared" si="11"/>
        <v>11.791811010594648</v>
      </c>
      <c r="J44" s="1">
        <v>7</v>
      </c>
      <c r="K44" s="1">
        <v>0.98841999999999997</v>
      </c>
      <c r="L44" s="48">
        <v>1.7026E-12</v>
      </c>
      <c r="M44" s="1">
        <f t="shared" si="12"/>
        <v>11.763828895413228</v>
      </c>
      <c r="N44" s="1">
        <v>7</v>
      </c>
      <c r="O44" s="1">
        <v>0.99270000000000003</v>
      </c>
      <c r="P44" s="48">
        <v>1.8251E-12</v>
      </c>
      <c r="Q44" s="1">
        <f t="shared" si="13"/>
        <v>11.735531356781058</v>
      </c>
      <c r="R44" s="1">
        <v>7</v>
      </c>
      <c r="S44" s="1">
        <v>0.99387000000000003</v>
      </c>
      <c r="T44" s="48">
        <v>1.5838999999999999E-12</v>
      </c>
      <c r="U44" s="1">
        <f t="shared" si="14"/>
        <v>11.797601822798597</v>
      </c>
    </row>
    <row r="45" spans="2:21" x14ac:dyDescent="0.25">
      <c r="B45" s="1">
        <v>8</v>
      </c>
      <c r="C45" s="1">
        <v>0.94089</v>
      </c>
      <c r="D45" s="48">
        <v>1.5705000000000001E-14</v>
      </c>
      <c r="E45" s="1">
        <f t="shared" si="10"/>
        <v>13.777500912038695</v>
      </c>
      <c r="F45" s="1">
        <v>8</v>
      </c>
      <c r="G45" s="1">
        <v>0.97760999999999998</v>
      </c>
      <c r="H45" s="48">
        <v>1.9942000000000001E-14</v>
      </c>
      <c r="I45" s="1">
        <f t="shared" si="11"/>
        <v>13.690396923411788</v>
      </c>
      <c r="J45" s="1">
        <v>8</v>
      </c>
      <c r="K45" s="1">
        <v>0.98841999999999997</v>
      </c>
      <c r="L45" s="48">
        <v>3.6090999999999997E-14</v>
      </c>
      <c r="M45" s="1">
        <f t="shared" si="12"/>
        <v>13.437542608925309</v>
      </c>
      <c r="N45" s="1">
        <v>8</v>
      </c>
      <c r="O45" s="1">
        <v>0.99270000000000003</v>
      </c>
      <c r="P45" s="48">
        <v>4.5564999999999999E-14</v>
      </c>
      <c r="Q45" s="1">
        <f t="shared" si="13"/>
        <v>13.338186647270001</v>
      </c>
      <c r="R45" s="1">
        <v>8</v>
      </c>
      <c r="S45" s="1">
        <v>0.99387000000000003</v>
      </c>
      <c r="T45" s="48">
        <v>2.9821999999999999E-14</v>
      </c>
      <c r="U45" s="1">
        <f t="shared" si="14"/>
        <v>13.522792815733569</v>
      </c>
    </row>
    <row r="46" spans="2:21" x14ac:dyDescent="0.25">
      <c r="B46" s="1">
        <v>9</v>
      </c>
      <c r="C46" s="1">
        <v>0.94089</v>
      </c>
      <c r="D46" s="48">
        <v>1.7301E-16</v>
      </c>
      <c r="E46" s="1">
        <f t="shared" si="10"/>
        <v>15.735467646642659</v>
      </c>
      <c r="F46" s="1">
        <v>9</v>
      </c>
      <c r="G46" s="1">
        <v>0.97760999999999998</v>
      </c>
      <c r="H46" s="48">
        <v>4.3392000000000001E-16</v>
      </c>
      <c r="I46" s="1">
        <f t="shared" si="11"/>
        <v>15.352755967480636</v>
      </c>
      <c r="J46" s="1">
        <v>9</v>
      </c>
      <c r="K46" s="1">
        <v>0.98841999999999997</v>
      </c>
      <c r="L46" s="48">
        <v>8.4319E-16</v>
      </c>
      <c r="M46" s="1">
        <f t="shared" si="12"/>
        <v>15.069016077182908</v>
      </c>
      <c r="N46" s="1">
        <v>9</v>
      </c>
      <c r="O46" s="1">
        <v>0.99270000000000003</v>
      </c>
      <c r="P46" s="48">
        <v>7.0523000000000002E-16</v>
      </c>
      <c r="Q46" s="1">
        <f t="shared" si="13"/>
        <v>15.148487243270191</v>
      </c>
      <c r="R46" s="1">
        <v>9</v>
      </c>
      <c r="S46" s="1">
        <v>0.99387000000000003</v>
      </c>
      <c r="T46" s="48">
        <v>3.4449E-16</v>
      </c>
      <c r="U46" s="1">
        <f t="shared" si="14"/>
        <v>15.460152962061146</v>
      </c>
    </row>
    <row r="47" spans="2:21" x14ac:dyDescent="0.25">
      <c r="B47" s="18" t="s">
        <v>752</v>
      </c>
      <c r="C47" s="127" t="s">
        <v>748</v>
      </c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</row>
    <row r="48" spans="2:21" x14ac:dyDescent="0.25">
      <c r="B48" s="138" t="s">
        <v>739</v>
      </c>
      <c r="C48" s="138"/>
      <c r="D48" s="138"/>
      <c r="E48" s="138"/>
      <c r="F48" s="138" t="s">
        <v>740</v>
      </c>
      <c r="G48" s="138"/>
      <c r="H48" s="138"/>
      <c r="I48" s="138"/>
      <c r="J48" s="138" t="s">
        <v>741</v>
      </c>
      <c r="K48" s="138"/>
      <c r="L48" s="138"/>
      <c r="M48" s="138"/>
      <c r="N48" s="138" t="s">
        <v>742</v>
      </c>
      <c r="O48" s="138"/>
      <c r="P48" s="138"/>
      <c r="Q48" s="138"/>
      <c r="R48" s="138" t="s">
        <v>743</v>
      </c>
      <c r="S48" s="138"/>
      <c r="T48" s="138"/>
      <c r="U48" s="138"/>
    </row>
    <row r="49" spans="2:21" x14ac:dyDescent="0.25">
      <c r="B49" s="18" t="s">
        <v>744</v>
      </c>
      <c r="C49" s="18" t="s">
        <v>745</v>
      </c>
      <c r="D49" s="18" t="s">
        <v>746</v>
      </c>
      <c r="E49" s="18" t="s">
        <v>747</v>
      </c>
      <c r="F49" s="18" t="s">
        <v>744</v>
      </c>
      <c r="G49" s="18" t="s">
        <v>745</v>
      </c>
      <c r="H49" s="18" t="s">
        <v>746</v>
      </c>
      <c r="I49" s="18" t="s">
        <v>747</v>
      </c>
      <c r="J49" s="18" t="s">
        <v>744</v>
      </c>
      <c r="K49" s="18" t="s">
        <v>745</v>
      </c>
      <c r="L49" s="18" t="s">
        <v>746</v>
      </c>
      <c r="M49" s="18" t="s">
        <v>747</v>
      </c>
      <c r="N49" s="18" t="s">
        <v>744</v>
      </c>
      <c r="O49" s="18" t="s">
        <v>745</v>
      </c>
      <c r="P49" s="18" t="s">
        <v>746</v>
      </c>
      <c r="Q49" s="18" t="s">
        <v>747</v>
      </c>
      <c r="R49" s="18" t="s">
        <v>744</v>
      </c>
      <c r="S49" s="18" t="s">
        <v>745</v>
      </c>
      <c r="T49" s="18" t="s">
        <v>746</v>
      </c>
      <c r="U49" s="18" t="s">
        <v>747</v>
      </c>
    </row>
    <row r="50" spans="2:21" x14ac:dyDescent="0.25">
      <c r="B50" s="1">
        <v>0</v>
      </c>
      <c r="C50" s="81">
        <v>0.38352171000000002</v>
      </c>
      <c r="D50" s="81">
        <v>4.6339178E-6</v>
      </c>
      <c r="E50" s="1">
        <f t="shared" ref="E50:E59" si="15">LOG10(C50/D50)</f>
        <v>4.9178416274008114</v>
      </c>
      <c r="F50" s="1">
        <v>0</v>
      </c>
      <c r="G50" s="81">
        <v>0.43888537</v>
      </c>
      <c r="H50" s="81">
        <v>5.4189027E-5</v>
      </c>
      <c r="I50" s="1">
        <f t="shared" ref="I50:I59" si="16">LOG10(G50/H50)</f>
        <v>3.9084397510846678</v>
      </c>
      <c r="J50" s="1">
        <v>0</v>
      </c>
      <c r="K50" s="81">
        <v>0.45814275999999998</v>
      </c>
      <c r="L50" s="81">
        <v>5.0615502999999998E-4</v>
      </c>
      <c r="M50" s="1">
        <f t="shared" ref="M50:M59" si="17">LOG10(K50/L50)</f>
        <v>2.9567172707482321</v>
      </c>
      <c r="N50" s="1">
        <v>0</v>
      </c>
      <c r="O50" s="81">
        <v>0.46207338999999997</v>
      </c>
      <c r="P50" s="81">
        <v>2.7494110000000002E-3</v>
      </c>
      <c r="Q50" s="1">
        <f t="shared" ref="Q50:Q59" si="18">LOG10(O50/P50)</f>
        <v>2.2254712930919567</v>
      </c>
      <c r="R50" s="1">
        <v>0</v>
      </c>
      <c r="S50" s="81">
        <v>0.45724926999999999</v>
      </c>
      <c r="T50" s="81">
        <v>8.0036419000000004E-3</v>
      </c>
      <c r="U50" s="1">
        <f t="shared" ref="U50:U59" si="19">LOG10(S50/T50)</f>
        <v>1.7568653716584532</v>
      </c>
    </row>
    <row r="51" spans="2:21" x14ac:dyDescent="0.25">
      <c r="B51" s="1">
        <v>1</v>
      </c>
      <c r="C51" s="81">
        <v>0.80758211999999996</v>
      </c>
      <c r="D51" s="81">
        <v>1.0446942E-5</v>
      </c>
      <c r="E51" s="1">
        <f t="shared" si="15"/>
        <v>4.8881975114588467</v>
      </c>
      <c r="F51" s="1">
        <v>1</v>
      </c>
      <c r="G51" s="81">
        <v>0.84119783999999997</v>
      </c>
      <c r="H51" s="81">
        <v>8.4349121000000006E-5</v>
      </c>
      <c r="I51" s="1">
        <f t="shared" si="16"/>
        <v>3.9988175876714993</v>
      </c>
      <c r="J51" s="1">
        <v>1</v>
      </c>
      <c r="K51" s="81">
        <v>0.85041330000000004</v>
      </c>
      <c r="L51" s="81">
        <v>6.0552299E-4</v>
      </c>
      <c r="M51" s="1">
        <f t="shared" si="17"/>
        <v>3.1474994069684752</v>
      </c>
      <c r="N51" s="1">
        <v>1</v>
      </c>
      <c r="O51" s="81">
        <v>0.85135333999999996</v>
      </c>
      <c r="P51" s="81">
        <v>2.1744001E-3</v>
      </c>
      <c r="Q51" s="1">
        <f t="shared" si="18"/>
        <v>2.5927703848166912</v>
      </c>
      <c r="R51" s="1">
        <v>1</v>
      </c>
      <c r="S51" s="81">
        <v>0.84809314999999996</v>
      </c>
      <c r="T51" s="81">
        <v>3.8492298999999999E-3</v>
      </c>
      <c r="U51" s="1">
        <f t="shared" si="19"/>
        <v>2.3430697048091491</v>
      </c>
    </row>
    <row r="52" spans="2:21" x14ac:dyDescent="0.25">
      <c r="B52" s="1">
        <v>2</v>
      </c>
      <c r="C52" s="81">
        <v>0.92531023000000001</v>
      </c>
      <c r="D52" s="81">
        <v>1.0685015E-5</v>
      </c>
      <c r="E52" s="1">
        <f t="shared" si="15"/>
        <v>4.9375122274675025</v>
      </c>
      <c r="F52" s="1">
        <v>2</v>
      </c>
      <c r="G52" s="81">
        <v>0.96115466000000005</v>
      </c>
      <c r="H52" s="81">
        <v>6.3202813999999996E-5</v>
      </c>
      <c r="I52" s="1">
        <f t="shared" si="16"/>
        <v>4.1820568609382756</v>
      </c>
      <c r="J52" s="1">
        <v>2</v>
      </c>
      <c r="K52" s="81">
        <v>0.97118663999999999</v>
      </c>
      <c r="L52" s="81">
        <v>2.3602181000000001E-4</v>
      </c>
      <c r="M52" s="1">
        <f t="shared" si="17"/>
        <v>3.6143505629073096</v>
      </c>
      <c r="N52" s="1">
        <v>2</v>
      </c>
      <c r="O52" s="81">
        <v>0.97471428000000004</v>
      </c>
      <c r="P52" s="81">
        <v>3.9223228999999999E-4</v>
      </c>
      <c r="Q52" s="1">
        <f t="shared" si="18"/>
        <v>3.395333985202261</v>
      </c>
      <c r="R52" s="1">
        <v>2</v>
      </c>
      <c r="S52" s="81">
        <v>0.97529770000000005</v>
      </c>
      <c r="T52" s="81">
        <v>3.6475785999999998E-4</v>
      </c>
      <c r="U52" s="1">
        <f t="shared" si="19"/>
        <v>3.4271325409610394</v>
      </c>
    </row>
    <row r="53" spans="2:21" x14ac:dyDescent="0.25">
      <c r="B53" s="1">
        <v>3</v>
      </c>
      <c r="C53" s="81">
        <v>0.93921734000000001</v>
      </c>
      <c r="D53" s="81">
        <v>4.3540939999999998E-6</v>
      </c>
      <c r="E53" s="1">
        <f t="shared" si="15"/>
        <v>5.3338683012641877</v>
      </c>
      <c r="F53" s="1">
        <v>3</v>
      </c>
      <c r="G53" s="81">
        <v>0.97579289000000002</v>
      </c>
      <c r="H53" s="81">
        <v>1.1329791999999999E-5</v>
      </c>
      <c r="I53" s="1">
        <f t="shared" si="16"/>
        <v>4.9351357124880151</v>
      </c>
      <c r="J53" s="1">
        <v>3</v>
      </c>
      <c r="K53" s="81">
        <v>0.98651997999999996</v>
      </c>
      <c r="L53" s="81">
        <v>1.7393649E-5</v>
      </c>
      <c r="M53" s="1">
        <f t="shared" si="17"/>
        <v>4.7537151835879756</v>
      </c>
      <c r="N53" s="1">
        <v>3</v>
      </c>
      <c r="O53" s="81">
        <v>0.99075652999999997</v>
      </c>
      <c r="P53" s="81">
        <v>1.5094703E-5</v>
      </c>
      <c r="Q53" s="1">
        <f t="shared" si="18"/>
        <v>4.8171423710550556</v>
      </c>
      <c r="R53" s="1">
        <v>3</v>
      </c>
      <c r="S53" s="81">
        <v>0.99190418000000002</v>
      </c>
      <c r="T53" s="81">
        <v>8.3723824000000002E-6</v>
      </c>
      <c r="U53" s="1">
        <f t="shared" si="19"/>
        <v>5.0736206643574429</v>
      </c>
    </row>
    <row r="54" spans="2:21" x14ac:dyDescent="0.25">
      <c r="B54" s="1">
        <v>4</v>
      </c>
      <c r="C54" s="81">
        <v>0.94070911999999995</v>
      </c>
      <c r="D54" s="81">
        <v>2.5667161999999998E-7</v>
      </c>
      <c r="E54" s="1">
        <f t="shared" si="15"/>
        <v>6.5640775027581642</v>
      </c>
      <c r="F54" s="1">
        <v>4</v>
      </c>
      <c r="G54" s="81">
        <v>0.97741436999999998</v>
      </c>
      <c r="H54" s="81">
        <v>3.1743353999999998E-7</v>
      </c>
      <c r="I54" s="1">
        <f t="shared" si="16"/>
        <v>6.4884259074004174</v>
      </c>
      <c r="J54" s="1">
        <v>4</v>
      </c>
      <c r="K54" s="81">
        <v>0.98822189999999999</v>
      </c>
      <c r="L54" s="81">
        <v>3.0681728000000002E-7</v>
      </c>
      <c r="M54" s="1">
        <f t="shared" si="17"/>
        <v>6.5079746585635521</v>
      </c>
      <c r="N54" s="1">
        <v>4</v>
      </c>
      <c r="O54" s="81">
        <v>0.99250245000000004</v>
      </c>
      <c r="P54" s="81">
        <v>2.0625480999999999E-7</v>
      </c>
      <c r="Q54" s="1">
        <f t="shared" si="18"/>
        <v>6.6823275021181763</v>
      </c>
      <c r="R54" s="1">
        <v>4</v>
      </c>
      <c r="S54" s="81">
        <v>0.99367264</v>
      </c>
      <c r="T54" s="81">
        <v>9.9847929000000002E-8</v>
      </c>
      <c r="U54" s="1">
        <f t="shared" si="19"/>
        <v>6.9979042706624295</v>
      </c>
    </row>
    <row r="55" spans="2:21" x14ac:dyDescent="0.25">
      <c r="B55" s="1">
        <v>5</v>
      </c>
      <c r="C55" s="81">
        <v>0.94087290000000001</v>
      </c>
      <c r="D55" s="81">
        <v>3.7007920999999998E-9</v>
      </c>
      <c r="E55" s="1">
        <f t="shared" si="15"/>
        <v>8.4052362713626003</v>
      </c>
      <c r="F55" s="1">
        <v>5</v>
      </c>
      <c r="G55" s="81">
        <v>0.97758776000000003</v>
      </c>
      <c r="H55" s="81">
        <v>3.7489969E-9</v>
      </c>
      <c r="I55" s="1">
        <f t="shared" si="16"/>
        <v>8.4162406739896358</v>
      </c>
      <c r="J55" s="1">
        <v>5</v>
      </c>
      <c r="K55" s="81">
        <v>0.98839871000000001</v>
      </c>
      <c r="L55" s="81">
        <v>3.3603380000000002E-9</v>
      </c>
      <c r="M55" s="1">
        <f t="shared" si="17"/>
        <v>8.468549206765335</v>
      </c>
      <c r="N55" s="1">
        <v>5</v>
      </c>
      <c r="O55" s="81">
        <v>0.99268064</v>
      </c>
      <c r="P55" s="81">
        <v>2.3032223000000001E-9</v>
      </c>
      <c r="Q55" s="1">
        <f t="shared" si="18"/>
        <v>8.6344736952588441</v>
      </c>
      <c r="R55" s="1">
        <v>5</v>
      </c>
      <c r="S55" s="81">
        <v>0.99385142000000004</v>
      </c>
      <c r="T55" s="81">
        <v>1.3359807E-9</v>
      </c>
      <c r="U55" s="1">
        <f t="shared" si="19"/>
        <v>8.8715212783397455</v>
      </c>
    </row>
    <row r="56" spans="2:21" x14ac:dyDescent="0.25">
      <c r="B56" s="1">
        <v>6</v>
      </c>
      <c r="C56" s="81">
        <v>0.94088976999999996</v>
      </c>
      <c r="D56" s="81">
        <v>3.8638319000000001E-11</v>
      </c>
      <c r="E56" s="1">
        <f t="shared" si="15"/>
        <v>10.386520522885993</v>
      </c>
      <c r="F56" s="1">
        <v>6</v>
      </c>
      <c r="G56" s="81">
        <v>0.97760533000000005</v>
      </c>
      <c r="H56" s="81">
        <v>3.8762150999999998E-11</v>
      </c>
      <c r="I56" s="1">
        <f t="shared" si="16"/>
        <v>10.401755691684087</v>
      </c>
      <c r="J56" s="1">
        <v>6</v>
      </c>
      <c r="K56" s="81">
        <v>0.98841648999999998</v>
      </c>
      <c r="L56" s="81">
        <v>3.8319751000000002E-11</v>
      </c>
      <c r="M56" s="1">
        <f t="shared" si="17"/>
        <v>10.411517303844283</v>
      </c>
      <c r="N56" s="1">
        <v>6</v>
      </c>
      <c r="O56" s="81">
        <v>0.99269852999999997</v>
      </c>
      <c r="P56" s="81">
        <v>3.6814187E-11</v>
      </c>
      <c r="Q56" s="1">
        <f t="shared" si="18"/>
        <v>10.430802164759029</v>
      </c>
      <c r="R56" s="1">
        <v>6</v>
      </c>
      <c r="S56" s="81">
        <v>0.99386956999999998</v>
      </c>
      <c r="T56" s="81">
        <v>3.5124085000000003E-11</v>
      </c>
      <c r="U56" s="1">
        <f t="shared" si="19"/>
        <v>10.451724374235367</v>
      </c>
    </row>
    <row r="57" spans="2:21" x14ac:dyDescent="0.25">
      <c r="B57" s="1">
        <v>7</v>
      </c>
      <c r="C57" s="81">
        <v>0.94089146000000001</v>
      </c>
      <c r="D57" s="81">
        <v>3.901729E-13</v>
      </c>
      <c r="E57" s="1">
        <f t="shared" si="15"/>
        <v>12.382282425096795</v>
      </c>
      <c r="F57" s="1">
        <v>7</v>
      </c>
      <c r="G57" s="81">
        <v>0.97760709000000001</v>
      </c>
      <c r="H57" s="81">
        <v>4.4527058E-13</v>
      </c>
      <c r="I57" s="1">
        <f t="shared" si="16"/>
        <v>12.341540341294316</v>
      </c>
      <c r="J57" s="1">
        <v>7</v>
      </c>
      <c r="K57" s="81">
        <v>0.98841827000000004</v>
      </c>
      <c r="L57" s="81">
        <v>7.2917574000000001E-13</v>
      </c>
      <c r="M57" s="1">
        <f t="shared" si="17"/>
        <v>12.132108553283706</v>
      </c>
      <c r="N57" s="1">
        <v>7</v>
      </c>
      <c r="O57" s="81">
        <v>0.99270038000000005</v>
      </c>
      <c r="P57" s="81">
        <v>1.1880722000000001E-12</v>
      </c>
      <c r="Q57" s="1">
        <f t="shared" si="18"/>
        <v>11.921975354290572</v>
      </c>
      <c r="R57" s="1">
        <v>7</v>
      </c>
      <c r="S57" s="81">
        <v>0.99387157000000004</v>
      </c>
      <c r="T57" s="81">
        <v>1.3054973000000001E-12</v>
      </c>
      <c r="U57" s="1">
        <f t="shared" si="19"/>
        <v>11.881554289691058</v>
      </c>
    </row>
    <row r="58" spans="2:21" x14ac:dyDescent="0.25">
      <c r="B58" s="1">
        <v>8</v>
      </c>
      <c r="C58" s="81">
        <v>0.94089162999999998</v>
      </c>
      <c r="D58" s="81">
        <v>4.1105464000000004E-15</v>
      </c>
      <c r="E58" s="1">
        <f t="shared" si="15"/>
        <v>14.359640050244295</v>
      </c>
      <c r="F58" s="1">
        <v>8</v>
      </c>
      <c r="G58" s="81">
        <v>0.97760727000000003</v>
      </c>
      <c r="H58" s="81">
        <v>8.8082228000000005E-15</v>
      </c>
      <c r="I58" s="1">
        <f t="shared" si="16"/>
        <v>14.045276131167318</v>
      </c>
      <c r="J58" s="1">
        <v>8</v>
      </c>
      <c r="K58" s="81">
        <v>0.98841846</v>
      </c>
      <c r="L58" s="81">
        <v>2.604811E-14</v>
      </c>
      <c r="M58" s="1">
        <f t="shared" si="17"/>
        <v>13.579164630600861</v>
      </c>
      <c r="N58" s="1">
        <v>8</v>
      </c>
      <c r="O58" s="81">
        <v>0.99270058999999999</v>
      </c>
      <c r="P58" s="81">
        <v>4.0319295E-14</v>
      </c>
      <c r="Q58" s="1">
        <f t="shared" si="18"/>
        <v>13.391305350317083</v>
      </c>
      <c r="R58" s="1">
        <v>8</v>
      </c>
      <c r="S58" s="81">
        <v>0.99387181999999996</v>
      </c>
      <c r="T58" s="81">
        <v>2.8686270999999998E-14</v>
      </c>
      <c r="U58" s="1">
        <f t="shared" si="19"/>
        <v>13.539656280005154</v>
      </c>
    </row>
    <row r="59" spans="2:21" x14ac:dyDescent="0.25">
      <c r="B59" s="1">
        <v>9</v>
      </c>
      <c r="C59" s="81">
        <v>0.94089164000000003</v>
      </c>
      <c r="D59" s="81">
        <v>5.9103034999999997E-17</v>
      </c>
      <c r="E59" s="1">
        <f t="shared" si="15"/>
        <v>16.201929826850922</v>
      </c>
      <c r="F59" s="1">
        <v>9</v>
      </c>
      <c r="G59" s="81">
        <v>0.97760729000000002</v>
      </c>
      <c r="H59" s="81">
        <v>3.1916898E-16</v>
      </c>
      <c r="I59" s="1">
        <f t="shared" si="16"/>
        <v>15.486143755742566</v>
      </c>
      <c r="J59" s="1">
        <v>9</v>
      </c>
      <c r="K59" s="81">
        <v>0.98841847999999999</v>
      </c>
      <c r="L59" s="81">
        <v>7.7588992999999998E-16</v>
      </c>
      <c r="M59" s="1">
        <f t="shared" si="17"/>
        <v>15.105140741256886</v>
      </c>
      <c r="N59" s="1">
        <v>9</v>
      </c>
      <c r="O59" s="81">
        <v>0.99270062000000003</v>
      </c>
      <c r="P59" s="81">
        <v>6.9132512000000002E-16</v>
      </c>
      <c r="Q59" s="1">
        <f t="shared" si="18"/>
        <v>15.157135955422087</v>
      </c>
      <c r="R59" s="1">
        <v>9</v>
      </c>
      <c r="S59" s="81">
        <v>0.99387185</v>
      </c>
      <c r="T59" s="81">
        <v>3.4303681999999998E-16</v>
      </c>
      <c r="U59" s="1">
        <f t="shared" si="19"/>
        <v>15.461989652281344</v>
      </c>
    </row>
    <row r="60" spans="2:21" x14ac:dyDescent="0.25">
      <c r="B60" s="18" t="s">
        <v>753</v>
      </c>
      <c r="C60" s="127" t="s">
        <v>748</v>
      </c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</row>
    <row r="61" spans="2:21" x14ac:dyDescent="0.25">
      <c r="B61" s="138" t="s">
        <v>739</v>
      </c>
      <c r="C61" s="138"/>
      <c r="D61" s="138"/>
      <c r="E61" s="138"/>
      <c r="F61" s="138" t="s">
        <v>740</v>
      </c>
      <c r="G61" s="138"/>
      <c r="H61" s="138"/>
      <c r="I61" s="138"/>
      <c r="J61" s="138" t="s">
        <v>741</v>
      </c>
      <c r="K61" s="138"/>
      <c r="L61" s="138"/>
      <c r="M61" s="138"/>
      <c r="N61" s="138" t="s">
        <v>742</v>
      </c>
      <c r="O61" s="138"/>
      <c r="P61" s="138"/>
      <c r="Q61" s="138"/>
      <c r="R61" s="138" t="s">
        <v>743</v>
      </c>
      <c r="S61" s="138"/>
      <c r="T61" s="138"/>
      <c r="U61" s="138"/>
    </row>
    <row r="62" spans="2:21" x14ac:dyDescent="0.25">
      <c r="B62" s="18" t="s">
        <v>744</v>
      </c>
      <c r="C62" s="18" t="s">
        <v>745</v>
      </c>
      <c r="D62" s="18" t="s">
        <v>746</v>
      </c>
      <c r="E62" s="18" t="s">
        <v>747</v>
      </c>
      <c r="F62" s="18" t="s">
        <v>744</v>
      </c>
      <c r="G62" s="18" t="s">
        <v>745</v>
      </c>
      <c r="H62" s="18" t="s">
        <v>746</v>
      </c>
      <c r="I62" s="18" t="s">
        <v>747</v>
      </c>
      <c r="J62" s="18" t="s">
        <v>744</v>
      </c>
      <c r="K62" s="18" t="s">
        <v>745</v>
      </c>
      <c r="L62" s="18" t="s">
        <v>746</v>
      </c>
      <c r="M62" s="18" t="s">
        <v>747</v>
      </c>
      <c r="N62" s="18" t="s">
        <v>744</v>
      </c>
      <c r="O62" s="18" t="s">
        <v>745</v>
      </c>
      <c r="P62" s="18" t="s">
        <v>746</v>
      </c>
      <c r="Q62" s="18" t="s">
        <v>747</v>
      </c>
      <c r="R62" s="18" t="s">
        <v>744</v>
      </c>
      <c r="S62" s="18" t="s">
        <v>745</v>
      </c>
      <c r="T62" s="18" t="s">
        <v>746</v>
      </c>
      <c r="U62" s="18" t="s">
        <v>747</v>
      </c>
    </row>
    <row r="63" spans="2:21" x14ac:dyDescent="0.25">
      <c r="B63" s="1">
        <v>0</v>
      </c>
      <c r="C63" s="81">
        <v>0.34552488999999997</v>
      </c>
      <c r="D63" s="81">
        <v>6.6746496000000002E-7</v>
      </c>
      <c r="E63" s="1">
        <f t="shared" ref="E63:E72" si="20">LOG10(C63/D63)</f>
        <v>5.7140508659662848</v>
      </c>
      <c r="F63" s="1">
        <v>0</v>
      </c>
      <c r="G63" s="81">
        <v>0.41049098000000001</v>
      </c>
      <c r="H63" s="81">
        <v>8.3302053000000005E-6</v>
      </c>
      <c r="I63" s="1">
        <f t="shared" ref="I63:I72" si="21">LOG10(G63/H63)</f>
        <v>4.6926479136744526</v>
      </c>
      <c r="J63" s="1">
        <v>0</v>
      </c>
      <c r="K63" s="81">
        <v>0.43354470000000001</v>
      </c>
      <c r="L63" s="81">
        <v>8.0557507999999998E-5</v>
      </c>
      <c r="M63" s="1">
        <f t="shared" ref="M63:M72" si="22">LOG10(K63/L63)</f>
        <v>3.7309278583216208</v>
      </c>
      <c r="N63" s="1">
        <v>0</v>
      </c>
      <c r="O63" s="81">
        <v>0.44071624999999998</v>
      </c>
      <c r="P63" s="81">
        <v>4.7941801999999998E-4</v>
      </c>
      <c r="Q63" s="1">
        <f t="shared" ref="Q63:Q72" si="23">LOG10(O63/P63)</f>
        <v>2.9634447100878272</v>
      </c>
      <c r="R63" s="1">
        <v>0</v>
      </c>
      <c r="S63" s="81">
        <v>0.44105117999999999</v>
      </c>
      <c r="T63" s="81">
        <v>1.6941065999999999E-3</v>
      </c>
      <c r="U63" s="1">
        <f t="shared" ref="U63:U72" si="24">LOG10(S63/T63)</f>
        <v>2.4155482539285744</v>
      </c>
    </row>
    <row r="64" spans="2:21" x14ac:dyDescent="0.25">
      <c r="B64" s="1">
        <v>1</v>
      </c>
      <c r="C64" s="81">
        <v>0.79517289000000002</v>
      </c>
      <c r="D64" s="81">
        <v>1.6589154000000001E-6</v>
      </c>
      <c r="E64" s="1">
        <f t="shared" si="20"/>
        <v>5.6806373263495589</v>
      </c>
      <c r="F64" s="1">
        <v>1</v>
      </c>
      <c r="G64" s="81">
        <v>0.82946428000000005</v>
      </c>
      <c r="H64" s="81">
        <v>1.3719293E-5</v>
      </c>
      <c r="I64" s="1">
        <f t="shared" si="21"/>
        <v>4.7814659569979971</v>
      </c>
      <c r="J64" s="1">
        <v>1</v>
      </c>
      <c r="K64" s="81">
        <v>0.83983743</v>
      </c>
      <c r="L64" s="81">
        <v>1.0780804E-4</v>
      </c>
      <c r="M64" s="1">
        <f t="shared" si="22"/>
        <v>3.8915440759973148</v>
      </c>
      <c r="N64" s="1">
        <v>1</v>
      </c>
      <c r="O64" s="81">
        <v>0.84283854000000002</v>
      </c>
      <c r="P64" s="81">
        <v>4.8571215000000001E-4</v>
      </c>
      <c r="Q64" s="1">
        <f t="shared" si="23"/>
        <v>3.2393654187222087</v>
      </c>
      <c r="R64" s="1">
        <v>1</v>
      </c>
      <c r="S64" s="81">
        <v>0.84183264999999996</v>
      </c>
      <c r="T64" s="81">
        <v>1.0762155999999999E-3</v>
      </c>
      <c r="U64" s="1">
        <f t="shared" si="24"/>
        <v>2.8933264826453811</v>
      </c>
    </row>
    <row r="65" spans="2:21" x14ac:dyDescent="0.25">
      <c r="B65" s="1">
        <v>2</v>
      </c>
      <c r="C65" s="81">
        <v>0.92388702</v>
      </c>
      <c r="D65" s="81">
        <v>1.801261E-6</v>
      </c>
      <c r="E65" s="1">
        <f t="shared" si="20"/>
        <v>5.7100422196086251</v>
      </c>
      <c r="F65" s="1">
        <v>2</v>
      </c>
      <c r="G65" s="81">
        <v>0.95986550000000004</v>
      </c>
      <c r="H65" s="81">
        <v>1.1845480000000001E-5</v>
      </c>
      <c r="I65" s="1">
        <f t="shared" si="21"/>
        <v>4.9086577185070706</v>
      </c>
      <c r="J65" s="1">
        <v>2</v>
      </c>
      <c r="K65" s="81">
        <v>0.97022096999999996</v>
      </c>
      <c r="L65" s="81">
        <v>5.6180449000000002E-5</v>
      </c>
      <c r="M65" s="1">
        <f t="shared" si="22"/>
        <v>4.2372854512668798</v>
      </c>
      <c r="N65" s="1">
        <v>2</v>
      </c>
      <c r="O65" s="81">
        <v>0.97404897000000001</v>
      </c>
      <c r="P65" s="81">
        <v>1.1305537000000001E-4</v>
      </c>
      <c r="Q65" s="1">
        <f t="shared" si="23"/>
        <v>3.9352895957839404</v>
      </c>
      <c r="R65" s="1">
        <v>2</v>
      </c>
      <c r="S65" s="81">
        <v>0.97486687999999999</v>
      </c>
      <c r="T65" s="81">
        <v>1.0892081E-4</v>
      </c>
      <c r="U65" s="1">
        <f t="shared" si="24"/>
        <v>3.9518344536246843</v>
      </c>
    </row>
    <row r="66" spans="2:21" x14ac:dyDescent="0.25">
      <c r="B66" s="1">
        <v>3</v>
      </c>
      <c r="C66" s="81">
        <v>0.93912165000000003</v>
      </c>
      <c r="D66" s="81">
        <v>8.9847740999999996E-7</v>
      </c>
      <c r="E66" s="1">
        <f t="shared" si="20"/>
        <v>6.0192146903334551</v>
      </c>
      <c r="F66" s="1">
        <v>3</v>
      </c>
      <c r="G66" s="81">
        <v>0.97572952000000002</v>
      </c>
      <c r="H66" s="81">
        <v>2.7232330999999998E-6</v>
      </c>
      <c r="I66" s="1">
        <f t="shared" si="21"/>
        <v>5.5542446273154598</v>
      </c>
      <c r="J66" s="1">
        <v>3</v>
      </c>
      <c r="K66" s="81">
        <v>0.98648356000000004</v>
      </c>
      <c r="L66" s="81">
        <v>4.6392471999999997E-6</v>
      </c>
      <c r="M66" s="1">
        <f t="shared" si="22"/>
        <v>5.3276423377175828</v>
      </c>
      <c r="N66" s="1">
        <v>3</v>
      </c>
      <c r="O66" s="81">
        <v>0.99073630000000001</v>
      </c>
      <c r="P66" s="81">
        <v>4.0911673000000003E-6</v>
      </c>
      <c r="Q66" s="1">
        <f t="shared" si="23"/>
        <v>5.3841108361258287</v>
      </c>
      <c r="R66" s="1">
        <v>3</v>
      </c>
      <c r="S66" s="81">
        <v>0.99189400000000005</v>
      </c>
      <c r="T66" s="81">
        <v>2.2276859999999999E-6</v>
      </c>
      <c r="U66" s="1">
        <f t="shared" si="24"/>
        <v>5.6486112876925025</v>
      </c>
    </row>
    <row r="67" spans="2:21" x14ac:dyDescent="0.25">
      <c r="B67" s="1">
        <v>4</v>
      </c>
      <c r="C67" s="81">
        <v>0.94070653999999998</v>
      </c>
      <c r="D67" s="81">
        <v>6.2786397000000001E-8</v>
      </c>
      <c r="E67" s="1">
        <f t="shared" si="20"/>
        <v>7.1755886015802455</v>
      </c>
      <c r="F67" s="1">
        <v>4</v>
      </c>
      <c r="G67" s="81">
        <v>0.97741314000000001</v>
      </c>
      <c r="H67" s="81">
        <v>8.0035690000000003E-8</v>
      </c>
      <c r="I67" s="1">
        <f t="shared" si="21"/>
        <v>7.0867944798220828</v>
      </c>
      <c r="J67" s="1">
        <v>4</v>
      </c>
      <c r="K67" s="81">
        <v>0.98822129999999997</v>
      </c>
      <c r="L67" s="81">
        <v>7.8463496999999996E-8</v>
      </c>
      <c r="M67" s="1">
        <f t="shared" si="22"/>
        <v>7.1001865503075194</v>
      </c>
      <c r="N67" s="1">
        <v>4</v>
      </c>
      <c r="O67" s="81">
        <v>0.99250201000000005</v>
      </c>
      <c r="P67" s="81">
        <v>5.3863304999999999E-8</v>
      </c>
      <c r="Q67" s="1">
        <f t="shared" si="23"/>
        <v>7.2654383971826091</v>
      </c>
      <c r="R67" s="1">
        <v>4</v>
      </c>
      <c r="S67" s="81">
        <v>0.99367181999999998</v>
      </c>
      <c r="T67" s="81">
        <v>2.8410907999999999E-8</v>
      </c>
      <c r="U67" s="1">
        <f t="shared" si="24"/>
        <v>7.5437578598326356</v>
      </c>
    </row>
    <row r="68" spans="2:21" x14ac:dyDescent="0.25">
      <c r="B68" s="1">
        <v>5</v>
      </c>
      <c r="C68" s="81">
        <v>0.94087286999999997</v>
      </c>
      <c r="D68" s="81">
        <v>9.2706773000000001E-10</v>
      </c>
      <c r="E68" s="1">
        <f t="shared" si="20"/>
        <v>9.0064194817398757</v>
      </c>
      <c r="F68" s="1">
        <v>5</v>
      </c>
      <c r="G68" s="81">
        <v>0.97758774999999998</v>
      </c>
      <c r="H68" s="81">
        <v>9.4728524000000004E-10</v>
      </c>
      <c r="I68" s="1">
        <f t="shared" si="21"/>
        <v>9.0136749804002605</v>
      </c>
      <c r="J68" s="1">
        <v>5</v>
      </c>
      <c r="K68" s="81">
        <v>0.98839867000000003</v>
      </c>
      <c r="L68" s="81">
        <v>8.8774749999999999E-10</v>
      </c>
      <c r="M68" s="1">
        <f t="shared" si="22"/>
        <v>9.0466426943873515</v>
      </c>
      <c r="N68" s="1">
        <v>5</v>
      </c>
      <c r="O68" s="81">
        <v>0.99268049999999997</v>
      </c>
      <c r="P68" s="81">
        <v>7.2214260999999999E-10</v>
      </c>
      <c r="Q68" s="1">
        <f t="shared" si="23"/>
        <v>9.138186519495104</v>
      </c>
      <c r="R68" s="1">
        <v>5</v>
      </c>
      <c r="S68" s="81">
        <v>0.99385106000000001</v>
      </c>
      <c r="T68" s="81">
        <v>5.9166790999999998E-10</v>
      </c>
      <c r="U68" s="1">
        <f t="shared" si="24"/>
        <v>9.2252432899551788</v>
      </c>
    </row>
    <row r="69" spans="2:21" x14ac:dyDescent="0.25">
      <c r="B69" s="1">
        <v>6</v>
      </c>
      <c r="C69" s="81">
        <v>0.94088976999999996</v>
      </c>
      <c r="D69" s="81">
        <v>9.7162827999999995E-12</v>
      </c>
      <c r="E69" s="1">
        <f t="shared" si="20"/>
        <v>10.986038599813016</v>
      </c>
      <c r="F69" s="1">
        <v>6</v>
      </c>
      <c r="G69" s="81">
        <v>0.97760533000000005</v>
      </c>
      <c r="H69" s="81">
        <v>1.0285141999999999E-11</v>
      </c>
      <c r="I69" s="1">
        <f t="shared" si="21"/>
        <v>10.977953268638638</v>
      </c>
      <c r="J69" s="1">
        <v>6</v>
      </c>
      <c r="K69" s="81">
        <v>0.98841646999999999</v>
      </c>
      <c r="L69" s="81">
        <v>1.3383459E-11</v>
      </c>
      <c r="M69" s="1">
        <f t="shared" si="22"/>
        <v>10.868371600637341</v>
      </c>
      <c r="N69" s="1">
        <v>6</v>
      </c>
      <c r="O69" s="81">
        <v>0.99269848999999999</v>
      </c>
      <c r="P69" s="81">
        <v>1.9757643999999998E-11</v>
      </c>
      <c r="Q69" s="1">
        <f t="shared" si="23"/>
        <v>10.701082205372659</v>
      </c>
      <c r="R69" s="1">
        <v>6</v>
      </c>
      <c r="S69" s="81">
        <v>0.99386949999999996</v>
      </c>
      <c r="T69" s="81">
        <v>2.5657948E-11</v>
      </c>
      <c r="U69" s="1">
        <f t="shared" si="24"/>
        <v>10.588107442487443</v>
      </c>
    </row>
    <row r="70" spans="2:21" x14ac:dyDescent="0.25">
      <c r="B70" s="1">
        <v>7</v>
      </c>
      <c r="C70" s="81">
        <v>0.94089146000000001</v>
      </c>
      <c r="D70" s="81">
        <v>9.9911999E-14</v>
      </c>
      <c r="E70" s="1">
        <f t="shared" si="20"/>
        <v>12.973921878425518</v>
      </c>
      <c r="F70" s="1">
        <v>7</v>
      </c>
      <c r="G70" s="81">
        <v>0.97760709000000001</v>
      </c>
      <c r="H70" s="81">
        <v>1.5960316999999999E-13</v>
      </c>
      <c r="I70" s="1">
        <f t="shared" si="21"/>
        <v>12.787122829634711</v>
      </c>
      <c r="J70" s="1">
        <v>7</v>
      </c>
      <c r="K70" s="81">
        <v>0.98841827000000004</v>
      </c>
      <c r="L70" s="81">
        <v>4.4590591000000001E-13</v>
      </c>
      <c r="M70" s="1">
        <f t="shared" si="22"/>
        <v>12.345697535846289</v>
      </c>
      <c r="N70" s="1">
        <v>7</v>
      </c>
      <c r="O70" s="81">
        <v>0.99270037</v>
      </c>
      <c r="P70" s="81">
        <v>9.5684990000000005E-13</v>
      </c>
      <c r="Q70" s="1">
        <f t="shared" si="23"/>
        <v>12.015974367931898</v>
      </c>
      <c r="R70" s="1">
        <v>7</v>
      </c>
      <c r="S70" s="81">
        <v>0.99387155999999999</v>
      </c>
      <c r="T70" s="81">
        <v>1.1876293000000001E-12</v>
      </c>
      <c r="U70" s="1">
        <f t="shared" si="24"/>
        <v>11.922649359748757</v>
      </c>
    </row>
    <row r="71" spans="2:21" x14ac:dyDescent="0.25">
      <c r="B71" s="1">
        <v>8</v>
      </c>
      <c r="C71" s="81">
        <v>0.94089162999999998</v>
      </c>
      <c r="D71" s="81">
        <v>1.2164442999999999E-15</v>
      </c>
      <c r="E71" s="1">
        <f t="shared" si="20"/>
        <v>14.888447377416062</v>
      </c>
      <c r="F71" s="1">
        <v>8</v>
      </c>
      <c r="G71" s="81">
        <v>0.97760727000000003</v>
      </c>
      <c r="H71" s="81">
        <v>5.5224878999999999E-15</v>
      </c>
      <c r="I71" s="1">
        <f t="shared" si="21"/>
        <v>14.248029649564563</v>
      </c>
      <c r="J71" s="1">
        <v>8</v>
      </c>
      <c r="K71" s="81">
        <v>0.98841846</v>
      </c>
      <c r="L71" s="81">
        <v>2.2162597E-14</v>
      </c>
      <c r="M71" s="1">
        <f t="shared" si="22"/>
        <v>13.649320198411317</v>
      </c>
      <c r="N71" s="1">
        <v>8</v>
      </c>
      <c r="O71" s="81">
        <v>0.99270058999999999</v>
      </c>
      <c r="P71" s="81">
        <v>3.7975481999999999E-14</v>
      </c>
      <c r="Q71" s="1">
        <f t="shared" si="23"/>
        <v>13.417314985188446</v>
      </c>
      <c r="R71" s="1">
        <v>8</v>
      </c>
      <c r="S71" s="81">
        <v>0.99387181999999996</v>
      </c>
      <c r="T71" s="81">
        <v>2.8136369000000001E-14</v>
      </c>
      <c r="U71" s="1">
        <f t="shared" si="24"/>
        <v>13.548062325908536</v>
      </c>
    </row>
    <row r="72" spans="2:21" x14ac:dyDescent="0.25">
      <c r="B72" s="1">
        <v>9</v>
      </c>
      <c r="C72" s="81">
        <v>0.94089164000000003</v>
      </c>
      <c r="D72" s="81">
        <v>2.8853520999999999E-17</v>
      </c>
      <c r="E72" s="1">
        <f t="shared" si="20"/>
        <v>16.51334079200711</v>
      </c>
      <c r="F72" s="1">
        <v>9</v>
      </c>
      <c r="G72" s="81">
        <v>0.97760729000000002</v>
      </c>
      <c r="H72" s="81">
        <v>2.742405E-16</v>
      </c>
      <c r="I72" s="1">
        <f t="shared" si="21"/>
        <v>15.552032839379702</v>
      </c>
      <c r="J72" s="1">
        <v>9</v>
      </c>
      <c r="K72" s="81">
        <v>0.98841847999999999</v>
      </c>
      <c r="L72" s="81">
        <v>7.4481167999999996E-16</v>
      </c>
      <c r="M72" s="1">
        <f t="shared" si="22"/>
        <v>15.122894378054614</v>
      </c>
      <c r="N72" s="1">
        <v>9</v>
      </c>
      <c r="O72" s="81">
        <v>0.99270062000000003</v>
      </c>
      <c r="P72" s="81">
        <v>6.8439343000000004E-16</v>
      </c>
      <c r="Q72" s="1">
        <f t="shared" si="23"/>
        <v>15.16151246134776</v>
      </c>
      <c r="R72" s="1">
        <v>9</v>
      </c>
      <c r="S72" s="81">
        <v>0.99387185</v>
      </c>
      <c r="T72" s="81">
        <v>3.4223466999999999E-16</v>
      </c>
      <c r="U72" s="1">
        <f t="shared" si="24"/>
        <v>15.463006386474596</v>
      </c>
    </row>
    <row r="73" spans="2:21" x14ac:dyDescent="0.25">
      <c r="B73" s="18" t="s">
        <v>754</v>
      </c>
      <c r="C73" s="127" t="s">
        <v>748</v>
      </c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</row>
    <row r="74" spans="2:21" x14ac:dyDescent="0.25">
      <c r="B74" s="138" t="s">
        <v>739</v>
      </c>
      <c r="C74" s="138"/>
      <c r="D74" s="138"/>
      <c r="E74" s="138"/>
      <c r="F74" s="138" t="s">
        <v>740</v>
      </c>
      <c r="G74" s="138"/>
      <c r="H74" s="138"/>
      <c r="I74" s="138"/>
      <c r="J74" s="138" t="s">
        <v>741</v>
      </c>
      <c r="K74" s="138"/>
      <c r="L74" s="138"/>
      <c r="M74" s="138"/>
      <c r="N74" s="138" t="s">
        <v>742</v>
      </c>
      <c r="O74" s="138"/>
      <c r="P74" s="138"/>
      <c r="Q74" s="138"/>
      <c r="R74" s="138" t="s">
        <v>743</v>
      </c>
      <c r="S74" s="138"/>
      <c r="T74" s="138"/>
      <c r="U74" s="138"/>
    </row>
    <row r="75" spans="2:21" x14ac:dyDescent="0.25">
      <c r="B75" s="18" t="s">
        <v>744</v>
      </c>
      <c r="C75" s="18" t="s">
        <v>745</v>
      </c>
      <c r="D75" s="18" t="s">
        <v>746</v>
      </c>
      <c r="E75" s="18" t="s">
        <v>747</v>
      </c>
      <c r="F75" s="18" t="s">
        <v>744</v>
      </c>
      <c r="G75" s="18" t="s">
        <v>745</v>
      </c>
      <c r="H75" s="18" t="s">
        <v>746</v>
      </c>
      <c r="I75" s="18" t="s">
        <v>747</v>
      </c>
      <c r="J75" s="18" t="s">
        <v>744</v>
      </c>
      <c r="K75" s="18" t="s">
        <v>745</v>
      </c>
      <c r="L75" s="18" t="s">
        <v>746</v>
      </c>
      <c r="M75" s="18" t="s">
        <v>747</v>
      </c>
      <c r="N75" s="18" t="s">
        <v>744</v>
      </c>
      <c r="O75" s="18" t="s">
        <v>745</v>
      </c>
      <c r="P75" s="18" t="s">
        <v>746</v>
      </c>
      <c r="Q75" s="18" t="s">
        <v>747</v>
      </c>
      <c r="R75" s="18" t="s">
        <v>744</v>
      </c>
      <c r="S75" s="18" t="s">
        <v>745</v>
      </c>
      <c r="T75" s="18" t="s">
        <v>746</v>
      </c>
      <c r="U75" s="18" t="s">
        <v>747</v>
      </c>
    </row>
    <row r="76" spans="2:21" x14ac:dyDescent="0.25">
      <c r="B76" s="1">
        <v>0</v>
      </c>
      <c r="C76" s="1">
        <v>0.31820999999999999</v>
      </c>
      <c r="D76" s="48">
        <v>2.4305999999999999E-8</v>
      </c>
      <c r="E76" s="1">
        <f t="shared" ref="E76:E85" si="25">LOG10(C76/D76)</f>
        <v>7.117000330004104</v>
      </c>
      <c r="F76" s="1">
        <v>0</v>
      </c>
      <c r="G76" s="1">
        <v>0.38532</v>
      </c>
      <c r="H76" s="48">
        <v>6.1935999999999998E-9</v>
      </c>
      <c r="I76" s="1">
        <f t="shared" ref="I76:I85" si="26">LOG10(G76/H76)</f>
        <v>7.7938783976392472</v>
      </c>
      <c r="J76" s="1">
        <v>0</v>
      </c>
      <c r="K76" s="1">
        <v>0.41070000000000001</v>
      </c>
      <c r="L76" s="48">
        <v>4.3251999999999999E-9</v>
      </c>
      <c r="M76" s="1">
        <f t="shared" ref="M76:M85" si="27">LOG10(K76/L76)</f>
        <v>7.9775185085353293</v>
      </c>
      <c r="N76" s="1">
        <v>0</v>
      </c>
      <c r="O76" s="1">
        <v>0.41965000000000002</v>
      </c>
      <c r="P76" s="48">
        <v>4.8273999999999999E-8</v>
      </c>
      <c r="Q76" s="1">
        <f t="shared" ref="Q76:Q85" si="28">LOG10(O76/P76)</f>
        <v>6.9391739413515001</v>
      </c>
      <c r="R76" s="1">
        <v>0</v>
      </c>
      <c r="S76" s="1">
        <v>0.42277999999999999</v>
      </c>
      <c r="T76" s="48">
        <v>3.0689999999999998E-7</v>
      </c>
      <c r="U76" s="1">
        <f t="shared" ref="U76:U85" si="29">LOG10(S76/T76)</f>
        <v>6.1391175459862488</v>
      </c>
    </row>
    <row r="77" spans="2:21" x14ac:dyDescent="0.25">
      <c r="B77" s="1">
        <v>1</v>
      </c>
      <c r="C77" s="1">
        <v>0.78325999999999996</v>
      </c>
      <c r="D77" s="48">
        <v>1.5264E-9</v>
      </c>
      <c r="E77" s="1">
        <f t="shared" si="25"/>
        <v>8.7102375909330725</v>
      </c>
      <c r="F77" s="1">
        <v>1</v>
      </c>
      <c r="G77" s="1">
        <v>0.81781000000000004</v>
      </c>
      <c r="H77" s="48">
        <v>5.5283000000000004E-10</v>
      </c>
      <c r="I77" s="1">
        <f t="shared" si="26"/>
        <v>9.1700608141778375</v>
      </c>
      <c r="J77" s="1">
        <v>1</v>
      </c>
      <c r="K77" s="1">
        <v>0.82891999999999999</v>
      </c>
      <c r="L77" s="48">
        <v>8.4762000000000002E-9</v>
      </c>
      <c r="M77" s="1">
        <f t="shared" si="27"/>
        <v>7.9903114227785901</v>
      </c>
      <c r="N77" s="1">
        <v>1</v>
      </c>
      <c r="O77" s="1">
        <v>0.83323999999999998</v>
      </c>
      <c r="P77" s="48">
        <v>8.7755999999999995E-8</v>
      </c>
      <c r="Q77" s="1">
        <f t="shared" si="28"/>
        <v>6.9774932907744311</v>
      </c>
      <c r="R77" s="1">
        <v>1</v>
      </c>
      <c r="S77" s="1">
        <v>0.83445999999999998</v>
      </c>
      <c r="T77" s="48">
        <v>4.7544999999999999E-7</v>
      </c>
      <c r="U77" s="1">
        <f t="shared" si="29"/>
        <v>6.2443006717906888</v>
      </c>
    </row>
    <row r="78" spans="2:21" x14ac:dyDescent="0.25">
      <c r="B78" s="1">
        <v>2</v>
      </c>
      <c r="C78" s="1">
        <v>0.92242999999999997</v>
      </c>
      <c r="D78" s="48">
        <v>2.0709E-11</v>
      </c>
      <c r="E78" s="1">
        <f t="shared" si="25"/>
        <v>10.648774290877924</v>
      </c>
      <c r="F78" s="1">
        <v>2</v>
      </c>
      <c r="G78" s="1">
        <v>0.95848</v>
      </c>
      <c r="H78" s="48">
        <v>3.8562000000000001E-10</v>
      </c>
      <c r="I78" s="1">
        <f t="shared" si="26"/>
        <v>9.395423504864473</v>
      </c>
      <c r="J78" s="1">
        <v>2</v>
      </c>
      <c r="K78" s="1">
        <v>0.96911000000000003</v>
      </c>
      <c r="L78" s="48">
        <v>7.6701000000000006E-9</v>
      </c>
      <c r="M78" s="1">
        <f t="shared" si="27"/>
        <v>8.1015720488070144</v>
      </c>
      <c r="N78" s="1">
        <v>2</v>
      </c>
      <c r="O78" s="1">
        <v>0.97330000000000005</v>
      </c>
      <c r="P78" s="48">
        <v>5.5706999999999997E-8</v>
      </c>
      <c r="Q78" s="1">
        <f t="shared" si="28"/>
        <v>7.2423369524321322</v>
      </c>
      <c r="R78" s="1">
        <v>2</v>
      </c>
      <c r="S78" s="1">
        <v>0.97443000000000002</v>
      </c>
      <c r="T78" s="48">
        <v>1.7791999999999999E-7</v>
      </c>
      <c r="U78" s="1">
        <f t="shared" si="29"/>
        <v>6.7385258763165314</v>
      </c>
    </row>
    <row r="79" spans="2:21" x14ac:dyDescent="0.25">
      <c r="B79" s="1">
        <v>3</v>
      </c>
      <c r="C79" s="1">
        <v>0.93901000000000001</v>
      </c>
      <c r="D79" s="48">
        <v>3.8890999999999997E-12</v>
      </c>
      <c r="E79" s="1">
        <f t="shared" si="25"/>
        <v>11.382821107058623</v>
      </c>
      <c r="F79" s="1">
        <v>3</v>
      </c>
      <c r="G79" s="1">
        <v>0.97565999999999997</v>
      </c>
      <c r="H79" s="48">
        <v>2.0885000000000001E-10</v>
      </c>
      <c r="I79" s="1">
        <f t="shared" si="26"/>
        <v>9.6694640205969957</v>
      </c>
      <c r="J79" s="1">
        <v>3</v>
      </c>
      <c r="K79" s="1">
        <v>0.98643999999999998</v>
      </c>
      <c r="L79" s="48">
        <v>2.396E-9</v>
      </c>
      <c r="M79" s="1">
        <f t="shared" si="27"/>
        <v>8.6145838608061887</v>
      </c>
      <c r="N79" s="1">
        <v>3</v>
      </c>
      <c r="O79" s="1">
        <v>0.99070999999999998</v>
      </c>
      <c r="P79" s="48">
        <v>1.0204E-8</v>
      </c>
      <c r="Q79" s="1">
        <f t="shared" si="28"/>
        <v>7.987176096746027</v>
      </c>
      <c r="R79" s="1">
        <v>3</v>
      </c>
      <c r="S79" s="1">
        <v>0.99187000000000003</v>
      </c>
      <c r="T79" s="48">
        <v>2.3225000000000001E-8</v>
      </c>
      <c r="U79" s="1">
        <f t="shared" si="29"/>
        <v>7.6304990321675774</v>
      </c>
    </row>
    <row r="80" spans="2:21" x14ac:dyDescent="0.25">
      <c r="B80" s="1">
        <v>4</v>
      </c>
      <c r="C80" s="1">
        <v>0.94069999999999998</v>
      </c>
      <c r="D80" s="48">
        <v>1.1181000000000001E-12</v>
      </c>
      <c r="E80" s="1">
        <f t="shared" si="25"/>
        <v>11.924970496551433</v>
      </c>
      <c r="F80" s="1">
        <v>4</v>
      </c>
      <c r="G80" s="1">
        <v>0.97741</v>
      </c>
      <c r="H80" s="48">
        <v>3.6820000000000002E-11</v>
      </c>
      <c r="I80" s="1">
        <f t="shared" si="26"/>
        <v>10.423992993866293</v>
      </c>
      <c r="J80" s="1">
        <v>4</v>
      </c>
      <c r="K80" s="1">
        <v>0.98821999999999999</v>
      </c>
      <c r="L80" s="48">
        <v>3.0204000000000002E-10</v>
      </c>
      <c r="M80" s="1">
        <f t="shared" si="27"/>
        <v>9.5147891774754658</v>
      </c>
      <c r="N80" s="1">
        <v>4</v>
      </c>
      <c r="O80" s="1">
        <v>0.99250000000000005</v>
      </c>
      <c r="P80" s="48">
        <v>1.1042E-9</v>
      </c>
      <c r="Q80" s="1">
        <f t="shared" si="28"/>
        <v>8.9536827726310335</v>
      </c>
      <c r="R80" s="1">
        <v>4</v>
      </c>
      <c r="S80" s="1">
        <v>0.99367000000000005</v>
      </c>
      <c r="T80" s="48">
        <v>2.3569E-9</v>
      </c>
      <c r="U80" s="1">
        <f t="shared" si="29"/>
        <v>8.6249010217833284</v>
      </c>
    </row>
    <row r="81" spans="2:21" x14ac:dyDescent="0.25">
      <c r="B81" s="1">
        <v>5</v>
      </c>
      <c r="C81" s="1">
        <v>0.94086999999999998</v>
      </c>
      <c r="D81" s="48">
        <v>1.3748000000000001E-13</v>
      </c>
      <c r="E81" s="1">
        <f t="shared" si="25"/>
        <v>12.835290097642316</v>
      </c>
      <c r="F81" s="1">
        <v>5</v>
      </c>
      <c r="G81" s="1">
        <v>0.97758999999999996</v>
      </c>
      <c r="H81" s="48">
        <v>3.9722999999999999E-12</v>
      </c>
      <c r="I81" s="1">
        <f t="shared" si="26"/>
        <v>11.391114710137227</v>
      </c>
      <c r="J81" s="1">
        <v>5</v>
      </c>
      <c r="K81" s="1">
        <v>0.98839999999999995</v>
      </c>
      <c r="L81" s="48">
        <v>3.0694999999999997E-11</v>
      </c>
      <c r="M81" s="1">
        <f t="shared" si="27"/>
        <v>10.507865099013726</v>
      </c>
      <c r="N81" s="1">
        <v>5</v>
      </c>
      <c r="O81" s="1">
        <v>0.99268000000000001</v>
      </c>
      <c r="P81" s="48">
        <v>1.086E-10</v>
      </c>
      <c r="Q81" s="1">
        <f t="shared" si="28"/>
        <v>9.960979446775637</v>
      </c>
      <c r="R81" s="1">
        <v>5</v>
      </c>
      <c r="S81" s="1">
        <v>0.99385000000000001</v>
      </c>
      <c r="T81" s="48">
        <v>2.2351000000000001E-10</v>
      </c>
      <c r="U81" s="1">
        <f t="shared" si="29"/>
        <v>9.6480238835014731</v>
      </c>
    </row>
    <row r="82" spans="2:21" x14ac:dyDescent="0.25">
      <c r="B82" s="1">
        <v>6</v>
      </c>
      <c r="C82" s="1">
        <v>0.94089</v>
      </c>
      <c r="D82" s="48">
        <v>1.4041000000000001E-14</v>
      </c>
      <c r="E82" s="1">
        <f t="shared" si="25"/>
        <v>13.826140813425564</v>
      </c>
      <c r="F82" s="1">
        <v>6</v>
      </c>
      <c r="G82" s="1">
        <v>0.97760999999999998</v>
      </c>
      <c r="H82" s="48">
        <v>3.9590000000000001E-13</v>
      </c>
      <c r="I82" s="1">
        <f t="shared" si="26"/>
        <v>12.392580133579383</v>
      </c>
      <c r="J82" s="1">
        <v>6</v>
      </c>
      <c r="K82" s="1">
        <v>0.98841999999999997</v>
      </c>
      <c r="L82" s="48">
        <v>2.9727E-12</v>
      </c>
      <c r="M82" s="1">
        <f t="shared" si="27"/>
        <v>11.521790441338842</v>
      </c>
      <c r="N82" s="1">
        <v>6</v>
      </c>
      <c r="O82" s="1">
        <v>0.99270000000000003</v>
      </c>
      <c r="P82" s="48">
        <v>1.0006000000000001E-11</v>
      </c>
      <c r="Q82" s="1">
        <f t="shared" si="28"/>
        <v>10.996557523332125</v>
      </c>
      <c r="R82" s="1">
        <v>6</v>
      </c>
      <c r="S82" s="1">
        <v>0.99387000000000003</v>
      </c>
      <c r="T82" s="48">
        <v>1.8694000000000001E-11</v>
      </c>
      <c r="U82" s="1">
        <f t="shared" si="29"/>
        <v>10.725627343251954</v>
      </c>
    </row>
    <row r="83" spans="2:21" x14ac:dyDescent="0.25">
      <c r="B83" s="1">
        <v>7</v>
      </c>
      <c r="C83" s="1">
        <v>0.94089</v>
      </c>
      <c r="D83" s="48">
        <v>1.3978E-15</v>
      </c>
      <c r="E83" s="1">
        <f t="shared" si="25"/>
        <v>14.828093816635413</v>
      </c>
      <c r="F83" s="1">
        <v>7</v>
      </c>
      <c r="G83" s="1">
        <v>0.97760999999999998</v>
      </c>
      <c r="H83" s="48">
        <v>3.8182999999999997E-14</v>
      </c>
      <c r="I83" s="1">
        <f t="shared" si="26"/>
        <v>13.408295587851697</v>
      </c>
      <c r="J83" s="1">
        <v>7</v>
      </c>
      <c r="K83" s="1">
        <v>0.98841999999999997</v>
      </c>
      <c r="L83" s="48">
        <v>2.6634E-13</v>
      </c>
      <c r="M83" s="1">
        <f t="shared" si="27"/>
        <v>12.569505129060571</v>
      </c>
      <c r="N83" s="1">
        <v>7</v>
      </c>
      <c r="O83" s="1">
        <v>0.99270000000000003</v>
      </c>
      <c r="P83" s="48">
        <v>7.7142999999999998E-13</v>
      </c>
      <c r="Q83" s="1">
        <f t="shared" si="28"/>
        <v>12.109521497822508</v>
      </c>
      <c r="R83" s="1">
        <v>7</v>
      </c>
      <c r="S83" s="1">
        <v>0.99387000000000003</v>
      </c>
      <c r="T83" s="48">
        <v>1.0815E-12</v>
      </c>
      <c r="U83" s="1">
        <f t="shared" si="29"/>
        <v>11.963303057830544</v>
      </c>
    </row>
    <row r="84" spans="2:21" x14ac:dyDescent="0.25">
      <c r="B84" s="1">
        <v>8</v>
      </c>
      <c r="C84" s="1">
        <v>0.94089</v>
      </c>
      <c r="D84" s="48">
        <v>1.3681E-16</v>
      </c>
      <c r="E84" s="1">
        <f t="shared" si="25"/>
        <v>15.837421009876742</v>
      </c>
      <c r="F84" s="1">
        <v>8</v>
      </c>
      <c r="G84" s="1">
        <v>0.97760999999999998</v>
      </c>
      <c r="H84" s="48">
        <v>3.3972999999999998E-15</v>
      </c>
      <c r="I84" s="1">
        <f t="shared" si="26"/>
        <v>14.459031736211982</v>
      </c>
      <c r="J84" s="1">
        <v>8</v>
      </c>
      <c r="K84" s="1">
        <v>0.98841999999999997</v>
      </c>
      <c r="L84" s="48">
        <v>1.8886E-14</v>
      </c>
      <c r="M84" s="1">
        <f t="shared" si="27"/>
        <v>13.71880153911944</v>
      </c>
      <c r="N84" s="1">
        <v>8</v>
      </c>
      <c r="O84" s="1">
        <v>0.99270000000000003</v>
      </c>
      <c r="P84" s="48">
        <v>3.5783999999999999E-14</v>
      </c>
      <c r="Q84" s="1">
        <f t="shared" si="28"/>
        <v>13.443129136714916</v>
      </c>
      <c r="R84" s="1">
        <v>8</v>
      </c>
      <c r="S84" s="1">
        <v>0.99387000000000003</v>
      </c>
      <c r="T84" s="48">
        <v>2.7588999999999999E-14</v>
      </c>
      <c r="U84" s="1">
        <f t="shared" si="29"/>
        <v>13.556593622422323</v>
      </c>
    </row>
    <row r="85" spans="2:21" x14ac:dyDescent="0.25">
      <c r="B85" s="1">
        <v>9</v>
      </c>
      <c r="C85" s="1">
        <v>0.94089</v>
      </c>
      <c r="D85" s="48">
        <v>1.2773E-17</v>
      </c>
      <c r="E85" s="1">
        <f t="shared" si="25"/>
        <v>16.867245940597563</v>
      </c>
      <c r="F85" s="1">
        <v>9</v>
      </c>
      <c r="G85" s="1">
        <v>0.97760999999999998</v>
      </c>
      <c r="H85" s="48">
        <v>2.3603000000000001E-16</v>
      </c>
      <c r="I85" s="1">
        <f t="shared" si="26"/>
        <v>15.617198428944432</v>
      </c>
      <c r="J85" s="1">
        <v>9</v>
      </c>
      <c r="K85" s="1">
        <v>0.98841999999999997</v>
      </c>
      <c r="L85" s="48">
        <v>7.1507999999999998E-16</v>
      </c>
      <c r="M85" s="1">
        <f t="shared" si="27"/>
        <v>15.14058689299717</v>
      </c>
      <c r="N85" s="1">
        <v>9</v>
      </c>
      <c r="O85" s="1">
        <v>0.99270000000000003</v>
      </c>
      <c r="P85" s="48">
        <v>6.7725999999999998E-16</v>
      </c>
      <c r="Q85" s="1">
        <f t="shared" si="28"/>
        <v>15.166062595604718</v>
      </c>
      <c r="R85" s="1">
        <v>9</v>
      </c>
      <c r="S85" s="1">
        <v>0.99387000000000003</v>
      </c>
      <c r="T85" s="48">
        <v>3.4127000000000002E-16</v>
      </c>
      <c r="U85" s="1">
        <f t="shared" si="29"/>
        <v>15.464231469146243</v>
      </c>
    </row>
    <row r="86" spans="2:21" x14ac:dyDescent="0.25">
      <c r="B86" s="18" t="s">
        <v>755</v>
      </c>
      <c r="C86" s="127" t="s">
        <v>748</v>
      </c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</row>
    <row r="87" spans="2:21" x14ac:dyDescent="0.25">
      <c r="B87" s="138" t="s">
        <v>739</v>
      </c>
      <c r="C87" s="138"/>
      <c r="D87" s="138"/>
      <c r="E87" s="138"/>
      <c r="F87" s="138" t="s">
        <v>740</v>
      </c>
      <c r="G87" s="138"/>
      <c r="H87" s="138"/>
      <c r="I87" s="138"/>
      <c r="J87" s="138" t="s">
        <v>741</v>
      </c>
      <c r="K87" s="138"/>
      <c r="L87" s="138"/>
      <c r="M87" s="138"/>
      <c r="N87" s="138" t="s">
        <v>742</v>
      </c>
      <c r="O87" s="138"/>
      <c r="P87" s="138"/>
      <c r="Q87" s="138"/>
      <c r="R87" s="138" t="s">
        <v>743</v>
      </c>
      <c r="S87" s="138"/>
      <c r="T87" s="138"/>
      <c r="U87" s="138"/>
    </row>
    <row r="88" spans="2:21" x14ac:dyDescent="0.25">
      <c r="B88" s="18" t="s">
        <v>744</v>
      </c>
      <c r="C88" s="18" t="s">
        <v>745</v>
      </c>
      <c r="D88" s="18" t="s">
        <v>746</v>
      </c>
      <c r="E88" s="18" t="s">
        <v>747</v>
      </c>
      <c r="F88" s="18" t="s">
        <v>744</v>
      </c>
      <c r="G88" s="18" t="s">
        <v>745</v>
      </c>
      <c r="H88" s="18" t="s">
        <v>746</v>
      </c>
      <c r="I88" s="18" t="s">
        <v>747</v>
      </c>
      <c r="J88" s="18" t="s">
        <v>744</v>
      </c>
      <c r="K88" s="18" t="s">
        <v>745</v>
      </c>
      <c r="L88" s="18" t="s">
        <v>746</v>
      </c>
      <c r="M88" s="18" t="s">
        <v>747</v>
      </c>
      <c r="N88" s="18" t="s">
        <v>744</v>
      </c>
      <c r="O88" s="18" t="s">
        <v>745</v>
      </c>
      <c r="P88" s="18" t="s">
        <v>746</v>
      </c>
      <c r="Q88" s="18" t="s">
        <v>747</v>
      </c>
      <c r="R88" s="18" t="s">
        <v>744</v>
      </c>
      <c r="S88" s="18" t="s">
        <v>745</v>
      </c>
      <c r="T88" s="18" t="s">
        <v>746</v>
      </c>
      <c r="U88" s="18" t="s">
        <v>747</v>
      </c>
    </row>
    <row r="89" spans="2:21" x14ac:dyDescent="0.25">
      <c r="B89" s="1">
        <v>0</v>
      </c>
      <c r="C89" s="81">
        <v>0.31822388000000001</v>
      </c>
      <c r="D89" s="81">
        <v>2.4292123E-8</v>
      </c>
      <c r="E89" s="1">
        <f t="shared" ref="E89:E98" si="30">LOG10(C89/D89)</f>
        <v>7.1172672951968687</v>
      </c>
      <c r="F89" s="1">
        <v>0</v>
      </c>
      <c r="G89" s="81">
        <v>0.38532207000000002</v>
      </c>
      <c r="H89" s="81">
        <v>6.1899995000000002E-9</v>
      </c>
      <c r="I89" s="1">
        <f t="shared" ref="I89:I98" si="31">LOG10(G89/H89)</f>
        <v>7.7941332707667383</v>
      </c>
      <c r="J89" s="1">
        <v>0</v>
      </c>
      <c r="K89" s="81">
        <v>0.41040430999999999</v>
      </c>
      <c r="L89" s="81">
        <v>1.4670346000000001E-9</v>
      </c>
      <c r="M89" s="1">
        <f t="shared" ref="M89:M98" si="32">LOG10(K89/L89)</f>
        <v>8.4467715562222878</v>
      </c>
      <c r="N89" s="1">
        <v>0</v>
      </c>
      <c r="O89" s="81">
        <v>0.41576162</v>
      </c>
      <c r="P89" s="81">
        <v>4.6056832000000001E-10</v>
      </c>
      <c r="Q89" s="1">
        <f t="shared" ref="Q89:Q98" si="33">LOG10(O89/P89)</f>
        <v>8.9555503341401561</v>
      </c>
      <c r="R89" s="1">
        <v>0</v>
      </c>
      <c r="S89" s="81">
        <v>0.41894079000000001</v>
      </c>
      <c r="T89" s="81">
        <v>4.5581416999999999E-9</v>
      </c>
      <c r="U89" s="1">
        <f t="shared" ref="U89:U98" si="34">LOG10(S89/T89)</f>
        <v>7.9633648252591414</v>
      </c>
    </row>
    <row r="90" spans="2:21" x14ac:dyDescent="0.25">
      <c r="B90" s="1">
        <v>1</v>
      </c>
      <c r="C90" s="81">
        <v>0.78326152000000004</v>
      </c>
      <c r="D90" s="81">
        <v>1.5254043000000001E-9</v>
      </c>
      <c r="E90" s="1">
        <f t="shared" si="30"/>
        <v>8.7105218247893728</v>
      </c>
      <c r="F90" s="1">
        <v>1</v>
      </c>
      <c r="G90" s="81">
        <v>0.81781435999999996</v>
      </c>
      <c r="H90" s="81">
        <v>5.5240435999999996E-10</v>
      </c>
      <c r="I90" s="1">
        <f t="shared" si="31"/>
        <v>9.1703976343546909</v>
      </c>
      <c r="J90" s="1">
        <v>1</v>
      </c>
      <c r="K90" s="81">
        <v>0.82798879999999997</v>
      </c>
      <c r="L90" s="81">
        <v>1.4914627E-10</v>
      </c>
      <c r="M90" s="1">
        <f t="shared" si="32"/>
        <v>9.7444120656699393</v>
      </c>
      <c r="N90" s="1">
        <v>1</v>
      </c>
      <c r="O90" s="81">
        <v>0.83180114999999999</v>
      </c>
      <c r="P90" s="81">
        <v>1.2520781999999999E-9</v>
      </c>
      <c r="Q90" s="1">
        <f t="shared" si="33"/>
        <v>8.8223880623712905</v>
      </c>
      <c r="R90" s="1">
        <v>1</v>
      </c>
      <c r="S90" s="81">
        <v>0.83306267000000001</v>
      </c>
      <c r="T90" s="81">
        <v>1.2298872E-8</v>
      </c>
      <c r="U90" s="1">
        <f t="shared" si="34"/>
        <v>7.8308123922982045</v>
      </c>
    </row>
    <row r="91" spans="2:21" x14ac:dyDescent="0.25">
      <c r="B91" s="1">
        <v>2</v>
      </c>
      <c r="C91" s="81">
        <v>0.92242813999999995</v>
      </c>
      <c r="D91" s="81">
        <v>2.0695704999999999E-11</v>
      </c>
      <c r="E91" s="1">
        <f t="shared" si="30"/>
        <v>10.649052318020622</v>
      </c>
      <c r="F91" s="1">
        <v>2</v>
      </c>
      <c r="G91" s="81">
        <v>0.95841008000000005</v>
      </c>
      <c r="H91" s="81">
        <v>8.2191885000000002E-12</v>
      </c>
      <c r="I91" s="1">
        <f t="shared" si="31"/>
        <v>11.066722431995023</v>
      </c>
      <c r="J91" s="1">
        <v>2</v>
      </c>
      <c r="K91" s="81">
        <v>0.96891947</v>
      </c>
      <c r="L91" s="81">
        <v>7.7628749999999997E-11</v>
      </c>
      <c r="M91" s="1">
        <f t="shared" si="32"/>
        <v>10.096265089857893</v>
      </c>
      <c r="N91" s="1">
        <v>2</v>
      </c>
      <c r="O91" s="81">
        <v>0.97312664000000004</v>
      </c>
      <c r="P91" s="81">
        <v>1.5292358000000001E-9</v>
      </c>
      <c r="Q91" s="1">
        <f t="shared" si="33"/>
        <v>8.8036949053573395</v>
      </c>
      <c r="R91" s="1">
        <v>2</v>
      </c>
      <c r="S91" s="81">
        <v>0.97426972999999994</v>
      </c>
      <c r="T91" s="81">
        <v>1.3870741000000001E-8</v>
      </c>
      <c r="U91" s="1">
        <f t="shared" si="34"/>
        <v>7.8465795469922384</v>
      </c>
    </row>
    <row r="92" spans="2:21" x14ac:dyDescent="0.25">
      <c r="B92" s="1">
        <v>3</v>
      </c>
      <c r="C92" s="81">
        <v>0.93901195000000004</v>
      </c>
      <c r="D92" s="81">
        <v>2.1390658E-13</v>
      </c>
      <c r="E92" s="1">
        <f t="shared" si="30"/>
        <v>12.64244697504525</v>
      </c>
      <c r="F92" s="1">
        <v>3</v>
      </c>
      <c r="G92" s="81">
        <v>0.97563686000000005</v>
      </c>
      <c r="H92" s="81">
        <v>1.1658058999999999E-12</v>
      </c>
      <c r="I92" s="1">
        <f t="shared" si="31"/>
        <v>11.922661950892939</v>
      </c>
      <c r="J92" s="1">
        <v>3</v>
      </c>
      <c r="K92" s="81">
        <v>0.98642616000000005</v>
      </c>
      <c r="L92" s="81">
        <v>7.6103678000000004E-11</v>
      </c>
      <c r="M92" s="1">
        <f t="shared" si="32"/>
        <v>10.112658935008312</v>
      </c>
      <c r="N92" s="1">
        <v>3</v>
      </c>
      <c r="O92" s="81">
        <v>0.99069773000000005</v>
      </c>
      <c r="P92" s="81">
        <v>1.2701578E-9</v>
      </c>
      <c r="Q92" s="1">
        <f t="shared" si="33"/>
        <v>8.892083488340397</v>
      </c>
      <c r="R92" s="1">
        <v>3</v>
      </c>
      <c r="S92" s="81">
        <v>0.99185997999999997</v>
      </c>
      <c r="T92" s="81">
        <v>7.5741302000000007E-9</v>
      </c>
      <c r="U92" s="1">
        <f t="shared" si="34"/>
        <v>8.1171176011002792</v>
      </c>
    </row>
    <row r="93" spans="2:21" x14ac:dyDescent="0.25">
      <c r="B93" s="1">
        <v>4</v>
      </c>
      <c r="C93" s="81">
        <v>0.94070197</v>
      </c>
      <c r="D93" s="81">
        <v>2.1462032999999998E-15</v>
      </c>
      <c r="E93" s="1">
        <f t="shared" si="30"/>
        <v>14.641781195213174</v>
      </c>
      <c r="F93" s="1">
        <v>4</v>
      </c>
      <c r="G93" s="81">
        <v>0.9774098</v>
      </c>
      <c r="H93" s="81">
        <v>1.1108135E-12</v>
      </c>
      <c r="I93" s="1">
        <f t="shared" si="31"/>
        <v>11.944435539965905</v>
      </c>
      <c r="J93" s="1">
        <v>4</v>
      </c>
      <c r="K93" s="81">
        <v>0.98821844999999997</v>
      </c>
      <c r="L93" s="81">
        <v>5.4518784999999999E-11</v>
      </c>
      <c r="M93" s="1">
        <f t="shared" si="32"/>
        <v>10.258306789261557</v>
      </c>
      <c r="N93" s="1">
        <v>4</v>
      </c>
      <c r="O93" s="81">
        <v>0.99249854999999998</v>
      </c>
      <c r="P93" s="81">
        <v>4.9758700999999995E-10</v>
      </c>
      <c r="Q93" s="1">
        <f t="shared" si="33"/>
        <v>9.2998608468043837</v>
      </c>
      <c r="R93" s="1">
        <v>4</v>
      </c>
      <c r="S93" s="81">
        <v>0.99366688000000003</v>
      </c>
      <c r="T93" s="81">
        <v>1.6173475E-9</v>
      </c>
      <c r="U93" s="1">
        <f t="shared" si="34"/>
        <v>8.7884374729901626</v>
      </c>
    </row>
    <row r="94" spans="2:21" x14ac:dyDescent="0.25">
      <c r="B94" s="1">
        <v>5</v>
      </c>
      <c r="C94" s="81">
        <v>0.94087264000000004</v>
      </c>
      <c r="D94" s="81">
        <v>1.3979863999999999E-15</v>
      </c>
      <c r="E94" s="1">
        <f t="shared" si="30"/>
        <v>14.828027893205755</v>
      </c>
      <c r="F94" s="1">
        <v>5</v>
      </c>
      <c r="G94" s="81">
        <v>0.97758750000000005</v>
      </c>
      <c r="H94" s="81">
        <v>7.6694939000000005E-13</v>
      </c>
      <c r="I94" s="1">
        <f t="shared" si="31"/>
        <v>12.105388933430802</v>
      </c>
      <c r="J94" s="1">
        <v>5</v>
      </c>
      <c r="K94" s="81">
        <v>0.98839829000000001</v>
      </c>
      <c r="L94" s="81">
        <v>1.6699111999999999E-11</v>
      </c>
      <c r="M94" s="1">
        <f t="shared" si="32"/>
        <v>10.772238607860416</v>
      </c>
      <c r="N94" s="1">
        <v>5</v>
      </c>
      <c r="O94" s="81">
        <v>0.99267992000000005</v>
      </c>
      <c r="P94" s="81">
        <v>8.3794410000000002E-11</v>
      </c>
      <c r="Q94" s="1">
        <f t="shared" si="33"/>
        <v>10.073594189605224</v>
      </c>
      <c r="R94" s="1">
        <v>5</v>
      </c>
      <c r="S94" s="81">
        <v>0.99385029000000003</v>
      </c>
      <c r="T94" s="81">
        <v>1.9826053E-10</v>
      </c>
      <c r="U94" s="1">
        <f t="shared" si="34"/>
        <v>9.7000847059582487</v>
      </c>
    </row>
    <row r="95" spans="2:21" x14ac:dyDescent="0.25">
      <c r="B95" s="1">
        <v>6</v>
      </c>
      <c r="C95" s="81">
        <v>0.94088974000000003</v>
      </c>
      <c r="D95" s="81">
        <v>1.193145E-15</v>
      </c>
      <c r="E95" s="1">
        <f t="shared" si="30"/>
        <v>14.896845507136689</v>
      </c>
      <c r="F95" s="1">
        <v>6</v>
      </c>
      <c r="G95" s="81">
        <v>0.97760528999999996</v>
      </c>
      <c r="H95" s="81">
        <v>2.2272552E-13</v>
      </c>
      <c r="I95" s="1">
        <f t="shared" si="31"/>
        <v>12.642393561390072</v>
      </c>
      <c r="J95" s="1">
        <v>6</v>
      </c>
      <c r="K95" s="81">
        <v>0.98841639999999997</v>
      </c>
      <c r="L95" s="81">
        <v>2.4448348000000001E-12</v>
      </c>
      <c r="M95" s="1">
        <f t="shared" si="32"/>
        <v>11.606690423963</v>
      </c>
      <c r="N95" s="1">
        <v>6</v>
      </c>
      <c r="O95" s="81">
        <v>0.99269839999999998</v>
      </c>
      <c r="P95" s="81">
        <v>9.2173316999999992E-12</v>
      </c>
      <c r="Q95" s="1">
        <f t="shared" si="33"/>
        <v>11.032212105365204</v>
      </c>
      <c r="R95" s="1">
        <v>6</v>
      </c>
      <c r="S95" s="81">
        <v>0.99386940000000001</v>
      </c>
      <c r="T95" s="81">
        <v>1.8003759000000001E-11</v>
      </c>
      <c r="U95" s="1">
        <f t="shared" si="34"/>
        <v>10.741966128622856</v>
      </c>
    </row>
    <row r="96" spans="2:21" x14ac:dyDescent="0.25">
      <c r="B96" s="1">
        <v>7</v>
      </c>
      <c r="C96" s="81">
        <v>0.94089146000000001</v>
      </c>
      <c r="D96" s="81">
        <v>5.3696832000000003E-16</v>
      </c>
      <c r="E96" s="1">
        <f t="shared" si="30"/>
        <v>15.243590862681557</v>
      </c>
      <c r="F96" s="1">
        <v>7</v>
      </c>
      <c r="G96" s="81">
        <v>0.97760707999999996</v>
      </c>
      <c r="H96" s="81">
        <v>3.1755510000000002E-14</v>
      </c>
      <c r="I96" s="1">
        <f t="shared" si="31"/>
        <v>13.488345246156312</v>
      </c>
      <c r="J96" s="1">
        <v>7</v>
      </c>
      <c r="K96" s="81">
        <v>0.98841825999999999</v>
      </c>
      <c r="L96" s="81">
        <v>2.5037368000000002E-13</v>
      </c>
      <c r="M96" s="1">
        <f t="shared" si="32"/>
        <v>12.596352087288111</v>
      </c>
      <c r="N96" s="1">
        <v>7</v>
      </c>
      <c r="O96" s="81">
        <v>0.99270035999999995</v>
      </c>
      <c r="P96" s="81">
        <v>7.5198209999999999E-13</v>
      </c>
      <c r="Q96" s="1">
        <f t="shared" si="33"/>
        <v>12.120610676501329</v>
      </c>
      <c r="R96" s="1">
        <v>7</v>
      </c>
      <c r="S96" s="81">
        <v>0.99387155000000005</v>
      </c>
      <c r="T96" s="81">
        <v>1.0697092E-12</v>
      </c>
      <c r="U96" s="1">
        <f t="shared" si="34"/>
        <v>11.968064527957338</v>
      </c>
    </row>
    <row r="97" spans="2:21" x14ac:dyDescent="0.25">
      <c r="B97" s="1">
        <v>8</v>
      </c>
      <c r="C97" s="81">
        <v>0.94089162999999998</v>
      </c>
      <c r="D97" s="81">
        <v>1.0003182E-16</v>
      </c>
      <c r="E97" s="1">
        <f t="shared" si="30"/>
        <v>15.97340143462295</v>
      </c>
      <c r="F97" s="1">
        <v>8</v>
      </c>
      <c r="G97" s="81">
        <v>0.97760727000000003</v>
      </c>
      <c r="H97" s="81">
        <v>3.2048447000000002E-15</v>
      </c>
      <c r="I97" s="1">
        <f t="shared" si="31"/>
        <v>14.484357433179754</v>
      </c>
      <c r="J97" s="1">
        <v>8</v>
      </c>
      <c r="K97" s="81">
        <v>0.98841846</v>
      </c>
      <c r="L97" s="81">
        <v>1.8531174000000001E-14</v>
      </c>
      <c r="M97" s="1">
        <f t="shared" si="32"/>
        <v>13.727037913899284</v>
      </c>
      <c r="N97" s="1">
        <v>8</v>
      </c>
      <c r="O97" s="81">
        <v>0.99270058999999999</v>
      </c>
      <c r="P97" s="81">
        <v>3.5539958000000001E-14</v>
      </c>
      <c r="Q97" s="1">
        <f t="shared" si="33"/>
        <v>13.446101369763362</v>
      </c>
      <c r="R97" s="1">
        <v>8</v>
      </c>
      <c r="S97" s="81">
        <v>0.99387181999999996</v>
      </c>
      <c r="T97" s="81">
        <v>2.7535550000000002E-14</v>
      </c>
      <c r="U97" s="1">
        <f t="shared" si="34"/>
        <v>13.557436621316432</v>
      </c>
    </row>
    <row r="98" spans="2:21" x14ac:dyDescent="0.25">
      <c r="B98" s="1">
        <v>9</v>
      </c>
      <c r="C98" s="81">
        <v>0.94089164000000003</v>
      </c>
      <c r="D98" s="81">
        <v>1.1563731999999999E-17</v>
      </c>
      <c r="E98" s="1">
        <f t="shared" si="30"/>
        <v>16.910441591815221</v>
      </c>
      <c r="F98" s="1">
        <v>9</v>
      </c>
      <c r="G98" s="81">
        <v>0.97760729000000002</v>
      </c>
      <c r="H98" s="81">
        <v>2.3183894999999998E-16</v>
      </c>
      <c r="I98" s="1">
        <f t="shared" si="31"/>
        <v>15.624978030227473</v>
      </c>
      <c r="J98" s="1">
        <v>9</v>
      </c>
      <c r="K98" s="81">
        <v>0.98841847999999999</v>
      </c>
      <c r="L98" s="81">
        <v>7.1178671999999997E-16</v>
      </c>
      <c r="M98" s="1">
        <f t="shared" si="32"/>
        <v>15.142590975615434</v>
      </c>
      <c r="N98" s="1">
        <v>9</v>
      </c>
      <c r="O98" s="81">
        <v>0.99270062000000003</v>
      </c>
      <c r="P98" s="81">
        <v>6.7671945999999998E-16</v>
      </c>
      <c r="Q98" s="1">
        <f t="shared" si="33"/>
        <v>15.166409627723137</v>
      </c>
      <c r="R98" s="1">
        <v>9</v>
      </c>
      <c r="S98" s="81">
        <v>0.99387185</v>
      </c>
      <c r="T98" s="81">
        <v>3.4133615999999999E-16</v>
      </c>
      <c r="U98" s="1">
        <f t="shared" si="34"/>
        <v>15.464148091598751</v>
      </c>
    </row>
    <row r="99" spans="2:21" x14ac:dyDescent="0.25">
      <c r="B99" s="18" t="s">
        <v>756</v>
      </c>
      <c r="C99" s="127" t="s">
        <v>748</v>
      </c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</row>
    <row r="100" spans="2:21" x14ac:dyDescent="0.25">
      <c r="B100" s="138" t="s">
        <v>739</v>
      </c>
      <c r="C100" s="138"/>
      <c r="D100" s="138"/>
      <c r="E100" s="138"/>
      <c r="F100" s="138" t="s">
        <v>740</v>
      </c>
      <c r="G100" s="138"/>
      <c r="H100" s="138"/>
      <c r="I100" s="138"/>
      <c r="J100" s="138" t="s">
        <v>741</v>
      </c>
      <c r="K100" s="138"/>
      <c r="L100" s="138"/>
      <c r="M100" s="138"/>
      <c r="N100" s="138" t="s">
        <v>742</v>
      </c>
      <c r="O100" s="138"/>
      <c r="P100" s="138"/>
      <c r="Q100" s="138"/>
      <c r="R100" s="138" t="s">
        <v>743</v>
      </c>
      <c r="S100" s="138"/>
      <c r="T100" s="138"/>
      <c r="U100" s="138"/>
    </row>
    <row r="101" spans="2:21" x14ac:dyDescent="0.25">
      <c r="B101" s="18" t="s">
        <v>744</v>
      </c>
      <c r="C101" s="18" t="s">
        <v>745</v>
      </c>
      <c r="D101" s="18" t="s">
        <v>746</v>
      </c>
      <c r="E101" s="18" t="s">
        <v>747</v>
      </c>
      <c r="F101" s="18" t="s">
        <v>744</v>
      </c>
      <c r="G101" s="18" t="s">
        <v>745</v>
      </c>
      <c r="H101" s="18" t="s">
        <v>746</v>
      </c>
      <c r="I101" s="18" t="s">
        <v>747</v>
      </c>
      <c r="J101" s="18" t="s">
        <v>744</v>
      </c>
      <c r="K101" s="18" t="s">
        <v>745</v>
      </c>
      <c r="L101" s="18" t="s">
        <v>746</v>
      </c>
      <c r="M101" s="18" t="s">
        <v>747</v>
      </c>
      <c r="N101" s="18" t="s">
        <v>744</v>
      </c>
      <c r="O101" s="18" t="s">
        <v>745</v>
      </c>
      <c r="P101" s="18" t="s">
        <v>746</v>
      </c>
      <c r="Q101" s="18" t="s">
        <v>747</v>
      </c>
      <c r="R101" s="18" t="s">
        <v>744</v>
      </c>
      <c r="S101" s="18" t="s">
        <v>745</v>
      </c>
      <c r="T101" s="18" t="s">
        <v>746</v>
      </c>
      <c r="U101" s="18" t="s">
        <v>747</v>
      </c>
    </row>
    <row r="102" spans="2:21" x14ac:dyDescent="0.25">
      <c r="B102" s="1">
        <v>0</v>
      </c>
      <c r="C102" s="81">
        <v>0.31822388000000001</v>
      </c>
      <c r="D102" s="81">
        <v>2.4292123E-8</v>
      </c>
      <c r="E102" s="1">
        <f t="shared" ref="E102:E111" si="35">LOG10(C102/D102)</f>
        <v>7.1172672951968687</v>
      </c>
      <c r="F102" s="1">
        <v>0</v>
      </c>
      <c r="G102" s="81">
        <v>0.38532207000000002</v>
      </c>
      <c r="H102" s="81">
        <v>6.1899995000000002E-9</v>
      </c>
      <c r="I102" s="1">
        <f t="shared" ref="I102:I111" si="36">LOG10(G102/H102)</f>
        <v>7.7941332707667383</v>
      </c>
      <c r="J102" s="1">
        <v>0</v>
      </c>
      <c r="K102" s="81">
        <v>0.41040430999999999</v>
      </c>
      <c r="L102" s="81">
        <v>1.4670346000000001E-9</v>
      </c>
      <c r="M102" s="1">
        <f t="shared" ref="M102:M111" si="37">LOG10(K102/L102)</f>
        <v>8.4467715562222878</v>
      </c>
      <c r="N102" s="1">
        <v>0</v>
      </c>
      <c r="O102" s="81">
        <v>0.41568379999999999</v>
      </c>
      <c r="P102" s="81">
        <v>4.4338680000000002E-10</v>
      </c>
      <c r="Q102" s="1">
        <f t="shared" ref="Q102:Q111" si="38">LOG10(O102/P102)</f>
        <v>8.9719803398848939</v>
      </c>
      <c r="R102" s="1">
        <v>0</v>
      </c>
      <c r="S102" s="81">
        <v>0.41460214000000001</v>
      </c>
      <c r="T102" s="81">
        <v>1.0584917000000001E-9</v>
      </c>
      <c r="U102" s="1">
        <f t="shared" ref="U102:U111" si="39">LOG10(S102/T102)</f>
        <v>8.5929440824917815</v>
      </c>
    </row>
    <row r="103" spans="2:21" x14ac:dyDescent="0.25">
      <c r="B103" s="1">
        <v>1</v>
      </c>
      <c r="C103" s="81">
        <v>0.78326152000000004</v>
      </c>
      <c r="D103" s="81">
        <v>1.5254043000000001E-9</v>
      </c>
      <c r="E103" s="1">
        <f t="shared" si="35"/>
        <v>8.7105218247893728</v>
      </c>
      <c r="F103" s="1">
        <v>1</v>
      </c>
      <c r="G103" s="81">
        <v>0.81781435999999996</v>
      </c>
      <c r="H103" s="81">
        <v>5.5240435999999996E-10</v>
      </c>
      <c r="I103" s="1">
        <f t="shared" si="36"/>
        <v>9.1703976343546909</v>
      </c>
      <c r="J103" s="1">
        <v>1</v>
      </c>
      <c r="K103" s="81">
        <v>0.82798879999999997</v>
      </c>
      <c r="L103" s="81">
        <v>1.4914627E-10</v>
      </c>
      <c r="M103" s="1">
        <f t="shared" si="37"/>
        <v>9.7444120656699393</v>
      </c>
      <c r="N103" s="1">
        <v>1</v>
      </c>
      <c r="O103" s="81">
        <v>0.83021957000000002</v>
      </c>
      <c r="P103" s="81">
        <v>2.9412915999999998E-10</v>
      </c>
      <c r="Q103" s="1">
        <f t="shared" si="38"/>
        <v>9.4506548837380908</v>
      </c>
      <c r="R103" s="1">
        <v>1</v>
      </c>
      <c r="S103" s="81">
        <v>0.83148622999999999</v>
      </c>
      <c r="T103" s="81">
        <v>2.9417187000000001E-9</v>
      </c>
      <c r="U103" s="1">
        <f t="shared" si="39"/>
        <v>8.4512539201509629</v>
      </c>
    </row>
    <row r="104" spans="2:21" x14ac:dyDescent="0.25">
      <c r="B104" s="1">
        <v>2</v>
      </c>
      <c r="C104" s="81">
        <v>0.92242813999999995</v>
      </c>
      <c r="D104" s="81">
        <v>2.0695704999999999E-11</v>
      </c>
      <c r="E104" s="1">
        <f t="shared" si="35"/>
        <v>10.649052318020622</v>
      </c>
      <c r="F104" s="1">
        <v>2</v>
      </c>
      <c r="G104" s="81">
        <v>0.95841008000000005</v>
      </c>
      <c r="H104" s="81">
        <v>8.2191885000000002E-12</v>
      </c>
      <c r="I104" s="1">
        <f t="shared" si="36"/>
        <v>11.066722431995023</v>
      </c>
      <c r="J104" s="1">
        <v>2</v>
      </c>
      <c r="K104" s="81">
        <v>0.96871266</v>
      </c>
      <c r="L104" s="81">
        <v>1.8161791999999999E-11</v>
      </c>
      <c r="M104" s="1">
        <f t="shared" si="37"/>
        <v>10.727036277959611</v>
      </c>
      <c r="N104" s="1">
        <v>2</v>
      </c>
      <c r="O104" s="81">
        <v>0.97292023000000005</v>
      </c>
      <c r="P104" s="81">
        <v>3.6753665000000002E-10</v>
      </c>
      <c r="Q104" s="1">
        <f t="shared" si="38"/>
        <v>9.4227765812692699</v>
      </c>
      <c r="R104" s="1">
        <v>2</v>
      </c>
      <c r="S104" s="81">
        <v>0.97406778999999999</v>
      </c>
      <c r="T104" s="81">
        <v>3.6075011000000001E-9</v>
      </c>
      <c r="U104" s="1">
        <f t="shared" si="39"/>
        <v>8.4313827103536489</v>
      </c>
    </row>
    <row r="105" spans="2:21" x14ac:dyDescent="0.25">
      <c r="B105" s="1">
        <v>3</v>
      </c>
      <c r="C105" s="81">
        <v>0.93901195000000004</v>
      </c>
      <c r="D105" s="81">
        <v>2.1390658E-13</v>
      </c>
      <c r="E105" s="1">
        <f t="shared" si="35"/>
        <v>12.64244697504525</v>
      </c>
      <c r="F105" s="1">
        <v>3</v>
      </c>
      <c r="G105" s="81">
        <v>0.97561576999999999</v>
      </c>
      <c r="H105" s="81">
        <v>2.7089310999999998E-13</v>
      </c>
      <c r="I105" s="1">
        <f t="shared" si="36"/>
        <v>12.556480852539707</v>
      </c>
      <c r="J105" s="1">
        <v>3</v>
      </c>
      <c r="K105" s="81">
        <v>0.98640506999999999</v>
      </c>
      <c r="L105" s="81">
        <v>1.8419069999999999E-11</v>
      </c>
      <c r="M105" s="1">
        <f t="shared" si="37"/>
        <v>10.728787597426123</v>
      </c>
      <c r="N105" s="1">
        <v>3</v>
      </c>
      <c r="O105" s="81">
        <v>0.99067749999999999</v>
      </c>
      <c r="P105" s="81">
        <v>3.5577846999999999E-10</v>
      </c>
      <c r="Q105" s="1">
        <f t="shared" si="38"/>
        <v>9.4447526363934138</v>
      </c>
      <c r="R105" s="1">
        <v>3</v>
      </c>
      <c r="S105" s="81">
        <v>0.991842</v>
      </c>
      <c r="T105" s="81">
        <v>2.9357300000000002E-9</v>
      </c>
      <c r="U105" s="1">
        <f t="shared" si="39"/>
        <v>8.5287263838593095</v>
      </c>
    </row>
    <row r="106" spans="2:21" x14ac:dyDescent="0.25">
      <c r="B106" s="1">
        <v>4</v>
      </c>
      <c r="C106" s="81">
        <v>0.94070197</v>
      </c>
      <c r="D106" s="81">
        <v>2.1462032999999998E-15</v>
      </c>
      <c r="E106" s="1">
        <f t="shared" si="35"/>
        <v>14.641781195213174</v>
      </c>
      <c r="F106" s="1">
        <v>4</v>
      </c>
      <c r="G106" s="81">
        <v>0.97740771000000004</v>
      </c>
      <c r="H106" s="81">
        <v>2.6818328999999997E-13</v>
      </c>
      <c r="I106" s="1">
        <f t="shared" si="36"/>
        <v>12.56164404623255</v>
      </c>
      <c r="J106" s="1">
        <v>4</v>
      </c>
      <c r="K106" s="81">
        <v>0.98821650000000005</v>
      </c>
      <c r="L106" s="81">
        <v>1.6708234000000001E-11</v>
      </c>
      <c r="M106" s="1">
        <f t="shared" si="37"/>
        <v>10.771921551957996</v>
      </c>
      <c r="N106" s="1">
        <v>4</v>
      </c>
      <c r="O106" s="81">
        <v>0.99249690000000002</v>
      </c>
      <c r="P106" s="81">
        <v>2.3552503999999999E-10</v>
      </c>
      <c r="Q106" s="1">
        <f t="shared" si="38"/>
        <v>9.6246920727226417</v>
      </c>
      <c r="R106" s="1">
        <v>4</v>
      </c>
      <c r="S106" s="81">
        <v>0.99366549000000004</v>
      </c>
      <c r="T106" s="81">
        <v>1.0921984999999999E-9</v>
      </c>
      <c r="U106" s="1">
        <f t="shared" si="39"/>
        <v>8.9589386312857364</v>
      </c>
    </row>
    <row r="107" spans="2:21" x14ac:dyDescent="0.25">
      <c r="B107" s="1">
        <v>5</v>
      </c>
      <c r="C107" s="81">
        <v>0.94087244000000003</v>
      </c>
      <c r="D107" s="81">
        <v>3.2716511999999999E-16</v>
      </c>
      <c r="E107" s="1">
        <f t="shared" si="35"/>
        <v>15.458763751278632</v>
      </c>
      <c r="F107" s="1">
        <v>5</v>
      </c>
      <c r="G107" s="81">
        <v>0.97758730999999999</v>
      </c>
      <c r="H107" s="81">
        <v>2.3986157000000001E-13</v>
      </c>
      <c r="I107" s="1">
        <f t="shared" si="36"/>
        <v>12.610194883382086</v>
      </c>
      <c r="J107" s="1">
        <v>5</v>
      </c>
      <c r="K107" s="81">
        <v>0.98839814000000004</v>
      </c>
      <c r="L107" s="81">
        <v>9.1441179999999993E-12</v>
      </c>
      <c r="M107" s="1">
        <f t="shared" si="37"/>
        <v>11.033790097697558</v>
      </c>
      <c r="N107" s="1">
        <v>5</v>
      </c>
      <c r="O107" s="81">
        <v>0.99267978000000001</v>
      </c>
      <c r="P107" s="81">
        <v>6.3629337999999997E-11</v>
      </c>
      <c r="Q107" s="1">
        <f t="shared" si="38"/>
        <v>10.193151770921693</v>
      </c>
      <c r="R107" s="1">
        <v>5</v>
      </c>
      <c r="S107" s="81">
        <v>0.99385016999999998</v>
      </c>
      <c r="T107" s="81">
        <v>1.7426176000000001E-10</v>
      </c>
      <c r="U107" s="1">
        <f t="shared" si="39"/>
        <v>9.7561188203567202</v>
      </c>
    </row>
    <row r="108" spans="2:21" x14ac:dyDescent="0.25">
      <c r="B108" s="1">
        <v>6</v>
      </c>
      <c r="C108" s="81">
        <v>0.94088972000000004</v>
      </c>
      <c r="D108" s="81">
        <v>3.1396291999999999E-16</v>
      </c>
      <c r="E108" s="1">
        <f t="shared" si="35"/>
        <v>15.476660363962168</v>
      </c>
      <c r="F108" s="1">
        <v>6</v>
      </c>
      <c r="G108" s="81">
        <v>0.97760528000000002</v>
      </c>
      <c r="H108" s="81">
        <v>1.2546814E-13</v>
      </c>
      <c r="I108" s="1">
        <f t="shared" si="36"/>
        <v>12.891630078658336</v>
      </c>
      <c r="J108" s="1">
        <v>6</v>
      </c>
      <c r="K108" s="81">
        <v>0.98841639000000003</v>
      </c>
      <c r="L108" s="81">
        <v>1.9837382E-12</v>
      </c>
      <c r="M108" s="1">
        <f t="shared" si="37"/>
        <v>11.6974555818675</v>
      </c>
      <c r="N108" s="1">
        <v>6</v>
      </c>
      <c r="O108" s="81">
        <v>0.99269839000000004</v>
      </c>
      <c r="P108" s="81">
        <v>8.4361657000000003E-12</v>
      </c>
      <c r="Q108" s="1">
        <f t="shared" si="38"/>
        <v>11.070672216122613</v>
      </c>
      <c r="R108" s="1">
        <v>6</v>
      </c>
      <c r="S108" s="81">
        <v>0.99386938999999996</v>
      </c>
      <c r="T108" s="81">
        <v>1.7286366999999999E-11</v>
      </c>
      <c r="U108" s="1">
        <f t="shared" si="39"/>
        <v>10.759625585956176</v>
      </c>
    </row>
    <row r="109" spans="2:21" x14ac:dyDescent="0.25">
      <c r="B109" s="1">
        <v>7</v>
      </c>
      <c r="C109" s="81">
        <v>0.94089144999999996</v>
      </c>
      <c r="D109" s="81">
        <v>2.2865573999999998E-16</v>
      </c>
      <c r="E109" s="1">
        <f t="shared" si="35"/>
        <v>15.614357414009046</v>
      </c>
      <c r="F109" s="1">
        <v>7</v>
      </c>
      <c r="G109" s="81">
        <v>0.97760707999999996</v>
      </c>
      <c r="H109" s="81">
        <v>2.6072646E-14</v>
      </c>
      <c r="I109" s="1">
        <f t="shared" si="36"/>
        <v>13.573979230073524</v>
      </c>
      <c r="J109" s="1">
        <v>7</v>
      </c>
      <c r="K109" s="81">
        <v>0.98841825999999999</v>
      </c>
      <c r="L109" s="81">
        <v>2.3424182000000002E-13</v>
      </c>
      <c r="M109" s="1">
        <f t="shared" si="37"/>
        <v>12.625276326193053</v>
      </c>
      <c r="N109" s="1">
        <v>7</v>
      </c>
      <c r="O109" s="81">
        <v>0.99270035999999995</v>
      </c>
      <c r="P109" s="81">
        <v>7.3150358000000005E-13</v>
      </c>
      <c r="Q109" s="1">
        <f t="shared" si="38"/>
        <v>12.132601723458741</v>
      </c>
      <c r="R109" s="1">
        <v>7</v>
      </c>
      <c r="S109" s="81">
        <v>0.99387155000000005</v>
      </c>
      <c r="T109" s="81">
        <v>1.0569637000000001E-12</v>
      </c>
      <c r="U109" s="1">
        <f t="shared" si="39"/>
        <v>11.973270186611158</v>
      </c>
    </row>
    <row r="110" spans="2:21" x14ac:dyDescent="0.25">
      <c r="B110" s="1">
        <v>8</v>
      </c>
      <c r="C110" s="81">
        <v>0.94089162999999998</v>
      </c>
      <c r="D110" s="81">
        <v>7.1939880999999996E-17</v>
      </c>
      <c r="E110" s="1">
        <f t="shared" si="35"/>
        <v>16.116569890054357</v>
      </c>
      <c r="F110" s="1">
        <v>8</v>
      </c>
      <c r="G110" s="81">
        <v>0.97760727000000003</v>
      </c>
      <c r="H110" s="81">
        <v>3.0099719999999999E-15</v>
      </c>
      <c r="I110" s="1">
        <f t="shared" si="36"/>
        <v>14.511601966925474</v>
      </c>
      <c r="J110" s="1">
        <v>8</v>
      </c>
      <c r="K110" s="81">
        <v>0.98841846</v>
      </c>
      <c r="L110" s="81">
        <v>1.8155152E-14</v>
      </c>
      <c r="M110" s="1">
        <f t="shared" si="37"/>
        <v>13.735940958521201</v>
      </c>
      <c r="N110" s="1">
        <v>8</v>
      </c>
      <c r="O110" s="81">
        <v>0.99270058999999999</v>
      </c>
      <c r="P110" s="81">
        <v>3.5270578000000001E-14</v>
      </c>
      <c r="Q110" s="1">
        <f t="shared" si="38"/>
        <v>13.449405703228914</v>
      </c>
      <c r="R110" s="1">
        <v>8</v>
      </c>
      <c r="S110" s="81">
        <v>0.99387181999999996</v>
      </c>
      <c r="T110" s="81">
        <v>2.7467087999999999E-14</v>
      </c>
      <c r="U110" s="1">
        <f t="shared" si="39"/>
        <v>13.558517757976636</v>
      </c>
    </row>
    <row r="111" spans="2:21" x14ac:dyDescent="0.25">
      <c r="B111" s="1">
        <v>9</v>
      </c>
      <c r="C111" s="81">
        <v>0.94089164000000003</v>
      </c>
      <c r="D111" s="81">
        <v>1.0391347E-17</v>
      </c>
      <c r="E111" s="1">
        <f t="shared" si="35"/>
        <v>16.956867762227994</v>
      </c>
      <c r="F111" s="1">
        <v>9</v>
      </c>
      <c r="G111" s="81">
        <v>0.97760729000000002</v>
      </c>
      <c r="H111" s="81">
        <v>2.2742077000000001E-16</v>
      </c>
      <c r="I111" s="1">
        <f t="shared" si="36"/>
        <v>15.633334305805869</v>
      </c>
      <c r="J111" s="1">
        <v>9</v>
      </c>
      <c r="K111" s="81">
        <v>0.98841847999999999</v>
      </c>
      <c r="L111" s="81">
        <v>7.0808491999999996E-16</v>
      </c>
      <c r="M111" s="1">
        <f t="shared" si="37"/>
        <v>15.144855511240161</v>
      </c>
      <c r="N111" s="1">
        <v>9</v>
      </c>
      <c r="O111" s="81">
        <v>0.99270062000000003</v>
      </c>
      <c r="P111" s="81">
        <v>6.7583821999999998E-16</v>
      </c>
      <c r="Q111" s="1">
        <f t="shared" si="38"/>
        <v>15.166975544769111</v>
      </c>
      <c r="R111" s="1">
        <v>9</v>
      </c>
      <c r="S111" s="81">
        <v>0.99387185</v>
      </c>
      <c r="T111" s="81">
        <v>3.4123227000000001E-16</v>
      </c>
      <c r="U111" s="1">
        <f t="shared" si="39"/>
        <v>15.464280294765761</v>
      </c>
    </row>
    <row r="112" spans="2:21" x14ac:dyDescent="0.25">
      <c r="B112" s="18" t="s">
        <v>757</v>
      </c>
      <c r="C112" s="127" t="s">
        <v>748</v>
      </c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</row>
    <row r="113" spans="2:21" x14ac:dyDescent="0.25">
      <c r="B113" s="138" t="s">
        <v>739</v>
      </c>
      <c r="C113" s="138"/>
      <c r="D113" s="138"/>
      <c r="E113" s="138"/>
      <c r="F113" s="138" t="s">
        <v>740</v>
      </c>
      <c r="G113" s="138"/>
      <c r="H113" s="138"/>
      <c r="I113" s="138"/>
      <c r="J113" s="138" t="s">
        <v>741</v>
      </c>
      <c r="K113" s="138"/>
      <c r="L113" s="138"/>
      <c r="M113" s="138"/>
      <c r="N113" s="138" t="s">
        <v>742</v>
      </c>
      <c r="O113" s="138"/>
      <c r="P113" s="138"/>
      <c r="Q113" s="138"/>
      <c r="R113" s="138" t="s">
        <v>743</v>
      </c>
      <c r="S113" s="138"/>
      <c r="T113" s="138"/>
      <c r="U113" s="138"/>
    </row>
    <row r="114" spans="2:21" x14ac:dyDescent="0.25">
      <c r="B114" s="18" t="s">
        <v>744</v>
      </c>
      <c r="C114" s="18" t="s">
        <v>745</v>
      </c>
      <c r="D114" s="18" t="s">
        <v>746</v>
      </c>
      <c r="E114" s="18" t="s">
        <v>747</v>
      </c>
      <c r="F114" s="18" t="s">
        <v>744</v>
      </c>
      <c r="G114" s="18" t="s">
        <v>745</v>
      </c>
      <c r="H114" s="18" t="s">
        <v>746</v>
      </c>
      <c r="I114" s="18" t="s">
        <v>747</v>
      </c>
      <c r="J114" s="18" t="s">
        <v>744</v>
      </c>
      <c r="K114" s="18" t="s">
        <v>745</v>
      </c>
      <c r="L114" s="18" t="s">
        <v>746</v>
      </c>
      <c r="M114" s="18" t="s">
        <v>747</v>
      </c>
      <c r="N114" s="18" t="s">
        <v>744</v>
      </c>
      <c r="O114" s="18" t="s">
        <v>745</v>
      </c>
      <c r="P114" s="18" t="s">
        <v>746</v>
      </c>
      <c r="Q114" s="18" t="s">
        <v>747</v>
      </c>
      <c r="R114" s="18" t="s">
        <v>744</v>
      </c>
      <c r="S114" s="18" t="s">
        <v>745</v>
      </c>
      <c r="T114" s="18" t="s">
        <v>746</v>
      </c>
      <c r="U114" s="18" t="s">
        <v>747</v>
      </c>
    </row>
    <row r="115" spans="2:21" x14ac:dyDescent="0.25">
      <c r="B115" s="1">
        <v>0</v>
      </c>
      <c r="C115" s="81">
        <v>0.31822388000000001</v>
      </c>
      <c r="D115" s="81">
        <v>2.4292123E-8</v>
      </c>
      <c r="E115" s="1">
        <f t="shared" ref="E115:E124" si="40">LOG10(C115/D115)</f>
        <v>7.1172672951968687</v>
      </c>
      <c r="F115" s="1">
        <v>0</v>
      </c>
      <c r="G115" s="81">
        <v>0.38532207000000002</v>
      </c>
      <c r="H115" s="81">
        <v>6.1899994000000001E-9</v>
      </c>
      <c r="I115" s="1">
        <f t="shared" ref="I115:I124" si="41">LOG10(G115/H115)</f>
        <v>7.7941332777828052</v>
      </c>
      <c r="J115" s="1">
        <v>0</v>
      </c>
      <c r="K115" s="81">
        <v>0.41040430999999999</v>
      </c>
      <c r="L115" s="81">
        <v>1.4670346000000001E-9</v>
      </c>
      <c r="M115" s="1">
        <f t="shared" ref="M115:M124" si="42">LOG10(K115/L115)</f>
        <v>8.4467715562222878</v>
      </c>
      <c r="N115" s="1">
        <v>0</v>
      </c>
      <c r="O115" s="81">
        <v>0.41568379999999999</v>
      </c>
      <c r="P115" s="81">
        <v>4.4338680000000002E-10</v>
      </c>
      <c r="Q115" s="1">
        <f t="shared" ref="Q115:Q124" si="43">LOG10(O115/P115)</f>
        <v>8.9719803398848939</v>
      </c>
      <c r="R115" s="1">
        <v>0</v>
      </c>
      <c r="S115" s="81">
        <v>0.40632198000000003</v>
      </c>
      <c r="T115" s="81">
        <v>2.5848228999999999E-10</v>
      </c>
      <c r="U115" s="1">
        <f t="shared" ref="U115:U124" si="44">LOG10(S115/T115)</f>
        <v>9.1964395235166929</v>
      </c>
    </row>
    <row r="116" spans="2:21" x14ac:dyDescent="0.25">
      <c r="B116" s="1">
        <v>1</v>
      </c>
      <c r="C116" s="81">
        <v>0.78326152000000004</v>
      </c>
      <c r="D116" s="81">
        <v>1.5254043000000001E-9</v>
      </c>
      <c r="E116" s="1">
        <f t="shared" si="40"/>
        <v>8.7105218247893728</v>
      </c>
      <c r="F116" s="1">
        <v>1</v>
      </c>
      <c r="G116" s="81">
        <v>0.81781435999999996</v>
      </c>
      <c r="H116" s="81">
        <v>5.5240437E-10</v>
      </c>
      <c r="I116" s="1">
        <f t="shared" si="41"/>
        <v>9.1703976264927967</v>
      </c>
      <c r="J116" s="1">
        <v>1</v>
      </c>
      <c r="K116" s="81">
        <v>0.82798879999999997</v>
      </c>
      <c r="L116" s="81">
        <v>1.4914627E-10</v>
      </c>
      <c r="M116" s="1">
        <f t="shared" si="42"/>
        <v>9.7444120656699393</v>
      </c>
      <c r="N116" s="1">
        <v>1</v>
      </c>
      <c r="O116" s="81">
        <v>0.82718605999999995</v>
      </c>
      <c r="P116" s="81">
        <v>7.3593678999999999E-11</v>
      </c>
      <c r="Q116" s="1">
        <f t="shared" si="43"/>
        <v>10.05076269278748</v>
      </c>
      <c r="R116" s="1">
        <v>1</v>
      </c>
      <c r="S116" s="81">
        <v>0.82845546999999997</v>
      </c>
      <c r="T116" s="81">
        <v>7.3918453999999998E-10</v>
      </c>
      <c r="U116" s="1">
        <f t="shared" si="44"/>
        <v>9.0495162947183108</v>
      </c>
    </row>
    <row r="117" spans="2:21" x14ac:dyDescent="0.25">
      <c r="B117" s="1">
        <v>2</v>
      </c>
      <c r="C117" s="81">
        <v>0.92242813999999995</v>
      </c>
      <c r="D117" s="81">
        <v>2.0695704999999999E-11</v>
      </c>
      <c r="E117" s="1">
        <f t="shared" si="40"/>
        <v>10.649052318020622</v>
      </c>
      <c r="F117" s="1">
        <v>2</v>
      </c>
      <c r="G117" s="81">
        <v>0.95841008000000005</v>
      </c>
      <c r="H117" s="81">
        <v>8.2191885000000002E-12</v>
      </c>
      <c r="I117" s="1">
        <f t="shared" si="41"/>
        <v>11.066722431995023</v>
      </c>
      <c r="J117" s="1">
        <v>2</v>
      </c>
      <c r="K117" s="81">
        <v>0.96831511000000003</v>
      </c>
      <c r="L117" s="81">
        <v>4.5587814000000001E-12</v>
      </c>
      <c r="M117" s="1">
        <f t="shared" si="42"/>
        <v>11.32716794115348</v>
      </c>
      <c r="N117" s="1">
        <v>2</v>
      </c>
      <c r="O117" s="81">
        <v>0.97252174000000002</v>
      </c>
      <c r="P117" s="81">
        <v>9.2848167000000003E-11</v>
      </c>
      <c r="Q117" s="1">
        <f t="shared" si="43"/>
        <v>10.020125984077726</v>
      </c>
      <c r="R117" s="1">
        <v>2</v>
      </c>
      <c r="S117" s="81">
        <v>0.97367135999999999</v>
      </c>
      <c r="T117" s="81">
        <v>9.3040683999999998E-10</v>
      </c>
      <c r="U117" s="1">
        <f t="shared" si="44"/>
        <v>9.0197395011629364</v>
      </c>
    </row>
    <row r="118" spans="2:21" x14ac:dyDescent="0.25">
      <c r="B118" s="1">
        <v>3</v>
      </c>
      <c r="C118" s="81">
        <v>0.93901195000000004</v>
      </c>
      <c r="D118" s="81">
        <v>2.1390658E-13</v>
      </c>
      <c r="E118" s="1">
        <f t="shared" si="40"/>
        <v>12.64244697504525</v>
      </c>
      <c r="F118" s="1">
        <v>3</v>
      </c>
      <c r="G118" s="81">
        <v>0.97558420000000001</v>
      </c>
      <c r="H118" s="81">
        <v>8.5855723000000006E-14</v>
      </c>
      <c r="I118" s="1">
        <f t="shared" si="41"/>
        <v>13.05549550830407</v>
      </c>
      <c r="J118" s="1">
        <v>3</v>
      </c>
      <c r="K118" s="81">
        <v>0.98636418000000003</v>
      </c>
      <c r="L118" s="81">
        <v>4.6631931999999999E-12</v>
      </c>
      <c r="M118" s="1">
        <f t="shared" si="42"/>
        <v>11.325353883377188</v>
      </c>
      <c r="N118" s="1">
        <v>3</v>
      </c>
      <c r="O118" s="81">
        <v>0.99063698</v>
      </c>
      <c r="P118" s="81">
        <v>9.3872063000000003E-11</v>
      </c>
      <c r="Q118" s="1">
        <f t="shared" si="43"/>
        <v>10.023378173613533</v>
      </c>
      <c r="R118" s="1">
        <v>3</v>
      </c>
      <c r="S118" s="81">
        <v>0.99180334999999997</v>
      </c>
      <c r="T118" s="81">
        <v>8.9135162000000001E-10</v>
      </c>
      <c r="U118" s="1">
        <f t="shared" si="44"/>
        <v>9.0463765127322553</v>
      </c>
    </row>
    <row r="119" spans="2:21" x14ac:dyDescent="0.25">
      <c r="B119" s="1">
        <v>4</v>
      </c>
      <c r="C119" s="81">
        <v>0.94070197</v>
      </c>
      <c r="D119" s="81">
        <v>2.1462032999999998E-15</v>
      </c>
      <c r="E119" s="1">
        <f t="shared" si="40"/>
        <v>14.641781195213174</v>
      </c>
      <c r="F119" s="1">
        <v>4</v>
      </c>
      <c r="G119" s="81">
        <v>0.97740366000000001</v>
      </c>
      <c r="H119" s="81">
        <v>6.7857528000000004E-14</v>
      </c>
      <c r="I119" s="1">
        <f t="shared" si="41"/>
        <v>13.158475926392985</v>
      </c>
      <c r="J119" s="1">
        <v>4</v>
      </c>
      <c r="K119" s="81">
        <v>0.98821250000000005</v>
      </c>
      <c r="L119" s="81">
        <v>4.5487920999999996E-12</v>
      </c>
      <c r="M119" s="1">
        <f t="shared" si="42"/>
        <v>11.336954254926001</v>
      </c>
      <c r="N119" s="1">
        <v>4</v>
      </c>
      <c r="O119" s="81">
        <v>0.99249321999999995</v>
      </c>
      <c r="P119" s="81">
        <v>8.1833279999999997E-11</v>
      </c>
      <c r="Q119" s="1">
        <f t="shared" si="43"/>
        <v>10.083797589961691</v>
      </c>
      <c r="R119" s="1">
        <v>4</v>
      </c>
      <c r="S119" s="81">
        <v>0.99366235000000003</v>
      </c>
      <c r="T119" s="81">
        <v>5.5623378000000004E-10</v>
      </c>
      <c r="U119" s="1">
        <f t="shared" si="44"/>
        <v>9.2519814746831077</v>
      </c>
    </row>
    <row r="120" spans="2:21" x14ac:dyDescent="0.25">
      <c r="B120" s="1">
        <v>5</v>
      </c>
      <c r="C120" s="81">
        <v>0.94087204999999996</v>
      </c>
      <c r="D120" s="81">
        <v>8.2166553000000001E-17</v>
      </c>
      <c r="E120" s="1">
        <f t="shared" si="40"/>
        <v>16.05883549925781</v>
      </c>
      <c r="F120" s="1">
        <v>5</v>
      </c>
      <c r="G120" s="81">
        <v>0.97758690999999998</v>
      </c>
      <c r="H120" s="81">
        <v>6.5812798999999994E-14</v>
      </c>
      <c r="I120" s="1">
        <f t="shared" si="41"/>
        <v>13.171845016068806</v>
      </c>
      <c r="J120" s="1">
        <v>5</v>
      </c>
      <c r="K120" s="81">
        <v>0.98839779000000005</v>
      </c>
      <c r="L120" s="81">
        <v>3.6225996000000001E-12</v>
      </c>
      <c r="M120" s="1">
        <f t="shared" si="42"/>
        <v>11.435911430844502</v>
      </c>
      <c r="N120" s="1">
        <v>5</v>
      </c>
      <c r="O120" s="81">
        <v>0.99267950000000005</v>
      </c>
      <c r="P120" s="81">
        <v>3.8676007999999999E-11</v>
      </c>
      <c r="Q120" s="1">
        <f t="shared" si="43"/>
        <v>10.409367411887635</v>
      </c>
      <c r="R120" s="1">
        <v>5</v>
      </c>
      <c r="S120" s="81">
        <v>0.99384991</v>
      </c>
      <c r="T120" s="81">
        <v>1.3657573000000001E-10</v>
      </c>
      <c r="U120" s="1">
        <f t="shared" si="44"/>
        <v>9.8619472722213128</v>
      </c>
    </row>
    <row r="121" spans="2:21" x14ac:dyDescent="0.25">
      <c r="B121" s="1">
        <v>6</v>
      </c>
      <c r="C121" s="81">
        <v>0.94088969</v>
      </c>
      <c r="D121" s="81">
        <v>8.1283612999999999E-17</v>
      </c>
      <c r="E121" s="1">
        <f t="shared" si="40"/>
        <v>16.063535710227693</v>
      </c>
      <c r="F121" s="1">
        <v>6</v>
      </c>
      <c r="G121" s="81">
        <v>0.97760524000000004</v>
      </c>
      <c r="H121" s="81">
        <v>5.1188451000000002E-14</v>
      </c>
      <c r="I121" s="1">
        <f t="shared" si="41"/>
        <v>13.280991533058959</v>
      </c>
      <c r="J121" s="1">
        <v>6</v>
      </c>
      <c r="K121" s="81">
        <v>0.98841635999999999</v>
      </c>
      <c r="L121" s="81">
        <v>1.3475139E-12</v>
      </c>
      <c r="M121" s="1">
        <f t="shared" si="42"/>
        <v>11.865406671357736</v>
      </c>
      <c r="N121" s="1">
        <v>6</v>
      </c>
      <c r="O121" s="81">
        <v>0.99269836</v>
      </c>
      <c r="P121" s="81">
        <v>7.1286208E-12</v>
      </c>
      <c r="Q121" s="1">
        <f t="shared" si="43"/>
        <v>11.14381179094047</v>
      </c>
      <c r="R121" s="1">
        <v>6</v>
      </c>
      <c r="S121" s="81">
        <v>0.99386936000000003</v>
      </c>
      <c r="T121" s="81">
        <v>1.5993855E-11</v>
      </c>
      <c r="U121" s="1">
        <f t="shared" si="44"/>
        <v>10.793376147549585</v>
      </c>
    </row>
    <row r="122" spans="2:21" x14ac:dyDescent="0.25">
      <c r="B122" s="1">
        <v>7</v>
      </c>
      <c r="C122" s="81">
        <v>0.94089144999999996</v>
      </c>
      <c r="D122" s="81">
        <v>7.3561393999999994E-17</v>
      </c>
      <c r="E122" s="1">
        <f t="shared" si="40"/>
        <v>16.106889571468514</v>
      </c>
      <c r="F122" s="1">
        <v>7</v>
      </c>
      <c r="G122" s="81">
        <v>0.97760707999999996</v>
      </c>
      <c r="H122" s="81">
        <v>1.8078648000000001E-14</v>
      </c>
      <c r="I122" s="1">
        <f t="shared" si="41"/>
        <v>13.732998389224084</v>
      </c>
      <c r="J122" s="1">
        <v>7</v>
      </c>
      <c r="K122" s="81">
        <v>0.98841825999999999</v>
      </c>
      <c r="L122" s="81">
        <v>2.0630508999999999E-13</v>
      </c>
      <c r="M122" s="1">
        <f t="shared" si="42"/>
        <v>12.680430816838582</v>
      </c>
      <c r="N122" s="1">
        <v>7</v>
      </c>
      <c r="O122" s="81">
        <v>0.99270035999999995</v>
      </c>
      <c r="P122" s="81">
        <v>6.9387515E-13</v>
      </c>
      <c r="Q122" s="1">
        <f t="shared" si="43"/>
        <v>12.155536845150719</v>
      </c>
      <c r="R122" s="1">
        <v>7</v>
      </c>
      <c r="S122" s="81">
        <v>0.99387154</v>
      </c>
      <c r="T122" s="81">
        <v>1.0329852000000001E-12</v>
      </c>
      <c r="U122" s="1">
        <f t="shared" si="44"/>
        <v>11.983236155293612</v>
      </c>
    </row>
    <row r="123" spans="2:21" x14ac:dyDescent="0.25">
      <c r="B123" s="1">
        <v>8</v>
      </c>
      <c r="C123" s="81">
        <v>0.94089162999999998</v>
      </c>
      <c r="D123" s="81">
        <v>4.0155574000000003E-17</v>
      </c>
      <c r="E123" s="1">
        <f t="shared" si="40"/>
        <v>16.369793766877539</v>
      </c>
      <c r="F123" s="1">
        <v>8</v>
      </c>
      <c r="G123" s="81">
        <v>0.97760727000000003</v>
      </c>
      <c r="H123" s="81">
        <v>2.6704845999999999E-15</v>
      </c>
      <c r="I123" s="1">
        <f t="shared" si="41"/>
        <v>14.563574344704408</v>
      </c>
      <c r="J123" s="1">
        <v>8</v>
      </c>
      <c r="K123" s="81">
        <v>0.98841846</v>
      </c>
      <c r="L123" s="81">
        <v>1.7456806E-14</v>
      </c>
      <c r="M123" s="1">
        <f t="shared" si="42"/>
        <v>13.752976062257209</v>
      </c>
      <c r="N123" s="1">
        <v>8</v>
      </c>
      <c r="O123" s="81">
        <v>0.99270058999999999</v>
      </c>
      <c r="P123" s="81">
        <v>3.4760267999999998E-14</v>
      </c>
      <c r="Q123" s="1">
        <f t="shared" si="43"/>
        <v>13.45573516381827</v>
      </c>
      <c r="R123" s="1">
        <v>8</v>
      </c>
      <c r="S123" s="81">
        <v>0.99387181999999996</v>
      </c>
      <c r="T123" s="81">
        <v>2.7336234E-14</v>
      </c>
      <c r="U123" s="1">
        <f t="shared" si="44"/>
        <v>13.56059169349945</v>
      </c>
    </row>
    <row r="124" spans="2:21" x14ac:dyDescent="0.25">
      <c r="B124" s="1">
        <v>9</v>
      </c>
      <c r="C124" s="81">
        <v>0.94089164000000003</v>
      </c>
      <c r="D124" s="81">
        <v>8.4846357E-18</v>
      </c>
      <c r="E124" s="1">
        <f t="shared" si="40"/>
        <v>17.044906409763421</v>
      </c>
      <c r="F124" s="1">
        <v>9</v>
      </c>
      <c r="G124" s="81">
        <v>0.97760729000000002</v>
      </c>
      <c r="H124" s="81">
        <v>2.191998E-16</v>
      </c>
      <c r="I124" s="1">
        <f t="shared" si="41"/>
        <v>15.649324277878643</v>
      </c>
      <c r="J124" s="1">
        <v>9</v>
      </c>
      <c r="K124" s="81">
        <v>0.98841847999999999</v>
      </c>
      <c r="L124" s="81">
        <v>7.0104419999999998E-16</v>
      </c>
      <c r="M124" s="1">
        <f t="shared" si="42"/>
        <v>15.149195456029048</v>
      </c>
      <c r="N124" s="1">
        <v>9</v>
      </c>
      <c r="O124" s="81">
        <v>0.99270062000000003</v>
      </c>
      <c r="P124" s="81">
        <v>6.7414992000000003E-16</v>
      </c>
      <c r="Q124" s="1">
        <f t="shared" si="43"/>
        <v>15.168061805802562</v>
      </c>
      <c r="R124" s="1">
        <v>9</v>
      </c>
      <c r="S124" s="81">
        <v>0.99387185</v>
      </c>
      <c r="T124" s="81">
        <v>3.4103280999999998E-16</v>
      </c>
      <c r="U124" s="1">
        <f t="shared" si="44"/>
        <v>15.464534226506862</v>
      </c>
    </row>
    <row r="125" spans="2:21" x14ac:dyDescent="0.25">
      <c r="B125" s="18" t="s">
        <v>758</v>
      </c>
      <c r="C125" s="127" t="s">
        <v>748</v>
      </c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</row>
    <row r="126" spans="2:21" x14ac:dyDescent="0.25">
      <c r="B126" s="138" t="s">
        <v>739</v>
      </c>
      <c r="C126" s="138"/>
      <c r="D126" s="138"/>
      <c r="E126" s="138"/>
      <c r="F126" s="138" t="s">
        <v>740</v>
      </c>
      <c r="G126" s="138"/>
      <c r="H126" s="138"/>
      <c r="I126" s="138"/>
      <c r="J126" s="138" t="s">
        <v>741</v>
      </c>
      <c r="K126" s="138"/>
      <c r="L126" s="138"/>
      <c r="M126" s="138"/>
      <c r="N126" s="138" t="s">
        <v>742</v>
      </c>
      <c r="O126" s="138"/>
      <c r="P126" s="138"/>
      <c r="Q126" s="138"/>
      <c r="R126" s="138" t="s">
        <v>743</v>
      </c>
      <c r="S126" s="138"/>
      <c r="T126" s="138"/>
      <c r="U126" s="138"/>
    </row>
    <row r="127" spans="2:21" x14ac:dyDescent="0.25">
      <c r="B127" s="18" t="s">
        <v>744</v>
      </c>
      <c r="C127" s="18" t="s">
        <v>745</v>
      </c>
      <c r="D127" s="18" t="s">
        <v>746</v>
      </c>
      <c r="E127" s="18" t="s">
        <v>747</v>
      </c>
      <c r="F127" s="18" t="s">
        <v>744</v>
      </c>
      <c r="G127" s="18" t="s">
        <v>745</v>
      </c>
      <c r="H127" s="18" t="s">
        <v>746</v>
      </c>
      <c r="I127" s="18" t="s">
        <v>747</v>
      </c>
      <c r="J127" s="18" t="s">
        <v>744</v>
      </c>
      <c r="K127" s="18" t="s">
        <v>745</v>
      </c>
      <c r="L127" s="18" t="s">
        <v>746</v>
      </c>
      <c r="M127" s="18" t="s">
        <v>747</v>
      </c>
      <c r="N127" s="18" t="s">
        <v>744</v>
      </c>
      <c r="O127" s="18" t="s">
        <v>745</v>
      </c>
      <c r="P127" s="18" t="s">
        <v>746</v>
      </c>
      <c r="Q127" s="18" t="s">
        <v>747</v>
      </c>
      <c r="R127" s="18" t="s">
        <v>744</v>
      </c>
      <c r="S127" s="18" t="s">
        <v>745</v>
      </c>
      <c r="T127" s="18" t="s">
        <v>746</v>
      </c>
      <c r="U127" s="18" t="s">
        <v>747</v>
      </c>
    </row>
    <row r="128" spans="2:21" x14ac:dyDescent="0.25">
      <c r="B128" s="1">
        <v>0</v>
      </c>
      <c r="C128" s="81">
        <v>0.31822388000000001</v>
      </c>
      <c r="D128" s="81">
        <v>2.4292123E-8</v>
      </c>
      <c r="E128" s="1">
        <f t="shared" ref="E128:E137" si="45">LOG10(C128/D128)</f>
        <v>7.1172672951968687</v>
      </c>
      <c r="F128" s="1">
        <v>0</v>
      </c>
      <c r="G128" s="81">
        <v>0.38532207000000002</v>
      </c>
      <c r="H128" s="81">
        <v>6.1899994000000001E-9</v>
      </c>
      <c r="I128" s="1">
        <f t="shared" ref="I128:I137" si="46">LOG10(G128/H128)</f>
        <v>7.7941332777828052</v>
      </c>
      <c r="J128" s="1">
        <v>0</v>
      </c>
      <c r="K128" s="81">
        <v>0.41040430999999999</v>
      </c>
      <c r="L128" s="81">
        <v>1.4670346000000001E-9</v>
      </c>
      <c r="M128" s="1">
        <f t="shared" ref="M128:M137" si="47">LOG10(K128/L128)</f>
        <v>8.4467715562222878</v>
      </c>
      <c r="N128" s="1">
        <v>0</v>
      </c>
      <c r="O128" s="81">
        <v>0.41568379999999999</v>
      </c>
      <c r="P128" s="81">
        <v>4.4338678999999998E-10</v>
      </c>
      <c r="Q128" s="1">
        <f t="shared" ref="Q128:Q137" si="48">LOG10(O128/P128)</f>
        <v>8.9719803496798303</v>
      </c>
      <c r="R128" s="1">
        <v>0</v>
      </c>
      <c r="S128" s="81">
        <v>0.40233889</v>
      </c>
      <c r="T128" s="81">
        <v>1.6513469000000001E-10</v>
      </c>
      <c r="U128" s="1">
        <f t="shared" ref="U128:U137" si="49">LOG10(S128/T128)</f>
        <v>9.3867536979235933</v>
      </c>
    </row>
    <row r="129" spans="2:21" x14ac:dyDescent="0.25">
      <c r="B129" s="1">
        <v>1</v>
      </c>
      <c r="C129" s="81">
        <v>0.78326152000000004</v>
      </c>
      <c r="D129" s="81">
        <v>1.5254043000000001E-9</v>
      </c>
      <c r="E129" s="1">
        <f t="shared" si="45"/>
        <v>8.7105218247893728</v>
      </c>
      <c r="F129" s="1">
        <v>1</v>
      </c>
      <c r="G129" s="81">
        <v>0.81781435999999996</v>
      </c>
      <c r="H129" s="81">
        <v>5.5240437E-10</v>
      </c>
      <c r="I129" s="1">
        <f t="shared" si="46"/>
        <v>9.1703976264927967</v>
      </c>
      <c r="J129" s="1">
        <v>1</v>
      </c>
      <c r="K129" s="81">
        <v>0.82798879999999997</v>
      </c>
      <c r="L129" s="81">
        <v>1.4914627E-10</v>
      </c>
      <c r="M129" s="1">
        <f t="shared" si="47"/>
        <v>9.7444120656699393</v>
      </c>
      <c r="N129" s="1">
        <v>1</v>
      </c>
      <c r="O129" s="81">
        <v>0.82566969000000001</v>
      </c>
      <c r="P129" s="81">
        <v>4.6974714000000001E-11</v>
      </c>
      <c r="Q129" s="1">
        <f t="shared" si="48"/>
        <v>10.244942197484015</v>
      </c>
      <c r="R129" s="1">
        <v>1</v>
      </c>
      <c r="S129" s="81">
        <v>0.82240917000000002</v>
      </c>
      <c r="T129" s="81">
        <v>1.8304311999999999E-10</v>
      </c>
      <c r="U129" s="1">
        <f t="shared" si="49"/>
        <v>9.6525345343377253</v>
      </c>
    </row>
    <row r="130" spans="2:21" x14ac:dyDescent="0.25">
      <c r="B130" s="1">
        <v>2</v>
      </c>
      <c r="C130" s="81">
        <v>0.92242813999999995</v>
      </c>
      <c r="D130" s="81">
        <v>2.0695704999999999E-11</v>
      </c>
      <c r="E130" s="1">
        <f t="shared" si="45"/>
        <v>10.649052318020622</v>
      </c>
      <c r="F130" s="1">
        <v>2</v>
      </c>
      <c r="G130" s="81">
        <v>0.95841008000000005</v>
      </c>
      <c r="H130" s="81">
        <v>8.2191885000000002E-12</v>
      </c>
      <c r="I130" s="1">
        <f t="shared" si="46"/>
        <v>11.066722431995023</v>
      </c>
      <c r="J130" s="1">
        <v>2</v>
      </c>
      <c r="K130" s="81">
        <v>0.96799648000000005</v>
      </c>
      <c r="L130" s="81">
        <v>2.3242281000000002E-12</v>
      </c>
      <c r="M130" s="1">
        <f t="shared" si="47"/>
        <v>11.619595030535017</v>
      </c>
      <c r="N130" s="1">
        <v>2</v>
      </c>
      <c r="O130" s="81">
        <v>0.97172287999999996</v>
      </c>
      <c r="P130" s="81">
        <v>2.3216894999999999E-11</v>
      </c>
      <c r="Q130" s="1">
        <f t="shared" si="48"/>
        <v>10.621738291407333</v>
      </c>
      <c r="R130" s="1">
        <v>2</v>
      </c>
      <c r="S130" s="81">
        <v>0.97287299000000005</v>
      </c>
      <c r="T130" s="81">
        <v>2.3392124E-10</v>
      </c>
      <c r="U130" s="1">
        <f t="shared" si="49"/>
        <v>9.6189864887372369</v>
      </c>
    </row>
    <row r="131" spans="2:21" x14ac:dyDescent="0.25">
      <c r="B131" s="1">
        <v>3</v>
      </c>
      <c r="C131" s="81">
        <v>0.93901195000000004</v>
      </c>
      <c r="D131" s="81">
        <v>2.1390658E-13</v>
      </c>
      <c r="E131" s="1">
        <f t="shared" si="45"/>
        <v>12.64244697504525</v>
      </c>
      <c r="F131" s="1">
        <v>3</v>
      </c>
      <c r="G131" s="81">
        <v>0.97558420000000001</v>
      </c>
      <c r="H131" s="81">
        <v>8.5855723000000006E-14</v>
      </c>
      <c r="I131" s="1">
        <f t="shared" si="46"/>
        <v>13.05549550830407</v>
      </c>
      <c r="J131" s="1">
        <v>3</v>
      </c>
      <c r="K131" s="81">
        <v>0.98628210000000005</v>
      </c>
      <c r="L131" s="81">
        <v>1.1677794E-12</v>
      </c>
      <c r="M131" s="1">
        <f t="shared" si="47"/>
        <v>11.926640341309421</v>
      </c>
      <c r="N131" s="1">
        <v>3</v>
      </c>
      <c r="O131" s="81">
        <v>0.99055481999999995</v>
      </c>
      <c r="P131" s="81">
        <v>2.377121E-11</v>
      </c>
      <c r="Q131" s="1">
        <f t="shared" si="48"/>
        <v>10.619827226868832</v>
      </c>
      <c r="R131" s="1">
        <v>3</v>
      </c>
      <c r="S131" s="81">
        <v>0.99172229999999995</v>
      </c>
      <c r="T131" s="81">
        <v>2.3606436999999999E-10</v>
      </c>
      <c r="U131" s="1">
        <f t="shared" si="49"/>
        <v>9.6233596364683187</v>
      </c>
    </row>
    <row r="132" spans="2:21" x14ac:dyDescent="0.25">
      <c r="B132" s="1">
        <v>4</v>
      </c>
      <c r="C132" s="81">
        <v>0.94070197</v>
      </c>
      <c r="D132" s="81">
        <v>2.1462032999999998E-15</v>
      </c>
      <c r="E132" s="1">
        <f t="shared" si="45"/>
        <v>14.641781195213174</v>
      </c>
      <c r="F132" s="1">
        <v>4</v>
      </c>
      <c r="G132" s="81">
        <v>0.97739551000000002</v>
      </c>
      <c r="H132" s="81">
        <v>1.6992135999999999E-14</v>
      </c>
      <c r="I132" s="1">
        <f t="shared" si="46"/>
        <v>13.759822364237666</v>
      </c>
      <c r="J132" s="1">
        <v>4</v>
      </c>
      <c r="K132" s="81">
        <v>0.98820432000000002</v>
      </c>
      <c r="L132" s="81">
        <v>1.1624474999999999E-12</v>
      </c>
      <c r="M132" s="1">
        <f t="shared" si="47"/>
        <v>11.929473400284445</v>
      </c>
      <c r="N132" s="1">
        <v>4</v>
      </c>
      <c r="O132" s="81">
        <v>0.99248524999999999</v>
      </c>
      <c r="P132" s="81">
        <v>2.2905153999999999E-11</v>
      </c>
      <c r="Q132" s="1">
        <f t="shared" si="48"/>
        <v>10.636790845088983</v>
      </c>
      <c r="R132" s="1">
        <v>4</v>
      </c>
      <c r="S132" s="81">
        <v>0.99365506999999997</v>
      </c>
      <c r="T132" s="81">
        <v>2.0026547000000001E-10</v>
      </c>
      <c r="U132" s="1">
        <f t="shared" si="49"/>
        <v>9.6956295786146107</v>
      </c>
    </row>
    <row r="133" spans="2:21" x14ac:dyDescent="0.25">
      <c r="B133" s="1">
        <v>5</v>
      </c>
      <c r="C133" s="81">
        <v>0.94087129999999997</v>
      </c>
      <c r="D133" s="81">
        <v>2.1469189999999998E-17</v>
      </c>
      <c r="E133" s="1">
        <f t="shared" si="45"/>
        <v>16.641714561698986</v>
      </c>
      <c r="F133" s="1">
        <v>5</v>
      </c>
      <c r="G133" s="81">
        <v>0.97758610000000001</v>
      </c>
      <c r="H133" s="81">
        <v>1.6857771000000001E-14</v>
      </c>
      <c r="I133" s="1">
        <f t="shared" si="46"/>
        <v>13.763354867860468</v>
      </c>
      <c r="J133" s="1">
        <v>5</v>
      </c>
      <c r="K133" s="81">
        <v>0.98839701000000002</v>
      </c>
      <c r="L133" s="81">
        <v>1.0854795999999999E-12</v>
      </c>
      <c r="M133" s="1">
        <f t="shared" si="47"/>
        <v>11.959309757009573</v>
      </c>
      <c r="N133" s="1">
        <v>5</v>
      </c>
      <c r="O133" s="81">
        <v>0.99267881999999996</v>
      </c>
      <c r="P133" s="81">
        <v>1.6772453000000001E-11</v>
      </c>
      <c r="Q133" s="1">
        <f t="shared" si="48"/>
        <v>10.772212172218145</v>
      </c>
      <c r="R133" s="1">
        <v>5</v>
      </c>
      <c r="S133" s="81">
        <v>0.99384934000000003</v>
      </c>
      <c r="T133" s="81">
        <v>8.6051797999999994E-11</v>
      </c>
      <c r="U133" s="1">
        <f t="shared" si="49"/>
        <v>10.06256060456948</v>
      </c>
    </row>
    <row r="134" spans="2:21" x14ac:dyDescent="0.25">
      <c r="B134" s="1">
        <v>6</v>
      </c>
      <c r="C134" s="81">
        <v>0.94088961000000004</v>
      </c>
      <c r="D134" s="81">
        <v>2.0478201E-17</v>
      </c>
      <c r="E134" s="1">
        <f t="shared" si="45"/>
        <v>16.662246871337128</v>
      </c>
      <c r="F134" s="1">
        <v>6</v>
      </c>
      <c r="G134" s="81">
        <v>0.97760517000000002</v>
      </c>
      <c r="H134" s="81">
        <v>1.5609768E-14</v>
      </c>
      <c r="I134" s="1">
        <f t="shared" si="46"/>
        <v>13.796767041228502</v>
      </c>
      <c r="J134" s="1">
        <v>6</v>
      </c>
      <c r="K134" s="81">
        <v>0.98841630000000003</v>
      </c>
      <c r="L134" s="81">
        <v>6.7694917000000004E-13</v>
      </c>
      <c r="M134" s="1">
        <f t="shared" si="47"/>
        <v>12.164383838658749</v>
      </c>
      <c r="N134" s="1">
        <v>6</v>
      </c>
      <c r="O134" s="81">
        <v>0.99269830999999997</v>
      </c>
      <c r="P134" s="81">
        <v>5.1400701000000004E-12</v>
      </c>
      <c r="Q134" s="1">
        <f t="shared" si="48"/>
        <v>11.285848240603434</v>
      </c>
      <c r="R134" s="1">
        <v>6</v>
      </c>
      <c r="S134" s="81">
        <v>0.99386931000000001</v>
      </c>
      <c r="T134" s="81">
        <v>1.3714724999999999E-11</v>
      </c>
      <c r="U134" s="1">
        <f t="shared" si="49"/>
        <v>10.860142176296446</v>
      </c>
    </row>
    <row r="135" spans="2:21" x14ac:dyDescent="0.25">
      <c r="B135" s="1">
        <v>7</v>
      </c>
      <c r="C135" s="81">
        <v>0.94089144000000002</v>
      </c>
      <c r="D135" s="81">
        <v>1.9918884000000001E-17</v>
      </c>
      <c r="E135" s="1">
        <f t="shared" si="45"/>
        <v>16.674274514995396</v>
      </c>
      <c r="F135" s="1">
        <v>7</v>
      </c>
      <c r="G135" s="81">
        <v>0.97760707000000002</v>
      </c>
      <c r="H135" s="81">
        <v>9.3586558999999997E-15</v>
      </c>
      <c r="I135" s="1">
        <f t="shared" si="46"/>
        <v>14.018950854316726</v>
      </c>
      <c r="J135" s="1">
        <v>7</v>
      </c>
      <c r="K135" s="81">
        <v>0.98841825000000005</v>
      </c>
      <c r="L135" s="81">
        <v>1.6081484000000001E-13</v>
      </c>
      <c r="M135" s="1">
        <f t="shared" si="47"/>
        <v>12.788614632575266</v>
      </c>
      <c r="N135" s="1">
        <v>7</v>
      </c>
      <c r="O135" s="81">
        <v>0.99270035000000001</v>
      </c>
      <c r="P135" s="81">
        <v>6.2485520999999997E-13</v>
      </c>
      <c r="Q135" s="1">
        <f t="shared" si="48"/>
        <v>12.201038779708824</v>
      </c>
      <c r="R135" s="1">
        <v>7</v>
      </c>
      <c r="S135" s="81">
        <v>0.99387154</v>
      </c>
      <c r="T135" s="81">
        <v>9.8688685000000005E-13</v>
      </c>
      <c r="U135" s="1">
        <f t="shared" si="49"/>
        <v>12.003062892388376</v>
      </c>
    </row>
    <row r="136" spans="2:21" x14ac:dyDescent="0.25">
      <c r="B136" s="1">
        <v>8</v>
      </c>
      <c r="C136" s="81">
        <v>0.94089162999999998</v>
      </c>
      <c r="D136" s="81">
        <v>1.5813159999999999E-17</v>
      </c>
      <c r="E136" s="1">
        <f t="shared" si="45"/>
        <v>16.774520939929701</v>
      </c>
      <c r="F136" s="1">
        <v>8</v>
      </c>
      <c r="G136" s="81">
        <v>0.97760727000000003</v>
      </c>
      <c r="H136" s="81">
        <v>2.1110323999999999E-15</v>
      </c>
      <c r="I136" s="1">
        <f t="shared" si="46"/>
        <v>14.665669523667114</v>
      </c>
      <c r="J136" s="1">
        <v>8</v>
      </c>
      <c r="K136" s="81">
        <v>0.98841846</v>
      </c>
      <c r="L136" s="81">
        <v>1.6148259E-14</v>
      </c>
      <c r="M136" s="1">
        <f t="shared" si="47"/>
        <v>13.786815141428423</v>
      </c>
      <c r="N136" s="1">
        <v>8</v>
      </c>
      <c r="O136" s="81">
        <v>0.99270058999999999</v>
      </c>
      <c r="P136" s="81">
        <v>3.3765731000000003E-14</v>
      </c>
      <c r="Q136" s="1">
        <f t="shared" si="48"/>
        <v>13.46834212372505</v>
      </c>
      <c r="R136" s="1">
        <v>8</v>
      </c>
      <c r="S136" s="81">
        <v>0.99387181999999996</v>
      </c>
      <c r="T136" s="81">
        <v>2.7076696000000001E-14</v>
      </c>
      <c r="U136" s="1">
        <f t="shared" si="49"/>
        <v>13.564734707891446</v>
      </c>
    </row>
    <row r="137" spans="2:21" x14ac:dyDescent="0.25">
      <c r="B137" s="1">
        <v>9</v>
      </c>
      <c r="C137" s="81">
        <v>0.94089164000000003</v>
      </c>
      <c r="D137" s="81">
        <v>5.7462473999999998E-18</v>
      </c>
      <c r="E137" s="1">
        <f t="shared" si="45"/>
        <v>17.21415528950757</v>
      </c>
      <c r="F137" s="1">
        <v>9</v>
      </c>
      <c r="G137" s="81">
        <v>0.97760729000000002</v>
      </c>
      <c r="H137" s="81">
        <v>2.0373726000000001E-16</v>
      </c>
      <c r="I137" s="1">
        <f t="shared" si="46"/>
        <v>15.681093970268551</v>
      </c>
      <c r="J137" s="1">
        <v>9</v>
      </c>
      <c r="K137" s="81">
        <v>0.98841847999999999</v>
      </c>
      <c r="L137" s="81">
        <v>6.8721420000000001E-16</v>
      </c>
      <c r="M137" s="1">
        <f t="shared" si="47"/>
        <v>15.157848731806075</v>
      </c>
      <c r="N137" s="1">
        <v>9</v>
      </c>
      <c r="O137" s="81">
        <v>0.99270062000000003</v>
      </c>
      <c r="P137" s="81">
        <v>6.7078593000000004E-16</v>
      </c>
      <c r="Q137" s="1">
        <f t="shared" si="48"/>
        <v>15.170234348590903</v>
      </c>
      <c r="R137" s="1">
        <v>9</v>
      </c>
      <c r="S137" s="81">
        <v>0.99387185</v>
      </c>
      <c r="T137" s="81">
        <v>3.4063373999999999E-16</v>
      </c>
      <c r="U137" s="1">
        <f t="shared" si="49"/>
        <v>15.465042727088834</v>
      </c>
    </row>
    <row r="138" spans="2:21" x14ac:dyDescent="0.25">
      <c r="B138" s="18" t="s">
        <v>759</v>
      </c>
      <c r="C138" s="127" t="s">
        <v>748</v>
      </c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127"/>
      <c r="P138" s="127"/>
      <c r="Q138" s="127"/>
      <c r="R138" s="127"/>
      <c r="S138" s="127"/>
      <c r="T138" s="127"/>
      <c r="U138" s="127"/>
    </row>
    <row r="139" spans="2:21" x14ac:dyDescent="0.25">
      <c r="B139" s="138" t="s">
        <v>739</v>
      </c>
      <c r="C139" s="138"/>
      <c r="D139" s="138"/>
      <c r="E139" s="138"/>
      <c r="F139" s="138" t="s">
        <v>740</v>
      </c>
      <c r="G139" s="138"/>
      <c r="H139" s="138"/>
      <c r="I139" s="138"/>
      <c r="J139" s="138" t="s">
        <v>741</v>
      </c>
      <c r="K139" s="138"/>
      <c r="L139" s="138"/>
      <c r="M139" s="138"/>
      <c r="N139" s="138" t="s">
        <v>742</v>
      </c>
      <c r="O139" s="138"/>
      <c r="P139" s="138"/>
      <c r="Q139" s="138"/>
      <c r="R139" s="138" t="s">
        <v>743</v>
      </c>
      <c r="S139" s="138"/>
      <c r="T139" s="138"/>
      <c r="U139" s="138"/>
    </row>
    <row r="140" spans="2:21" x14ac:dyDescent="0.25">
      <c r="B140" s="18" t="s">
        <v>744</v>
      </c>
      <c r="C140" s="18" t="s">
        <v>745</v>
      </c>
      <c r="D140" s="18" t="s">
        <v>746</v>
      </c>
      <c r="E140" s="18" t="s">
        <v>747</v>
      </c>
      <c r="F140" s="18" t="s">
        <v>744</v>
      </c>
      <c r="G140" s="18" t="s">
        <v>745</v>
      </c>
      <c r="H140" s="18" t="s">
        <v>746</v>
      </c>
      <c r="I140" s="18" t="s">
        <v>747</v>
      </c>
      <c r="J140" s="18" t="s">
        <v>744</v>
      </c>
      <c r="K140" s="18" t="s">
        <v>745</v>
      </c>
      <c r="L140" s="18" t="s">
        <v>746</v>
      </c>
      <c r="M140" s="18" t="s">
        <v>747</v>
      </c>
      <c r="N140" s="18" t="s">
        <v>744</v>
      </c>
      <c r="O140" s="18" t="s">
        <v>745</v>
      </c>
      <c r="P140" s="18" t="s">
        <v>746</v>
      </c>
      <c r="Q140" s="18" t="s">
        <v>747</v>
      </c>
      <c r="R140" s="18" t="s">
        <v>744</v>
      </c>
      <c r="S140" s="18" t="s">
        <v>745</v>
      </c>
      <c r="T140" s="18" t="s">
        <v>746</v>
      </c>
      <c r="U140" s="18" t="s">
        <v>747</v>
      </c>
    </row>
    <row r="141" spans="2:21" x14ac:dyDescent="0.25">
      <c r="B141" s="1">
        <v>0</v>
      </c>
      <c r="C141" s="81">
        <v>0.31822388000000001</v>
      </c>
      <c r="D141" s="81">
        <v>2.4292123E-8</v>
      </c>
      <c r="E141" s="1">
        <f t="shared" ref="E141:E150" si="50">LOG10(C141/D141)</f>
        <v>7.1172672951968687</v>
      </c>
      <c r="F141" s="1">
        <v>0</v>
      </c>
      <c r="G141" s="81">
        <v>0.38532207000000002</v>
      </c>
      <c r="H141" s="81">
        <v>6.1899995000000002E-9</v>
      </c>
      <c r="I141" s="1">
        <f t="shared" ref="I141:I150" si="51">LOG10(G141/H141)</f>
        <v>7.7941332707667383</v>
      </c>
      <c r="J141" s="1">
        <v>0</v>
      </c>
      <c r="K141" s="81">
        <v>0.41040430999999999</v>
      </c>
      <c r="L141" s="81">
        <v>1.4670346000000001E-9</v>
      </c>
      <c r="M141" s="1">
        <f t="shared" ref="M141:M150" si="52">LOG10(K141/L141)</f>
        <v>8.4467715562222878</v>
      </c>
      <c r="N141" s="1">
        <v>0</v>
      </c>
      <c r="O141" s="81">
        <v>0.41568379999999999</v>
      </c>
      <c r="P141" s="81">
        <v>4.4338678999999998E-10</v>
      </c>
      <c r="Q141" s="1">
        <f t="shared" ref="Q141:Q150" si="53">LOG10(O141/P141)</f>
        <v>8.9719803496798303</v>
      </c>
      <c r="R141" s="1">
        <v>0</v>
      </c>
      <c r="S141" s="81">
        <v>0.40233889</v>
      </c>
      <c r="T141" s="81">
        <v>1.6513469000000001E-10</v>
      </c>
      <c r="U141" s="1">
        <f t="shared" ref="U141:U150" si="54">LOG10(S141/T141)</f>
        <v>9.3867536979235933</v>
      </c>
    </row>
    <row r="142" spans="2:21" x14ac:dyDescent="0.25">
      <c r="B142" s="1">
        <v>1</v>
      </c>
      <c r="C142" s="81">
        <v>0.78326152000000004</v>
      </c>
      <c r="D142" s="81">
        <v>1.5254043000000001E-9</v>
      </c>
      <c r="E142" s="1">
        <f t="shared" si="50"/>
        <v>8.7105218247893728</v>
      </c>
      <c r="F142" s="1">
        <v>1</v>
      </c>
      <c r="G142" s="81">
        <v>0.81781435999999996</v>
      </c>
      <c r="H142" s="81">
        <v>5.5240437E-10</v>
      </c>
      <c r="I142" s="1">
        <f t="shared" si="51"/>
        <v>9.1703976264927967</v>
      </c>
      <c r="J142" s="1">
        <v>1</v>
      </c>
      <c r="K142" s="81">
        <v>0.82798879999999997</v>
      </c>
      <c r="L142" s="81">
        <v>1.4914627E-10</v>
      </c>
      <c r="M142" s="1">
        <f t="shared" si="52"/>
        <v>9.7444120656699393</v>
      </c>
      <c r="N142" s="1">
        <v>1</v>
      </c>
      <c r="O142" s="81">
        <v>0.82566969000000001</v>
      </c>
      <c r="P142" s="81">
        <v>4.6974714000000001E-11</v>
      </c>
      <c r="Q142" s="1">
        <f t="shared" si="53"/>
        <v>10.244942197484015</v>
      </c>
      <c r="R142" s="1">
        <v>1</v>
      </c>
      <c r="S142" s="81">
        <v>0.81044618999999996</v>
      </c>
      <c r="T142" s="81">
        <v>4.4830495999999997E-11</v>
      </c>
      <c r="U142" s="1">
        <f t="shared" si="54"/>
        <v>10.257150641049886</v>
      </c>
    </row>
    <row r="143" spans="2:21" x14ac:dyDescent="0.25">
      <c r="B143" s="1">
        <v>2</v>
      </c>
      <c r="C143" s="81">
        <v>0.92242813999999995</v>
      </c>
      <c r="D143" s="81">
        <v>2.0695704999999999E-11</v>
      </c>
      <c r="E143" s="1">
        <f t="shared" si="50"/>
        <v>10.649052318020622</v>
      </c>
      <c r="F143" s="1">
        <v>2</v>
      </c>
      <c r="G143" s="81">
        <v>0.95841008000000005</v>
      </c>
      <c r="H143" s="81">
        <v>8.2191885000000002E-12</v>
      </c>
      <c r="I143" s="1">
        <f t="shared" si="51"/>
        <v>11.066722431995023</v>
      </c>
      <c r="J143" s="1">
        <v>2</v>
      </c>
      <c r="K143" s="81">
        <v>0.96799648000000005</v>
      </c>
      <c r="L143" s="81">
        <v>2.3242281000000002E-12</v>
      </c>
      <c r="M143" s="1">
        <f t="shared" si="52"/>
        <v>11.619595030535017</v>
      </c>
      <c r="N143" s="1">
        <v>2</v>
      </c>
      <c r="O143" s="81">
        <v>0.97012821000000005</v>
      </c>
      <c r="P143" s="81">
        <v>5.7967104999999997E-12</v>
      </c>
      <c r="Q143" s="1">
        <f t="shared" si="53"/>
        <v>11.223647522131941</v>
      </c>
      <c r="R143" s="1">
        <v>2</v>
      </c>
      <c r="S143" s="81">
        <v>0.97127739999999996</v>
      </c>
      <c r="T143" s="81">
        <v>5.8485112000000005E-11</v>
      </c>
      <c r="U143" s="1">
        <f t="shared" si="54"/>
        <v>10.220297957621506</v>
      </c>
    </row>
    <row r="144" spans="2:21" x14ac:dyDescent="0.25">
      <c r="B144" s="1">
        <v>3</v>
      </c>
      <c r="C144" s="81">
        <v>0.93901195000000004</v>
      </c>
      <c r="D144" s="81">
        <v>2.1390658E-13</v>
      </c>
      <c r="E144" s="1">
        <f t="shared" si="50"/>
        <v>12.64244697504525</v>
      </c>
      <c r="F144" s="1">
        <v>3</v>
      </c>
      <c r="G144" s="81">
        <v>0.97558420000000001</v>
      </c>
      <c r="H144" s="81">
        <v>8.5855723000000006E-14</v>
      </c>
      <c r="I144" s="1">
        <f t="shared" si="51"/>
        <v>13.05549550830407</v>
      </c>
      <c r="J144" s="1">
        <v>3</v>
      </c>
      <c r="K144" s="81">
        <v>0.98611802999999998</v>
      </c>
      <c r="L144" s="81">
        <v>2.9222279999999999E-13</v>
      </c>
      <c r="M144" s="1">
        <f t="shared" si="52"/>
        <v>12.528214801703317</v>
      </c>
      <c r="N144" s="1">
        <v>3</v>
      </c>
      <c r="O144" s="81">
        <v>0.99039018999999995</v>
      </c>
      <c r="P144" s="81">
        <v>5.9657040999999999E-12</v>
      </c>
      <c r="Q144" s="1">
        <f t="shared" si="53"/>
        <v>11.220144621453739</v>
      </c>
      <c r="R144" s="1">
        <v>3</v>
      </c>
      <c r="S144" s="81">
        <v>0.99155811000000005</v>
      </c>
      <c r="T144" s="81">
        <v>5.9976149999999997E-11</v>
      </c>
      <c r="U144" s="1">
        <f t="shared" si="54"/>
        <v>10.218339586992679</v>
      </c>
    </row>
    <row r="145" spans="2:21" x14ac:dyDescent="0.25">
      <c r="B145" s="1">
        <v>4</v>
      </c>
      <c r="C145" s="81">
        <v>0.94070197</v>
      </c>
      <c r="D145" s="81">
        <v>2.1462032999999998E-15</v>
      </c>
      <c r="E145" s="1">
        <f t="shared" si="50"/>
        <v>14.641781195213174</v>
      </c>
      <c r="F145" s="1">
        <v>4</v>
      </c>
      <c r="G145" s="81">
        <v>0.97737923000000004</v>
      </c>
      <c r="H145" s="81">
        <v>4.2527717000000004E-15</v>
      </c>
      <c r="I145" s="1">
        <f t="shared" si="51"/>
        <v>14.361391036458571</v>
      </c>
      <c r="J145" s="1">
        <v>4</v>
      </c>
      <c r="K145" s="81">
        <v>0.98818788000000002</v>
      </c>
      <c r="L145" s="81">
        <v>2.9249297999999999E-13</v>
      </c>
      <c r="M145" s="1">
        <f t="shared" si="52"/>
        <v>12.528724075793336</v>
      </c>
      <c r="N145" s="1">
        <v>4</v>
      </c>
      <c r="O145" s="81">
        <v>0.99246888</v>
      </c>
      <c r="P145" s="81">
        <v>5.9181104000000003E-12</v>
      </c>
      <c r="Q145" s="1">
        <f t="shared" si="53"/>
        <v>11.22453383535575</v>
      </c>
      <c r="R145" s="1">
        <v>4</v>
      </c>
      <c r="S145" s="81">
        <v>0.99363920999999999</v>
      </c>
      <c r="T145" s="81">
        <v>5.7217816999999997E-11</v>
      </c>
      <c r="U145" s="1">
        <f t="shared" si="54"/>
        <v>10.239697436480501</v>
      </c>
    </row>
    <row r="146" spans="2:21" x14ac:dyDescent="0.25">
      <c r="B146" s="1">
        <v>5</v>
      </c>
      <c r="C146" s="81">
        <v>0.94087129999999997</v>
      </c>
      <c r="D146" s="81">
        <v>2.1469189999999998E-17</v>
      </c>
      <c r="E146" s="1">
        <f t="shared" si="50"/>
        <v>16.641714561698986</v>
      </c>
      <c r="F146" s="1">
        <v>5</v>
      </c>
      <c r="G146" s="81">
        <v>0.97758447999999998</v>
      </c>
      <c r="H146" s="81">
        <v>4.2444391000000002E-15</v>
      </c>
      <c r="I146" s="1">
        <f t="shared" si="51"/>
        <v>14.362333991527503</v>
      </c>
      <c r="J146" s="1">
        <v>5</v>
      </c>
      <c r="K146" s="81">
        <v>0.98839538999999998</v>
      </c>
      <c r="L146" s="81">
        <v>2.8696625999999998E-13</v>
      </c>
      <c r="M146" s="1">
        <f t="shared" si="52"/>
        <v>12.5370998734812</v>
      </c>
      <c r="N146" s="1">
        <v>5</v>
      </c>
      <c r="O146" s="81">
        <v>0.99267729999999998</v>
      </c>
      <c r="P146" s="81">
        <v>5.3445155000000002E-12</v>
      </c>
      <c r="Q146" s="1">
        <f t="shared" si="53"/>
        <v>11.268899749849004</v>
      </c>
      <c r="R146" s="1">
        <v>5</v>
      </c>
      <c r="S146" s="81">
        <v>0.99384799999999995</v>
      </c>
      <c r="T146" s="81">
        <v>3.9236514000000002E-11</v>
      </c>
      <c r="U146" s="1">
        <f t="shared" si="54"/>
        <v>10.403629552915062</v>
      </c>
    </row>
    <row r="147" spans="2:21" x14ac:dyDescent="0.25">
      <c r="B147" s="1">
        <v>6</v>
      </c>
      <c r="C147" s="81">
        <v>0.94088945000000002</v>
      </c>
      <c r="D147" s="81">
        <v>5.1334170999999998E-18</v>
      </c>
      <c r="E147" s="1">
        <f t="shared" si="50"/>
        <v>17.263132045949739</v>
      </c>
      <c r="F147" s="1">
        <v>6</v>
      </c>
      <c r="G147" s="81">
        <v>0.97760501</v>
      </c>
      <c r="H147" s="81">
        <v>4.1531262000000004E-15</v>
      </c>
      <c r="I147" s="1">
        <f t="shared" si="51"/>
        <v>14.371788290455703</v>
      </c>
      <c r="J147" s="1">
        <v>6</v>
      </c>
      <c r="K147" s="81">
        <v>0.98841615000000005</v>
      </c>
      <c r="L147" s="81">
        <v>2.4200317999999999E-13</v>
      </c>
      <c r="M147" s="1">
        <f t="shared" si="52"/>
        <v>12.61111876005576</v>
      </c>
      <c r="N147" s="1">
        <v>6</v>
      </c>
      <c r="O147" s="81">
        <v>0.99269819000000004</v>
      </c>
      <c r="P147" s="81">
        <v>2.8372728000000001E-12</v>
      </c>
      <c r="Q147" s="1">
        <f t="shared" si="53"/>
        <v>11.543916135385954</v>
      </c>
      <c r="R147" s="1">
        <v>6</v>
      </c>
      <c r="S147" s="81">
        <v>0.99386920000000001</v>
      </c>
      <c r="T147" s="81">
        <v>1.0191303E-11</v>
      </c>
      <c r="U147" s="1">
        <f t="shared" si="54"/>
        <v>10.989099518135111</v>
      </c>
    </row>
    <row r="148" spans="2:21" x14ac:dyDescent="0.25">
      <c r="B148" s="1">
        <v>7</v>
      </c>
      <c r="C148" s="81">
        <v>0.94089142999999997</v>
      </c>
      <c r="D148" s="81">
        <v>5.0945930000000002E-18</v>
      </c>
      <c r="E148" s="1">
        <f t="shared" si="50"/>
        <v>17.266430018288027</v>
      </c>
      <c r="F148" s="1">
        <v>7</v>
      </c>
      <c r="G148" s="81">
        <v>0.97760705999999997</v>
      </c>
      <c r="H148" s="81">
        <v>3.4379759999999998E-15</v>
      </c>
      <c r="I148" s="1">
        <f t="shared" si="51"/>
        <v>14.45386148864465</v>
      </c>
      <c r="J148" s="1">
        <v>7</v>
      </c>
      <c r="K148" s="81">
        <v>0.98841824</v>
      </c>
      <c r="L148" s="81">
        <v>1.0079389E-13</v>
      </c>
      <c r="M148" s="1">
        <f t="shared" si="52"/>
        <v>12.991506544638492</v>
      </c>
      <c r="N148" s="1">
        <v>7</v>
      </c>
      <c r="O148" s="81">
        <v>0.99270033999999996</v>
      </c>
      <c r="P148" s="81">
        <v>5.0929899E-13</v>
      </c>
      <c r="Q148" s="1">
        <f t="shared" si="53"/>
        <v>12.289845355705637</v>
      </c>
      <c r="R148" s="1">
        <v>7</v>
      </c>
      <c r="S148" s="81">
        <v>0.99387152000000001</v>
      </c>
      <c r="T148" s="81">
        <v>9.0203834000000003E-13</v>
      </c>
      <c r="U148" s="1">
        <f t="shared" si="54"/>
        <v>12.042105248731794</v>
      </c>
    </row>
    <row r="149" spans="2:21" x14ac:dyDescent="0.25">
      <c r="B149" s="1">
        <v>8</v>
      </c>
      <c r="C149" s="81">
        <v>0.94089162000000004</v>
      </c>
      <c r="D149" s="81">
        <v>4.7408753999999999E-18</v>
      </c>
      <c r="E149" s="1">
        <f t="shared" si="50"/>
        <v>17.297681059216824</v>
      </c>
      <c r="F149" s="1">
        <v>8</v>
      </c>
      <c r="G149" s="81">
        <v>0.97760727000000003</v>
      </c>
      <c r="H149" s="81">
        <v>1.3553669999999999E-15</v>
      </c>
      <c r="I149" s="1">
        <f t="shared" si="51"/>
        <v>14.85810751516874</v>
      </c>
      <c r="J149" s="1">
        <v>8</v>
      </c>
      <c r="K149" s="81">
        <v>0.98841846</v>
      </c>
      <c r="L149" s="81">
        <v>1.3860916999999999E-14</v>
      </c>
      <c r="M149" s="1">
        <f t="shared" si="52"/>
        <v>13.853148884869844</v>
      </c>
      <c r="N149" s="1">
        <v>8</v>
      </c>
      <c r="O149" s="81">
        <v>0.99270058999999999</v>
      </c>
      <c r="P149" s="81">
        <v>3.1884621E-14</v>
      </c>
      <c r="Q149" s="1">
        <f t="shared" si="53"/>
        <v>13.493237020931875</v>
      </c>
      <c r="R149" s="1">
        <v>8</v>
      </c>
      <c r="S149" s="81">
        <v>0.99387181999999996</v>
      </c>
      <c r="T149" s="81">
        <v>2.6568374E-14</v>
      </c>
      <c r="U149" s="1">
        <f t="shared" si="54"/>
        <v>13.572965400748288</v>
      </c>
    </row>
    <row r="150" spans="2:21" x14ac:dyDescent="0.25">
      <c r="B150" s="1">
        <v>9</v>
      </c>
      <c r="C150" s="81">
        <v>0.94089164000000003</v>
      </c>
      <c r="D150" s="81">
        <v>2.8891945E-18</v>
      </c>
      <c r="E150" s="1">
        <f t="shared" si="50"/>
        <v>17.512762830314479</v>
      </c>
      <c r="F150" s="1">
        <v>9</v>
      </c>
      <c r="G150" s="81">
        <v>0.97760729000000002</v>
      </c>
      <c r="H150" s="81">
        <v>1.7650213999999999E-16</v>
      </c>
      <c r="I150" s="1">
        <f t="shared" si="51"/>
        <v>15.743414456077979</v>
      </c>
      <c r="J150" s="1">
        <v>9</v>
      </c>
      <c r="K150" s="81">
        <v>0.98841847999999999</v>
      </c>
      <c r="L150" s="81">
        <v>6.6064299999999998E-16</v>
      </c>
      <c r="M150" s="1">
        <f t="shared" si="52"/>
        <v>15.174974018928035</v>
      </c>
      <c r="N150" s="1">
        <v>9</v>
      </c>
      <c r="O150" s="81">
        <v>0.99270062000000003</v>
      </c>
      <c r="P150" s="81">
        <v>6.6413688000000005E-16</v>
      </c>
      <c r="Q150" s="1">
        <f t="shared" si="53"/>
        <v>15.174560695527759</v>
      </c>
      <c r="R150" s="1">
        <v>9</v>
      </c>
      <c r="S150" s="81">
        <v>0.99387185</v>
      </c>
      <c r="T150" s="81">
        <v>3.3983847999999999E-16</v>
      </c>
      <c r="U150" s="1">
        <f t="shared" si="54"/>
        <v>15.466057837410078</v>
      </c>
    </row>
    <row r="151" spans="2:21" x14ac:dyDescent="0.25">
      <c r="B151" s="18" t="s">
        <v>760</v>
      </c>
      <c r="C151" s="127" t="s">
        <v>748</v>
      </c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</row>
    <row r="152" spans="2:21" x14ac:dyDescent="0.25">
      <c r="B152" s="138" t="s">
        <v>739</v>
      </c>
      <c r="C152" s="138"/>
      <c r="D152" s="138"/>
      <c r="E152" s="138"/>
      <c r="F152" s="138" t="s">
        <v>740</v>
      </c>
      <c r="G152" s="138"/>
      <c r="H152" s="138"/>
      <c r="I152" s="138"/>
      <c r="J152" s="138" t="s">
        <v>741</v>
      </c>
      <c r="K152" s="138"/>
      <c r="L152" s="138"/>
      <c r="M152" s="138"/>
      <c r="N152" s="138" t="s">
        <v>742</v>
      </c>
      <c r="O152" s="138"/>
      <c r="P152" s="138"/>
      <c r="Q152" s="138"/>
      <c r="R152" s="138" t="s">
        <v>743</v>
      </c>
      <c r="S152" s="138"/>
      <c r="T152" s="138"/>
      <c r="U152" s="138"/>
    </row>
    <row r="153" spans="2:21" x14ac:dyDescent="0.25">
      <c r="B153" s="18" t="s">
        <v>744</v>
      </c>
      <c r="C153" s="18" t="s">
        <v>745</v>
      </c>
      <c r="D153" s="18" t="s">
        <v>746</v>
      </c>
      <c r="E153" s="18" t="s">
        <v>747</v>
      </c>
      <c r="F153" s="18" t="s">
        <v>744</v>
      </c>
      <c r="G153" s="18" t="s">
        <v>745</v>
      </c>
      <c r="H153" s="18" t="s">
        <v>746</v>
      </c>
      <c r="I153" s="18" t="s">
        <v>747</v>
      </c>
      <c r="J153" s="18" t="s">
        <v>744</v>
      </c>
      <c r="K153" s="18" t="s">
        <v>745</v>
      </c>
      <c r="L153" s="18" t="s">
        <v>746</v>
      </c>
      <c r="M153" s="18" t="s">
        <v>747</v>
      </c>
      <c r="N153" s="18" t="s">
        <v>744</v>
      </c>
      <c r="O153" s="18" t="s">
        <v>745</v>
      </c>
      <c r="P153" s="18" t="s">
        <v>746</v>
      </c>
      <c r="Q153" s="18" t="s">
        <v>747</v>
      </c>
      <c r="R153" s="18" t="s">
        <v>744</v>
      </c>
      <c r="S153" s="18" t="s">
        <v>745</v>
      </c>
      <c r="T153" s="18" t="s">
        <v>746</v>
      </c>
      <c r="U153" s="18" t="s">
        <v>747</v>
      </c>
    </row>
    <row r="154" spans="2:21" x14ac:dyDescent="0.25">
      <c r="B154" s="1">
        <v>0</v>
      </c>
      <c r="C154" s="81">
        <v>0.31822388000000001</v>
      </c>
      <c r="D154" s="81">
        <v>2.4292123E-8</v>
      </c>
      <c r="E154" s="1">
        <f t="shared" ref="E154:E163" si="55">LOG10(C154/D154)</f>
        <v>7.1172672951968687</v>
      </c>
      <c r="F154" s="1">
        <v>0</v>
      </c>
      <c r="G154" s="81">
        <v>0.38532207000000002</v>
      </c>
      <c r="H154" s="81">
        <v>6.1899995000000002E-9</v>
      </c>
      <c r="I154" s="1">
        <f t="shared" ref="I154:I163" si="56">LOG10(G154/H154)</f>
        <v>7.7941332707667383</v>
      </c>
      <c r="J154" s="1">
        <v>0</v>
      </c>
      <c r="K154" s="81">
        <v>0.41040430999999999</v>
      </c>
      <c r="L154" s="81">
        <v>1.4670346000000001E-9</v>
      </c>
      <c r="M154" s="1">
        <f t="shared" ref="M154:M163" si="57">LOG10(K154/L154)</f>
        <v>8.4467715562222878</v>
      </c>
      <c r="N154" s="1">
        <v>0</v>
      </c>
      <c r="O154" s="81">
        <v>0.41568379999999999</v>
      </c>
      <c r="P154" s="81">
        <v>4.4338678999999998E-10</v>
      </c>
      <c r="Q154" s="1">
        <f t="shared" ref="Q154:Q163" si="58">LOG10(O154/P154)</f>
        <v>8.9719803496798303</v>
      </c>
      <c r="R154" s="1">
        <v>0</v>
      </c>
      <c r="S154" s="81">
        <v>0.4023389</v>
      </c>
      <c r="T154" s="81">
        <v>1.6513467999999999E-10</v>
      </c>
      <c r="U154" s="1">
        <f t="shared" ref="U154:U163" si="59">LOG10(S154/T154)</f>
        <v>9.3867537350172476</v>
      </c>
    </row>
    <row r="155" spans="2:21" x14ac:dyDescent="0.25">
      <c r="B155" s="1">
        <v>1</v>
      </c>
      <c r="C155" s="81">
        <v>0.78326152000000004</v>
      </c>
      <c r="D155" s="81">
        <v>1.5254043000000001E-9</v>
      </c>
      <c r="E155" s="1">
        <f t="shared" si="55"/>
        <v>8.7105218247893728</v>
      </c>
      <c r="F155" s="1">
        <v>1</v>
      </c>
      <c r="G155" s="81">
        <v>0.81781435999999996</v>
      </c>
      <c r="H155" s="81">
        <v>5.5240437E-10</v>
      </c>
      <c r="I155" s="1">
        <f t="shared" si="56"/>
        <v>9.1703976264927967</v>
      </c>
      <c r="J155" s="1">
        <v>1</v>
      </c>
      <c r="K155" s="81">
        <v>0.82798879999999997</v>
      </c>
      <c r="L155" s="81">
        <v>1.4914627E-10</v>
      </c>
      <c r="M155" s="1">
        <f t="shared" si="57"/>
        <v>9.7444120656699393</v>
      </c>
      <c r="N155" s="1">
        <v>1</v>
      </c>
      <c r="O155" s="81">
        <v>0.82566969000000001</v>
      </c>
      <c r="P155" s="81">
        <v>4.6974714000000001E-11</v>
      </c>
      <c r="Q155" s="1">
        <f t="shared" si="58"/>
        <v>10.244942197484015</v>
      </c>
      <c r="R155" s="1">
        <v>1</v>
      </c>
      <c r="S155" s="81">
        <v>0.79863755000000003</v>
      </c>
      <c r="T155" s="81">
        <v>1.9500931000000002E-11</v>
      </c>
      <c r="U155" s="1">
        <f t="shared" si="59"/>
        <v>10.612294380166125</v>
      </c>
    </row>
    <row r="156" spans="2:21" x14ac:dyDescent="0.25">
      <c r="B156" s="1">
        <v>2</v>
      </c>
      <c r="C156" s="81">
        <v>0.92242813999999995</v>
      </c>
      <c r="D156" s="81">
        <v>2.0695704999999999E-11</v>
      </c>
      <c r="E156" s="1">
        <f t="shared" si="55"/>
        <v>10.649052318020622</v>
      </c>
      <c r="F156" s="1">
        <v>2</v>
      </c>
      <c r="G156" s="81">
        <v>0.95841008000000005</v>
      </c>
      <c r="H156" s="81">
        <v>8.2191885000000002E-12</v>
      </c>
      <c r="I156" s="1">
        <f t="shared" si="56"/>
        <v>11.066722431995023</v>
      </c>
      <c r="J156" s="1">
        <v>2</v>
      </c>
      <c r="K156" s="81">
        <v>0.96799648000000005</v>
      </c>
      <c r="L156" s="81">
        <v>2.3242281000000002E-12</v>
      </c>
      <c r="M156" s="1">
        <f t="shared" si="57"/>
        <v>11.619595030535017</v>
      </c>
      <c r="N156" s="1">
        <v>2</v>
      </c>
      <c r="O156" s="81">
        <v>0.96853568999999995</v>
      </c>
      <c r="P156" s="81">
        <v>2.5705455E-12</v>
      </c>
      <c r="Q156" s="1">
        <f t="shared" si="58"/>
        <v>11.576090333348843</v>
      </c>
      <c r="R156" s="1">
        <v>2</v>
      </c>
      <c r="S156" s="81">
        <v>0.96968354000000001</v>
      </c>
      <c r="T156" s="81">
        <v>2.5941223999999999E-11</v>
      </c>
      <c r="U156" s="1">
        <f t="shared" si="59"/>
        <v>10.57263955989024</v>
      </c>
    </row>
    <row r="157" spans="2:21" x14ac:dyDescent="0.25">
      <c r="B157" s="1">
        <v>3</v>
      </c>
      <c r="C157" s="81">
        <v>0.93901195000000004</v>
      </c>
      <c r="D157" s="81">
        <v>2.1390658E-13</v>
      </c>
      <c r="E157" s="1">
        <f t="shared" si="55"/>
        <v>12.64244697504525</v>
      </c>
      <c r="F157" s="1">
        <v>3</v>
      </c>
      <c r="G157" s="81">
        <v>0.97558420000000001</v>
      </c>
      <c r="H157" s="81">
        <v>8.5855723000000006E-14</v>
      </c>
      <c r="I157" s="1">
        <f t="shared" si="56"/>
        <v>13.05549550830407</v>
      </c>
      <c r="J157" s="1">
        <v>3</v>
      </c>
      <c r="K157" s="81">
        <v>0.98595392999999998</v>
      </c>
      <c r="L157" s="81">
        <v>1.2986648000000001E-13</v>
      </c>
      <c r="M157" s="1">
        <f t="shared" si="57"/>
        <v>12.880359553187972</v>
      </c>
      <c r="N157" s="1">
        <v>3</v>
      </c>
      <c r="O157" s="81">
        <v>0.99022544000000001</v>
      </c>
      <c r="P157" s="81">
        <v>2.6526803000000001E-12</v>
      </c>
      <c r="Q157" s="1">
        <f t="shared" si="58"/>
        <v>11.572049167516409</v>
      </c>
      <c r="R157" s="1">
        <v>3</v>
      </c>
      <c r="S157" s="81">
        <v>0.99139337999999999</v>
      </c>
      <c r="T157" s="81">
        <v>2.6733088E-11</v>
      </c>
      <c r="U157" s="1">
        <f t="shared" si="59"/>
        <v>10.569196886589401</v>
      </c>
    </row>
    <row r="158" spans="2:21" x14ac:dyDescent="0.25">
      <c r="B158" s="1">
        <v>4</v>
      </c>
      <c r="C158" s="81">
        <v>0.94070197</v>
      </c>
      <c r="D158" s="81">
        <v>2.1462032999999998E-15</v>
      </c>
      <c r="E158" s="1">
        <f t="shared" si="55"/>
        <v>14.641781195213174</v>
      </c>
      <c r="F158" s="1">
        <v>4</v>
      </c>
      <c r="G158" s="81">
        <v>0.97736294999999995</v>
      </c>
      <c r="H158" s="81">
        <v>1.8903477000000001E-15</v>
      </c>
      <c r="I158" s="1">
        <f t="shared" si="56"/>
        <v>14.71351417849081</v>
      </c>
      <c r="J158" s="1">
        <v>4</v>
      </c>
      <c r="K158" s="81">
        <v>0.98817142999999996</v>
      </c>
      <c r="L158" s="81">
        <v>1.3014713000000001E-13</v>
      </c>
      <c r="M158" s="1">
        <f t="shared" si="57"/>
        <v>12.880397697914304</v>
      </c>
      <c r="N158" s="1">
        <v>4</v>
      </c>
      <c r="O158" s="81">
        <v>0.99245240000000001</v>
      </c>
      <c r="P158" s="81">
        <v>2.6472769999999999E-12</v>
      </c>
      <c r="Q158" s="1">
        <f t="shared" si="58"/>
        <v>11.573910299865314</v>
      </c>
      <c r="R158" s="1">
        <v>4</v>
      </c>
      <c r="S158" s="81">
        <v>0.99362291000000003</v>
      </c>
      <c r="T158" s="81">
        <v>2.6174197999999999E-11</v>
      </c>
      <c r="U158" s="1">
        <f t="shared" si="59"/>
        <v>10.579348213094523</v>
      </c>
    </row>
    <row r="159" spans="2:21" x14ac:dyDescent="0.25">
      <c r="B159" s="1">
        <v>5</v>
      </c>
      <c r="C159" s="81">
        <v>0.94087129999999997</v>
      </c>
      <c r="D159" s="81">
        <v>2.1469189999999998E-17</v>
      </c>
      <c r="E159" s="1">
        <f t="shared" si="55"/>
        <v>16.641714561698986</v>
      </c>
      <c r="F159" s="1">
        <v>5</v>
      </c>
      <c r="G159" s="81">
        <v>0.97758285</v>
      </c>
      <c r="H159" s="81">
        <v>1.8888641000000001E-15</v>
      </c>
      <c r="I159" s="1">
        <f t="shared" si="56"/>
        <v>14.713952861594759</v>
      </c>
      <c r="J159" s="1">
        <v>5</v>
      </c>
      <c r="K159" s="81">
        <v>0.98839376000000001</v>
      </c>
      <c r="L159" s="81">
        <v>1.2898201E-13</v>
      </c>
      <c r="M159" s="1">
        <f t="shared" si="57"/>
        <v>12.884400854407005</v>
      </c>
      <c r="N159" s="1">
        <v>5</v>
      </c>
      <c r="O159" s="81">
        <v>0.99267569</v>
      </c>
      <c r="P159" s="81">
        <v>2.51663E-12</v>
      </c>
      <c r="Q159" s="1">
        <f t="shared" si="58"/>
        <v>11.595988017018318</v>
      </c>
      <c r="R159" s="1">
        <v>5</v>
      </c>
      <c r="S159" s="81">
        <v>0.99384651999999996</v>
      </c>
      <c r="T159" s="81">
        <v>2.1220267999999998E-11</v>
      </c>
      <c r="U159" s="1">
        <f t="shared" si="59"/>
        <v>10.670568456861448</v>
      </c>
    </row>
    <row r="160" spans="2:21" x14ac:dyDescent="0.25">
      <c r="B160" s="1">
        <v>6</v>
      </c>
      <c r="C160" s="81">
        <v>0.94088928999999999</v>
      </c>
      <c r="D160" s="81">
        <v>2.2825307999999998E-18</v>
      </c>
      <c r="E160" s="1">
        <f t="shared" si="55"/>
        <v>17.615121878526374</v>
      </c>
      <c r="F160" s="1">
        <v>6</v>
      </c>
      <c r="G160" s="81">
        <v>0.97760484000000003</v>
      </c>
      <c r="H160" s="81">
        <v>1.8692406999999999E-15</v>
      </c>
      <c r="I160" s="1">
        <f t="shared" si="56"/>
        <v>14.718498114455295</v>
      </c>
      <c r="J160" s="1">
        <v>6</v>
      </c>
      <c r="K160" s="81">
        <v>0.98841599999999996</v>
      </c>
      <c r="L160" s="81">
        <v>1.1819288000000001E-13</v>
      </c>
      <c r="M160" s="1">
        <f t="shared" si="57"/>
        <v>12.92234845172608</v>
      </c>
      <c r="N160" s="1">
        <v>6</v>
      </c>
      <c r="O160" s="81">
        <v>0.99269805</v>
      </c>
      <c r="P160" s="81">
        <v>1.7106486E-12</v>
      </c>
      <c r="Q160" s="1">
        <f t="shared" si="58"/>
        <v>11.763656362482035</v>
      </c>
      <c r="R160" s="1">
        <v>6</v>
      </c>
      <c r="S160" s="81">
        <v>0.99386907999999996</v>
      </c>
      <c r="T160" s="81">
        <v>7.7016384000000006E-12</v>
      </c>
      <c r="U160" s="1">
        <f t="shared" si="59"/>
        <v>11.110746055406207</v>
      </c>
    </row>
    <row r="161" spans="2:21" x14ac:dyDescent="0.25">
      <c r="B161" s="1">
        <v>7</v>
      </c>
      <c r="C161" s="81">
        <v>0.94089140999999998</v>
      </c>
      <c r="D161" s="81">
        <v>2.2742682000000002E-18</v>
      </c>
      <c r="E161" s="1">
        <f t="shared" si="55"/>
        <v>17.616697824727719</v>
      </c>
      <c r="F161" s="1">
        <v>7</v>
      </c>
      <c r="G161" s="81">
        <v>0.97760703999999998</v>
      </c>
      <c r="H161" s="81">
        <v>1.6953665E-15</v>
      </c>
      <c r="I161" s="1">
        <f t="shared" si="56"/>
        <v>14.760900723015775</v>
      </c>
      <c r="J161" s="1">
        <v>7</v>
      </c>
      <c r="K161" s="81">
        <v>0.98841822999999995</v>
      </c>
      <c r="L161" s="81">
        <v>6.6364806E-14</v>
      </c>
      <c r="M161" s="1">
        <f t="shared" si="57"/>
        <v>13.173002917575513</v>
      </c>
      <c r="N161" s="1">
        <v>7</v>
      </c>
      <c r="O161" s="81">
        <v>0.99270033000000002</v>
      </c>
      <c r="P161" s="81">
        <v>4.1826089000000001E-13</v>
      </c>
      <c r="Q161" s="1">
        <f t="shared" si="58"/>
        <v>12.375370909012231</v>
      </c>
      <c r="R161" s="1">
        <v>7</v>
      </c>
      <c r="S161" s="81">
        <v>0.99387150999999996</v>
      </c>
      <c r="T161" s="81">
        <v>8.2596754999999996E-13</v>
      </c>
      <c r="U161" s="1">
        <f t="shared" si="59"/>
        <v>12.08036725601827</v>
      </c>
    </row>
    <row r="162" spans="2:21" x14ac:dyDescent="0.25">
      <c r="B162" s="1">
        <v>8</v>
      </c>
      <c r="C162" s="81">
        <v>0.94089162000000004</v>
      </c>
      <c r="D162" s="81">
        <v>2.1952188E-18</v>
      </c>
      <c r="E162" s="1">
        <f t="shared" si="55"/>
        <v>17.632061787160101</v>
      </c>
      <c r="F162" s="1">
        <v>8</v>
      </c>
      <c r="G162" s="81">
        <v>0.97760725999999998</v>
      </c>
      <c r="H162" s="81">
        <v>9.0874019000000002E-16</v>
      </c>
      <c r="I162" s="1">
        <f t="shared" si="56"/>
        <v>15.031724682497487</v>
      </c>
      <c r="J162" s="1">
        <v>8</v>
      </c>
      <c r="K162" s="81">
        <v>0.98841846</v>
      </c>
      <c r="L162" s="81">
        <v>1.1949265E-14</v>
      </c>
      <c r="M162" s="1">
        <f t="shared" si="57"/>
        <v>13.917599655193641</v>
      </c>
      <c r="N162" s="1">
        <v>8</v>
      </c>
      <c r="O162" s="81">
        <v>0.99270058999999999</v>
      </c>
      <c r="P162" s="81">
        <v>3.0135226E-14</v>
      </c>
      <c r="Q162" s="1">
        <f t="shared" si="58"/>
        <v>13.517743827177258</v>
      </c>
      <c r="R162" s="1">
        <v>8</v>
      </c>
      <c r="S162" s="81">
        <v>0.99387181999999996</v>
      </c>
      <c r="T162" s="81">
        <v>2.6073226999999999E-14</v>
      </c>
      <c r="U162" s="1">
        <f t="shared" si="59"/>
        <v>13.581135591160681</v>
      </c>
    </row>
    <row r="163" spans="2:21" x14ac:dyDescent="0.25">
      <c r="B163" s="1">
        <v>9</v>
      </c>
      <c r="C163" s="81">
        <v>0.94089164000000003</v>
      </c>
      <c r="D163" s="81">
        <v>1.6462201E-18</v>
      </c>
      <c r="E163" s="1">
        <f t="shared" si="55"/>
        <v>17.757051709732302</v>
      </c>
      <c r="F163" s="1">
        <v>9</v>
      </c>
      <c r="G163" s="81">
        <v>0.97760729000000002</v>
      </c>
      <c r="H163" s="81">
        <v>1.5350219E-16</v>
      </c>
      <c r="I163" s="1">
        <f t="shared" si="56"/>
        <v>15.804049855544472</v>
      </c>
      <c r="J163" s="1">
        <v>9</v>
      </c>
      <c r="K163" s="81">
        <v>0.98841847999999999</v>
      </c>
      <c r="L163" s="81">
        <v>6.3541175999999998E-16</v>
      </c>
      <c r="M163" s="1">
        <f t="shared" si="57"/>
        <v>15.19188560825712</v>
      </c>
      <c r="N163" s="1">
        <v>9</v>
      </c>
      <c r="O163" s="81">
        <v>0.99270062000000003</v>
      </c>
      <c r="P163" s="81">
        <v>6.5758128999999999E-16</v>
      </c>
      <c r="Q163" s="1">
        <f t="shared" si="58"/>
        <v>15.178868845289227</v>
      </c>
      <c r="R163" s="1">
        <v>9</v>
      </c>
      <c r="S163" s="81">
        <v>0.99387185</v>
      </c>
      <c r="T163" s="81">
        <v>3.3904581000000002E-16</v>
      </c>
      <c r="U163" s="1">
        <f t="shared" si="59"/>
        <v>15.467072008362276</v>
      </c>
    </row>
    <row r="164" spans="2:21" x14ac:dyDescent="0.25">
      <c r="B164" s="18" t="s">
        <v>761</v>
      </c>
      <c r="C164" s="127" t="s">
        <v>748</v>
      </c>
      <c r="D164" s="127"/>
      <c r="E164" s="127"/>
      <c r="F164" s="127"/>
      <c r="G164" s="127"/>
      <c r="H164" s="127"/>
      <c r="I164" s="127"/>
      <c r="J164" s="127"/>
      <c r="K164" s="127"/>
      <c r="L164" s="127"/>
      <c r="M164" s="127"/>
      <c r="N164" s="127"/>
      <c r="O164" s="127"/>
      <c r="P164" s="127"/>
      <c r="Q164" s="127"/>
      <c r="R164" s="127"/>
      <c r="S164" s="127"/>
      <c r="T164" s="127"/>
      <c r="U164" s="127"/>
    </row>
    <row r="165" spans="2:21" x14ac:dyDescent="0.25">
      <c r="B165" s="138" t="s">
        <v>739</v>
      </c>
      <c r="C165" s="138"/>
      <c r="D165" s="138"/>
      <c r="E165" s="138"/>
      <c r="F165" s="138" t="s">
        <v>740</v>
      </c>
      <c r="G165" s="138"/>
      <c r="H165" s="138"/>
      <c r="I165" s="138"/>
      <c r="J165" s="138" t="s">
        <v>741</v>
      </c>
      <c r="K165" s="138"/>
      <c r="L165" s="138"/>
      <c r="M165" s="138"/>
      <c r="N165" s="138" t="s">
        <v>742</v>
      </c>
      <c r="O165" s="138"/>
      <c r="P165" s="138"/>
      <c r="Q165" s="138"/>
      <c r="R165" s="138" t="s">
        <v>743</v>
      </c>
      <c r="S165" s="138"/>
      <c r="T165" s="138"/>
      <c r="U165" s="138"/>
    </row>
    <row r="166" spans="2:21" x14ac:dyDescent="0.25">
      <c r="B166" s="18" t="s">
        <v>744</v>
      </c>
      <c r="C166" s="18" t="s">
        <v>745</v>
      </c>
      <c r="D166" s="18" t="s">
        <v>746</v>
      </c>
      <c r="E166" s="18" t="s">
        <v>747</v>
      </c>
      <c r="F166" s="18" t="s">
        <v>744</v>
      </c>
      <c r="G166" s="18" t="s">
        <v>745</v>
      </c>
      <c r="H166" s="18" t="s">
        <v>746</v>
      </c>
      <c r="I166" s="18" t="s">
        <v>747</v>
      </c>
      <c r="J166" s="18" t="s">
        <v>744</v>
      </c>
      <c r="K166" s="18" t="s">
        <v>745</v>
      </c>
      <c r="L166" s="18" t="s">
        <v>746</v>
      </c>
      <c r="M166" s="18" t="s">
        <v>747</v>
      </c>
      <c r="N166" s="18" t="s">
        <v>744</v>
      </c>
      <c r="O166" s="18" t="s">
        <v>745</v>
      </c>
      <c r="P166" s="18" t="s">
        <v>746</v>
      </c>
      <c r="Q166" s="18" t="s">
        <v>747</v>
      </c>
      <c r="R166" s="18" t="s">
        <v>744</v>
      </c>
      <c r="S166" s="18" t="s">
        <v>745</v>
      </c>
      <c r="T166" s="18" t="s">
        <v>746</v>
      </c>
      <c r="U166" s="18" t="s">
        <v>747</v>
      </c>
    </row>
    <row r="167" spans="2:21" x14ac:dyDescent="0.25">
      <c r="B167" s="1">
        <v>0</v>
      </c>
      <c r="C167" s="81">
        <v>0.31822388000000001</v>
      </c>
      <c r="D167" s="81">
        <v>2.4292124E-8</v>
      </c>
      <c r="E167" s="1">
        <f t="shared" ref="E167:E176" si="60">LOG10(C167/D167)</f>
        <v>7.1172672773188728</v>
      </c>
      <c r="F167" s="1">
        <v>0</v>
      </c>
      <c r="G167" s="81">
        <v>0.38532207000000002</v>
      </c>
      <c r="H167" s="81">
        <v>6.1899995000000002E-9</v>
      </c>
      <c r="I167" s="1">
        <f t="shared" ref="I167:I176" si="61">LOG10(G167/H167)</f>
        <v>7.7941332707667383</v>
      </c>
      <c r="J167" s="1">
        <v>0</v>
      </c>
      <c r="K167" s="81">
        <v>0.41040430999999999</v>
      </c>
      <c r="L167" s="81">
        <v>1.4670346000000001E-9</v>
      </c>
      <c r="M167" s="1">
        <f t="shared" ref="M167:M176" si="62">LOG10(K167/L167)</f>
        <v>8.4467715562222878</v>
      </c>
      <c r="N167" s="1">
        <v>0</v>
      </c>
      <c r="O167" s="81">
        <v>0.41568379999999999</v>
      </c>
      <c r="P167" s="81">
        <v>4.4338678999999998E-10</v>
      </c>
      <c r="Q167" s="1">
        <f t="shared" ref="Q167:Q176" si="63">LOG10(O167/P167)</f>
        <v>8.9719803496798303</v>
      </c>
      <c r="R167" s="1">
        <v>0</v>
      </c>
      <c r="S167" s="81">
        <v>0.4023389</v>
      </c>
      <c r="T167" s="81">
        <v>1.6513467999999999E-10</v>
      </c>
      <c r="U167" s="1">
        <f t="shared" ref="U167:U176" si="64">LOG10(S167/T167)</f>
        <v>9.3867537350172476</v>
      </c>
    </row>
    <row r="168" spans="2:21" x14ac:dyDescent="0.25">
      <c r="B168" s="1">
        <v>1</v>
      </c>
      <c r="C168" s="81">
        <v>0.78326152000000004</v>
      </c>
      <c r="D168" s="81">
        <v>1.5254043000000001E-9</v>
      </c>
      <c r="E168" s="1">
        <f t="shared" si="60"/>
        <v>8.7105218247893728</v>
      </c>
      <c r="F168" s="1">
        <v>1</v>
      </c>
      <c r="G168" s="81">
        <v>0.81781435999999996</v>
      </c>
      <c r="H168" s="81">
        <v>5.5240437E-10</v>
      </c>
      <c r="I168" s="1">
        <f t="shared" si="61"/>
        <v>9.1703976264927967</v>
      </c>
      <c r="J168" s="1">
        <v>1</v>
      </c>
      <c r="K168" s="81">
        <v>0.82798879999999997</v>
      </c>
      <c r="L168" s="81">
        <v>1.4914627E-10</v>
      </c>
      <c r="M168" s="1">
        <f t="shared" si="62"/>
        <v>9.7444120656699393</v>
      </c>
      <c r="N168" s="1">
        <v>1</v>
      </c>
      <c r="O168" s="81">
        <v>0.82566969000000001</v>
      </c>
      <c r="P168" s="81">
        <v>4.6974714000000001E-11</v>
      </c>
      <c r="Q168" s="1">
        <f t="shared" si="63"/>
        <v>10.244942197484015</v>
      </c>
      <c r="R168" s="1">
        <v>1</v>
      </c>
      <c r="S168" s="81">
        <v>0.79688718999999997</v>
      </c>
      <c r="T168" s="81">
        <v>1.7638257999999999E-11</v>
      </c>
      <c r="U168" s="1">
        <f t="shared" si="64"/>
        <v>10.654941154709695</v>
      </c>
    </row>
    <row r="169" spans="2:21" x14ac:dyDescent="0.25">
      <c r="B169" s="1">
        <v>2</v>
      </c>
      <c r="C169" s="81">
        <v>0.92242813999999995</v>
      </c>
      <c r="D169" s="81">
        <v>2.0695704999999999E-11</v>
      </c>
      <c r="E169" s="1">
        <f t="shared" si="60"/>
        <v>10.649052318020622</v>
      </c>
      <c r="F169" s="1">
        <v>2</v>
      </c>
      <c r="G169" s="81">
        <v>0.95841008000000005</v>
      </c>
      <c r="H169" s="81">
        <v>8.2191885000000002E-12</v>
      </c>
      <c r="I169" s="1">
        <f t="shared" si="61"/>
        <v>11.066722431995023</v>
      </c>
      <c r="J169" s="1">
        <v>2</v>
      </c>
      <c r="K169" s="81">
        <v>0.96799648000000005</v>
      </c>
      <c r="L169" s="81">
        <v>2.3242281000000002E-12</v>
      </c>
      <c r="M169" s="1">
        <f t="shared" si="62"/>
        <v>11.619595030535017</v>
      </c>
      <c r="N169" s="1">
        <v>2</v>
      </c>
      <c r="O169" s="81">
        <v>0.96694572000000001</v>
      </c>
      <c r="P169" s="81">
        <v>1.4425607999999999E-12</v>
      </c>
      <c r="Q169" s="1">
        <f t="shared" si="63"/>
        <v>11.826267968880588</v>
      </c>
      <c r="R169" s="1">
        <v>2</v>
      </c>
      <c r="S169" s="81">
        <v>0.96809210999999995</v>
      </c>
      <c r="T169" s="81">
        <v>1.455877E-11</v>
      </c>
      <c r="U169" s="1">
        <f t="shared" si="64"/>
        <v>10.82279199552738</v>
      </c>
    </row>
    <row r="170" spans="2:21" x14ac:dyDescent="0.25">
      <c r="B170" s="1">
        <v>3</v>
      </c>
      <c r="C170" s="81">
        <v>0.93901195000000004</v>
      </c>
      <c r="D170" s="81">
        <v>2.1390658E-13</v>
      </c>
      <c r="E170" s="1">
        <f t="shared" si="60"/>
        <v>12.64244697504525</v>
      </c>
      <c r="F170" s="1">
        <v>3</v>
      </c>
      <c r="G170" s="81">
        <v>0.97558420000000001</v>
      </c>
      <c r="H170" s="81">
        <v>8.5855723000000006E-14</v>
      </c>
      <c r="I170" s="1">
        <f t="shared" si="61"/>
        <v>13.05549550830407</v>
      </c>
      <c r="J170" s="1">
        <v>3</v>
      </c>
      <c r="K170" s="81">
        <v>0.98578984999999997</v>
      </c>
      <c r="L170" s="81">
        <v>7.3036474999999994E-14</v>
      </c>
      <c r="M170" s="1">
        <f t="shared" si="62"/>
        <v>13.130244537774178</v>
      </c>
      <c r="N170" s="1">
        <v>3</v>
      </c>
      <c r="O170" s="81">
        <v>0.99006068000000003</v>
      </c>
      <c r="P170" s="81">
        <v>1.4921490999999999E-12</v>
      </c>
      <c r="Q170" s="1">
        <f t="shared" si="63"/>
        <v>11.821849591654559</v>
      </c>
      <c r="R170" s="1">
        <v>3</v>
      </c>
      <c r="S170" s="81">
        <v>0.99122854000000005</v>
      </c>
      <c r="T170" s="81">
        <v>1.505073E-11</v>
      </c>
      <c r="U170" s="1">
        <f t="shared" si="64"/>
        <v>10.818616233129177</v>
      </c>
    </row>
    <row r="171" spans="2:21" x14ac:dyDescent="0.25">
      <c r="B171" s="1">
        <v>4</v>
      </c>
      <c r="C171" s="81">
        <v>0.94070197</v>
      </c>
      <c r="D171" s="81">
        <v>2.1462032999999998E-15</v>
      </c>
      <c r="E171" s="1">
        <f t="shared" si="60"/>
        <v>14.641781195213174</v>
      </c>
      <c r="F171" s="1">
        <v>4</v>
      </c>
      <c r="G171" s="81">
        <v>0.97734666000000003</v>
      </c>
      <c r="H171" s="81">
        <v>1.0633437999999999E-15</v>
      </c>
      <c r="I171" s="1">
        <f t="shared" si="61"/>
        <v>14.963374929947157</v>
      </c>
      <c r="J171" s="1">
        <v>4</v>
      </c>
      <c r="K171" s="81">
        <v>0.98815496999999997</v>
      </c>
      <c r="L171" s="81">
        <v>7.3236836000000001E-14</v>
      </c>
      <c r="M171" s="1">
        <f t="shared" si="62"/>
        <v>13.130095485789314</v>
      </c>
      <c r="N171" s="1">
        <v>4</v>
      </c>
      <c r="O171" s="81">
        <v>0.99243588999999999</v>
      </c>
      <c r="P171" s="81">
        <v>1.4925737000000001E-12</v>
      </c>
      <c r="Q171" s="1">
        <f t="shared" si="63"/>
        <v>11.822766676676926</v>
      </c>
      <c r="R171" s="1">
        <v>4</v>
      </c>
      <c r="S171" s="81">
        <v>0.99360649000000001</v>
      </c>
      <c r="T171" s="81">
        <v>1.4882272000000001E-11</v>
      </c>
      <c r="U171" s="1">
        <f t="shared" si="64"/>
        <v>10.824545181771031</v>
      </c>
    </row>
    <row r="172" spans="2:21" x14ac:dyDescent="0.25">
      <c r="B172" s="1">
        <v>5</v>
      </c>
      <c r="C172" s="81">
        <v>0.94087129999999997</v>
      </c>
      <c r="D172" s="81">
        <v>2.1469189999999998E-17</v>
      </c>
      <c r="E172" s="1">
        <f t="shared" si="60"/>
        <v>16.641714561698986</v>
      </c>
      <c r="F172" s="1">
        <v>5</v>
      </c>
      <c r="G172" s="81">
        <v>0.97758122000000003</v>
      </c>
      <c r="H172" s="81">
        <v>1.0629765E-15</v>
      </c>
      <c r="I172" s="1">
        <f t="shared" si="61"/>
        <v>14.963629186523054</v>
      </c>
      <c r="J172" s="1">
        <v>5</v>
      </c>
      <c r="K172" s="81">
        <v>0.98839211999999999</v>
      </c>
      <c r="L172" s="81">
        <v>7.2852008999999998E-14</v>
      </c>
      <c r="M172" s="1">
        <f t="shared" si="62"/>
        <v>13.132487741739332</v>
      </c>
      <c r="N172" s="1">
        <v>5</v>
      </c>
      <c r="O172" s="81">
        <v>0.99267406999999996</v>
      </c>
      <c r="P172" s="81">
        <v>1.4473996E-12</v>
      </c>
      <c r="Q172" s="1">
        <f t="shared" si="63"/>
        <v>11.836218229394312</v>
      </c>
      <c r="R172" s="1">
        <v>5</v>
      </c>
      <c r="S172" s="81">
        <v>0.99384497000000005</v>
      </c>
      <c r="T172" s="81">
        <v>1.3011268000000001E-11</v>
      </c>
      <c r="U172" s="1">
        <f t="shared" si="64"/>
        <v>10.882999021675811</v>
      </c>
    </row>
    <row r="173" spans="2:21" x14ac:dyDescent="0.25">
      <c r="B173" s="1">
        <v>6</v>
      </c>
      <c r="C173" s="81">
        <v>0.94088914000000001</v>
      </c>
      <c r="D173" s="81">
        <v>1.2841187E-18</v>
      </c>
      <c r="E173" s="1">
        <f t="shared" si="60"/>
        <v>17.864933285375372</v>
      </c>
      <c r="F173" s="1">
        <v>6</v>
      </c>
      <c r="G173" s="81">
        <v>0.97760468</v>
      </c>
      <c r="H173" s="81">
        <v>1.0563267E-15</v>
      </c>
      <c r="I173" s="1">
        <f t="shared" si="61"/>
        <v>14.966365014689202</v>
      </c>
      <c r="J173" s="1">
        <v>6</v>
      </c>
      <c r="K173" s="81">
        <v>0.98841584000000005</v>
      </c>
      <c r="L173" s="81">
        <v>6.9027977999999995E-14</v>
      </c>
      <c r="M173" s="1">
        <f t="shared" si="62"/>
        <v>13.155914544618019</v>
      </c>
      <c r="N173" s="1">
        <v>6</v>
      </c>
      <c r="O173" s="81">
        <v>0.99269790000000002</v>
      </c>
      <c r="P173" s="81">
        <v>1.1161331E-12</v>
      </c>
      <c r="Q173" s="1">
        <f t="shared" si="63"/>
        <v>11.949101115407814</v>
      </c>
      <c r="R173" s="1">
        <v>6</v>
      </c>
      <c r="S173" s="81">
        <v>0.99386894999999997</v>
      </c>
      <c r="T173" s="81">
        <v>5.9310665000000001E-12</v>
      </c>
      <c r="U173" s="1">
        <f t="shared" si="64"/>
        <v>11.224196329348651</v>
      </c>
    </row>
    <row r="174" spans="2:21" x14ac:dyDescent="0.25">
      <c r="B174" s="1">
        <v>7</v>
      </c>
      <c r="C174" s="81">
        <v>0.94089140000000004</v>
      </c>
      <c r="D174" s="81">
        <v>1.2813253999999999E-18</v>
      </c>
      <c r="E174" s="1">
        <f t="shared" si="60"/>
        <v>17.865880063633998</v>
      </c>
      <c r="F174" s="1">
        <v>7</v>
      </c>
      <c r="G174" s="81">
        <v>0.97760703000000004</v>
      </c>
      <c r="H174" s="81">
        <v>9.9434167E-16</v>
      </c>
      <c r="I174" s="1">
        <f t="shared" si="61"/>
        <v>14.992628676104754</v>
      </c>
      <c r="J174" s="1">
        <v>7</v>
      </c>
      <c r="K174" s="81">
        <v>0.98841820999999996</v>
      </c>
      <c r="L174" s="81">
        <v>4.5918815E-14</v>
      </c>
      <c r="M174" s="1">
        <f t="shared" si="62"/>
        <v>13.332950066023278</v>
      </c>
      <c r="N174" s="1">
        <v>7</v>
      </c>
      <c r="O174" s="81">
        <v>0.99270031999999997</v>
      </c>
      <c r="P174" s="81">
        <v>3.4642811000000002E-13</v>
      </c>
      <c r="Q174" s="1">
        <f t="shared" si="63"/>
        <v>12.457205037414401</v>
      </c>
      <c r="R174" s="1">
        <v>7</v>
      </c>
      <c r="S174" s="81">
        <v>0.99387150000000002</v>
      </c>
      <c r="T174" s="81">
        <v>7.5772675999999997E-13</v>
      </c>
      <c r="U174" s="1">
        <f t="shared" si="64"/>
        <v>12.117817611930882</v>
      </c>
    </row>
    <row r="175" spans="2:21" x14ac:dyDescent="0.25">
      <c r="B175" s="1">
        <v>8</v>
      </c>
      <c r="C175" s="81">
        <v>0.94089162000000004</v>
      </c>
      <c r="D175" s="81">
        <v>1.2541002E-18</v>
      </c>
      <c r="E175" s="1">
        <f t="shared" si="60"/>
        <v>17.875207363421929</v>
      </c>
      <c r="F175" s="1">
        <v>8</v>
      </c>
      <c r="G175" s="81">
        <v>0.97760725999999998</v>
      </c>
      <c r="H175" s="81">
        <v>6.3702850999999999E-16</v>
      </c>
      <c r="I175" s="1">
        <f t="shared" si="61"/>
        <v>15.186005548633418</v>
      </c>
      <c r="J175" s="1">
        <v>8</v>
      </c>
      <c r="K175" s="81">
        <v>0.98841846</v>
      </c>
      <c r="L175" s="81">
        <v>1.0350378999999999E-14</v>
      </c>
      <c r="M175" s="1">
        <f t="shared" si="62"/>
        <v>13.979984595167592</v>
      </c>
      <c r="N175" s="1">
        <v>8</v>
      </c>
      <c r="O175" s="81">
        <v>0.99270058999999999</v>
      </c>
      <c r="P175" s="81">
        <v>2.8507621000000002E-14</v>
      </c>
      <c r="Q175" s="1">
        <f t="shared" si="63"/>
        <v>13.5418573036449</v>
      </c>
      <c r="R175" s="1">
        <v>8</v>
      </c>
      <c r="S175" s="81">
        <v>0.99387181000000002</v>
      </c>
      <c r="T175" s="81">
        <v>2.5590922999999999E-14</v>
      </c>
      <c r="U175" s="1">
        <f t="shared" si="64"/>
        <v>13.58924442245084</v>
      </c>
    </row>
    <row r="176" spans="2:21" x14ac:dyDescent="0.25">
      <c r="B176" s="1">
        <v>9</v>
      </c>
      <c r="C176" s="81">
        <v>0.94089164000000003</v>
      </c>
      <c r="D176" s="81">
        <v>1.0385011E-18</v>
      </c>
      <c r="E176" s="1">
        <f t="shared" si="60"/>
        <v>17.957132648876815</v>
      </c>
      <c r="F176" s="1">
        <v>9</v>
      </c>
      <c r="G176" s="81">
        <v>0.97760729000000002</v>
      </c>
      <c r="H176" s="81">
        <v>1.3406509E-16</v>
      </c>
      <c r="I176" s="1">
        <f t="shared" si="61"/>
        <v>15.862848727366996</v>
      </c>
      <c r="J176" s="1">
        <v>9</v>
      </c>
      <c r="K176" s="81">
        <v>0.98841847999999999</v>
      </c>
      <c r="L176" s="81">
        <v>6.1144679999999999E-16</v>
      </c>
      <c r="M176" s="1">
        <f t="shared" si="62"/>
        <v>15.208582180143788</v>
      </c>
      <c r="N176" s="1">
        <v>9</v>
      </c>
      <c r="O176" s="81">
        <v>0.99270062000000003</v>
      </c>
      <c r="P176" s="81">
        <v>6.5111868999999996E-16</v>
      </c>
      <c r="Q176" s="1">
        <f t="shared" si="63"/>
        <v>15.183158131414611</v>
      </c>
      <c r="R176" s="1">
        <v>9</v>
      </c>
      <c r="S176" s="81">
        <v>0.99387185</v>
      </c>
      <c r="T176" s="81">
        <v>3.3825588E-16</v>
      </c>
      <c r="U176" s="1">
        <f t="shared" si="64"/>
        <v>15.468085035203057</v>
      </c>
    </row>
    <row r="177" spans="2:21" x14ac:dyDescent="0.25">
      <c r="B177" s="18" t="s">
        <v>762</v>
      </c>
      <c r="C177" s="127" t="s">
        <v>748</v>
      </c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</row>
    <row r="178" spans="2:21" x14ac:dyDescent="0.25">
      <c r="B178" s="138" t="s">
        <v>739</v>
      </c>
      <c r="C178" s="138"/>
      <c r="D178" s="138"/>
      <c r="E178" s="138"/>
      <c r="F178" s="138" t="s">
        <v>740</v>
      </c>
      <c r="G178" s="138"/>
      <c r="H178" s="138"/>
      <c r="I178" s="138"/>
      <c r="J178" s="138" t="s">
        <v>741</v>
      </c>
      <c r="K178" s="138"/>
      <c r="L178" s="138"/>
      <c r="M178" s="138"/>
      <c r="N178" s="138" t="s">
        <v>742</v>
      </c>
      <c r="O178" s="138"/>
      <c r="P178" s="138"/>
      <c r="Q178" s="138"/>
      <c r="R178" s="138" t="s">
        <v>743</v>
      </c>
      <c r="S178" s="138"/>
      <c r="T178" s="138"/>
      <c r="U178" s="138"/>
    </row>
    <row r="179" spans="2:21" x14ac:dyDescent="0.25">
      <c r="B179" s="18" t="s">
        <v>744</v>
      </c>
      <c r="C179" s="18" t="s">
        <v>745</v>
      </c>
      <c r="D179" s="18" t="s">
        <v>746</v>
      </c>
      <c r="E179" s="18" t="s">
        <v>747</v>
      </c>
      <c r="F179" s="18" t="s">
        <v>744</v>
      </c>
      <c r="G179" s="18" t="s">
        <v>745</v>
      </c>
      <c r="H179" s="18" t="s">
        <v>746</v>
      </c>
      <c r="I179" s="18" t="s">
        <v>747</v>
      </c>
      <c r="J179" s="18" t="s">
        <v>744</v>
      </c>
      <c r="K179" s="18" t="s">
        <v>745</v>
      </c>
      <c r="L179" s="18" t="s">
        <v>746</v>
      </c>
      <c r="M179" s="18" t="s">
        <v>747</v>
      </c>
      <c r="N179" s="18" t="s">
        <v>744</v>
      </c>
      <c r="O179" s="18" t="s">
        <v>745</v>
      </c>
      <c r="P179" s="18" t="s">
        <v>746</v>
      </c>
      <c r="Q179" s="18" t="s">
        <v>747</v>
      </c>
      <c r="R179" s="18" t="s">
        <v>744</v>
      </c>
      <c r="S179" s="18" t="s">
        <v>745</v>
      </c>
      <c r="T179" s="18" t="s">
        <v>746</v>
      </c>
      <c r="U179" s="18" t="s">
        <v>747</v>
      </c>
    </row>
    <row r="180" spans="2:21" x14ac:dyDescent="0.25">
      <c r="B180" s="1">
        <v>0</v>
      </c>
      <c r="C180" s="81">
        <v>0.31822387000000002</v>
      </c>
      <c r="D180" s="81">
        <v>2.4292124E-8</v>
      </c>
      <c r="E180" s="1">
        <f t="shared" ref="E180:E189" si="65">LOG10(C180/D180)</f>
        <v>7.1172672636714216</v>
      </c>
      <c r="F180" s="1">
        <v>0</v>
      </c>
      <c r="G180" s="81">
        <v>0.38532207000000002</v>
      </c>
      <c r="H180" s="81">
        <v>6.1899995000000002E-9</v>
      </c>
      <c r="I180" s="1">
        <f t="shared" ref="I180:I189" si="66">LOG10(G180/H180)</f>
        <v>7.7941332707667383</v>
      </c>
      <c r="J180" s="1">
        <v>0</v>
      </c>
      <c r="K180" s="81">
        <v>0.41040436000000002</v>
      </c>
      <c r="L180" s="81">
        <v>1.4670344E-9</v>
      </c>
      <c r="M180" s="1">
        <f t="shared" ref="M180:M189" si="67">LOG10(K180/L180)</f>
        <v>8.4467716683399772</v>
      </c>
      <c r="N180" s="1">
        <v>0</v>
      </c>
      <c r="O180" s="81">
        <v>0.41568379999999999</v>
      </c>
      <c r="P180" s="81">
        <v>4.4338678999999998E-10</v>
      </c>
      <c r="Q180" s="1">
        <f t="shared" ref="Q180:Q189" si="68">LOG10(O180/P180)</f>
        <v>8.9719803496798303</v>
      </c>
      <c r="R180" s="1">
        <v>0</v>
      </c>
      <c r="S180" s="81">
        <v>0.4023389</v>
      </c>
      <c r="T180" s="81">
        <v>1.6513467999999999E-10</v>
      </c>
      <c r="U180" s="1">
        <f t="shared" ref="U180:U189" si="69">LOG10(S180/T180)</f>
        <v>9.3867537350172476</v>
      </c>
    </row>
    <row r="181" spans="2:21" x14ac:dyDescent="0.25">
      <c r="B181" s="1">
        <v>1</v>
      </c>
      <c r="C181" s="81">
        <v>0.78326152000000004</v>
      </c>
      <c r="D181" s="81">
        <v>1.5254044000000001E-9</v>
      </c>
      <c r="E181" s="1">
        <f t="shared" si="65"/>
        <v>8.710521796318595</v>
      </c>
      <c r="F181" s="1">
        <v>1</v>
      </c>
      <c r="G181" s="81">
        <v>0.81781435999999996</v>
      </c>
      <c r="H181" s="81">
        <v>5.5240437E-10</v>
      </c>
      <c r="I181" s="1">
        <f t="shared" si="66"/>
        <v>9.1703976264927967</v>
      </c>
      <c r="J181" s="1">
        <v>1</v>
      </c>
      <c r="K181" s="81">
        <v>0.82798879999999997</v>
      </c>
      <c r="L181" s="81">
        <v>1.4914627E-10</v>
      </c>
      <c r="M181" s="1">
        <f t="shared" si="67"/>
        <v>9.7444120656699393</v>
      </c>
      <c r="N181" s="1">
        <v>1</v>
      </c>
      <c r="O181" s="81">
        <v>0.82566969000000001</v>
      </c>
      <c r="P181" s="81">
        <v>4.6974714000000001E-11</v>
      </c>
      <c r="Q181" s="1">
        <f t="shared" si="68"/>
        <v>10.244942197484015</v>
      </c>
      <c r="R181" s="1">
        <v>1</v>
      </c>
      <c r="S181" s="81">
        <v>0.79688718999999997</v>
      </c>
      <c r="T181" s="81">
        <v>1.7638257999999999E-11</v>
      </c>
      <c r="U181" s="1">
        <f t="shared" si="69"/>
        <v>10.654941154709695</v>
      </c>
    </row>
    <row r="182" spans="2:21" x14ac:dyDescent="0.25">
      <c r="B182" s="1">
        <v>2</v>
      </c>
      <c r="C182" s="81">
        <v>0.92242813999999995</v>
      </c>
      <c r="D182" s="81">
        <v>2.0695704999999999E-11</v>
      </c>
      <c r="E182" s="1">
        <f t="shared" si="65"/>
        <v>10.649052318020622</v>
      </c>
      <c r="F182" s="1">
        <v>2</v>
      </c>
      <c r="G182" s="81">
        <v>0.95841008000000005</v>
      </c>
      <c r="H182" s="81">
        <v>8.2191885000000002E-12</v>
      </c>
      <c r="I182" s="1">
        <f t="shared" si="66"/>
        <v>11.066722431995023</v>
      </c>
      <c r="J182" s="1">
        <v>2</v>
      </c>
      <c r="K182" s="81">
        <v>0.96799648000000005</v>
      </c>
      <c r="L182" s="81">
        <v>2.3242281000000002E-12</v>
      </c>
      <c r="M182" s="1">
        <f t="shared" si="67"/>
        <v>11.619595030535017</v>
      </c>
      <c r="N182" s="1">
        <v>2</v>
      </c>
      <c r="O182" s="81">
        <v>0.96447156999999994</v>
      </c>
      <c r="P182" s="81">
        <v>7.4406769999999996E-13</v>
      </c>
      <c r="Q182" s="1">
        <f t="shared" si="68"/>
        <v>12.112676978136928</v>
      </c>
      <c r="R182" s="1">
        <v>2</v>
      </c>
      <c r="S182" s="81">
        <v>0.96491696999999998</v>
      </c>
      <c r="T182" s="81">
        <v>6.4401744999999998E-12</v>
      </c>
      <c r="U182" s="1">
        <f t="shared" si="69"/>
        <v>11.175592309446488</v>
      </c>
    </row>
    <row r="183" spans="2:21" x14ac:dyDescent="0.25">
      <c r="B183" s="1">
        <v>3</v>
      </c>
      <c r="C183" s="81">
        <v>0.93901195000000004</v>
      </c>
      <c r="D183" s="81">
        <v>2.1390658E-13</v>
      </c>
      <c r="E183" s="1">
        <f t="shared" si="65"/>
        <v>12.64244697504525</v>
      </c>
      <c r="F183" s="1">
        <v>3</v>
      </c>
      <c r="G183" s="81">
        <v>0.97558420000000001</v>
      </c>
      <c r="H183" s="81">
        <v>8.5855723000000006E-14</v>
      </c>
      <c r="I183" s="1">
        <f t="shared" si="66"/>
        <v>13.05549550830407</v>
      </c>
      <c r="J183" s="1">
        <v>3</v>
      </c>
      <c r="K183" s="81">
        <v>0.98546177000000001</v>
      </c>
      <c r="L183" s="81">
        <v>3.2447461999999999E-14</v>
      </c>
      <c r="M183" s="1">
        <f t="shared" si="67"/>
        <v>13.482459048431581</v>
      </c>
      <c r="N183" s="1">
        <v>3</v>
      </c>
      <c r="O183" s="81">
        <v>0.98973122999999996</v>
      </c>
      <c r="P183" s="81">
        <v>6.6299584000000004E-13</v>
      </c>
      <c r="Q183" s="1">
        <f t="shared" si="68"/>
        <v>12.17400647080717</v>
      </c>
      <c r="R183" s="1">
        <v>3</v>
      </c>
      <c r="S183" s="81">
        <v>0.99089881000000002</v>
      </c>
      <c r="T183" s="81">
        <v>6.6917582000000003E-12</v>
      </c>
      <c r="U183" s="1">
        <f t="shared" si="69"/>
        <v>11.1704890670777</v>
      </c>
    </row>
    <row r="184" spans="2:21" x14ac:dyDescent="0.25">
      <c r="B184" s="1">
        <v>4</v>
      </c>
      <c r="C184" s="81">
        <v>0.94070197</v>
      </c>
      <c r="D184" s="81">
        <v>2.1462032999999998E-15</v>
      </c>
      <c r="E184" s="1">
        <f t="shared" si="65"/>
        <v>14.641781195213174</v>
      </c>
      <c r="F184" s="1">
        <v>4</v>
      </c>
      <c r="G184" s="81">
        <v>0.97733946999999999</v>
      </c>
      <c r="H184" s="81">
        <v>8.6234735999999998E-16</v>
      </c>
      <c r="I184" s="1">
        <f t="shared" si="66"/>
        <v>15.054363200022138</v>
      </c>
      <c r="J184" s="1">
        <v>4</v>
      </c>
      <c r="K184" s="81">
        <v>0.98812204000000003</v>
      </c>
      <c r="L184" s="81">
        <v>3.2559054000000002E-14</v>
      </c>
      <c r="M184" s="1">
        <f t="shared" si="67"/>
        <v>13.482138808295257</v>
      </c>
      <c r="N184" s="1">
        <v>4</v>
      </c>
      <c r="O184" s="81">
        <v>0.99240284000000001</v>
      </c>
      <c r="P184" s="81">
        <v>6.6452405999999998E-13</v>
      </c>
      <c r="Q184" s="1">
        <f t="shared" si="68"/>
        <v>12.174177288652812</v>
      </c>
      <c r="R184" s="1">
        <v>4</v>
      </c>
      <c r="S184" s="81">
        <v>0.99357351000000005</v>
      </c>
      <c r="T184" s="81">
        <v>6.6685750000000002E-12</v>
      </c>
      <c r="U184" s="1">
        <f t="shared" si="69"/>
        <v>11.173166964164206</v>
      </c>
    </row>
    <row r="185" spans="2:21" x14ac:dyDescent="0.25">
      <c r="B185" s="1">
        <v>5</v>
      </c>
      <c r="C185" s="81">
        <v>0.94087129999999997</v>
      </c>
      <c r="D185" s="81">
        <v>2.1469189999999998E-17</v>
      </c>
      <c r="E185" s="1">
        <f t="shared" si="65"/>
        <v>16.641714561698986</v>
      </c>
      <c r="F185" s="1">
        <v>5</v>
      </c>
      <c r="G185" s="81">
        <v>0.97757795999999997</v>
      </c>
      <c r="H185" s="81">
        <v>4.7260482000000005E-16</v>
      </c>
      <c r="I185" s="1">
        <f t="shared" si="66"/>
        <v>15.315653255015832</v>
      </c>
      <c r="J185" s="1">
        <v>5</v>
      </c>
      <c r="K185" s="81">
        <v>0.98838883</v>
      </c>
      <c r="L185" s="81">
        <v>3.2479900000000003E-14</v>
      </c>
      <c r="M185" s="1">
        <f t="shared" si="67"/>
        <v>13.483313145246594</v>
      </c>
      <c r="N185" s="1">
        <v>5</v>
      </c>
      <c r="O185" s="81">
        <v>0.99267079000000003</v>
      </c>
      <c r="P185" s="81">
        <v>6.5440334000000005E-13</v>
      </c>
      <c r="Q185" s="1">
        <f t="shared" si="68"/>
        <v>12.180959735404356</v>
      </c>
      <c r="R185" s="1">
        <v>5</v>
      </c>
      <c r="S185" s="81">
        <v>0.99384178000000001</v>
      </c>
      <c r="T185" s="81">
        <v>6.2138107999999998E-12</v>
      </c>
      <c r="U185" s="1">
        <f t="shared" si="69"/>
        <v>11.203959224459059</v>
      </c>
    </row>
    <row r="186" spans="2:21" x14ac:dyDescent="0.25">
      <c r="B186" s="1">
        <v>6</v>
      </c>
      <c r="C186" s="81">
        <v>0.94088881999999996</v>
      </c>
      <c r="D186" s="81">
        <v>5.7079487000000003E-19</v>
      </c>
      <c r="E186" s="1">
        <f t="shared" si="65"/>
        <v>18.217058246857519</v>
      </c>
      <c r="F186" s="1">
        <v>6</v>
      </c>
      <c r="G186" s="81">
        <v>0.97760435999999995</v>
      </c>
      <c r="H186" s="81">
        <v>4.7112887000000003E-16</v>
      </c>
      <c r="I186" s="1">
        <f t="shared" si="66"/>
        <v>15.317023411901781</v>
      </c>
      <c r="J186" s="1">
        <v>6</v>
      </c>
      <c r="K186" s="81">
        <v>0.98841551000000005</v>
      </c>
      <c r="L186" s="81">
        <v>3.1597906999999997E-14</v>
      </c>
      <c r="M186" s="1">
        <f t="shared" si="67"/>
        <v>13.495281235109468</v>
      </c>
      <c r="N186" s="1">
        <v>6</v>
      </c>
      <c r="O186" s="81">
        <v>0.99269759000000002</v>
      </c>
      <c r="P186" s="81">
        <v>5.6691864000000001E-13</v>
      </c>
      <c r="Q186" s="1">
        <f t="shared" si="68"/>
        <v>12.243296230921754</v>
      </c>
      <c r="R186" s="1">
        <v>6</v>
      </c>
      <c r="S186" s="81">
        <v>0.99386867000000001</v>
      </c>
      <c r="T186" s="81">
        <v>3.7224098999999996E-12</v>
      </c>
      <c r="U186" s="1">
        <f t="shared" si="69"/>
        <v>11.426504805868815</v>
      </c>
    </row>
    <row r="187" spans="2:21" x14ac:dyDescent="0.25">
      <c r="B187" s="1">
        <v>7</v>
      </c>
      <c r="C187" s="81">
        <v>0.94089135999999995</v>
      </c>
      <c r="D187" s="81">
        <v>5.7017365000000003E-19</v>
      </c>
      <c r="E187" s="1">
        <f t="shared" si="65"/>
        <v>18.217532337563497</v>
      </c>
      <c r="F187" s="1">
        <v>7</v>
      </c>
      <c r="G187" s="81">
        <v>0.977607</v>
      </c>
      <c r="H187" s="81">
        <v>4.5675819999999998E-16</v>
      </c>
      <c r="I187" s="1">
        <f t="shared" si="66"/>
        <v>15.330477949794144</v>
      </c>
      <c r="J187" s="1">
        <v>7</v>
      </c>
      <c r="K187" s="81">
        <v>0.98841818000000004</v>
      </c>
      <c r="L187" s="81">
        <v>2.4932934E-14</v>
      </c>
      <c r="M187" s="1">
        <f t="shared" si="67"/>
        <v>13.598167337382542</v>
      </c>
      <c r="N187" s="1">
        <v>7</v>
      </c>
      <c r="O187" s="81">
        <v>0.99270029000000004</v>
      </c>
      <c r="P187" s="81">
        <v>2.4414645E-13</v>
      </c>
      <c r="Q187" s="1">
        <f t="shared" si="68"/>
        <v>12.609167734923542</v>
      </c>
      <c r="R187" s="1">
        <v>7</v>
      </c>
      <c r="S187" s="81">
        <v>0.99387146999999998</v>
      </c>
      <c r="T187" s="81">
        <v>6.4136652999999998E-13</v>
      </c>
      <c r="U187" s="1">
        <f t="shared" si="69"/>
        <v>12.190223931624217</v>
      </c>
    </row>
    <row r="188" spans="2:21" x14ac:dyDescent="0.25">
      <c r="B188" s="1">
        <v>8</v>
      </c>
      <c r="C188" s="81">
        <v>0.94089162000000004</v>
      </c>
      <c r="D188" s="81">
        <v>5.6403073999999997E-19</v>
      </c>
      <c r="E188" s="1">
        <f t="shared" si="65"/>
        <v>18.222236826601936</v>
      </c>
      <c r="F188" s="1">
        <v>8</v>
      </c>
      <c r="G188" s="81">
        <v>0.97760725999999998</v>
      </c>
      <c r="H188" s="81">
        <v>3.5147825000000001E-16</v>
      </c>
      <c r="I188" s="1">
        <f t="shared" si="66"/>
        <v>15.444265962714443</v>
      </c>
      <c r="J188" s="1">
        <v>8</v>
      </c>
      <c r="K188" s="81">
        <v>0.98841844999999995</v>
      </c>
      <c r="L188" s="81">
        <v>7.8841129999999997E-15</v>
      </c>
      <c r="M188" s="1">
        <f t="shared" si="67"/>
        <v>14.098188003196094</v>
      </c>
      <c r="N188" s="1">
        <v>8</v>
      </c>
      <c r="O188" s="81">
        <v>0.99270058000000005</v>
      </c>
      <c r="P188" s="81">
        <v>2.5580729000000001E-14</v>
      </c>
      <c r="Q188" s="1">
        <f t="shared" si="68"/>
        <v>13.588905358772893</v>
      </c>
      <c r="R188" s="1">
        <v>8</v>
      </c>
      <c r="S188" s="81">
        <v>0.99387181000000002</v>
      </c>
      <c r="T188" s="81">
        <v>2.4663261999999999E-14</v>
      </c>
      <c r="U188" s="1">
        <f t="shared" si="69"/>
        <v>13.605279856028524</v>
      </c>
    </row>
    <row r="189" spans="2:21" x14ac:dyDescent="0.25">
      <c r="B189" s="1">
        <v>9</v>
      </c>
      <c r="C189" s="81">
        <v>0.94089164000000003</v>
      </c>
      <c r="D189" s="81">
        <v>5.0959035000000004E-19</v>
      </c>
      <c r="E189" s="1">
        <f t="shared" si="65"/>
        <v>18.266318414494702</v>
      </c>
      <c r="F189" s="1">
        <v>9</v>
      </c>
      <c r="G189" s="81">
        <v>0.97760729000000002</v>
      </c>
      <c r="H189" s="81">
        <v>1.036432E-16</v>
      </c>
      <c r="I189" s="1">
        <f t="shared" si="66"/>
        <v>15.9746236180059</v>
      </c>
      <c r="J189" s="1">
        <v>9</v>
      </c>
      <c r="K189" s="81">
        <v>0.98841847999999999</v>
      </c>
      <c r="L189" s="81">
        <v>5.6702717999999998E-16</v>
      </c>
      <c r="M189" s="1">
        <f t="shared" si="67"/>
        <v>15.241336979652804</v>
      </c>
      <c r="N189" s="1">
        <v>9</v>
      </c>
      <c r="O189" s="81">
        <v>0.99270062000000003</v>
      </c>
      <c r="P189" s="81">
        <v>6.3846641999999995E-16</v>
      </c>
      <c r="Q189" s="1">
        <f t="shared" si="68"/>
        <v>15.191680232544114</v>
      </c>
      <c r="R189" s="1">
        <v>9</v>
      </c>
      <c r="S189" s="81">
        <v>0.99387185</v>
      </c>
      <c r="T189" s="81">
        <v>3.3668424000000001E-16</v>
      </c>
      <c r="U189" s="1">
        <f t="shared" si="69"/>
        <v>15.470107602221866</v>
      </c>
    </row>
    <row r="190" spans="2:21" x14ac:dyDescent="0.25">
      <c r="B190" s="18" t="s">
        <v>763</v>
      </c>
      <c r="C190" s="127" t="s">
        <v>748</v>
      </c>
      <c r="D190" s="127"/>
      <c r="E190" s="127"/>
      <c r="F190" s="127"/>
      <c r="G190" s="127"/>
      <c r="H190" s="127"/>
      <c r="I190" s="127"/>
      <c r="J190" s="127"/>
      <c r="K190" s="127"/>
      <c r="L190" s="127"/>
      <c r="M190" s="127"/>
      <c r="N190" s="127"/>
      <c r="O190" s="127"/>
      <c r="P190" s="127"/>
      <c r="Q190" s="127"/>
      <c r="R190" s="127"/>
      <c r="S190" s="127"/>
      <c r="T190" s="127"/>
      <c r="U190" s="127"/>
    </row>
    <row r="191" spans="2:21" x14ac:dyDescent="0.25">
      <c r="B191" s="138" t="s">
        <v>739</v>
      </c>
      <c r="C191" s="138"/>
      <c r="D191" s="138"/>
      <c r="E191" s="138"/>
      <c r="F191" s="138" t="s">
        <v>740</v>
      </c>
      <c r="G191" s="138"/>
      <c r="H191" s="138"/>
      <c r="I191" s="138"/>
      <c r="J191" s="138" t="s">
        <v>741</v>
      </c>
      <c r="K191" s="138"/>
      <c r="L191" s="138"/>
      <c r="M191" s="138"/>
      <c r="N191" s="138" t="s">
        <v>742</v>
      </c>
      <c r="O191" s="138"/>
      <c r="P191" s="138"/>
      <c r="Q191" s="138"/>
      <c r="R191" s="138" t="s">
        <v>743</v>
      </c>
      <c r="S191" s="138"/>
      <c r="T191" s="138"/>
      <c r="U191" s="138"/>
    </row>
    <row r="192" spans="2:21" x14ac:dyDescent="0.25">
      <c r="B192" s="18" t="s">
        <v>744</v>
      </c>
      <c r="C192" s="18" t="s">
        <v>745</v>
      </c>
      <c r="D192" s="18" t="s">
        <v>746</v>
      </c>
      <c r="E192" s="18" t="s">
        <v>747</v>
      </c>
      <c r="F192" s="18" t="s">
        <v>744</v>
      </c>
      <c r="G192" s="18" t="s">
        <v>745</v>
      </c>
      <c r="H192" s="18" t="s">
        <v>746</v>
      </c>
      <c r="I192" s="18" t="s">
        <v>747</v>
      </c>
      <c r="J192" s="18" t="s">
        <v>744</v>
      </c>
      <c r="K192" s="18" t="s">
        <v>745</v>
      </c>
      <c r="L192" s="18" t="s">
        <v>746</v>
      </c>
      <c r="M192" s="18" t="s">
        <v>747</v>
      </c>
      <c r="N192" s="18" t="s">
        <v>744</v>
      </c>
      <c r="O192" s="18" t="s">
        <v>745</v>
      </c>
      <c r="P192" s="18" t="s">
        <v>746</v>
      </c>
      <c r="Q192" s="18" t="s">
        <v>747</v>
      </c>
      <c r="R192" s="18" t="s">
        <v>744</v>
      </c>
      <c r="S192" s="18" t="s">
        <v>745</v>
      </c>
      <c r="T192" s="18" t="s">
        <v>746</v>
      </c>
      <c r="U192" s="18" t="s">
        <v>747</v>
      </c>
    </row>
    <row r="193" spans="2:21" x14ac:dyDescent="0.25">
      <c r="B193" s="1">
        <v>0</v>
      </c>
      <c r="C193" s="1">
        <v>0.31820999999999999</v>
      </c>
      <c r="D193" s="48">
        <v>2.4305999999999999E-8</v>
      </c>
      <c r="E193" s="1">
        <f t="shared" ref="E193:E202" si="70">LOG10(C193/D193)</f>
        <v>7.117000330004104</v>
      </c>
      <c r="F193" s="1">
        <v>0</v>
      </c>
      <c r="G193" s="1">
        <v>0.38532</v>
      </c>
      <c r="H193" s="48">
        <v>6.1935999999999998E-9</v>
      </c>
      <c r="I193" s="1">
        <f t="shared" ref="I193:I202" si="71">LOG10(G193/H193)</f>
        <v>7.7938783976392472</v>
      </c>
      <c r="J193" s="1">
        <v>0</v>
      </c>
      <c r="K193" s="1">
        <v>0.41039999999999999</v>
      </c>
      <c r="L193" s="48">
        <v>1.4677E-9</v>
      </c>
      <c r="M193" s="1">
        <f t="shared" ref="M193:M202" si="72">LOG10(K193/L193)</f>
        <v>8.4465700578719556</v>
      </c>
      <c r="N193" s="1">
        <v>0</v>
      </c>
      <c r="O193" s="1">
        <v>0.41567999999999999</v>
      </c>
      <c r="P193" s="48">
        <v>4.4357E-10</v>
      </c>
      <c r="Q193" s="1">
        <f t="shared" ref="Q193:Q202" si="73">LOG10(O193/P193)</f>
        <v>8.9717969635908279</v>
      </c>
      <c r="R193" s="1">
        <v>0</v>
      </c>
      <c r="S193" s="1">
        <v>0.40233999999999998</v>
      </c>
      <c r="T193" s="48">
        <v>1.6519E-10</v>
      </c>
      <c r="U193" s="1">
        <f t="shared" ref="U193:U202" si="74">LOG10(S193/T193)</f>
        <v>9.3866094584047932</v>
      </c>
    </row>
    <row r="194" spans="2:21" x14ac:dyDescent="0.25">
      <c r="B194" s="1">
        <v>1</v>
      </c>
      <c r="C194" s="1">
        <v>0.78325999999999996</v>
      </c>
      <c r="D194" s="48">
        <v>1.5264E-9</v>
      </c>
      <c r="E194" s="1">
        <f t="shared" si="70"/>
        <v>8.7102375909330725</v>
      </c>
      <c r="F194" s="1">
        <v>1</v>
      </c>
      <c r="G194" s="1">
        <v>0.81781000000000004</v>
      </c>
      <c r="H194" s="48">
        <v>5.5283000000000004E-10</v>
      </c>
      <c r="I194" s="1">
        <f t="shared" si="71"/>
        <v>9.1700608141778375</v>
      </c>
      <c r="J194" s="1">
        <v>1</v>
      </c>
      <c r="K194" s="1">
        <v>0.82799</v>
      </c>
      <c r="L194" s="48">
        <v>1.4925E-10</v>
      </c>
      <c r="M194" s="1">
        <f t="shared" si="72"/>
        <v>9.7441107518493606</v>
      </c>
      <c r="N194" s="1">
        <v>1</v>
      </c>
      <c r="O194" s="1">
        <v>0.82567000000000002</v>
      </c>
      <c r="P194" s="48">
        <v>4.7001000000000001E-11</v>
      </c>
      <c r="Q194" s="1">
        <f t="shared" si="73"/>
        <v>10.244699407025456</v>
      </c>
      <c r="R194" s="1">
        <v>1</v>
      </c>
      <c r="S194" s="1">
        <v>0.79688999999999999</v>
      </c>
      <c r="T194" s="48">
        <v>1.7646E-11</v>
      </c>
      <c r="U194" s="1">
        <f t="shared" si="74"/>
        <v>10.65475210210135</v>
      </c>
    </row>
    <row r="195" spans="2:21" x14ac:dyDescent="0.25">
      <c r="B195" s="1">
        <v>2</v>
      </c>
      <c r="C195" s="1">
        <v>0.92242999999999997</v>
      </c>
      <c r="D195" s="48">
        <v>2.0709E-11</v>
      </c>
      <c r="E195" s="1">
        <f t="shared" si="70"/>
        <v>10.648774290877924</v>
      </c>
      <c r="F195" s="1">
        <v>2</v>
      </c>
      <c r="G195" s="1">
        <v>0.95840999999999998</v>
      </c>
      <c r="H195" s="48">
        <v>8.2262000000000006E-12</v>
      </c>
      <c r="I195" s="1">
        <f t="shared" si="71"/>
        <v>11.066352072361708</v>
      </c>
      <c r="J195" s="1">
        <v>2</v>
      </c>
      <c r="K195" s="1">
        <v>0.96799999999999997</v>
      </c>
      <c r="L195" s="48">
        <v>2.326E-12</v>
      </c>
      <c r="M195" s="1">
        <f t="shared" si="72"/>
        <v>11.619265646915965</v>
      </c>
      <c r="N195" s="1">
        <v>2</v>
      </c>
      <c r="O195" s="1">
        <v>0.96447000000000005</v>
      </c>
      <c r="P195" s="48">
        <v>7.4453999999999998E-13</v>
      </c>
      <c r="Q195" s="1">
        <f t="shared" si="73"/>
        <v>12.112400688441813</v>
      </c>
      <c r="R195" s="1">
        <v>2</v>
      </c>
      <c r="S195" s="1">
        <v>0.96174999999999999</v>
      </c>
      <c r="T195" s="48">
        <v>3.6071999999999998E-12</v>
      </c>
      <c r="U195" s="1">
        <f t="shared" si="74"/>
        <v>11.425891972680338</v>
      </c>
    </row>
    <row r="196" spans="2:21" x14ac:dyDescent="0.25">
      <c r="B196" s="1">
        <v>3</v>
      </c>
      <c r="C196" s="1">
        <v>0.93901000000000001</v>
      </c>
      <c r="D196" s="48">
        <v>2.1405000000000001E-13</v>
      </c>
      <c r="E196" s="1">
        <f t="shared" si="70"/>
        <v>12.64215498514551</v>
      </c>
      <c r="F196" s="1">
        <v>3</v>
      </c>
      <c r="G196" s="1">
        <v>0.97558</v>
      </c>
      <c r="H196" s="48">
        <v>8.5930000000000006E-14</v>
      </c>
      <c r="I196" s="1">
        <f t="shared" si="71"/>
        <v>13.055118076632047</v>
      </c>
      <c r="J196" s="1">
        <v>3</v>
      </c>
      <c r="K196" s="1">
        <v>0.98531000000000002</v>
      </c>
      <c r="L196" s="48">
        <v>2.4435999999999999E-14</v>
      </c>
      <c r="M196" s="1">
        <f t="shared" si="72"/>
        <v>13.605542774045965</v>
      </c>
      <c r="N196" s="1">
        <v>3</v>
      </c>
      <c r="O196" s="1">
        <v>0.98939999999999995</v>
      </c>
      <c r="P196" s="48">
        <v>3.7302999999999998E-13</v>
      </c>
      <c r="Q196" s="1">
        <f t="shared" si="73"/>
        <v>12.423628145772994</v>
      </c>
      <c r="R196" s="1">
        <v>3</v>
      </c>
      <c r="S196" s="1">
        <v>0.99056999999999995</v>
      </c>
      <c r="T196" s="48">
        <v>3.7656E-12</v>
      </c>
      <c r="U196" s="1">
        <f t="shared" si="74"/>
        <v>11.420050985681078</v>
      </c>
    </row>
    <row r="197" spans="2:21" x14ac:dyDescent="0.25">
      <c r="B197" s="1">
        <v>4</v>
      </c>
      <c r="C197" s="1">
        <v>0.94069999999999998</v>
      </c>
      <c r="D197" s="48">
        <v>2.1476E-15</v>
      </c>
      <c r="E197" s="1">
        <f t="shared" si="70"/>
        <v>14.641497748733734</v>
      </c>
      <c r="F197" s="1">
        <v>4</v>
      </c>
      <c r="G197" s="1">
        <v>0.97733999999999999</v>
      </c>
      <c r="H197" s="48">
        <v>8.6308999999999999E-16</v>
      </c>
      <c r="I197" s="1">
        <f t="shared" si="71"/>
        <v>15.053989588901752</v>
      </c>
      <c r="J197" s="1">
        <v>4</v>
      </c>
      <c r="K197" s="1">
        <v>0.98809000000000002</v>
      </c>
      <c r="L197" s="48">
        <v>1.8329999999999999E-14</v>
      </c>
      <c r="M197" s="1">
        <f t="shared" si="72"/>
        <v>13.731634039061873</v>
      </c>
      <c r="N197" s="1">
        <v>4</v>
      </c>
      <c r="O197" s="1">
        <v>0.99236999999999997</v>
      </c>
      <c r="P197" s="48">
        <v>3.7426999999999998E-13</v>
      </c>
      <c r="Q197" s="1">
        <f t="shared" si="73"/>
        <v>12.423488609604904</v>
      </c>
      <c r="R197" s="1">
        <v>4</v>
      </c>
      <c r="S197" s="1">
        <v>0.99353999999999998</v>
      </c>
      <c r="T197" s="48">
        <v>3.7646000000000003E-12</v>
      </c>
      <c r="U197" s="1">
        <f t="shared" si="74"/>
        <v>11.421466518626907</v>
      </c>
    </row>
    <row r="198" spans="2:21" x14ac:dyDescent="0.25">
      <c r="B198" s="1">
        <v>5</v>
      </c>
      <c r="C198" s="1">
        <v>0.94086999999999998</v>
      </c>
      <c r="D198" s="48">
        <v>2.1484000000000001E-17</v>
      </c>
      <c r="E198" s="1">
        <f t="shared" si="70"/>
        <v>16.641414477404041</v>
      </c>
      <c r="F198" s="1">
        <v>5</v>
      </c>
      <c r="G198" s="1">
        <v>0.97757000000000005</v>
      </c>
      <c r="H198" s="48">
        <v>2.6611E-16</v>
      </c>
      <c r="I198" s="1">
        <f t="shared" si="71"/>
        <v>15.565086670357152</v>
      </c>
      <c r="J198" s="1">
        <v>5</v>
      </c>
      <c r="K198" s="1">
        <v>0.98838999999999999</v>
      </c>
      <c r="L198" s="48">
        <v>1.8305000000000001E-14</v>
      </c>
      <c r="M198" s="1">
        <f t="shared" si="72"/>
        <v>13.732358609576041</v>
      </c>
      <c r="N198" s="1">
        <v>5</v>
      </c>
      <c r="O198" s="1">
        <v>0.99267000000000005</v>
      </c>
      <c r="P198" s="48">
        <v>3.7075000000000001E-13</v>
      </c>
      <c r="Q198" s="1">
        <f t="shared" si="73"/>
        <v>12.427723737336413</v>
      </c>
      <c r="R198" s="1">
        <v>5</v>
      </c>
      <c r="S198" s="1">
        <v>0.99383999999999995</v>
      </c>
      <c r="T198" s="48">
        <v>3.5994000000000002E-12</v>
      </c>
      <c r="U198" s="1">
        <f t="shared" si="74"/>
        <v>11.441086359892886</v>
      </c>
    </row>
    <row r="199" spans="2:21" x14ac:dyDescent="0.25">
      <c r="B199" s="1">
        <v>6</v>
      </c>
      <c r="C199" s="1">
        <v>0.94089</v>
      </c>
      <c r="D199" s="48">
        <v>3.2129999999999998E-19</v>
      </c>
      <c r="E199" s="1">
        <f t="shared" si="70"/>
        <v>18.4666281272217</v>
      </c>
      <c r="F199" s="1">
        <v>6</v>
      </c>
      <c r="G199" s="1">
        <v>0.97760000000000002</v>
      </c>
      <c r="H199" s="48">
        <v>2.6558999999999999E-16</v>
      </c>
      <c r="I199" s="1">
        <f t="shared" si="71"/>
        <v>15.565949473959195</v>
      </c>
      <c r="J199" s="1">
        <v>6</v>
      </c>
      <c r="K199" s="1">
        <v>0.98841999999999997</v>
      </c>
      <c r="L199" s="48">
        <v>1.7991000000000001E-14</v>
      </c>
      <c r="M199" s="1">
        <f t="shared" si="72"/>
        <v>13.73988622091214</v>
      </c>
      <c r="N199" s="1">
        <v>6</v>
      </c>
      <c r="O199" s="1">
        <v>0.99270000000000003</v>
      </c>
      <c r="P199" s="48">
        <v>3.3769E-13</v>
      </c>
      <c r="Q199" s="1">
        <f t="shared" si="73"/>
        <v>12.468299821798212</v>
      </c>
      <c r="R199" s="1">
        <v>6</v>
      </c>
      <c r="S199" s="1">
        <v>0.99387000000000003</v>
      </c>
      <c r="T199" s="48">
        <v>2.5006000000000001E-12</v>
      </c>
      <c r="U199" s="1">
        <f t="shared" si="74"/>
        <v>11.599285354763639</v>
      </c>
    </row>
    <row r="200" spans="2:21" x14ac:dyDescent="0.25">
      <c r="B200" s="1">
        <v>7</v>
      </c>
      <c r="C200" s="1">
        <v>0.94089</v>
      </c>
      <c r="D200" s="48">
        <v>3.2108000000000001E-19</v>
      </c>
      <c r="E200" s="1">
        <f t="shared" si="70"/>
        <v>18.466925598468485</v>
      </c>
      <c r="F200" s="1">
        <v>7</v>
      </c>
      <c r="G200" s="1">
        <v>0.97760999999999998</v>
      </c>
      <c r="H200" s="48">
        <v>2.6045000000000002E-16</v>
      </c>
      <c r="I200" s="1">
        <f t="shared" si="71"/>
        <v>15.574441273562872</v>
      </c>
      <c r="J200" s="1">
        <v>7</v>
      </c>
      <c r="K200" s="1">
        <v>0.98841999999999997</v>
      </c>
      <c r="L200" s="48">
        <v>1.5362E-14</v>
      </c>
      <c r="M200" s="1">
        <f t="shared" si="72"/>
        <v>13.808493763694663</v>
      </c>
      <c r="N200" s="1">
        <v>7</v>
      </c>
      <c r="O200" s="1">
        <v>0.99270000000000003</v>
      </c>
      <c r="P200" s="48">
        <v>1.7830000000000001E-13</v>
      </c>
      <c r="Q200" s="1">
        <f t="shared" si="73"/>
        <v>12.745666678704161</v>
      </c>
      <c r="R200" s="1">
        <v>7</v>
      </c>
      <c r="S200" s="1">
        <v>0.99387000000000003</v>
      </c>
      <c r="T200" s="48">
        <v>5.4709000000000004E-13</v>
      </c>
      <c r="U200" s="1">
        <f t="shared" si="74"/>
        <v>12.259270805019575</v>
      </c>
    </row>
    <row r="201" spans="2:21" x14ac:dyDescent="0.25">
      <c r="B201" s="1">
        <v>8</v>
      </c>
      <c r="C201" s="1">
        <v>0.94089</v>
      </c>
      <c r="D201" s="48">
        <v>3.1891000000000002E-19</v>
      </c>
      <c r="E201" s="1">
        <f t="shared" si="70"/>
        <v>18.469870715227568</v>
      </c>
      <c r="F201" s="1">
        <v>8</v>
      </c>
      <c r="G201" s="1">
        <v>0.97760999999999998</v>
      </c>
      <c r="H201" s="48">
        <v>2.1845E-16</v>
      </c>
      <c r="I201" s="1">
        <f t="shared" si="71"/>
        <v>15.650813586286001</v>
      </c>
      <c r="J201" s="1">
        <v>8</v>
      </c>
      <c r="K201" s="1">
        <v>0.98841999999999997</v>
      </c>
      <c r="L201" s="48">
        <v>6.1313000000000001E-15</v>
      </c>
      <c r="M201" s="1">
        <f t="shared" si="72"/>
        <v>14.207388958112848</v>
      </c>
      <c r="N201" s="1">
        <v>8</v>
      </c>
      <c r="O201" s="1">
        <v>0.99270000000000003</v>
      </c>
      <c r="P201" s="48">
        <v>2.3036E-14</v>
      </c>
      <c r="Q201" s="1">
        <f t="shared" si="73"/>
        <v>13.634410952021646</v>
      </c>
      <c r="R201" s="1">
        <v>8</v>
      </c>
      <c r="S201" s="1">
        <v>0.99387000000000003</v>
      </c>
      <c r="T201" s="48">
        <v>2.3775000000000002E-14</v>
      </c>
      <c r="U201" s="1">
        <f t="shared" si="74"/>
        <v>13.621209055996202</v>
      </c>
    </row>
    <row r="202" spans="2:21" x14ac:dyDescent="0.25">
      <c r="B202" s="1">
        <v>9</v>
      </c>
      <c r="C202" s="1">
        <v>0.94089</v>
      </c>
      <c r="D202" s="48">
        <v>2.9875E-19</v>
      </c>
      <c r="E202" s="1">
        <f t="shared" si="70"/>
        <v>18.498230938817024</v>
      </c>
      <c r="F202" s="1">
        <v>9</v>
      </c>
      <c r="G202" s="1">
        <v>0.97760999999999998</v>
      </c>
      <c r="H202" s="48">
        <v>8.1624000000000003E-17</v>
      </c>
      <c r="I202" s="1">
        <f t="shared" si="71"/>
        <v>16.078347761687258</v>
      </c>
      <c r="J202" s="1">
        <v>9</v>
      </c>
      <c r="K202" s="1">
        <v>0.98841999999999997</v>
      </c>
      <c r="L202" s="48">
        <v>5.268E-16</v>
      </c>
      <c r="M202" s="1">
        <f t="shared" si="72"/>
        <v>15.273295758179835</v>
      </c>
      <c r="N202" s="1">
        <v>9</v>
      </c>
      <c r="O202" s="1">
        <v>0.99270000000000003</v>
      </c>
      <c r="P202" s="48">
        <v>6.2593999999999997E-16</v>
      </c>
      <c r="Q202" s="1">
        <f t="shared" si="73"/>
        <v>15.200285316333245</v>
      </c>
      <c r="R202" s="1">
        <v>9</v>
      </c>
      <c r="S202" s="1">
        <v>0.99387000000000003</v>
      </c>
      <c r="T202" s="48">
        <v>3.3497E-16</v>
      </c>
      <c r="U202" s="1">
        <f t="shared" si="74"/>
        <v>15.472323668353503</v>
      </c>
    </row>
    <row r="203" spans="2:21" x14ac:dyDescent="0.25">
      <c r="B203" s="18" t="s">
        <v>764</v>
      </c>
      <c r="C203" s="127" t="s">
        <v>748</v>
      </c>
      <c r="D203" s="127"/>
      <c r="E203" s="127"/>
      <c r="F203" s="127"/>
      <c r="G203" s="127"/>
      <c r="H203" s="127"/>
      <c r="I203" s="127"/>
      <c r="J203" s="127"/>
      <c r="K203" s="127"/>
      <c r="L203" s="127"/>
      <c r="M203" s="127"/>
      <c r="N203" s="127"/>
      <c r="O203" s="127"/>
      <c r="P203" s="127"/>
      <c r="Q203" s="127"/>
      <c r="R203" s="127"/>
      <c r="S203" s="127"/>
      <c r="T203" s="127"/>
      <c r="U203" s="127"/>
    </row>
    <row r="204" spans="2:21" x14ac:dyDescent="0.25">
      <c r="B204" s="138" t="s">
        <v>739</v>
      </c>
      <c r="C204" s="138"/>
      <c r="D204" s="138"/>
      <c r="E204" s="138"/>
      <c r="F204" s="138" t="s">
        <v>740</v>
      </c>
      <c r="G204" s="138"/>
      <c r="H204" s="138"/>
      <c r="I204" s="138"/>
      <c r="J204" s="138" t="s">
        <v>741</v>
      </c>
      <c r="K204" s="138"/>
      <c r="L204" s="138"/>
      <c r="M204" s="138"/>
      <c r="N204" s="138" t="s">
        <v>742</v>
      </c>
      <c r="O204" s="138"/>
      <c r="P204" s="138"/>
      <c r="Q204" s="138"/>
      <c r="R204" s="138" t="s">
        <v>743</v>
      </c>
      <c r="S204" s="138"/>
      <c r="T204" s="138"/>
      <c r="U204" s="138"/>
    </row>
    <row r="205" spans="2:21" x14ac:dyDescent="0.25">
      <c r="B205" s="18" t="s">
        <v>744</v>
      </c>
      <c r="C205" s="18" t="s">
        <v>745</v>
      </c>
      <c r="D205" s="18" t="s">
        <v>746</v>
      </c>
      <c r="E205" s="18" t="s">
        <v>747</v>
      </c>
      <c r="F205" s="18" t="s">
        <v>744</v>
      </c>
      <c r="G205" s="18" t="s">
        <v>745</v>
      </c>
      <c r="H205" s="18" t="s">
        <v>746</v>
      </c>
      <c r="I205" s="18" t="s">
        <v>747</v>
      </c>
      <c r="J205" s="18" t="s">
        <v>744</v>
      </c>
      <c r="K205" s="18" t="s">
        <v>745</v>
      </c>
      <c r="L205" s="18" t="s">
        <v>746</v>
      </c>
      <c r="M205" s="18" t="s">
        <v>747</v>
      </c>
      <c r="N205" s="18" t="s">
        <v>744</v>
      </c>
      <c r="O205" s="18" t="s">
        <v>745</v>
      </c>
      <c r="P205" s="18" t="s">
        <v>746</v>
      </c>
      <c r="Q205" s="18" t="s">
        <v>747</v>
      </c>
      <c r="R205" s="18" t="s">
        <v>744</v>
      </c>
      <c r="S205" s="18" t="s">
        <v>745</v>
      </c>
      <c r="T205" s="18" t="s">
        <v>746</v>
      </c>
      <c r="U205" s="18" t="s">
        <v>747</v>
      </c>
    </row>
    <row r="206" spans="2:21" x14ac:dyDescent="0.25">
      <c r="B206" s="1">
        <v>0</v>
      </c>
      <c r="C206" s="81">
        <v>0.31822387000000002</v>
      </c>
      <c r="D206" s="81">
        <v>2.4292124E-8</v>
      </c>
      <c r="E206" s="1">
        <f t="shared" ref="E206:E215" si="75">LOG10(C206/D206)</f>
        <v>7.1172672636714216</v>
      </c>
      <c r="F206" s="1">
        <v>0</v>
      </c>
      <c r="G206" s="81">
        <v>0.38532207000000002</v>
      </c>
      <c r="H206" s="81">
        <v>6.1899995000000002E-9</v>
      </c>
      <c r="I206" s="1">
        <f t="shared" ref="I206:I215" si="76">LOG10(G206/H206)</f>
        <v>7.7941332707667383</v>
      </c>
      <c r="J206" s="1">
        <v>0</v>
      </c>
      <c r="K206" s="81">
        <v>0.41040436000000002</v>
      </c>
      <c r="L206" s="81">
        <v>1.4670344E-9</v>
      </c>
      <c r="M206" s="1">
        <f t="shared" ref="M206:M215" si="77">LOG10(K206/L206)</f>
        <v>8.4467716683399772</v>
      </c>
      <c r="N206" s="1">
        <v>0</v>
      </c>
      <c r="O206" s="81">
        <v>0.41568386000000002</v>
      </c>
      <c r="P206" s="81">
        <v>4.4338674000000001E-10</v>
      </c>
      <c r="Q206" s="1">
        <f t="shared" ref="Q206:Q215" si="78">LOG10(O206/P206)</f>
        <v>8.9719804613407774</v>
      </c>
      <c r="R206" s="1">
        <v>0</v>
      </c>
      <c r="S206" s="81">
        <v>0.4023389</v>
      </c>
      <c r="T206" s="81">
        <v>1.6513467999999999E-10</v>
      </c>
      <c r="U206" s="1">
        <f t="shared" ref="U206:U215" si="79">LOG10(S206/T206)</f>
        <v>9.3867537350172476</v>
      </c>
    </row>
    <row r="207" spans="2:21" x14ac:dyDescent="0.25">
      <c r="B207" s="1">
        <v>1</v>
      </c>
      <c r="C207" s="81">
        <v>0.78326152000000004</v>
      </c>
      <c r="D207" s="81">
        <v>1.5254044000000001E-9</v>
      </c>
      <c r="E207" s="1">
        <f t="shared" si="75"/>
        <v>8.710521796318595</v>
      </c>
      <c r="F207" s="1">
        <v>1</v>
      </c>
      <c r="G207" s="81">
        <v>0.81781435999999996</v>
      </c>
      <c r="H207" s="81">
        <v>5.5240437E-10</v>
      </c>
      <c r="I207" s="1">
        <f t="shared" si="76"/>
        <v>9.1703976264927967</v>
      </c>
      <c r="J207" s="1">
        <v>1</v>
      </c>
      <c r="K207" s="81">
        <v>0.82798879999999997</v>
      </c>
      <c r="L207" s="81">
        <v>1.4914627E-10</v>
      </c>
      <c r="M207" s="1">
        <f t="shared" si="77"/>
        <v>9.7444120656699393</v>
      </c>
      <c r="N207" s="1">
        <v>1</v>
      </c>
      <c r="O207" s="81">
        <v>0.82566969000000001</v>
      </c>
      <c r="P207" s="81">
        <v>4.6974714000000001E-11</v>
      </c>
      <c r="Q207" s="1">
        <f t="shared" si="78"/>
        <v>10.244942197484015</v>
      </c>
      <c r="R207" s="1">
        <v>1</v>
      </c>
      <c r="S207" s="81">
        <v>0.79688718999999997</v>
      </c>
      <c r="T207" s="81">
        <v>1.7638257999999999E-11</v>
      </c>
      <c r="U207" s="1">
        <f t="shared" si="79"/>
        <v>10.654941154709695</v>
      </c>
    </row>
    <row r="208" spans="2:21" x14ac:dyDescent="0.25">
      <c r="B208" s="1">
        <v>2</v>
      </c>
      <c r="C208" s="81">
        <v>0.92242813999999995</v>
      </c>
      <c r="D208" s="81">
        <v>2.0695704999999999E-11</v>
      </c>
      <c r="E208" s="1">
        <f t="shared" si="75"/>
        <v>10.649052318020622</v>
      </c>
      <c r="F208" s="1">
        <v>2</v>
      </c>
      <c r="G208" s="81">
        <v>0.95841008000000005</v>
      </c>
      <c r="H208" s="81">
        <v>8.2191885000000002E-12</v>
      </c>
      <c r="I208" s="1">
        <f t="shared" si="76"/>
        <v>11.066722431995023</v>
      </c>
      <c r="J208" s="1">
        <v>2</v>
      </c>
      <c r="K208" s="81">
        <v>0.96799648000000005</v>
      </c>
      <c r="L208" s="81">
        <v>2.3242281000000002E-12</v>
      </c>
      <c r="M208" s="1">
        <f t="shared" si="77"/>
        <v>11.619595030535017</v>
      </c>
      <c r="N208" s="1">
        <v>2</v>
      </c>
      <c r="O208" s="81">
        <v>0.96447156999999994</v>
      </c>
      <c r="P208" s="81">
        <v>7.4406769999999996E-13</v>
      </c>
      <c r="Q208" s="1">
        <f t="shared" si="78"/>
        <v>12.112676978136928</v>
      </c>
      <c r="R208" s="1">
        <v>2</v>
      </c>
      <c r="S208" s="81">
        <v>0.95545274999999996</v>
      </c>
      <c r="T208" s="81">
        <v>1.5869954E-12</v>
      </c>
      <c r="U208" s="1">
        <f t="shared" si="79"/>
        <v>11.779633546830819</v>
      </c>
    </row>
    <row r="209" spans="2:21" x14ac:dyDescent="0.25">
      <c r="B209" s="1">
        <v>3</v>
      </c>
      <c r="C209" s="81">
        <v>0.93901195000000004</v>
      </c>
      <c r="D209" s="81">
        <v>2.1390658E-13</v>
      </c>
      <c r="E209" s="1">
        <f t="shared" si="75"/>
        <v>12.64244697504525</v>
      </c>
      <c r="F209" s="1">
        <v>3</v>
      </c>
      <c r="G209" s="81">
        <v>0.97558420000000001</v>
      </c>
      <c r="H209" s="81">
        <v>8.5855723000000006E-14</v>
      </c>
      <c r="I209" s="1">
        <f t="shared" si="76"/>
        <v>13.05549550830407</v>
      </c>
      <c r="J209" s="1">
        <v>3</v>
      </c>
      <c r="K209" s="81">
        <v>0.98531157000000003</v>
      </c>
      <c r="L209" s="81">
        <v>2.441759E-14</v>
      </c>
      <c r="M209" s="1">
        <f t="shared" si="77"/>
        <v>13.60587078536766</v>
      </c>
      <c r="N209" s="1">
        <v>3</v>
      </c>
      <c r="O209" s="81">
        <v>0.98874346000000002</v>
      </c>
      <c r="P209" s="81">
        <v>1.6553203999999999E-13</v>
      </c>
      <c r="Q209" s="1">
        <f t="shared" si="78"/>
        <v>12.776201556606846</v>
      </c>
      <c r="R209" s="1">
        <v>3</v>
      </c>
      <c r="S209" s="81">
        <v>0.98991001000000001</v>
      </c>
      <c r="T209" s="81">
        <v>1.6714464999999999E-12</v>
      </c>
      <c r="U209" s="1">
        <f t="shared" si="79"/>
        <v>11.772503235708687</v>
      </c>
    </row>
    <row r="210" spans="2:21" x14ac:dyDescent="0.25">
      <c r="B210" s="1">
        <v>4</v>
      </c>
      <c r="C210" s="81">
        <v>0.94070197</v>
      </c>
      <c r="D210" s="81">
        <v>2.1462032999999998E-15</v>
      </c>
      <c r="E210" s="1">
        <f t="shared" si="75"/>
        <v>14.641781195213174</v>
      </c>
      <c r="F210" s="1">
        <v>4</v>
      </c>
      <c r="G210" s="81">
        <v>0.97733946999999999</v>
      </c>
      <c r="H210" s="81">
        <v>8.6234735999999998E-16</v>
      </c>
      <c r="I210" s="1">
        <f t="shared" si="76"/>
        <v>15.054363200022138</v>
      </c>
      <c r="J210" s="1">
        <v>4</v>
      </c>
      <c r="K210" s="81">
        <v>0.98802325000000002</v>
      </c>
      <c r="L210" s="81">
        <v>8.1404001999999995E-15</v>
      </c>
      <c r="M210" s="1">
        <f t="shared" si="77"/>
        <v>14.084121408166775</v>
      </c>
      <c r="N210" s="1">
        <v>4</v>
      </c>
      <c r="O210" s="81">
        <v>0.99230364999999998</v>
      </c>
      <c r="P210" s="81">
        <v>1.6630506999999999E-13</v>
      </c>
      <c r="Q210" s="1">
        <f t="shared" si="78"/>
        <v>12.775739099443314</v>
      </c>
      <c r="R210" s="1">
        <v>4</v>
      </c>
      <c r="S210" s="81">
        <v>0.99347430999999997</v>
      </c>
      <c r="T210" s="81">
        <v>1.6761276999999999E-12</v>
      </c>
      <c r="U210" s="1">
        <f t="shared" si="79"/>
        <v>11.772849537909261</v>
      </c>
    </row>
    <row r="211" spans="2:21" x14ac:dyDescent="0.25">
      <c r="B211" s="1">
        <v>5</v>
      </c>
      <c r="C211" s="81">
        <v>0.94087129999999997</v>
      </c>
      <c r="D211" s="81">
        <v>2.1469189999999998E-17</v>
      </c>
      <c r="E211" s="1">
        <f t="shared" si="75"/>
        <v>16.641714561698986</v>
      </c>
      <c r="F211" s="1">
        <v>5</v>
      </c>
      <c r="G211" s="81">
        <v>0.97756818999999995</v>
      </c>
      <c r="H211" s="81">
        <v>1.1817782E-16</v>
      </c>
      <c r="I211" s="1">
        <f t="shared" si="76"/>
        <v>15.917611086832888</v>
      </c>
      <c r="J211" s="1">
        <v>5</v>
      </c>
      <c r="K211" s="81">
        <v>0.98837894999999998</v>
      </c>
      <c r="L211" s="81">
        <v>8.136813E-15</v>
      </c>
      <c r="M211" s="1">
        <f t="shared" si="77"/>
        <v>14.084469152274973</v>
      </c>
      <c r="N211" s="1">
        <v>5</v>
      </c>
      <c r="O211" s="81">
        <v>0.99266089000000002</v>
      </c>
      <c r="P211" s="81">
        <v>1.6551398000000001E-13</v>
      </c>
      <c r="Q211" s="1">
        <f t="shared" si="78"/>
        <v>12.777966229399624</v>
      </c>
      <c r="R211" s="1">
        <v>5</v>
      </c>
      <c r="S211" s="81">
        <v>0.99383197000000001</v>
      </c>
      <c r="T211" s="81">
        <v>1.6363626E-12</v>
      </c>
      <c r="U211" s="1">
        <f t="shared" si="79"/>
        <v>11.783433418307855</v>
      </c>
    </row>
    <row r="212" spans="2:21" x14ac:dyDescent="0.25">
      <c r="B212" s="1">
        <v>6</v>
      </c>
      <c r="C212" s="81">
        <v>0.94088822999999999</v>
      </c>
      <c r="D212" s="81">
        <v>2.1469909E-19</v>
      </c>
      <c r="E212" s="1">
        <f t="shared" si="75"/>
        <v>18.641707832091495</v>
      </c>
      <c r="F212" s="1">
        <v>6</v>
      </c>
      <c r="G212" s="81">
        <v>0.97760338000000002</v>
      </c>
      <c r="H212" s="81">
        <v>1.1805829E-16</v>
      </c>
      <c r="I212" s="1">
        <f t="shared" si="76"/>
        <v>15.918066205997356</v>
      </c>
      <c r="J212" s="1">
        <v>6</v>
      </c>
      <c r="K212" s="81">
        <v>0.98841453000000001</v>
      </c>
      <c r="L212" s="81">
        <v>8.0617398E-15</v>
      </c>
      <c r="M212" s="1">
        <f t="shared" si="77"/>
        <v>14.088510344247492</v>
      </c>
      <c r="N212" s="1">
        <v>6</v>
      </c>
      <c r="O212" s="81">
        <v>0.99269662000000003</v>
      </c>
      <c r="P212" s="81">
        <v>1.5722862E-13</v>
      </c>
      <c r="Q212" s="1">
        <f t="shared" si="78"/>
        <v>12.800284940542911</v>
      </c>
      <c r="R212" s="1">
        <v>6</v>
      </c>
      <c r="S212" s="81">
        <v>0.99386775999999999</v>
      </c>
      <c r="T212" s="81">
        <v>1.3160937E-12</v>
      </c>
      <c r="U212" s="1">
        <f t="shared" si="79"/>
        <v>11.87804179257647</v>
      </c>
    </row>
    <row r="213" spans="2:21" x14ac:dyDescent="0.25">
      <c r="B213" s="1">
        <v>7</v>
      </c>
      <c r="C213" s="81">
        <v>0.94089126999999995</v>
      </c>
      <c r="D213" s="81">
        <v>1.4265859999999999E-19</v>
      </c>
      <c r="E213" s="1">
        <f t="shared" si="75"/>
        <v>18.81924148128105</v>
      </c>
      <c r="F213" s="1">
        <v>7</v>
      </c>
      <c r="G213" s="81">
        <v>0.97760689999999995</v>
      </c>
      <c r="H213" s="81">
        <v>1.1682678000000001E-16</v>
      </c>
      <c r="I213" s="1">
        <f t="shared" si="76"/>
        <v>15.922621851423658</v>
      </c>
      <c r="J213" s="1">
        <v>7</v>
      </c>
      <c r="K213" s="81">
        <v>0.98841809000000003</v>
      </c>
      <c r="L213" s="81">
        <v>7.3770591000000002E-15</v>
      </c>
      <c r="M213" s="1">
        <f t="shared" si="77"/>
        <v>14.127057422502638</v>
      </c>
      <c r="N213" s="1">
        <v>7</v>
      </c>
      <c r="O213" s="81">
        <v>0.99270020000000003</v>
      </c>
      <c r="P213" s="81">
        <v>1.0422017E-13</v>
      </c>
      <c r="Q213" s="1">
        <f t="shared" si="78"/>
        <v>12.978866332141081</v>
      </c>
      <c r="R213" s="1">
        <v>7</v>
      </c>
      <c r="S213" s="81">
        <v>0.99387139000000002</v>
      </c>
      <c r="T213" s="81">
        <v>4.0712652000000002E-13</v>
      </c>
      <c r="U213" s="1">
        <f t="shared" si="79"/>
        <v>12.387600795990792</v>
      </c>
    </row>
    <row r="214" spans="2:21" x14ac:dyDescent="0.25">
      <c r="B214" s="1">
        <v>8</v>
      </c>
      <c r="C214" s="81">
        <v>0.94089160999999999</v>
      </c>
      <c r="D214" s="81">
        <v>1.4214162E-19</v>
      </c>
      <c r="E214" s="1">
        <f t="shared" si="75"/>
        <v>18.820818335088418</v>
      </c>
      <c r="F214" s="1">
        <v>8</v>
      </c>
      <c r="G214" s="81">
        <v>0.97760725000000004</v>
      </c>
      <c r="H214" s="81">
        <v>1.0577877E-16</v>
      </c>
      <c r="I214" s="1">
        <f t="shared" si="76"/>
        <v>15.965765900949243</v>
      </c>
      <c r="J214" s="1">
        <v>8</v>
      </c>
      <c r="K214" s="81">
        <v>0.98841844000000001</v>
      </c>
      <c r="L214" s="81">
        <v>3.9228686E-15</v>
      </c>
      <c r="M214" s="1">
        <f t="shared" si="77"/>
        <v>14.401337077742076</v>
      </c>
      <c r="N214" s="1">
        <v>8</v>
      </c>
      <c r="O214" s="81">
        <v>0.99270057</v>
      </c>
      <c r="P214" s="81">
        <v>1.8877888999999999E-14</v>
      </c>
      <c r="Q214" s="1">
        <f t="shared" si="78"/>
        <v>13.72086484309227</v>
      </c>
      <c r="R214" s="1">
        <v>8</v>
      </c>
      <c r="S214" s="81">
        <v>0.99387179999999997</v>
      </c>
      <c r="T214" s="81">
        <v>2.2148790999999999E-14</v>
      </c>
      <c r="U214" s="1">
        <f t="shared" si="79"/>
        <v>13.651980343076431</v>
      </c>
    </row>
    <row r="215" spans="2:21" x14ac:dyDescent="0.25">
      <c r="B215" s="1">
        <v>9</v>
      </c>
      <c r="C215" s="81">
        <v>0.94089164000000003</v>
      </c>
      <c r="D215" s="81">
        <v>1.3716982E-19</v>
      </c>
      <c r="E215" s="1">
        <f t="shared" si="75"/>
        <v>18.836281041023422</v>
      </c>
      <c r="F215" s="1">
        <v>9</v>
      </c>
      <c r="G215" s="81">
        <v>0.97760729000000002</v>
      </c>
      <c r="H215" s="81">
        <v>5.3232797999999997E-17</v>
      </c>
      <c r="I215" s="1">
        <f t="shared" si="76"/>
        <v>16.263985137459617</v>
      </c>
      <c r="J215" s="1">
        <v>9</v>
      </c>
      <c r="K215" s="81">
        <v>0.98841847999999999</v>
      </c>
      <c r="L215" s="81">
        <v>4.5736167E-16</v>
      </c>
      <c r="M215" s="1">
        <f t="shared" si="77"/>
        <v>15.334681091625514</v>
      </c>
      <c r="N215" s="1">
        <v>9</v>
      </c>
      <c r="O215" s="81">
        <v>0.99270062000000003</v>
      </c>
      <c r="P215" s="81">
        <v>6.0257511000000001E-16</v>
      </c>
      <c r="Q215" s="1">
        <f t="shared" si="78"/>
        <v>15.216807104405556</v>
      </c>
      <c r="R215" s="1">
        <v>9</v>
      </c>
      <c r="S215" s="81">
        <v>0.99387185</v>
      </c>
      <c r="T215" s="81">
        <v>3.3203385999999999E-16</v>
      </c>
      <c r="U215" s="1">
        <f t="shared" si="79"/>
        <v>15.476148015754973</v>
      </c>
    </row>
    <row r="216" spans="2:21" x14ac:dyDescent="0.25">
      <c r="B216" s="18" t="s">
        <v>765</v>
      </c>
      <c r="C216" s="127" t="s">
        <v>748</v>
      </c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</row>
    <row r="217" spans="2:21" x14ac:dyDescent="0.25">
      <c r="B217" s="138" t="s">
        <v>739</v>
      </c>
      <c r="C217" s="138"/>
      <c r="D217" s="138"/>
      <c r="E217" s="138"/>
      <c r="F217" s="138" t="s">
        <v>740</v>
      </c>
      <c r="G217" s="138"/>
      <c r="H217" s="138"/>
      <c r="I217" s="138"/>
      <c r="J217" s="138" t="s">
        <v>741</v>
      </c>
      <c r="K217" s="138"/>
      <c r="L217" s="138"/>
      <c r="M217" s="138"/>
      <c r="N217" s="138" t="s">
        <v>742</v>
      </c>
      <c r="O217" s="138"/>
      <c r="P217" s="138"/>
      <c r="Q217" s="138"/>
      <c r="R217" s="138" t="s">
        <v>743</v>
      </c>
      <c r="S217" s="138"/>
      <c r="T217" s="138"/>
      <c r="U217" s="138"/>
    </row>
    <row r="218" spans="2:21" x14ac:dyDescent="0.25">
      <c r="B218" s="18" t="s">
        <v>744</v>
      </c>
      <c r="C218" s="18" t="s">
        <v>745</v>
      </c>
      <c r="D218" s="18" t="s">
        <v>746</v>
      </c>
      <c r="E218" s="18" t="s">
        <v>747</v>
      </c>
      <c r="F218" s="18" t="s">
        <v>744</v>
      </c>
      <c r="G218" s="18" t="s">
        <v>745</v>
      </c>
      <c r="H218" s="18" t="s">
        <v>746</v>
      </c>
      <c r="I218" s="18" t="s">
        <v>747</v>
      </c>
      <c r="J218" s="18" t="s">
        <v>744</v>
      </c>
      <c r="K218" s="18" t="s">
        <v>745</v>
      </c>
      <c r="L218" s="18" t="s">
        <v>746</v>
      </c>
      <c r="M218" s="18" t="s">
        <v>747</v>
      </c>
      <c r="N218" s="18" t="s">
        <v>744</v>
      </c>
      <c r="O218" s="18" t="s">
        <v>745</v>
      </c>
      <c r="P218" s="18" t="s">
        <v>746</v>
      </c>
      <c r="Q218" s="18" t="s">
        <v>747</v>
      </c>
      <c r="R218" s="18" t="s">
        <v>744</v>
      </c>
      <c r="S218" s="18" t="s">
        <v>745</v>
      </c>
      <c r="T218" s="18" t="s">
        <v>746</v>
      </c>
      <c r="U218" s="18" t="s">
        <v>747</v>
      </c>
    </row>
    <row r="219" spans="2:21" x14ac:dyDescent="0.25">
      <c r="B219" s="1">
        <v>0</v>
      </c>
      <c r="C219" s="81">
        <v>0.31822387000000002</v>
      </c>
      <c r="D219" s="81">
        <v>2.4292124E-8</v>
      </c>
      <c r="E219" s="1">
        <f t="shared" ref="E219:E228" si="80">LOG10(C219/D219)</f>
        <v>7.1172672636714216</v>
      </c>
      <c r="F219" s="1">
        <v>0</v>
      </c>
      <c r="G219" s="81">
        <v>0.38532207000000002</v>
      </c>
      <c r="H219" s="81">
        <v>6.1899995000000002E-9</v>
      </c>
      <c r="I219" s="1">
        <f t="shared" ref="I219:I228" si="81">LOG10(G219/H219)</f>
        <v>7.7941332707667383</v>
      </c>
      <c r="J219" s="1">
        <v>0</v>
      </c>
      <c r="K219" s="81">
        <v>0.41040436000000002</v>
      </c>
      <c r="L219" s="81">
        <v>1.4670344E-9</v>
      </c>
      <c r="M219" s="1">
        <f t="shared" ref="M219:M228" si="82">LOG10(K219/L219)</f>
        <v>8.4467716683399772</v>
      </c>
      <c r="N219" s="1">
        <v>0</v>
      </c>
      <c r="O219" s="81">
        <v>0.41568386000000002</v>
      </c>
      <c r="P219" s="81">
        <v>4.4338674000000001E-10</v>
      </c>
      <c r="Q219" s="1">
        <f t="shared" ref="Q219:Q228" si="83">LOG10(O219/P219)</f>
        <v>8.9719804613407774</v>
      </c>
      <c r="R219" s="1">
        <v>0</v>
      </c>
      <c r="S219" s="81">
        <v>0.4023389</v>
      </c>
      <c r="T219" s="81">
        <v>1.6513467999999999E-10</v>
      </c>
      <c r="U219" s="1">
        <f t="shared" ref="U219:U228" si="84">LOG10(S219/T219)</f>
        <v>9.3867537350172476</v>
      </c>
    </row>
    <row r="220" spans="2:21" x14ac:dyDescent="0.25">
      <c r="B220" s="1">
        <v>1</v>
      </c>
      <c r="C220" s="81">
        <v>0.78326152000000004</v>
      </c>
      <c r="D220" s="81">
        <v>1.5254044000000001E-9</v>
      </c>
      <c r="E220" s="1">
        <f t="shared" si="80"/>
        <v>8.710521796318595</v>
      </c>
      <c r="F220" s="1">
        <v>1</v>
      </c>
      <c r="G220" s="81">
        <v>0.81781435999999996</v>
      </c>
      <c r="H220" s="81">
        <v>5.5240437E-10</v>
      </c>
      <c r="I220" s="1">
        <f t="shared" si="81"/>
        <v>9.1703976264927967</v>
      </c>
      <c r="J220" s="1">
        <v>1</v>
      </c>
      <c r="K220" s="81">
        <v>0.82798879999999997</v>
      </c>
      <c r="L220" s="81">
        <v>1.4914627E-10</v>
      </c>
      <c r="M220" s="1">
        <f t="shared" si="82"/>
        <v>9.7444120656699393</v>
      </c>
      <c r="N220" s="1">
        <v>1</v>
      </c>
      <c r="O220" s="81">
        <v>0.82566969000000001</v>
      </c>
      <c r="P220" s="81">
        <v>4.6974714000000001E-11</v>
      </c>
      <c r="Q220" s="1">
        <f t="shared" si="83"/>
        <v>10.244942197484015</v>
      </c>
      <c r="R220" s="1">
        <v>1</v>
      </c>
      <c r="S220" s="81">
        <v>0.79688718999999997</v>
      </c>
      <c r="T220" s="81">
        <v>1.7638257999999999E-11</v>
      </c>
      <c r="U220" s="1">
        <f t="shared" si="84"/>
        <v>10.654941154709695</v>
      </c>
    </row>
    <row r="221" spans="2:21" x14ac:dyDescent="0.25">
      <c r="B221" s="1">
        <v>2</v>
      </c>
      <c r="C221" s="81">
        <v>0.92242813999999995</v>
      </c>
      <c r="D221" s="81">
        <v>2.0695704999999999E-11</v>
      </c>
      <c r="E221" s="1">
        <f t="shared" si="80"/>
        <v>10.649052318020622</v>
      </c>
      <c r="F221" s="1">
        <v>2</v>
      </c>
      <c r="G221" s="81">
        <v>0.95841008000000005</v>
      </c>
      <c r="H221" s="81">
        <v>8.2191885000000002E-12</v>
      </c>
      <c r="I221" s="1">
        <f t="shared" si="81"/>
        <v>11.066722431995023</v>
      </c>
      <c r="J221" s="1">
        <v>2</v>
      </c>
      <c r="K221" s="81">
        <v>0.96799648000000005</v>
      </c>
      <c r="L221" s="81">
        <v>2.3242281000000002E-12</v>
      </c>
      <c r="M221" s="1">
        <f t="shared" si="82"/>
        <v>11.619595030535017</v>
      </c>
      <c r="N221" s="1">
        <v>2</v>
      </c>
      <c r="O221" s="81">
        <v>0.96447156999999994</v>
      </c>
      <c r="P221" s="81">
        <v>7.4406768999999998E-13</v>
      </c>
      <c r="Q221" s="1">
        <f t="shared" si="83"/>
        <v>12.112676983973689</v>
      </c>
      <c r="R221" s="1">
        <v>2</v>
      </c>
      <c r="S221" s="81">
        <v>0.94607976999999999</v>
      </c>
      <c r="T221" s="81">
        <v>6.9519033000000002E-13</v>
      </c>
      <c r="U221" s="1">
        <f t="shared" si="84"/>
        <v>12.133824033567095</v>
      </c>
    </row>
    <row r="222" spans="2:21" x14ac:dyDescent="0.25">
      <c r="B222" s="1">
        <v>3</v>
      </c>
      <c r="C222" s="81">
        <v>0.93901195000000004</v>
      </c>
      <c r="D222" s="81">
        <v>2.1390658E-13</v>
      </c>
      <c r="E222" s="1">
        <f t="shared" si="80"/>
        <v>12.64244697504525</v>
      </c>
      <c r="F222" s="1">
        <v>3</v>
      </c>
      <c r="G222" s="81">
        <v>0.97558420000000001</v>
      </c>
      <c r="H222" s="81">
        <v>8.5855723000000006E-14</v>
      </c>
      <c r="I222" s="1">
        <f t="shared" si="81"/>
        <v>13.05549550830407</v>
      </c>
      <c r="J222" s="1">
        <v>3</v>
      </c>
      <c r="K222" s="81">
        <v>0.98531157000000003</v>
      </c>
      <c r="L222" s="81">
        <v>2.441759E-14</v>
      </c>
      <c r="M222" s="1">
        <f t="shared" si="82"/>
        <v>13.60587078536766</v>
      </c>
      <c r="N222" s="1">
        <v>3</v>
      </c>
      <c r="O222" s="81">
        <v>0.98775667</v>
      </c>
      <c r="P222" s="81">
        <v>7.3465980999999999E-14</v>
      </c>
      <c r="Q222" s="1">
        <f t="shared" si="83"/>
        <v>13.128563688855605</v>
      </c>
      <c r="R222" s="1">
        <v>3</v>
      </c>
      <c r="S222" s="81">
        <v>0.98892210000000003</v>
      </c>
      <c r="T222" s="81">
        <v>7.4187059999999999E-13</v>
      </c>
      <c r="U222" s="1">
        <f t="shared" si="84"/>
        <v>12.12483392189772</v>
      </c>
    </row>
    <row r="223" spans="2:21" x14ac:dyDescent="0.25">
      <c r="B223" s="1">
        <v>4</v>
      </c>
      <c r="C223" s="81">
        <v>0.94070197</v>
      </c>
      <c r="D223" s="81">
        <v>2.1462032999999998E-15</v>
      </c>
      <c r="E223" s="1">
        <f t="shared" si="80"/>
        <v>14.641781195213174</v>
      </c>
      <c r="F223" s="1">
        <v>4</v>
      </c>
      <c r="G223" s="81">
        <v>0.97733946999999999</v>
      </c>
      <c r="H223" s="81">
        <v>8.6234735999999998E-16</v>
      </c>
      <c r="I223" s="1">
        <f t="shared" si="81"/>
        <v>15.054363200022138</v>
      </c>
      <c r="J223" s="1">
        <v>4</v>
      </c>
      <c r="K223" s="81">
        <v>0.98792447000000005</v>
      </c>
      <c r="L223" s="81">
        <v>3.6176316000000001E-15</v>
      </c>
      <c r="M223" s="1">
        <f t="shared" si="82"/>
        <v>14.436299404069542</v>
      </c>
      <c r="N223" s="1">
        <v>4</v>
      </c>
      <c r="O223" s="81">
        <v>0.99220445000000002</v>
      </c>
      <c r="P223" s="81">
        <v>7.3922306999999997E-14</v>
      </c>
      <c r="Q223" s="1">
        <f t="shared" si="83"/>
        <v>13.127825658421591</v>
      </c>
      <c r="R223" s="1">
        <v>4</v>
      </c>
      <c r="S223" s="81">
        <v>0.99337503000000005</v>
      </c>
      <c r="T223" s="81">
        <v>7.4575492E-13</v>
      </c>
      <c r="U223" s="1">
        <f t="shared" si="84"/>
        <v>12.124517111908046</v>
      </c>
    </row>
    <row r="224" spans="2:21" x14ac:dyDescent="0.25">
      <c r="B224" s="1">
        <v>5</v>
      </c>
      <c r="C224" s="81">
        <v>0.94087129999999997</v>
      </c>
      <c r="D224" s="81">
        <v>2.1469189999999998E-17</v>
      </c>
      <c r="E224" s="1">
        <f t="shared" si="80"/>
        <v>16.641714561698986</v>
      </c>
      <c r="F224" s="1">
        <v>5</v>
      </c>
      <c r="G224" s="81">
        <v>0.97755840999999999</v>
      </c>
      <c r="H224" s="81">
        <v>5.252562E-17</v>
      </c>
      <c r="I224" s="1">
        <f t="shared" si="81"/>
        <v>16.269771528914028</v>
      </c>
      <c r="J224" s="1">
        <v>5</v>
      </c>
      <c r="K224" s="81">
        <v>0.98836906999999996</v>
      </c>
      <c r="L224" s="81">
        <v>3.6179911E-15</v>
      </c>
      <c r="M224" s="1">
        <f t="shared" si="82"/>
        <v>14.436451651949035</v>
      </c>
      <c r="N224" s="1">
        <v>5</v>
      </c>
      <c r="O224" s="81">
        <v>0.99265097000000002</v>
      </c>
      <c r="P224" s="81">
        <v>7.3753006999999996E-14</v>
      </c>
      <c r="Q224" s="1">
        <f t="shared" si="83"/>
        <v>13.129016839579414</v>
      </c>
      <c r="R224" s="1">
        <v>5</v>
      </c>
      <c r="S224" s="81">
        <v>0.99382207</v>
      </c>
      <c r="T224" s="81">
        <v>7.3606863999999995E-13</v>
      </c>
      <c r="U224" s="1">
        <f t="shared" si="84"/>
        <v>12.130390321848642</v>
      </c>
    </row>
    <row r="225" spans="2:21" x14ac:dyDescent="0.25">
      <c r="B225" s="1">
        <v>6</v>
      </c>
      <c r="C225" s="81">
        <v>0.94088822999999999</v>
      </c>
      <c r="D225" s="81">
        <v>2.1469909E-19</v>
      </c>
      <c r="E225" s="1">
        <f t="shared" si="80"/>
        <v>18.641707832091495</v>
      </c>
      <c r="F225" s="1">
        <v>6</v>
      </c>
      <c r="G225" s="81">
        <v>0.97760239999999998</v>
      </c>
      <c r="H225" s="81">
        <v>5.2497663000000002E-17</v>
      </c>
      <c r="I225" s="1">
        <f t="shared" si="81"/>
        <v>16.270022288419558</v>
      </c>
      <c r="J225" s="1">
        <v>6</v>
      </c>
      <c r="K225" s="81">
        <v>0.98841354000000003</v>
      </c>
      <c r="L225" s="81">
        <v>3.5994788000000001E-15</v>
      </c>
      <c r="M225" s="1">
        <f t="shared" si="82"/>
        <v>14.438699066023833</v>
      </c>
      <c r="N225" s="1">
        <v>6</v>
      </c>
      <c r="O225" s="81">
        <v>0.99269563999999999</v>
      </c>
      <c r="P225" s="81">
        <v>7.1649142999999999E-14</v>
      </c>
      <c r="Q225" s="1">
        <f t="shared" si="83"/>
        <v>13.141605114286767</v>
      </c>
      <c r="R225" s="1">
        <v>6</v>
      </c>
      <c r="S225" s="81">
        <v>0.99386680000000005</v>
      </c>
      <c r="T225" s="81">
        <v>6.4709333999999995E-13</v>
      </c>
      <c r="U225" s="1">
        <f t="shared" si="84"/>
        <v>12.186361253280408</v>
      </c>
    </row>
    <row r="226" spans="2:21" x14ac:dyDescent="0.25">
      <c r="B226" s="1">
        <v>7</v>
      </c>
      <c r="C226" s="81">
        <v>0.94089118000000005</v>
      </c>
      <c r="D226" s="81">
        <v>6.3415208000000004E-20</v>
      </c>
      <c r="E226" s="1">
        <f t="shared" si="80"/>
        <v>19.171345976171075</v>
      </c>
      <c r="F226" s="1">
        <v>7</v>
      </c>
      <c r="G226" s="81">
        <v>0.9776068</v>
      </c>
      <c r="H226" s="81">
        <v>5.21919E-17</v>
      </c>
      <c r="I226" s="1">
        <f t="shared" si="81"/>
        <v>16.272561106507844</v>
      </c>
      <c r="J226" s="1">
        <v>7</v>
      </c>
      <c r="K226" s="81">
        <v>0.98841798999999997</v>
      </c>
      <c r="L226" s="81">
        <v>3.4217763E-15</v>
      </c>
      <c r="M226" s="1">
        <f t="shared" si="82"/>
        <v>14.460689027352872</v>
      </c>
      <c r="N226" s="1">
        <v>7</v>
      </c>
      <c r="O226" s="81">
        <v>0.99270011000000002</v>
      </c>
      <c r="P226" s="81">
        <v>5.5476008E-14</v>
      </c>
      <c r="Q226" s="1">
        <f t="shared" si="83"/>
        <v>13.252712867889418</v>
      </c>
      <c r="R226" s="1">
        <v>7</v>
      </c>
      <c r="S226" s="81">
        <v>0.99387130000000001</v>
      </c>
      <c r="T226" s="81">
        <v>2.7523306000000001E-13</v>
      </c>
      <c r="U226" s="1">
        <f t="shared" si="84"/>
        <v>12.557629551090757</v>
      </c>
    </row>
    <row r="227" spans="2:21" x14ac:dyDescent="0.25">
      <c r="B227" s="1">
        <v>8</v>
      </c>
      <c r="C227" s="81">
        <v>0.94089160000000005</v>
      </c>
      <c r="D227" s="81">
        <v>6.3287305000000002E-20</v>
      </c>
      <c r="E227" s="1">
        <f t="shared" si="80"/>
        <v>19.172222989043405</v>
      </c>
      <c r="F227" s="1">
        <v>8</v>
      </c>
      <c r="G227" s="81">
        <v>0.97760723999999999</v>
      </c>
      <c r="H227" s="81">
        <v>4.9307679999999999E-17</v>
      </c>
      <c r="I227" s="1">
        <f t="shared" si="81"/>
        <v>16.29724984041686</v>
      </c>
      <c r="J227" s="1">
        <v>8</v>
      </c>
      <c r="K227" s="81">
        <v>0.98841844000000001</v>
      </c>
      <c r="L227" s="81">
        <v>2.2623143999999999E-15</v>
      </c>
      <c r="M227" s="1">
        <f t="shared" si="82"/>
        <v>14.640387879160427</v>
      </c>
      <c r="N227" s="1">
        <v>8</v>
      </c>
      <c r="O227" s="81">
        <v>0.99270057</v>
      </c>
      <c r="P227" s="81">
        <v>1.4350349E-14</v>
      </c>
      <c r="Q227" s="1">
        <f t="shared" si="83"/>
        <v>13.839955808022198</v>
      </c>
      <c r="R227" s="1">
        <v>8</v>
      </c>
      <c r="S227" s="81">
        <v>0.99387179000000003</v>
      </c>
      <c r="T227" s="81">
        <v>1.9982556000000001E-14</v>
      </c>
      <c r="U227" s="1">
        <f t="shared" si="84"/>
        <v>13.696679325057135</v>
      </c>
    </row>
    <row r="228" spans="2:21" x14ac:dyDescent="0.25">
      <c r="B228" s="1">
        <v>9</v>
      </c>
      <c r="C228" s="81">
        <v>0.94089164000000003</v>
      </c>
      <c r="D228" s="81">
        <v>6.2034475000000002E-20</v>
      </c>
      <c r="E228" s="1">
        <f t="shared" si="80"/>
        <v>19.180906498631497</v>
      </c>
      <c r="F228" s="1">
        <v>9</v>
      </c>
      <c r="G228" s="81">
        <v>0.97760729000000002</v>
      </c>
      <c r="H228" s="81">
        <v>3.1272095E-17</v>
      </c>
      <c r="I228" s="1">
        <f t="shared" si="81"/>
        <v>16.495007454688096</v>
      </c>
      <c r="J228" s="1">
        <v>9</v>
      </c>
      <c r="K228" s="81">
        <v>0.98841847999999999</v>
      </c>
      <c r="L228" s="81">
        <v>3.7482188E-16</v>
      </c>
      <c r="M228" s="1">
        <f t="shared" si="82"/>
        <v>15.421115921974826</v>
      </c>
      <c r="N228" s="1">
        <v>9</v>
      </c>
      <c r="O228" s="81">
        <v>0.99270062000000003</v>
      </c>
      <c r="P228" s="81">
        <v>5.6953580000000005E-16</v>
      </c>
      <c r="Q228" s="1">
        <f t="shared" si="83"/>
        <v>15.241297264875898</v>
      </c>
      <c r="R228" s="1">
        <v>9</v>
      </c>
      <c r="S228" s="81">
        <v>0.99387185</v>
      </c>
      <c r="T228" s="81">
        <v>3.2747833E-16</v>
      </c>
      <c r="U228" s="1">
        <f t="shared" si="84"/>
        <v>15.482147822998897</v>
      </c>
    </row>
    <row r="229" spans="2:21" x14ac:dyDescent="0.25">
      <c r="B229" s="18" t="s">
        <v>766</v>
      </c>
      <c r="C229" s="127" t="s">
        <v>748</v>
      </c>
      <c r="D229" s="127"/>
      <c r="E229" s="127"/>
      <c r="F229" s="127"/>
      <c r="G229" s="127"/>
      <c r="H229" s="127"/>
      <c r="I229" s="127"/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7"/>
      <c r="U229" s="127"/>
    </row>
    <row r="230" spans="2:21" x14ac:dyDescent="0.25">
      <c r="B230" s="138" t="s">
        <v>739</v>
      </c>
      <c r="C230" s="138"/>
      <c r="D230" s="138"/>
      <c r="E230" s="138"/>
      <c r="F230" s="138" t="s">
        <v>740</v>
      </c>
      <c r="G230" s="138"/>
      <c r="H230" s="138"/>
      <c r="I230" s="138"/>
      <c r="J230" s="138" t="s">
        <v>741</v>
      </c>
      <c r="K230" s="138"/>
      <c r="L230" s="138"/>
      <c r="M230" s="138"/>
      <c r="N230" s="138" t="s">
        <v>742</v>
      </c>
      <c r="O230" s="138"/>
      <c r="P230" s="138"/>
      <c r="Q230" s="138"/>
      <c r="R230" s="138" t="s">
        <v>743</v>
      </c>
      <c r="S230" s="138"/>
      <c r="T230" s="138"/>
      <c r="U230" s="138"/>
    </row>
    <row r="231" spans="2:21" x14ac:dyDescent="0.25">
      <c r="B231" s="18" t="s">
        <v>744</v>
      </c>
      <c r="C231" s="18" t="s">
        <v>745</v>
      </c>
      <c r="D231" s="18" t="s">
        <v>746</v>
      </c>
      <c r="E231" s="18" t="s">
        <v>747</v>
      </c>
      <c r="F231" s="18" t="s">
        <v>744</v>
      </c>
      <c r="G231" s="18" t="s">
        <v>745</v>
      </c>
      <c r="H231" s="18" t="s">
        <v>746</v>
      </c>
      <c r="I231" s="18" t="s">
        <v>747</v>
      </c>
      <c r="J231" s="18" t="s">
        <v>744</v>
      </c>
      <c r="K231" s="18" t="s">
        <v>745</v>
      </c>
      <c r="L231" s="18" t="s">
        <v>746</v>
      </c>
      <c r="M231" s="18" t="s">
        <v>747</v>
      </c>
      <c r="N231" s="18" t="s">
        <v>744</v>
      </c>
      <c r="O231" s="18" t="s">
        <v>745</v>
      </c>
      <c r="P231" s="18" t="s">
        <v>746</v>
      </c>
      <c r="Q231" s="18" t="s">
        <v>747</v>
      </c>
      <c r="R231" s="18" t="s">
        <v>744</v>
      </c>
      <c r="S231" s="18" t="s">
        <v>745</v>
      </c>
      <c r="T231" s="18" t="s">
        <v>746</v>
      </c>
      <c r="U231" s="18" t="s">
        <v>747</v>
      </c>
    </row>
    <row r="232" spans="2:21" x14ac:dyDescent="0.25">
      <c r="B232" s="1">
        <v>0</v>
      </c>
      <c r="C232" s="1">
        <v>0.31820999999999999</v>
      </c>
      <c r="D232" s="48">
        <v>2.4305999999999999E-8</v>
      </c>
      <c r="E232" s="1">
        <f t="shared" ref="E232:E241" si="85">LOG10(C232/D232)</f>
        <v>7.117000330004104</v>
      </c>
      <c r="F232" s="1">
        <v>0</v>
      </c>
      <c r="G232" s="1">
        <v>0.47826000000000002</v>
      </c>
      <c r="H232" s="48">
        <v>6.1935999999999998E-9</v>
      </c>
      <c r="I232" s="1">
        <f t="shared" ref="I232:I241" si="86">LOG10(G232/H232)</f>
        <v>7.8877209055387034</v>
      </c>
      <c r="J232" s="1">
        <v>0</v>
      </c>
      <c r="K232" s="1">
        <v>0.41039999999999999</v>
      </c>
      <c r="L232" s="48">
        <v>1.4677E-9</v>
      </c>
      <c r="M232" s="1">
        <f t="shared" ref="M232:M241" si="87">LOG10(K232/L232)</f>
        <v>8.4465700578719556</v>
      </c>
      <c r="N232" s="1">
        <v>0</v>
      </c>
      <c r="O232" s="1">
        <v>0.41567999999999999</v>
      </c>
      <c r="P232" s="48">
        <v>4.4357E-10</v>
      </c>
      <c r="Q232" s="1">
        <f t="shared" ref="Q232:Q241" si="88">LOG10(O232/P232)</f>
        <v>8.9717969635908279</v>
      </c>
      <c r="R232" s="1">
        <v>0</v>
      </c>
      <c r="S232" s="1">
        <v>0.40233999999999998</v>
      </c>
      <c r="T232" s="48">
        <v>1.6519E-10</v>
      </c>
      <c r="U232" s="1">
        <f t="shared" ref="U232:U241" si="89">LOG10(S232/T232)</f>
        <v>9.3866094584047932</v>
      </c>
    </row>
    <row r="233" spans="2:21" x14ac:dyDescent="0.25">
      <c r="B233" s="1">
        <v>1</v>
      </c>
      <c r="C233" s="1">
        <v>0.78325999999999996</v>
      </c>
      <c r="D233" s="48">
        <v>1.5264E-9</v>
      </c>
      <c r="E233" s="1">
        <f t="shared" si="85"/>
        <v>8.7102375909330725</v>
      </c>
      <c r="F233" s="1">
        <v>1</v>
      </c>
      <c r="G233" s="1">
        <v>0.81781000000000004</v>
      </c>
      <c r="H233" s="48">
        <v>5.5283000000000004E-10</v>
      </c>
      <c r="I233" s="1">
        <f t="shared" si="86"/>
        <v>9.1700608141778375</v>
      </c>
      <c r="J233" s="1">
        <v>1</v>
      </c>
      <c r="K233" s="1">
        <v>0.82799</v>
      </c>
      <c r="L233" s="48">
        <v>1.4925E-10</v>
      </c>
      <c r="M233" s="1">
        <f t="shared" si="87"/>
        <v>9.7441107518493606</v>
      </c>
      <c r="N233" s="1">
        <v>1</v>
      </c>
      <c r="O233" s="1">
        <v>0.82567000000000002</v>
      </c>
      <c r="P233" s="48">
        <v>4.7001000000000001E-11</v>
      </c>
      <c r="Q233" s="1">
        <f t="shared" si="88"/>
        <v>10.244699407025456</v>
      </c>
      <c r="R233" s="1">
        <v>1</v>
      </c>
      <c r="S233" s="1">
        <v>0.79688999999999999</v>
      </c>
      <c r="T233" s="48">
        <v>1.7646E-11</v>
      </c>
      <c r="U233" s="1">
        <f t="shared" si="89"/>
        <v>10.65475210210135</v>
      </c>
    </row>
    <row r="234" spans="2:21" x14ac:dyDescent="0.25">
      <c r="B234" s="1">
        <v>2</v>
      </c>
      <c r="C234" s="1">
        <v>0.92242999999999997</v>
      </c>
      <c r="D234" s="48">
        <v>2.0709E-11</v>
      </c>
      <c r="E234" s="1">
        <f t="shared" si="85"/>
        <v>10.648774290877924</v>
      </c>
      <c r="F234" s="1">
        <v>2</v>
      </c>
      <c r="G234" s="1">
        <v>0.95840999999999998</v>
      </c>
      <c r="H234" s="48">
        <v>8.2262000000000006E-12</v>
      </c>
      <c r="I234" s="1">
        <f t="shared" si="86"/>
        <v>11.066352072361708</v>
      </c>
      <c r="J234" s="1">
        <v>2</v>
      </c>
      <c r="K234" s="1">
        <v>0.96799999999999997</v>
      </c>
      <c r="L234" s="48">
        <v>2.326E-12</v>
      </c>
      <c r="M234" s="1">
        <f t="shared" si="87"/>
        <v>11.619265646915965</v>
      </c>
      <c r="N234" s="1">
        <v>2</v>
      </c>
      <c r="O234" s="1">
        <v>0.96447000000000005</v>
      </c>
      <c r="P234" s="48">
        <v>7.4453999999999998E-13</v>
      </c>
      <c r="Q234" s="1">
        <f t="shared" si="88"/>
        <v>12.112400688441813</v>
      </c>
      <c r="R234" s="1">
        <v>2</v>
      </c>
      <c r="S234" s="1">
        <v>0.93066000000000004</v>
      </c>
      <c r="T234" s="48">
        <v>2.8065000000000002E-13</v>
      </c>
      <c r="U234" s="1">
        <f t="shared" si="89"/>
        <v>12.520626001672637</v>
      </c>
    </row>
    <row r="235" spans="2:21" x14ac:dyDescent="0.25">
      <c r="B235" s="1">
        <v>3</v>
      </c>
      <c r="C235" s="1">
        <v>0.93901000000000001</v>
      </c>
      <c r="D235" s="48">
        <v>2.1405000000000001E-13</v>
      </c>
      <c r="E235" s="1">
        <f t="shared" si="85"/>
        <v>12.64215498514551</v>
      </c>
      <c r="F235" s="1">
        <v>3</v>
      </c>
      <c r="G235" s="1">
        <v>0.97558</v>
      </c>
      <c r="H235" s="48">
        <v>8.5930000000000006E-14</v>
      </c>
      <c r="I235" s="1">
        <f t="shared" si="86"/>
        <v>13.055118076632047</v>
      </c>
      <c r="J235" s="1">
        <v>3</v>
      </c>
      <c r="K235" s="1">
        <v>0.98531000000000002</v>
      </c>
      <c r="L235" s="48">
        <v>2.4435999999999999E-14</v>
      </c>
      <c r="M235" s="1">
        <f t="shared" si="87"/>
        <v>13.605542774045965</v>
      </c>
      <c r="N235" s="1">
        <v>3</v>
      </c>
      <c r="O235" s="1">
        <v>0.98611000000000004</v>
      </c>
      <c r="P235" s="48">
        <v>3.0307999999999999E-14</v>
      </c>
      <c r="Q235" s="1">
        <f t="shared" si="88"/>
        <v>13.512368084364246</v>
      </c>
      <c r="R235" s="1">
        <v>3</v>
      </c>
      <c r="S235" s="1">
        <v>0.98728000000000005</v>
      </c>
      <c r="T235" s="48">
        <v>3.0603000000000001E-13</v>
      </c>
      <c r="U235" s="1">
        <f t="shared" si="89"/>
        <v>12.508676337020574</v>
      </c>
    </row>
    <row r="236" spans="2:21" x14ac:dyDescent="0.25">
      <c r="B236" s="1">
        <v>4</v>
      </c>
      <c r="C236" s="1">
        <v>0.94069999999999998</v>
      </c>
      <c r="D236" s="48">
        <v>2.1476E-15</v>
      </c>
      <c r="E236" s="1">
        <f t="shared" si="85"/>
        <v>14.641497748733734</v>
      </c>
      <c r="F236" s="1">
        <v>4</v>
      </c>
      <c r="G236" s="1">
        <v>0.97733999999999999</v>
      </c>
      <c r="H236" s="48">
        <v>8.6308999999999999E-16</v>
      </c>
      <c r="I236" s="1">
        <f t="shared" si="86"/>
        <v>15.053989588901752</v>
      </c>
      <c r="J236" s="1">
        <v>4</v>
      </c>
      <c r="K236" s="1">
        <v>0.98775999999999997</v>
      </c>
      <c r="L236" s="48">
        <v>1.4958999999999999E-15</v>
      </c>
      <c r="M236" s="1">
        <f t="shared" si="87"/>
        <v>14.81974887295859</v>
      </c>
      <c r="N236" s="1">
        <v>4</v>
      </c>
      <c r="O236" s="1">
        <v>0.99204000000000003</v>
      </c>
      <c r="P236" s="48">
        <v>3.0567E-14</v>
      </c>
      <c r="Q236" s="1">
        <f t="shared" si="88"/>
        <v>13.511276366715071</v>
      </c>
      <c r="R236" s="1">
        <v>4</v>
      </c>
      <c r="S236" s="1">
        <v>0.99321000000000004</v>
      </c>
      <c r="T236" s="48">
        <v>3.085E-13</v>
      </c>
      <c r="U236" s="1">
        <f t="shared" si="89"/>
        <v>12.50778591517029</v>
      </c>
    </row>
    <row r="237" spans="2:21" x14ac:dyDescent="0.25">
      <c r="B237" s="1">
        <v>5</v>
      </c>
      <c r="C237" s="1">
        <v>0.94086999999999998</v>
      </c>
      <c r="D237" s="48">
        <v>2.1484000000000001E-17</v>
      </c>
      <c r="E237" s="1">
        <f t="shared" si="85"/>
        <v>16.641414477404041</v>
      </c>
      <c r="F237" s="1">
        <v>5</v>
      </c>
      <c r="G237" s="1">
        <v>0.97753999999999996</v>
      </c>
      <c r="H237" s="48">
        <v>2.1726E-17</v>
      </c>
      <c r="I237" s="1">
        <f t="shared" si="86"/>
        <v>16.653154762144847</v>
      </c>
      <c r="J237" s="1">
        <v>5</v>
      </c>
      <c r="K237" s="1">
        <v>0.98834999999999995</v>
      </c>
      <c r="L237" s="48">
        <v>1.4967E-15</v>
      </c>
      <c r="M237" s="1">
        <f t="shared" si="87"/>
        <v>14.819776007944373</v>
      </c>
      <c r="N237" s="1">
        <v>5</v>
      </c>
      <c r="O237" s="1">
        <v>0.99263000000000001</v>
      </c>
      <c r="P237" s="48">
        <v>3.0544000000000001E-14</v>
      </c>
      <c r="Q237" s="1">
        <f t="shared" si="88"/>
        <v>13.511861485579969</v>
      </c>
      <c r="R237" s="1">
        <v>5</v>
      </c>
      <c r="S237" s="1">
        <v>0.99380999999999997</v>
      </c>
      <c r="T237" s="48">
        <v>3.0644E-13</v>
      </c>
      <c r="U237" s="1">
        <f t="shared" si="89"/>
        <v>12.510957908758952</v>
      </c>
    </row>
    <row r="238" spans="2:21" x14ac:dyDescent="0.25">
      <c r="B238" s="1">
        <v>6</v>
      </c>
      <c r="C238" s="1">
        <v>0.94089</v>
      </c>
      <c r="D238" s="48">
        <v>2.1484E-19</v>
      </c>
      <c r="E238" s="1">
        <f t="shared" si="85"/>
        <v>18.641423709069755</v>
      </c>
      <c r="F238" s="1">
        <v>6</v>
      </c>
      <c r="G238" s="1">
        <v>0.97760000000000002</v>
      </c>
      <c r="H238" s="48">
        <v>2.1721E-17</v>
      </c>
      <c r="I238" s="1">
        <f t="shared" si="86"/>
        <v>16.653281377300058</v>
      </c>
      <c r="J238" s="1">
        <v>6</v>
      </c>
      <c r="K238" s="1">
        <v>0.98841000000000001</v>
      </c>
      <c r="L238" s="48">
        <v>1.4925000000000001E-15</v>
      </c>
      <c r="M238" s="1">
        <f t="shared" si="87"/>
        <v>14.821022790820631</v>
      </c>
      <c r="N238" s="1">
        <v>6</v>
      </c>
      <c r="O238" s="1">
        <v>0.99268999999999996</v>
      </c>
      <c r="P238" s="48">
        <v>3.0058000000000001E-14</v>
      </c>
      <c r="Q238" s="1">
        <f t="shared" si="88"/>
        <v>13.518853566861539</v>
      </c>
      <c r="R238" s="1">
        <v>6</v>
      </c>
      <c r="S238" s="1">
        <v>0.99387000000000003</v>
      </c>
      <c r="T238" s="48">
        <v>2.8472000000000002E-13</v>
      </c>
      <c r="U238" s="1">
        <f t="shared" si="89"/>
        <v>12.542911606609865</v>
      </c>
    </row>
    <row r="239" spans="2:21" x14ac:dyDescent="0.25">
      <c r="B239" s="1">
        <v>7</v>
      </c>
      <c r="C239" s="1">
        <v>0.94089</v>
      </c>
      <c r="D239" s="48">
        <v>2.6227999999999999E-20</v>
      </c>
      <c r="E239" s="1">
        <f t="shared" si="85"/>
        <v>19.554773677778741</v>
      </c>
      <c r="F239" s="1">
        <v>7</v>
      </c>
      <c r="G239" s="1">
        <v>0.97760999999999998</v>
      </c>
      <c r="H239" s="48">
        <v>2.1651E-17</v>
      </c>
      <c r="I239" s="1">
        <f t="shared" si="86"/>
        <v>16.65468767531415</v>
      </c>
      <c r="J239" s="1">
        <v>7</v>
      </c>
      <c r="K239" s="1">
        <v>0.98841999999999997</v>
      </c>
      <c r="L239" s="48">
        <v>1.4509E-15</v>
      </c>
      <c r="M239" s="1">
        <f t="shared" si="87"/>
        <v>14.833304043764992</v>
      </c>
      <c r="N239" s="1">
        <v>7</v>
      </c>
      <c r="O239" s="1">
        <v>0.99270000000000003</v>
      </c>
      <c r="P239" s="48">
        <v>2.5847999999999999E-14</v>
      </c>
      <c r="Q239" s="1">
        <f t="shared" si="88"/>
        <v>13.584391076869927</v>
      </c>
      <c r="R239" s="1">
        <v>7</v>
      </c>
      <c r="S239" s="1">
        <v>0.99387000000000003</v>
      </c>
      <c r="T239" s="48">
        <v>1.6034999999999999E-13</v>
      </c>
      <c r="U239" s="1">
        <f t="shared" si="89"/>
        <v>12.792260617341194</v>
      </c>
    </row>
    <row r="240" spans="2:21" x14ac:dyDescent="0.25">
      <c r="B240" s="1">
        <v>8</v>
      </c>
      <c r="C240" s="1">
        <v>0.94089</v>
      </c>
      <c r="D240" s="48">
        <v>2.6198000000000001E-20</v>
      </c>
      <c r="E240" s="1">
        <f t="shared" si="85"/>
        <v>19.555270714969417</v>
      </c>
      <c r="F240" s="1">
        <v>8</v>
      </c>
      <c r="G240" s="1">
        <v>0.97760999999999998</v>
      </c>
      <c r="H240" s="48">
        <v>2.0971999999999999E-17</v>
      </c>
      <c r="I240" s="1">
        <f t="shared" si="86"/>
        <v>16.668525786289901</v>
      </c>
      <c r="J240" s="1">
        <v>8</v>
      </c>
      <c r="K240" s="1">
        <v>0.98841999999999997</v>
      </c>
      <c r="L240" s="48">
        <v>1.126E-15</v>
      </c>
      <c r="M240" s="1">
        <f t="shared" si="87"/>
        <v>14.943403133954254</v>
      </c>
      <c r="N240" s="1">
        <v>8</v>
      </c>
      <c r="O240" s="1">
        <v>0.99270000000000003</v>
      </c>
      <c r="P240" s="48">
        <v>9.6179999999999997E-15</v>
      </c>
      <c r="Q240" s="1">
        <f t="shared" si="88"/>
        <v>14.013733249141728</v>
      </c>
      <c r="R240" s="1">
        <v>8</v>
      </c>
      <c r="S240" s="1">
        <v>0.99387000000000003</v>
      </c>
      <c r="T240" s="48">
        <v>1.6988999999999999E-14</v>
      </c>
      <c r="U240" s="1">
        <f t="shared" si="89"/>
        <v>13.767161765259463</v>
      </c>
    </row>
    <row r="241" spans="2:21" x14ac:dyDescent="0.25">
      <c r="B241" s="1">
        <v>9</v>
      </c>
      <c r="C241" s="1">
        <v>0.94089</v>
      </c>
      <c r="D241" s="48">
        <v>2.5910000000000001E-20</v>
      </c>
      <c r="E241" s="1">
        <f t="shared" si="85"/>
        <v>19.560071439787393</v>
      </c>
      <c r="F241" s="1">
        <v>9</v>
      </c>
      <c r="G241" s="1">
        <v>0.97760999999999998</v>
      </c>
      <c r="H241" s="48">
        <v>1.5825E-17</v>
      </c>
      <c r="I241" s="1">
        <f t="shared" si="86"/>
        <v>16.790821916642194</v>
      </c>
      <c r="J241" s="1">
        <v>9</v>
      </c>
      <c r="K241" s="1">
        <v>0.98841999999999997</v>
      </c>
      <c r="L241" s="48">
        <v>2.7760999999999999E-16</v>
      </c>
      <c r="M241" s="1">
        <f t="shared" si="87"/>
        <v>15.55150641835464</v>
      </c>
      <c r="N241" s="1">
        <v>9</v>
      </c>
      <c r="O241" s="1">
        <v>0.99270000000000003</v>
      </c>
      <c r="P241" s="48">
        <v>5.1990000000000003E-16</v>
      </c>
      <c r="Q241" s="1">
        <f t="shared" si="88"/>
        <v>15.280898204445936</v>
      </c>
      <c r="R241" s="1">
        <v>9</v>
      </c>
      <c r="S241" s="1">
        <v>0.99387000000000003</v>
      </c>
      <c r="T241" s="48">
        <v>3.1995E-16</v>
      </c>
      <c r="U241" s="1">
        <f t="shared" si="89"/>
        <v>15.492247467100544</v>
      </c>
    </row>
  </sheetData>
  <mergeCells count="109">
    <mergeCell ref="B230:E230"/>
    <mergeCell ref="F230:I230"/>
    <mergeCell ref="J230:M230"/>
    <mergeCell ref="N230:Q230"/>
    <mergeCell ref="R230:U230"/>
    <mergeCell ref="B2:U2"/>
    <mergeCell ref="C3:U3"/>
    <mergeCell ref="B217:E217"/>
    <mergeCell ref="F217:I217"/>
    <mergeCell ref="J217:M217"/>
    <mergeCell ref="N217:Q217"/>
    <mergeCell ref="R217:U217"/>
    <mergeCell ref="C229:U229"/>
    <mergeCell ref="B204:E204"/>
    <mergeCell ref="F204:I204"/>
    <mergeCell ref="J204:M204"/>
    <mergeCell ref="N204:Q204"/>
    <mergeCell ref="R204:U204"/>
    <mergeCell ref="C216:U216"/>
    <mergeCell ref="B191:E191"/>
    <mergeCell ref="F191:I191"/>
    <mergeCell ref="J191:M191"/>
    <mergeCell ref="N191:Q191"/>
    <mergeCell ref="R191:U191"/>
    <mergeCell ref="C203:U203"/>
    <mergeCell ref="B178:E178"/>
    <mergeCell ref="F178:I178"/>
    <mergeCell ref="J178:M178"/>
    <mergeCell ref="N178:Q178"/>
    <mergeCell ref="R178:U178"/>
    <mergeCell ref="C190:U190"/>
    <mergeCell ref="B165:E165"/>
    <mergeCell ref="F165:I165"/>
    <mergeCell ref="J165:M165"/>
    <mergeCell ref="N165:Q165"/>
    <mergeCell ref="R165:U165"/>
    <mergeCell ref="C177:U177"/>
    <mergeCell ref="B152:E152"/>
    <mergeCell ref="F152:I152"/>
    <mergeCell ref="J152:M152"/>
    <mergeCell ref="N152:Q152"/>
    <mergeCell ref="R152:U152"/>
    <mergeCell ref="C164:U164"/>
    <mergeCell ref="B139:E139"/>
    <mergeCell ref="F139:I139"/>
    <mergeCell ref="J139:M139"/>
    <mergeCell ref="N139:Q139"/>
    <mergeCell ref="R139:U139"/>
    <mergeCell ref="C151:U151"/>
    <mergeCell ref="B126:E126"/>
    <mergeCell ref="F126:I126"/>
    <mergeCell ref="J126:M126"/>
    <mergeCell ref="N126:Q126"/>
    <mergeCell ref="R126:U126"/>
    <mergeCell ref="C138:U138"/>
    <mergeCell ref="B113:E113"/>
    <mergeCell ref="F113:I113"/>
    <mergeCell ref="J113:M113"/>
    <mergeCell ref="N113:Q113"/>
    <mergeCell ref="R113:U113"/>
    <mergeCell ref="C125:U125"/>
    <mergeCell ref="B100:E100"/>
    <mergeCell ref="F100:I100"/>
    <mergeCell ref="J100:M100"/>
    <mergeCell ref="N100:Q100"/>
    <mergeCell ref="R100:U100"/>
    <mergeCell ref="C112:U112"/>
    <mergeCell ref="B87:E87"/>
    <mergeCell ref="F87:I87"/>
    <mergeCell ref="J87:M87"/>
    <mergeCell ref="N87:Q87"/>
    <mergeCell ref="R87:U87"/>
    <mergeCell ref="C99:U99"/>
    <mergeCell ref="B74:E74"/>
    <mergeCell ref="F74:I74"/>
    <mergeCell ref="J74:M74"/>
    <mergeCell ref="N74:Q74"/>
    <mergeCell ref="R74:U74"/>
    <mergeCell ref="C86:U86"/>
    <mergeCell ref="B61:E61"/>
    <mergeCell ref="F61:I61"/>
    <mergeCell ref="J61:M61"/>
    <mergeCell ref="N61:Q61"/>
    <mergeCell ref="R61:U61"/>
    <mergeCell ref="C73:U73"/>
    <mergeCell ref="B48:E48"/>
    <mergeCell ref="F48:I48"/>
    <mergeCell ref="J48:M48"/>
    <mergeCell ref="N48:Q48"/>
    <mergeCell ref="R48:U48"/>
    <mergeCell ref="C60:U60"/>
    <mergeCell ref="B35:E35"/>
    <mergeCell ref="F35:I35"/>
    <mergeCell ref="J35:M35"/>
    <mergeCell ref="N35:Q35"/>
    <mergeCell ref="R35:U35"/>
    <mergeCell ref="C47:U47"/>
    <mergeCell ref="B22:E22"/>
    <mergeCell ref="F22:I22"/>
    <mergeCell ref="J22:M22"/>
    <mergeCell ref="N22:Q22"/>
    <mergeCell ref="R22:U22"/>
    <mergeCell ref="C34:U34"/>
    <mergeCell ref="B4:E4"/>
    <mergeCell ref="F4:I4"/>
    <mergeCell ref="J4:M4"/>
    <mergeCell ref="N4:Q4"/>
    <mergeCell ref="R4:U4"/>
    <mergeCell ref="C21:U21"/>
  </mergeCells>
  <pageMargins left="0.7" right="0.7" top="0.75" bottom="0.75" header="0.3" footer="0.3"/>
  <pageSetup orientation="portrait" horizontalDpi="4294967293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DD05F-7A27-478E-A5C3-38486F2D76AC}">
  <dimension ref="B2:D24"/>
  <sheetViews>
    <sheetView workbookViewId="0">
      <selection activeCell="G17" sqref="G17"/>
    </sheetView>
  </sheetViews>
  <sheetFormatPr defaultRowHeight="15" x14ac:dyDescent="0.25"/>
  <cols>
    <col min="2" max="2" width="23.140625" bestFit="1" customWidth="1"/>
    <col min="3" max="3" width="14" bestFit="1" customWidth="1"/>
    <col min="4" max="4" width="16.85546875" bestFit="1" customWidth="1"/>
  </cols>
  <sheetData>
    <row r="2" spans="2:4" ht="17.25" x14ac:dyDescent="0.25">
      <c r="B2" s="103" t="s">
        <v>923</v>
      </c>
      <c r="C2" s="103"/>
      <c r="D2" s="103"/>
    </row>
    <row r="3" spans="2:4" x14ac:dyDescent="0.25">
      <c r="B3" s="18" t="s">
        <v>791</v>
      </c>
      <c r="C3" s="18" t="s">
        <v>792</v>
      </c>
      <c r="D3" s="18" t="s">
        <v>815</v>
      </c>
    </row>
    <row r="4" spans="2:4" x14ac:dyDescent="0.25">
      <c r="B4" s="145" t="s">
        <v>793</v>
      </c>
      <c r="C4" s="1" t="s">
        <v>794</v>
      </c>
      <c r="D4" s="60">
        <v>1</v>
      </c>
    </row>
    <row r="5" spans="2:4" x14ac:dyDescent="0.25">
      <c r="B5" s="145"/>
      <c r="C5" s="1" t="s">
        <v>795</v>
      </c>
      <c r="D5" s="60">
        <v>1.04</v>
      </c>
    </row>
    <row r="6" spans="2:4" x14ac:dyDescent="0.25">
      <c r="B6" s="145"/>
      <c r="C6" s="1" t="s">
        <v>796</v>
      </c>
      <c r="D6" s="60">
        <v>1.07</v>
      </c>
    </row>
    <row r="7" spans="2:4" x14ac:dyDescent="0.25">
      <c r="B7" s="145"/>
      <c r="C7" s="1" t="s">
        <v>797</v>
      </c>
      <c r="D7" s="60">
        <v>1.02</v>
      </c>
    </row>
    <row r="8" spans="2:4" x14ac:dyDescent="0.25">
      <c r="B8" s="145" t="s">
        <v>800</v>
      </c>
      <c r="C8" s="1" t="s">
        <v>798</v>
      </c>
      <c r="D8" s="60">
        <v>1</v>
      </c>
    </row>
    <row r="9" spans="2:4" x14ac:dyDescent="0.25">
      <c r="B9" s="145"/>
      <c r="C9" s="1" t="s">
        <v>799</v>
      </c>
      <c r="D9" s="60">
        <v>1.6</v>
      </c>
    </row>
    <row r="10" spans="2:4" x14ac:dyDescent="0.25">
      <c r="B10" s="2" t="s">
        <v>801</v>
      </c>
      <c r="C10" s="1"/>
      <c r="D10" s="60">
        <v>1.03</v>
      </c>
    </row>
    <row r="11" spans="2:4" x14ac:dyDescent="0.25">
      <c r="B11" s="2" t="s">
        <v>802</v>
      </c>
      <c r="C11" s="1"/>
      <c r="D11" s="60">
        <v>1.1399999999999999</v>
      </c>
    </row>
    <row r="12" spans="2:4" x14ac:dyDescent="0.25">
      <c r="B12" s="145" t="s">
        <v>803</v>
      </c>
      <c r="C12" s="1" t="s">
        <v>924</v>
      </c>
      <c r="D12" s="60">
        <v>1.1200000000000001</v>
      </c>
    </row>
    <row r="13" spans="2:4" x14ac:dyDescent="0.25">
      <c r="B13" s="145"/>
      <c r="C13" s="1" t="s">
        <v>925</v>
      </c>
      <c r="D13" s="60">
        <v>0.61</v>
      </c>
    </row>
    <row r="14" spans="2:4" x14ac:dyDescent="0.25">
      <c r="B14" s="2" t="s">
        <v>804</v>
      </c>
      <c r="C14" s="1"/>
      <c r="D14" s="60">
        <v>1.26</v>
      </c>
    </row>
    <row r="15" spans="2:4" x14ac:dyDescent="0.25">
      <c r="B15" s="2" t="s">
        <v>805</v>
      </c>
      <c r="C15" s="1"/>
      <c r="D15" s="60">
        <v>1.1200000000000001</v>
      </c>
    </row>
    <row r="16" spans="2:4" x14ac:dyDescent="0.25">
      <c r="B16" s="2" t="s">
        <v>806</v>
      </c>
      <c r="C16" s="1"/>
      <c r="D16" s="60">
        <v>1.21</v>
      </c>
    </row>
    <row r="17" spans="2:4" x14ac:dyDescent="0.25">
      <c r="B17" s="2" t="s">
        <v>807</v>
      </c>
      <c r="C17" s="1"/>
      <c r="D17" s="60">
        <v>1.02</v>
      </c>
    </row>
    <row r="18" spans="2:4" x14ac:dyDescent="0.25">
      <c r="B18" s="2" t="s">
        <v>808</v>
      </c>
      <c r="C18" s="1"/>
      <c r="D18" s="60">
        <v>1.07</v>
      </c>
    </row>
    <row r="19" spans="2:4" x14ac:dyDescent="0.25">
      <c r="B19" s="2" t="s">
        <v>809</v>
      </c>
      <c r="C19" s="1"/>
      <c r="D19" s="60">
        <v>1.1299999999999999</v>
      </c>
    </row>
    <row r="20" spans="2:4" x14ac:dyDescent="0.25">
      <c r="B20" s="2" t="s">
        <v>810</v>
      </c>
      <c r="C20" s="1"/>
      <c r="D20" s="60">
        <v>1.1100000000000001</v>
      </c>
    </row>
    <row r="21" spans="2:4" x14ac:dyDescent="0.25">
      <c r="B21" s="2" t="s">
        <v>811</v>
      </c>
      <c r="C21" s="1"/>
      <c r="D21" s="60">
        <v>1.1399999999999999</v>
      </c>
    </row>
    <row r="22" spans="2:4" x14ac:dyDescent="0.25">
      <c r="B22" s="2" t="s">
        <v>812</v>
      </c>
      <c r="C22" s="1"/>
      <c r="D22" s="60">
        <v>1.19</v>
      </c>
    </row>
    <row r="23" spans="2:4" x14ac:dyDescent="0.25">
      <c r="B23" s="2" t="s">
        <v>813</v>
      </c>
      <c r="C23" s="1"/>
      <c r="D23" s="60">
        <v>1.53</v>
      </c>
    </row>
    <row r="24" spans="2:4" x14ac:dyDescent="0.25">
      <c r="B24" s="2" t="s">
        <v>814</v>
      </c>
      <c r="C24" s="1"/>
      <c r="D24" s="60">
        <v>1.02</v>
      </c>
    </row>
  </sheetData>
  <mergeCells count="4">
    <mergeCell ref="B4:B7"/>
    <mergeCell ref="B8:B9"/>
    <mergeCell ref="B12:B13"/>
    <mergeCell ref="B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7"/>
  <sheetViews>
    <sheetView workbookViewId="0">
      <selection activeCell="E16" sqref="E16"/>
    </sheetView>
  </sheetViews>
  <sheetFormatPr defaultRowHeight="15" x14ac:dyDescent="0.25"/>
  <cols>
    <col min="2" max="2" width="7.5703125" bestFit="1" customWidth="1"/>
    <col min="3" max="3" width="15.42578125" bestFit="1" customWidth="1"/>
    <col min="4" max="4" width="10.140625" bestFit="1" customWidth="1"/>
    <col min="5" max="5" width="24" bestFit="1" customWidth="1"/>
  </cols>
  <sheetData>
    <row r="2" spans="2:5" x14ac:dyDescent="0.25">
      <c r="B2" s="107" t="s">
        <v>253</v>
      </c>
      <c r="C2" s="108"/>
      <c r="D2" s="108"/>
      <c r="E2" s="109"/>
    </row>
    <row r="3" spans="2:5" ht="18.75" x14ac:dyDescent="0.25">
      <c r="B3" s="16" t="s">
        <v>240</v>
      </c>
      <c r="C3" s="16" t="s">
        <v>241</v>
      </c>
      <c r="D3" s="16" t="s">
        <v>242</v>
      </c>
      <c r="E3" s="17" t="s">
        <v>908</v>
      </c>
    </row>
    <row r="4" spans="2:5" ht="18" x14ac:dyDescent="0.25">
      <c r="B4" s="20" t="s">
        <v>236</v>
      </c>
      <c r="C4" s="20" t="s">
        <v>243</v>
      </c>
      <c r="D4" s="20">
        <v>0.63</v>
      </c>
      <c r="E4" s="106" t="s">
        <v>244</v>
      </c>
    </row>
    <row r="5" spans="2:5" ht="18" x14ac:dyDescent="0.25">
      <c r="B5" s="20" t="s">
        <v>237</v>
      </c>
      <c r="C5" s="20" t="s">
        <v>245</v>
      </c>
      <c r="D5" s="20">
        <v>0.65</v>
      </c>
      <c r="E5" s="106"/>
    </row>
    <row r="6" spans="2:5" ht="18" x14ac:dyDescent="0.25">
      <c r="B6" s="20" t="s">
        <v>238</v>
      </c>
      <c r="C6" s="20" t="s">
        <v>246</v>
      </c>
      <c r="D6" s="20">
        <v>0.69</v>
      </c>
      <c r="E6" s="106" t="s">
        <v>247</v>
      </c>
    </row>
    <row r="7" spans="2:5" ht="18" x14ac:dyDescent="0.25">
      <c r="B7" s="20" t="s">
        <v>239</v>
      </c>
      <c r="C7" s="20" t="s">
        <v>248</v>
      </c>
      <c r="D7" s="20">
        <v>0.72</v>
      </c>
      <c r="E7" s="106"/>
    </row>
  </sheetData>
  <mergeCells count="3">
    <mergeCell ref="E4:E5"/>
    <mergeCell ref="E6:E7"/>
    <mergeCell ref="B2:E2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20"/>
  <sheetViews>
    <sheetView workbookViewId="0">
      <selection activeCell="B2" sqref="B2:F2"/>
    </sheetView>
  </sheetViews>
  <sheetFormatPr defaultColWidth="9.140625" defaultRowHeight="15" x14ac:dyDescent="0.25"/>
  <cols>
    <col min="1" max="1" width="9.140625" style="21"/>
    <col min="2" max="2" width="24" style="21" bestFit="1" customWidth="1"/>
    <col min="3" max="6" width="13.140625" style="21" bestFit="1" customWidth="1"/>
    <col min="7" max="16384" width="9.140625" style="21"/>
  </cols>
  <sheetData>
    <row r="2" spans="2:6" x14ac:dyDescent="0.25">
      <c r="B2" s="111" t="s">
        <v>298</v>
      </c>
      <c r="C2" s="111"/>
      <c r="D2" s="111"/>
      <c r="E2" s="111"/>
      <c r="F2" s="111"/>
    </row>
    <row r="3" spans="2:6" x14ac:dyDescent="0.25">
      <c r="B3" s="24" t="s">
        <v>23</v>
      </c>
      <c r="C3" s="22" t="s">
        <v>257</v>
      </c>
      <c r="D3" s="22" t="s">
        <v>237</v>
      </c>
      <c r="E3" s="22" t="s">
        <v>238</v>
      </c>
      <c r="F3" s="22" t="s">
        <v>239</v>
      </c>
    </row>
    <row r="4" spans="2:6" x14ac:dyDescent="0.25">
      <c r="B4" s="110" t="s">
        <v>258</v>
      </c>
      <c r="C4" s="110"/>
      <c r="D4" s="110"/>
      <c r="E4" s="110"/>
      <c r="F4" s="110"/>
    </row>
    <row r="5" spans="2:6" x14ac:dyDescent="0.25">
      <c r="B5" s="24" t="s">
        <v>259</v>
      </c>
      <c r="C5" s="22" t="s">
        <v>260</v>
      </c>
      <c r="D5" s="22" t="s">
        <v>261</v>
      </c>
      <c r="E5" s="22" t="s">
        <v>262</v>
      </c>
      <c r="F5" s="22" t="s">
        <v>263</v>
      </c>
    </row>
    <row r="6" spans="2:6" x14ac:dyDescent="0.25">
      <c r="B6" s="24" t="s">
        <v>168</v>
      </c>
      <c r="C6" s="22" t="s">
        <v>264</v>
      </c>
      <c r="D6" s="22" t="s">
        <v>265</v>
      </c>
      <c r="E6" s="22" t="s">
        <v>266</v>
      </c>
      <c r="F6" s="22" t="s">
        <v>267</v>
      </c>
    </row>
    <row r="7" spans="2:6" x14ac:dyDescent="0.25">
      <c r="B7" s="110" t="s">
        <v>268</v>
      </c>
      <c r="C7" s="110"/>
      <c r="D7" s="110"/>
      <c r="E7" s="110"/>
      <c r="F7" s="110"/>
    </row>
    <row r="8" spans="2:6" x14ac:dyDescent="0.25">
      <c r="B8" s="24" t="s">
        <v>168</v>
      </c>
      <c r="C8" s="22" t="s">
        <v>269</v>
      </c>
      <c r="D8" s="22" t="s">
        <v>270</v>
      </c>
      <c r="E8" s="22" t="s">
        <v>271</v>
      </c>
      <c r="F8" s="22" t="s">
        <v>272</v>
      </c>
    </row>
    <row r="9" spans="2:6" x14ac:dyDescent="0.25">
      <c r="B9" s="24" t="s">
        <v>273</v>
      </c>
      <c r="C9" s="22" t="s">
        <v>274</v>
      </c>
      <c r="D9" s="22" t="s">
        <v>275</v>
      </c>
      <c r="E9" s="22" t="s">
        <v>276</v>
      </c>
      <c r="F9" s="22" t="s">
        <v>277</v>
      </c>
    </row>
    <row r="10" spans="2:6" x14ac:dyDescent="0.25">
      <c r="B10" s="110" t="s">
        <v>278</v>
      </c>
      <c r="C10" s="110"/>
      <c r="D10" s="110"/>
      <c r="E10" s="110"/>
      <c r="F10" s="110"/>
    </row>
    <row r="11" spans="2:6" ht="18" x14ac:dyDescent="0.25">
      <c r="B11" s="24" t="s">
        <v>294</v>
      </c>
      <c r="C11" s="22" t="s">
        <v>279</v>
      </c>
      <c r="D11" s="22" t="s">
        <v>279</v>
      </c>
      <c r="E11" s="22" t="s">
        <v>279</v>
      </c>
      <c r="F11" s="22" t="s">
        <v>279</v>
      </c>
    </row>
    <row r="12" spans="2:6" ht="18" x14ac:dyDescent="0.25">
      <c r="B12" s="24" t="s">
        <v>295</v>
      </c>
      <c r="C12" s="22" t="s">
        <v>279</v>
      </c>
      <c r="D12" s="22" t="s">
        <v>279</v>
      </c>
      <c r="E12" s="22" t="s">
        <v>280</v>
      </c>
      <c r="F12" s="22" t="s">
        <v>279</v>
      </c>
    </row>
    <row r="13" spans="2:6" ht="18" x14ac:dyDescent="0.25">
      <c r="B13" s="24" t="s">
        <v>296</v>
      </c>
      <c r="C13" s="22" t="s">
        <v>281</v>
      </c>
      <c r="D13" s="22" t="s">
        <v>282</v>
      </c>
      <c r="E13" s="22" t="s">
        <v>283</v>
      </c>
      <c r="F13" s="22" t="s">
        <v>269</v>
      </c>
    </row>
    <row r="14" spans="2:6" ht="18" x14ac:dyDescent="0.25">
      <c r="B14" s="24" t="s">
        <v>297</v>
      </c>
      <c r="C14" s="22" t="s">
        <v>284</v>
      </c>
      <c r="D14" s="22" t="s">
        <v>285</v>
      </c>
      <c r="E14" s="22" t="s">
        <v>286</v>
      </c>
      <c r="F14" s="22" t="s">
        <v>287</v>
      </c>
    </row>
    <row r="15" spans="2:6" x14ac:dyDescent="0.25">
      <c r="B15" s="110" t="s">
        <v>288</v>
      </c>
      <c r="C15" s="110"/>
      <c r="D15" s="110"/>
      <c r="E15" s="110"/>
      <c r="F15" s="110"/>
    </row>
    <row r="16" spans="2:6" x14ac:dyDescent="0.25">
      <c r="B16" s="24" t="s">
        <v>289</v>
      </c>
      <c r="C16" s="23">
        <v>0.96199999999999997</v>
      </c>
      <c r="D16" s="23">
        <v>0.96650000000000003</v>
      </c>
      <c r="E16" s="23">
        <v>0.97240000000000004</v>
      </c>
      <c r="F16" s="23">
        <v>0.94320000000000004</v>
      </c>
    </row>
    <row r="17" spans="2:6" x14ac:dyDescent="0.25">
      <c r="B17" s="24" t="s">
        <v>290</v>
      </c>
      <c r="C17" s="23">
        <v>0.999</v>
      </c>
      <c r="D17" s="23">
        <v>0.999</v>
      </c>
      <c r="E17" s="23">
        <v>0.999</v>
      </c>
      <c r="F17" s="23">
        <v>0.999</v>
      </c>
    </row>
    <row r="18" spans="2:6" x14ac:dyDescent="0.25">
      <c r="B18" s="24" t="s">
        <v>291</v>
      </c>
      <c r="C18" s="23">
        <v>0.9718</v>
      </c>
      <c r="D18" s="23">
        <v>0.96809999999999996</v>
      </c>
      <c r="E18" s="23">
        <v>0.98319999999999996</v>
      </c>
      <c r="F18" s="23">
        <v>0.97399999999999998</v>
      </c>
    </row>
    <row r="19" spans="2:6" x14ac:dyDescent="0.25">
      <c r="B19" s="24" t="s">
        <v>292</v>
      </c>
      <c r="C19" s="23">
        <v>0.999</v>
      </c>
      <c r="D19" s="23">
        <v>0.999</v>
      </c>
      <c r="E19" s="23">
        <v>0.95699999999999996</v>
      </c>
      <c r="F19" s="23">
        <v>0.999</v>
      </c>
    </row>
    <row r="20" spans="2:6" x14ac:dyDescent="0.25">
      <c r="B20" s="24" t="s">
        <v>293</v>
      </c>
      <c r="C20" s="23">
        <v>0.999</v>
      </c>
      <c r="D20" s="23">
        <v>0.999</v>
      </c>
      <c r="E20" s="23">
        <v>0.999</v>
      </c>
      <c r="F20" s="23">
        <v>0.999</v>
      </c>
    </row>
  </sheetData>
  <mergeCells count="5">
    <mergeCell ref="B4:F4"/>
    <mergeCell ref="B7:F7"/>
    <mergeCell ref="B10:F10"/>
    <mergeCell ref="B15:F15"/>
    <mergeCell ref="B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F6"/>
  <sheetViews>
    <sheetView workbookViewId="0">
      <selection activeCell="D6" sqref="D6"/>
    </sheetView>
  </sheetViews>
  <sheetFormatPr defaultColWidth="9.140625" defaultRowHeight="15" x14ac:dyDescent="0.25"/>
  <cols>
    <col min="1" max="1" width="9.140625" style="25"/>
    <col min="2" max="2" width="22.28515625" style="25" bestFit="1" customWidth="1"/>
    <col min="3" max="3" width="11" style="25" bestFit="1" customWidth="1"/>
    <col min="4" max="6" width="7.42578125" style="25" bestFit="1" customWidth="1"/>
    <col min="7" max="16384" width="9.140625" style="25"/>
  </cols>
  <sheetData>
    <row r="2" spans="2:6" x14ac:dyDescent="0.25">
      <c r="B2" s="103" t="s">
        <v>312</v>
      </c>
      <c r="C2" s="103"/>
      <c r="D2" s="103"/>
      <c r="E2" s="103"/>
      <c r="F2" s="103"/>
    </row>
    <row r="3" spans="2:6" x14ac:dyDescent="0.25">
      <c r="B3" s="113" t="s">
        <v>306</v>
      </c>
      <c r="C3" s="113" t="s">
        <v>308</v>
      </c>
      <c r="D3" s="112" t="s">
        <v>313</v>
      </c>
      <c r="E3" s="112"/>
      <c r="F3" s="112"/>
    </row>
    <row r="4" spans="2:6" ht="18" x14ac:dyDescent="0.25">
      <c r="B4" s="113"/>
      <c r="C4" s="113"/>
      <c r="D4" s="29" t="s">
        <v>309</v>
      </c>
      <c r="E4" s="29" t="s">
        <v>310</v>
      </c>
      <c r="F4" s="29" t="s">
        <v>311</v>
      </c>
    </row>
    <row r="5" spans="2:6" ht="18" x14ac:dyDescent="0.25">
      <c r="B5" s="26" t="s">
        <v>318</v>
      </c>
      <c r="C5" s="27">
        <v>0.5</v>
      </c>
      <c r="D5" s="31">
        <v>0.32300000000000001</v>
      </c>
      <c r="E5" s="31">
        <v>0.45100000000000001</v>
      </c>
      <c r="F5" s="31">
        <v>0.23599999999999999</v>
      </c>
    </row>
    <row r="6" spans="2:6" ht="18" x14ac:dyDescent="0.25">
      <c r="B6" s="26" t="s">
        <v>318</v>
      </c>
      <c r="C6" s="27">
        <v>0.95</v>
      </c>
      <c r="D6" s="27">
        <v>0</v>
      </c>
      <c r="E6" s="31">
        <v>4.7E-2</v>
      </c>
      <c r="F6" s="31">
        <v>0.95299999999999996</v>
      </c>
    </row>
  </sheetData>
  <mergeCells count="4">
    <mergeCell ref="B2:F2"/>
    <mergeCell ref="D3:F3"/>
    <mergeCell ref="B3:B4"/>
    <mergeCell ref="C3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F5"/>
  <sheetViews>
    <sheetView workbookViewId="0">
      <selection activeCell="C5" sqref="C5:F5"/>
    </sheetView>
  </sheetViews>
  <sheetFormatPr defaultRowHeight="15" x14ac:dyDescent="0.25"/>
  <cols>
    <col min="2" max="2" width="21" bestFit="1" customWidth="1"/>
  </cols>
  <sheetData>
    <row r="2" spans="2:6" x14ac:dyDescent="0.25">
      <c r="B2" s="103" t="s">
        <v>322</v>
      </c>
      <c r="C2" s="103"/>
      <c r="D2" s="103"/>
      <c r="E2" s="103"/>
      <c r="F2" s="103"/>
    </row>
    <row r="3" spans="2:6" x14ac:dyDescent="0.25">
      <c r="B3" s="113" t="s">
        <v>306</v>
      </c>
      <c r="C3" s="112" t="s">
        <v>313</v>
      </c>
      <c r="D3" s="112"/>
      <c r="E3" s="112"/>
      <c r="F3" s="112"/>
    </row>
    <row r="4" spans="2:6" ht="18" x14ac:dyDescent="0.25">
      <c r="B4" s="113"/>
      <c r="C4" s="29" t="s">
        <v>314</v>
      </c>
      <c r="D4" s="29" t="s">
        <v>315</v>
      </c>
      <c r="E4" s="29" t="s">
        <v>316</v>
      </c>
      <c r="F4" s="29" t="s">
        <v>148</v>
      </c>
    </row>
    <row r="5" spans="2:6" ht="18" x14ac:dyDescent="0.35">
      <c r="B5" s="1" t="s">
        <v>317</v>
      </c>
      <c r="C5" s="7">
        <v>0</v>
      </c>
      <c r="D5" s="7">
        <v>0</v>
      </c>
      <c r="E5" s="33">
        <v>0.88600000000000001</v>
      </c>
      <c r="F5" s="33">
        <v>0.114</v>
      </c>
    </row>
  </sheetData>
  <mergeCells count="3">
    <mergeCell ref="B3:B4"/>
    <mergeCell ref="C3:F3"/>
    <mergeCell ref="B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F5"/>
  <sheetViews>
    <sheetView workbookViewId="0">
      <selection activeCell="H7" sqref="H7"/>
    </sheetView>
  </sheetViews>
  <sheetFormatPr defaultRowHeight="15" x14ac:dyDescent="0.25"/>
  <cols>
    <col min="2" max="2" width="21" bestFit="1" customWidth="1"/>
  </cols>
  <sheetData>
    <row r="2" spans="2:6" x14ac:dyDescent="0.25">
      <c r="B2" s="103" t="s">
        <v>328</v>
      </c>
      <c r="C2" s="103"/>
      <c r="D2" s="103"/>
      <c r="E2" s="103"/>
      <c r="F2" s="103"/>
    </row>
    <row r="3" spans="2:6" x14ac:dyDescent="0.25">
      <c r="B3" s="113" t="s">
        <v>306</v>
      </c>
      <c r="C3" s="112" t="s">
        <v>313</v>
      </c>
      <c r="D3" s="112"/>
      <c r="E3" s="112"/>
      <c r="F3" s="112"/>
    </row>
    <row r="4" spans="2:6" ht="18" x14ac:dyDescent="0.25">
      <c r="B4" s="113"/>
      <c r="C4" s="29" t="s">
        <v>320</v>
      </c>
      <c r="D4" s="29" t="s">
        <v>319</v>
      </c>
      <c r="E4" s="29" t="s">
        <v>326</v>
      </c>
      <c r="F4" s="29" t="s">
        <v>327</v>
      </c>
    </row>
    <row r="5" spans="2:6" ht="18" x14ac:dyDescent="0.35">
      <c r="B5" s="1" t="s">
        <v>329</v>
      </c>
      <c r="C5" s="7">
        <v>0</v>
      </c>
      <c r="D5" s="7">
        <v>0</v>
      </c>
      <c r="E5" s="7">
        <v>0</v>
      </c>
      <c r="F5" s="33" t="s">
        <v>333</v>
      </c>
    </row>
  </sheetData>
  <mergeCells count="3">
    <mergeCell ref="B3:B4"/>
    <mergeCell ref="C3:F3"/>
    <mergeCell ref="B2:F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F5"/>
  <sheetViews>
    <sheetView workbookViewId="0">
      <selection activeCell="B25" sqref="B25"/>
    </sheetView>
  </sheetViews>
  <sheetFormatPr defaultRowHeight="15" x14ac:dyDescent="0.25"/>
  <cols>
    <col min="2" max="2" width="21" bestFit="1" customWidth="1"/>
  </cols>
  <sheetData>
    <row r="2" spans="2:6" x14ac:dyDescent="0.25">
      <c r="B2" s="103" t="s">
        <v>334</v>
      </c>
      <c r="C2" s="103"/>
      <c r="D2" s="103"/>
      <c r="E2" s="103"/>
      <c r="F2" s="103"/>
    </row>
    <row r="3" spans="2:6" x14ac:dyDescent="0.25">
      <c r="B3" s="113" t="s">
        <v>306</v>
      </c>
      <c r="C3" s="112" t="s">
        <v>313</v>
      </c>
      <c r="D3" s="112"/>
      <c r="E3" s="112"/>
      <c r="F3" s="112"/>
    </row>
    <row r="4" spans="2:6" ht="18" x14ac:dyDescent="0.35">
      <c r="B4" s="113"/>
      <c r="C4" s="29" t="s">
        <v>330</v>
      </c>
      <c r="D4" s="29" t="s">
        <v>331</v>
      </c>
      <c r="E4" s="19" t="s">
        <v>335</v>
      </c>
      <c r="F4" s="29" t="s">
        <v>332</v>
      </c>
    </row>
    <row r="5" spans="2:6" ht="18" x14ac:dyDescent="0.35">
      <c r="B5" s="1" t="s">
        <v>329</v>
      </c>
      <c r="C5" s="7">
        <v>0</v>
      </c>
      <c r="D5" s="7">
        <v>0</v>
      </c>
      <c r="E5" s="7">
        <v>0</v>
      </c>
      <c r="F5" s="32" t="s">
        <v>333</v>
      </c>
    </row>
  </sheetData>
  <mergeCells count="3">
    <mergeCell ref="B3:B4"/>
    <mergeCell ref="B2:F2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1</vt:i4>
      </vt:variant>
    </vt:vector>
  </HeadingPairs>
  <TitlesOfParts>
    <vt:vector size="35" baseType="lpstr">
      <vt:lpstr>Summary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  <vt:lpstr>S19</vt:lpstr>
      <vt:lpstr>S20</vt:lpstr>
      <vt:lpstr>S21</vt:lpstr>
      <vt:lpstr>S22</vt:lpstr>
      <vt:lpstr>S23</vt:lpstr>
      <vt:lpstr>S24</vt:lpstr>
      <vt:lpstr>S25</vt:lpstr>
      <vt:lpstr>S26</vt:lpstr>
      <vt:lpstr>S27</vt:lpstr>
      <vt:lpstr>S28</vt:lpstr>
      <vt:lpstr>S29</vt:lpstr>
      <vt:lpstr>S30</vt:lpstr>
      <vt:lpstr>S31</vt:lpstr>
      <vt:lpstr>S32</vt:lpstr>
      <vt:lpstr>S33</vt:lpstr>
      <vt:lpstr>'S3'!_Hlk63180966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Caspar Stinn</dc:creator>
  <cp:lastModifiedBy>Caspar Stinn</cp:lastModifiedBy>
  <dcterms:created xsi:type="dcterms:W3CDTF">2021-10-19T22:11:48Z</dcterms:created>
  <dcterms:modified xsi:type="dcterms:W3CDTF">2021-12-06T20:57:37Z</dcterms:modified>
</cp:coreProperties>
</file>