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hshi_stjude_org/Documents/scCRISPR_tumor_CD8T_paper/Nature_Final_submission/Source data/source data in separate tabs/"/>
    </mc:Choice>
  </mc:AlternateContent>
  <xr:revisionPtr revIDLastSave="278" documentId="13_ncr:1_{DB421CC1-3F51-CB4A-9101-E1FF184FE16F}" xr6:coauthVersionLast="47" xr6:coauthVersionMax="47" xr10:uidLastSave="{96B31407-1214-0A4B-9033-83017A38D005}"/>
  <bookViews>
    <workbookView xWindow="3820" yWindow="500" windowWidth="21380" windowHeight="16160" xr2:uid="{B5C583FC-347D-BB45-996C-1619D2C00AF2}"/>
  </bookViews>
  <sheets>
    <sheet name="Figure 3b" sheetId="1" r:id="rId1"/>
    <sheet name="Figure 3c" sheetId="2" r:id="rId2"/>
    <sheet name="Figure 3d" sheetId="3" r:id="rId3"/>
    <sheet name="Figure 3e" sheetId="4" r:id="rId4"/>
    <sheet name="Figure 3f" sheetId="5" r:id="rId5"/>
    <sheet name="Figure 3g" sheetId="6" r:id="rId6"/>
    <sheet name="Figure 3h" sheetId="7" r:id="rId7"/>
    <sheet name="Figure 3i" sheetId="8" r:id="rId8"/>
    <sheet name="Figure 3j" sheetId="9" r:id="rId9"/>
    <sheet name="Figure 3m" sheetId="10" r:id="rId10"/>
    <sheet name="Figure 3n" sheetId="11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2" l="1"/>
  <c r="A8" i="1"/>
  <c r="M13" i="5"/>
  <c r="L13" i="5"/>
  <c r="K13" i="5"/>
  <c r="J13" i="5"/>
  <c r="I13" i="5"/>
  <c r="H13" i="5"/>
  <c r="G13" i="5"/>
  <c r="F13" i="5"/>
  <c r="E13" i="5"/>
  <c r="D13" i="5"/>
  <c r="C13" i="5"/>
  <c r="B13" i="5"/>
  <c r="M12" i="5"/>
  <c r="L12" i="5"/>
  <c r="K12" i="5"/>
  <c r="J12" i="5"/>
  <c r="I12" i="5"/>
  <c r="H12" i="5"/>
  <c r="G12" i="5"/>
  <c r="F12" i="5"/>
  <c r="E12" i="5"/>
  <c r="D12" i="5"/>
  <c r="C12" i="5"/>
  <c r="B12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N9" i="2"/>
  <c r="M9" i="2"/>
  <c r="L9" i="2"/>
  <c r="K9" i="2"/>
  <c r="J9" i="2"/>
  <c r="I9" i="2"/>
  <c r="H9" i="2"/>
  <c r="G9" i="2"/>
  <c r="F9" i="2"/>
  <c r="E9" i="2"/>
  <c r="D9" i="2"/>
  <c r="C9" i="2"/>
  <c r="B9" i="2"/>
  <c r="N8" i="1"/>
  <c r="M8" i="1"/>
  <c r="L8" i="1"/>
  <c r="K8" i="1"/>
  <c r="J8" i="1"/>
  <c r="I8" i="1"/>
  <c r="H8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<sst xmlns="http://schemas.openxmlformats.org/spreadsheetml/2006/main" count="209" uniqueCount="70">
  <si>
    <t>Figure 3b</t>
  </si>
  <si>
    <t>sgNTC</t>
  </si>
  <si>
    <r>
      <t>sg</t>
    </r>
    <r>
      <rPr>
        <i/>
        <sz val="12"/>
        <color theme="1"/>
        <rFont val="Arial"/>
        <family val="2"/>
      </rPr>
      <t>Ets1</t>
    </r>
  </si>
  <si>
    <r>
      <t xml:space="preserve">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</si>
  <si>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</si>
  <si>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r>
      <t>sgNTC vs. sg</t>
    </r>
    <r>
      <rPr>
        <i/>
        <sz val="12"/>
        <color theme="1"/>
        <rFont val="Arial"/>
        <family val="2"/>
      </rPr>
      <t>Ets1</t>
    </r>
  </si>
  <si>
    <t>&lt;0.0001</t>
  </si>
  <si>
    <t>Figure 3c</t>
  </si>
  <si>
    <t>Figure 3d</t>
  </si>
  <si>
    <t>Figure 3e</t>
  </si>
  <si>
    <t>OT-I</t>
  </si>
  <si>
    <t>Tpex</t>
  </si>
  <si>
    <t>Tex</t>
  </si>
  <si>
    <t>Figure 3f</t>
  </si>
  <si>
    <r>
      <t xml:space="preserve">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</si>
  <si>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t>Figure 3g</t>
  </si>
  <si>
    <t>two-way ANOVA</t>
  </si>
  <si>
    <t>Days</t>
  </si>
  <si>
    <t>No cell transfer</t>
  </si>
  <si>
    <t>sgNTC OT-I</t>
  </si>
  <si>
    <r>
      <t>sg</t>
    </r>
    <r>
      <rPr>
        <i/>
        <sz val="12"/>
        <rFont val="Arial"/>
        <family val="2"/>
      </rPr>
      <t>Ets1</t>
    </r>
    <r>
      <rPr>
        <sz val="12"/>
        <rFont val="Arial"/>
        <family val="2"/>
      </rPr>
      <t xml:space="preserve"> OT-I</t>
    </r>
  </si>
  <si>
    <t>Figure 3h</t>
  </si>
  <si>
    <t>sgNTC pmel</t>
  </si>
  <si>
    <r>
      <t>sg</t>
    </r>
    <r>
      <rPr>
        <i/>
        <sz val="12"/>
        <rFont val="Arial"/>
        <family val="2"/>
      </rPr>
      <t>Ets1</t>
    </r>
    <r>
      <rPr>
        <sz val="12"/>
        <rFont val="Arial"/>
        <family val="2"/>
      </rPr>
      <t xml:space="preserve"> pmel</t>
    </r>
  </si>
  <si>
    <t>Figure 3i</t>
  </si>
  <si>
    <r>
      <t>P</t>
    </r>
    <r>
      <rPr>
        <sz val="12"/>
        <color rgb="FF000000"/>
        <rFont val="Arial"/>
        <family val="2"/>
      </rPr>
      <t xml:space="preserve"> value</t>
    </r>
  </si>
  <si>
    <r>
      <t>sgNTC vs. sg</t>
    </r>
    <r>
      <rPr>
        <i/>
        <sz val="12"/>
        <color rgb="FF000000"/>
        <rFont val="Arial"/>
        <family val="2"/>
      </rPr>
      <t>Ets1</t>
    </r>
  </si>
  <si>
    <t>Figure 3j</t>
  </si>
  <si>
    <t>sgNTC OT-I + isotype</t>
  </si>
  <si>
    <t>sgNTC OT-I + anti-PD-L1</t>
  </si>
  <si>
    <r>
      <t>sg</t>
    </r>
    <r>
      <rPr>
        <i/>
        <sz val="12"/>
        <rFont val="Arial"/>
        <family val="2"/>
      </rPr>
      <t>Ets1</t>
    </r>
    <r>
      <rPr>
        <sz val="12"/>
        <rFont val="Arial"/>
        <family val="2"/>
      </rPr>
      <t xml:space="preserve"> OT-I + isotype</t>
    </r>
  </si>
  <si>
    <r>
      <t>sg</t>
    </r>
    <r>
      <rPr>
        <i/>
        <sz val="12"/>
        <rFont val="Arial"/>
        <family val="2"/>
      </rPr>
      <t>Ets1</t>
    </r>
    <r>
      <rPr>
        <sz val="12"/>
        <rFont val="Arial"/>
        <family val="2"/>
      </rPr>
      <t xml:space="preserve"> OT-I + anti-PD-L1</t>
    </r>
  </si>
  <si>
    <t>sgNTC OT-I + isotype vs. sgNTC OT-I + anti-PD-L1</t>
  </si>
  <si>
    <r>
      <t>sgNTC OT-I + isotype vs. sg</t>
    </r>
    <r>
      <rPr>
        <i/>
        <sz val="12"/>
        <color theme="1"/>
        <rFont val="Arial"/>
        <family val="2"/>
      </rPr>
      <t>Ets1</t>
    </r>
    <r>
      <rPr>
        <sz val="12"/>
        <color theme="1"/>
        <rFont val="Arial"/>
        <family val="2"/>
      </rPr>
      <t xml:space="preserve"> OT-I + isotype</t>
    </r>
  </si>
  <si>
    <r>
      <t>sgNTC OT-I + isotype vs. sg</t>
    </r>
    <r>
      <rPr>
        <i/>
        <sz val="12"/>
        <color theme="1"/>
        <rFont val="Arial"/>
        <family val="2"/>
      </rPr>
      <t>Ets1</t>
    </r>
    <r>
      <rPr>
        <sz val="12"/>
        <color theme="1"/>
        <rFont val="Arial"/>
        <family val="2"/>
      </rPr>
      <t xml:space="preserve"> OT-I + anti-PD-L1</t>
    </r>
  </si>
  <si>
    <r>
      <t>sgNTC OT-I + anti-PD-L1 vs. sg</t>
    </r>
    <r>
      <rPr>
        <i/>
        <sz val="12"/>
        <color theme="1"/>
        <rFont val="Arial"/>
        <family val="2"/>
      </rPr>
      <t>Ets1</t>
    </r>
    <r>
      <rPr>
        <sz val="12"/>
        <color theme="1"/>
        <rFont val="Arial"/>
        <family val="2"/>
      </rPr>
      <t xml:space="preserve"> OT-I + anti-PD-L1</t>
    </r>
  </si>
  <si>
    <r>
      <t>sg</t>
    </r>
    <r>
      <rPr>
        <i/>
        <sz val="12"/>
        <color theme="1"/>
        <rFont val="Arial"/>
        <family val="2"/>
      </rPr>
      <t>Ets1</t>
    </r>
    <r>
      <rPr>
        <sz val="12"/>
        <color theme="1"/>
        <rFont val="Arial"/>
        <family val="2"/>
      </rPr>
      <t xml:space="preserve"> OT-I + isotype vs. sg</t>
    </r>
    <r>
      <rPr>
        <i/>
        <sz val="12"/>
        <color theme="1"/>
        <rFont val="Arial"/>
        <family val="2"/>
      </rPr>
      <t>Ets1</t>
    </r>
    <r>
      <rPr>
        <sz val="12"/>
        <color theme="1"/>
        <rFont val="Arial"/>
        <family val="2"/>
      </rPr>
      <t xml:space="preserve"> OT-I + anti-PD-L1</t>
    </r>
  </si>
  <si>
    <t>one-way ANOVA</t>
  </si>
  <si>
    <r>
      <t>sg</t>
    </r>
    <r>
      <rPr>
        <i/>
        <sz val="12"/>
        <rFont val="Arial"/>
        <family val="2"/>
      </rPr>
      <t>Ets1</t>
    </r>
  </si>
  <si>
    <r>
      <t>sg</t>
    </r>
    <r>
      <rPr>
        <i/>
        <sz val="12"/>
        <rFont val="Arial"/>
        <family val="2"/>
      </rPr>
      <t>Batf</t>
    </r>
  </si>
  <si>
    <r>
      <t>sg</t>
    </r>
    <r>
      <rPr>
        <i/>
        <sz val="12"/>
        <rFont val="Arial"/>
        <family val="2"/>
      </rPr>
      <t>Ets1</t>
    </r>
    <r>
      <rPr>
        <sz val="12"/>
        <rFont val="Arial"/>
        <family val="2"/>
      </rPr>
      <t xml:space="preserve"> + </t>
    </r>
    <r>
      <rPr>
        <i/>
        <sz val="12"/>
        <rFont val="Arial"/>
        <family val="2"/>
      </rPr>
      <t>Batf</t>
    </r>
  </si>
  <si>
    <r>
      <t>sg</t>
    </r>
    <r>
      <rPr>
        <i/>
        <sz val="12"/>
        <color theme="1"/>
        <rFont val="Arial"/>
        <family val="2"/>
      </rPr>
      <t>Ets1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Ets1</t>
    </r>
    <r>
      <rPr>
        <sz val="12"/>
        <color theme="1"/>
        <rFont val="Arial"/>
        <family val="2"/>
      </rPr>
      <t xml:space="preserve"> + </t>
    </r>
    <r>
      <rPr>
        <i/>
        <sz val="12"/>
        <color theme="1"/>
        <rFont val="Arial"/>
        <family val="2"/>
      </rPr>
      <t>Batf</t>
    </r>
  </si>
  <si>
    <r>
      <t>sg</t>
    </r>
    <r>
      <rPr>
        <i/>
        <sz val="12"/>
        <color theme="1"/>
        <rFont val="Arial"/>
        <family val="2"/>
      </rPr>
      <t>Batf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Ets1</t>
    </r>
    <r>
      <rPr>
        <sz val="12"/>
        <color theme="1"/>
        <rFont val="Arial"/>
        <family val="2"/>
      </rPr>
      <t xml:space="preserve"> + </t>
    </r>
    <r>
      <rPr>
        <i/>
        <sz val="12"/>
        <color theme="1"/>
        <rFont val="Arial"/>
        <family val="2"/>
      </rPr>
      <t>Batf</t>
    </r>
  </si>
  <si>
    <t>Figure 3m</t>
  </si>
  <si>
    <r>
      <t>Cell number (per gram tumour) (x10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)</t>
    </r>
  </si>
  <si>
    <r>
      <t>Tpex (Ly108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)</t>
    </r>
  </si>
  <si>
    <r>
      <t>Tex (Ly108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)</t>
    </r>
  </si>
  <si>
    <r>
      <t>Cell number (per gram tumour) (x10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</si>
  <si>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OVA/H-2Kb</t>
  </si>
  <si>
    <t>Tpex secondary transfer</t>
  </si>
  <si>
    <t>B16-OVA tumour</t>
  </si>
  <si>
    <r>
      <t>Tumour size (x10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</si>
  <si>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B16-F10 tumour</t>
  </si>
  <si>
    <t>B16-hCD19 tumour</t>
  </si>
  <si>
    <r>
      <t>OT-I in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TILs (%) (relative to 'spike') </t>
    </r>
  </si>
  <si>
    <t xml:space="preserve">Tpex in OT-I (%) (relative to 'spike') </t>
  </si>
  <si>
    <t xml:space="preserve">Tex in OT-I (%) (relative to 'spike') </t>
  </si>
  <si>
    <r>
      <t>GZMB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in OT-I (%) (relative to 'spike') </t>
    </r>
  </si>
  <si>
    <r>
      <t>IFN</t>
    </r>
    <r>
      <rPr>
        <sz val="12"/>
        <color theme="1"/>
        <rFont val="Symbol"/>
        <charset val="2"/>
      </rPr>
      <t>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in OT-I (%) (relative to 'spike')</t>
    </r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</si>
  <si>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 (relative to 'spike') </t>
    </r>
  </si>
  <si>
    <r>
      <t>Tumour size (x10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 mm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)</t>
    </r>
  </si>
  <si>
    <t>Fold change of Tex number (relative to 'spike')</t>
  </si>
  <si>
    <r>
      <t>IFN</t>
    </r>
    <r>
      <rPr>
        <sz val="12"/>
        <color theme="1"/>
        <rFont val="Symbol"/>
        <charset val="2"/>
      </rPr>
      <t>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in OT-I (%) (relative to 'spike') </t>
    </r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</si>
  <si>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in OT-I (%) (relative to 'spike') </t>
    </r>
  </si>
  <si>
    <t>Tex in OT-I (%) (relative to 'spike')</t>
  </si>
  <si>
    <t>Days after tumour challenge</t>
  </si>
  <si>
    <t>Figure 3n</t>
  </si>
  <si>
    <t>Tex secondary transfer</t>
  </si>
  <si>
    <t>sgNTC CAR T</t>
  </si>
  <si>
    <r>
      <t>sg</t>
    </r>
    <r>
      <rPr>
        <i/>
        <sz val="12"/>
        <rFont val="Arial"/>
        <family val="2"/>
      </rPr>
      <t>Ets1</t>
    </r>
    <r>
      <rPr>
        <sz val="12"/>
        <rFont val="Arial"/>
        <family val="2"/>
      </rPr>
      <t xml:space="preserve"> CAR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</si>
</sst>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theme="1"/>
      <name val="Symbol"/>
      <charset val="2"/>
    </font>
    <font>
      <i/>
      <sz val="12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1" fillId="0" borderId="4" xfId="0" applyFont="1" applyBorder="1"/>
    <xf numFmtId="0" fontId="4" fillId="0" borderId="9" xfId="0" applyFont="1" applyBorder="1" applyAlignment="1">
      <alignment horizontal="center"/>
    </xf>
    <xf numFmtId="2" fontId="4" fillId="0" borderId="0" xfId="0" applyNumberFormat="1" applyFont="1" applyAlignment="1">
      <alignment horizontal="left"/>
    </xf>
    <xf numFmtId="2" fontId="4" fillId="0" borderId="8" xfId="0" applyNumberFormat="1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0" xfId="0" applyFont="1"/>
    <xf numFmtId="0" fontId="7" fillId="0" borderId="4" xfId="0" applyFont="1" applyBorder="1"/>
    <xf numFmtId="0" fontId="7" fillId="0" borderId="6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10" fillId="0" borderId="0" xfId="0" applyFont="1"/>
    <xf numFmtId="2" fontId="4" fillId="0" borderId="1" xfId="0" applyNumberFormat="1" applyFont="1" applyBorder="1" applyAlignment="1">
      <alignment horizontal="left"/>
    </xf>
    <xf numFmtId="2" fontId="4" fillId="0" borderId="2" xfId="0" applyNumberFormat="1" applyFont="1" applyBorder="1" applyAlignment="1">
      <alignment horizontal="left"/>
    </xf>
    <xf numFmtId="2" fontId="4" fillId="0" borderId="3" xfId="0" applyNumberFormat="1" applyFont="1" applyBorder="1" applyAlignment="1">
      <alignment horizontal="left"/>
    </xf>
    <xf numFmtId="0" fontId="11" fillId="0" borderId="0" xfId="0" applyFont="1"/>
    <xf numFmtId="0" fontId="12" fillId="0" borderId="0" xfId="0" applyFont="1"/>
    <xf numFmtId="165" fontId="4" fillId="0" borderId="1" xfId="0" applyNumberFormat="1" applyFont="1" applyBorder="1" applyAlignment="1">
      <alignment horizontal="left"/>
    </xf>
    <xf numFmtId="165" fontId="4" fillId="0" borderId="2" xfId="0" applyNumberFormat="1" applyFont="1" applyBorder="1" applyAlignment="1">
      <alignment horizontal="left"/>
    </xf>
    <xf numFmtId="165" fontId="4" fillId="0" borderId="3" xfId="0" applyNumberFormat="1" applyFont="1" applyBorder="1" applyAlignment="1">
      <alignment horizontal="left"/>
    </xf>
    <xf numFmtId="165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2" fontId="1" fillId="0" borderId="6" xfId="0" applyNumberFormat="1" applyFont="1" applyBorder="1" applyAlignment="1">
      <alignment horizontal="left"/>
    </xf>
    <xf numFmtId="0" fontId="13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3BB66-61D8-FC43-ABE3-CAE43D850D86}">
  <dimension ref="A1:Q9"/>
  <sheetViews>
    <sheetView tabSelected="1" zoomScale="79" workbookViewId="0">
      <selection activeCell="E8" sqref="E8"/>
    </sheetView>
  </sheetViews>
  <sheetFormatPr baseColWidth="10" defaultColWidth="11" defaultRowHeight="16" x14ac:dyDescent="0.2"/>
  <cols>
    <col min="1" max="4" width="12.1640625" bestFit="1" customWidth="1"/>
    <col min="5" max="7" width="11.1640625" bestFit="1" customWidth="1"/>
    <col min="8" max="14" width="12.1640625" bestFit="1" customWidth="1"/>
    <col min="16" max="16" width="20.1640625" customWidth="1"/>
  </cols>
  <sheetData>
    <row r="1" spans="1:17" x14ac:dyDescent="0.2">
      <c r="A1" s="27" t="s">
        <v>0</v>
      </c>
    </row>
    <row r="2" spans="1:17" ht="18" x14ac:dyDescent="0.2">
      <c r="A2" s="36" t="s">
        <v>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1"/>
      <c r="P2" s="1"/>
      <c r="Q2" s="1"/>
    </row>
    <row r="3" spans="1:17" x14ac:dyDescent="0.2">
      <c r="A3" s="39" t="s">
        <v>1</v>
      </c>
      <c r="B3" s="40"/>
      <c r="C3" s="40"/>
      <c r="D3" s="40"/>
      <c r="E3" s="40"/>
      <c r="F3" s="40"/>
      <c r="G3" s="40"/>
      <c r="H3" s="36" t="s">
        <v>2</v>
      </c>
      <c r="I3" s="37"/>
      <c r="J3" s="37"/>
      <c r="K3" s="37"/>
      <c r="L3" s="37"/>
      <c r="M3" s="37"/>
      <c r="N3" s="38"/>
      <c r="O3" s="1"/>
      <c r="P3" s="2" t="s">
        <v>3</v>
      </c>
      <c r="Q3" s="2" t="s">
        <v>4</v>
      </c>
    </row>
    <row r="4" spans="1:17" x14ac:dyDescent="0.2">
      <c r="A4" s="24">
        <v>0.88056365000000003</v>
      </c>
      <c r="B4" s="25">
        <v>1.0211085799999999</v>
      </c>
      <c r="C4" s="25">
        <v>1.04702271</v>
      </c>
      <c r="D4" s="25">
        <v>0.95567632999999996</v>
      </c>
      <c r="E4" s="25">
        <v>1.1378854599999999</v>
      </c>
      <c r="F4" s="25">
        <v>1.0796238199999999</v>
      </c>
      <c r="G4" s="26">
        <v>0.96347382000000004</v>
      </c>
      <c r="H4" s="24">
        <v>2.0479041900000001</v>
      </c>
      <c r="I4" s="25">
        <v>1.97474481</v>
      </c>
      <c r="J4" s="25">
        <v>1.37159484</v>
      </c>
      <c r="K4" s="25">
        <v>1.76727626</v>
      </c>
      <c r="L4" s="25">
        <v>1.5740119800000001</v>
      </c>
      <c r="M4" s="25">
        <v>1.47355992</v>
      </c>
      <c r="N4" s="26">
        <v>1.42410547</v>
      </c>
      <c r="O4" s="1"/>
      <c r="P4" s="2" t="s">
        <v>5</v>
      </c>
      <c r="Q4" s="2" t="s">
        <v>6</v>
      </c>
    </row>
    <row r="5" spans="1:17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"/>
      <c r="P5" s="7"/>
      <c r="Q5" s="7"/>
    </row>
    <row r="6" spans="1:17" ht="18" x14ac:dyDescent="0.2">
      <c r="A6" s="36" t="s">
        <v>44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1"/>
      <c r="P6" s="7"/>
      <c r="Q6" s="7"/>
    </row>
    <row r="7" spans="1:17" x14ac:dyDescent="0.2">
      <c r="A7" s="39" t="s">
        <v>1</v>
      </c>
      <c r="B7" s="40"/>
      <c r="C7" s="40"/>
      <c r="D7" s="40"/>
      <c r="E7" s="40"/>
      <c r="F7" s="40"/>
      <c r="G7" s="40"/>
      <c r="H7" s="36" t="s">
        <v>2</v>
      </c>
      <c r="I7" s="37"/>
      <c r="J7" s="37"/>
      <c r="K7" s="37"/>
      <c r="L7" s="37"/>
      <c r="M7" s="37"/>
      <c r="N7" s="38"/>
      <c r="O7" s="1"/>
      <c r="P7" s="2" t="s">
        <v>3</v>
      </c>
      <c r="Q7" s="2" t="s">
        <v>4</v>
      </c>
    </row>
    <row r="8" spans="1:17" x14ac:dyDescent="0.2">
      <c r="A8" s="3">
        <f>23515.3039/10^4</f>
        <v>2.3515303899999997</v>
      </c>
      <c r="B8" s="4">
        <f>12056.466/10^4</f>
        <v>1.2056466000000001</v>
      </c>
      <c r="C8" s="4">
        <f>28381.966/10^4</f>
        <v>2.8381965999999998</v>
      </c>
      <c r="D8" s="4">
        <f>14398.0016/10^4</f>
        <v>1.4398001599999999</v>
      </c>
      <c r="E8" s="4">
        <f>3862.79673/10^4</f>
        <v>0.38627967299999999</v>
      </c>
      <c r="F8" s="4">
        <f>2764.94891/10^4</f>
        <v>0.27649489100000002</v>
      </c>
      <c r="G8" s="4">
        <f>9462.32236/10^4</f>
        <v>0.94623223600000006</v>
      </c>
      <c r="H8" s="3">
        <f>66696.8786/10^4</f>
        <v>6.6696878599999998</v>
      </c>
      <c r="I8" s="4">
        <f>28218.7599/10^4</f>
        <v>2.8218759900000001</v>
      </c>
      <c r="J8" s="4">
        <f>47808.0111/10^4</f>
        <v>4.7808011100000005</v>
      </c>
      <c r="K8" s="4">
        <f>48762.2572/10^4</f>
        <v>4.8762257199999999</v>
      </c>
      <c r="L8" s="4">
        <f>24366.423/10^4</f>
        <v>2.4366422999999999</v>
      </c>
      <c r="M8" s="4">
        <f>14411.878/10^4</f>
        <v>1.4411878</v>
      </c>
      <c r="N8" s="5">
        <f>42437.145/10^4</f>
        <v>4.2437144999999994</v>
      </c>
      <c r="O8" s="1"/>
      <c r="P8" s="2" t="s">
        <v>5</v>
      </c>
      <c r="Q8" s="2">
        <v>5.7999999999999996E-3</v>
      </c>
    </row>
    <row r="9" spans="1:17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</sheetData>
  <mergeCells count="6">
    <mergeCell ref="A2:N2"/>
    <mergeCell ref="A3:G3"/>
    <mergeCell ref="H3:N3"/>
    <mergeCell ref="A6:N6"/>
    <mergeCell ref="A7:G7"/>
    <mergeCell ref="H7:N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1595-5D27-F143-9E60-57B840051F10}">
  <dimension ref="A1:V12"/>
  <sheetViews>
    <sheetView topLeftCell="E1" zoomScale="75" workbookViewId="0">
      <selection activeCell="H24" sqref="H24"/>
    </sheetView>
  </sheetViews>
  <sheetFormatPr baseColWidth="10" defaultColWidth="11" defaultRowHeight="16" x14ac:dyDescent="0.2"/>
  <cols>
    <col min="20" max="20" width="26.83203125" customWidth="1"/>
  </cols>
  <sheetData>
    <row r="1" spans="1:22" x14ac:dyDescent="0.2">
      <c r="A1" s="28" t="s">
        <v>43</v>
      </c>
    </row>
    <row r="2" spans="1:22" ht="18" x14ac:dyDescent="0.2">
      <c r="A2" s="1" t="s">
        <v>46</v>
      </c>
    </row>
    <row r="3" spans="1:22" x14ac:dyDescent="0.2">
      <c r="A3" s="36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1"/>
      <c r="T3" s="2" t="s">
        <v>37</v>
      </c>
      <c r="U3" s="2" t="s">
        <v>4</v>
      </c>
      <c r="V3" s="1"/>
    </row>
    <row r="4" spans="1:22" x14ac:dyDescent="0.2">
      <c r="A4" s="42" t="s">
        <v>1</v>
      </c>
      <c r="B4" s="43"/>
      <c r="C4" s="43"/>
      <c r="D4" s="42" t="s">
        <v>38</v>
      </c>
      <c r="E4" s="43"/>
      <c r="F4" s="43"/>
      <c r="G4" s="43"/>
      <c r="H4" s="44"/>
      <c r="I4" s="52" t="s">
        <v>39</v>
      </c>
      <c r="J4" s="52"/>
      <c r="K4" s="52"/>
      <c r="L4" s="52"/>
      <c r="M4" s="52"/>
      <c r="N4" s="52" t="s">
        <v>40</v>
      </c>
      <c r="O4" s="52"/>
      <c r="P4" s="52"/>
      <c r="Q4" s="52"/>
      <c r="R4" s="52"/>
      <c r="S4" s="1"/>
      <c r="T4" s="2" t="s">
        <v>5</v>
      </c>
      <c r="U4" s="2">
        <v>3.9100000000000003E-2</v>
      </c>
      <c r="V4" s="1"/>
    </row>
    <row r="5" spans="1:22" x14ac:dyDescent="0.2">
      <c r="A5" s="24">
        <v>0.98853210999999996</v>
      </c>
      <c r="B5" s="25">
        <v>0.95212766000000004</v>
      </c>
      <c r="C5" s="25">
        <v>1.4388489200000001</v>
      </c>
      <c r="D5" s="24">
        <v>2.25</v>
      </c>
      <c r="E5" s="25">
        <v>1.83013699</v>
      </c>
      <c r="F5" s="25">
        <v>2.3784860600000002</v>
      </c>
      <c r="G5" s="25">
        <v>1.67021277</v>
      </c>
      <c r="H5" s="26">
        <v>3.9635416700000001</v>
      </c>
      <c r="I5" s="24">
        <v>0.77969761999999998</v>
      </c>
      <c r="J5" s="25">
        <v>1.2828947399999999</v>
      </c>
      <c r="K5" s="25">
        <v>0.42962962999999998</v>
      </c>
      <c r="L5" s="25">
        <v>0.30358306000000002</v>
      </c>
      <c r="M5" s="26">
        <v>0.23615634999999999</v>
      </c>
      <c r="N5" s="24">
        <v>0.80873181000000005</v>
      </c>
      <c r="O5" s="25">
        <v>0.66304348000000002</v>
      </c>
      <c r="P5" s="25">
        <v>1.25</v>
      </c>
      <c r="Q5" s="25">
        <v>0.55000000000000004</v>
      </c>
      <c r="R5" s="26">
        <v>0.26714800999999999</v>
      </c>
      <c r="S5" s="1"/>
      <c r="T5" s="2" t="s">
        <v>41</v>
      </c>
      <c r="U5" s="2">
        <v>1.9E-3</v>
      </c>
      <c r="V5" s="1"/>
    </row>
    <row r="6" spans="1:22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"/>
      <c r="T6" s="2" t="s">
        <v>42</v>
      </c>
      <c r="U6" s="2">
        <v>0.99239999999999995</v>
      </c>
      <c r="V6" s="1"/>
    </row>
    <row r="7" spans="1:22" x14ac:dyDescent="0.2">
      <c r="V7" s="1"/>
    </row>
    <row r="8" spans="1:22" x14ac:dyDescent="0.2">
      <c r="A8" s="36" t="s">
        <v>61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8"/>
      <c r="S8" s="1"/>
      <c r="T8" s="2" t="s">
        <v>37</v>
      </c>
      <c r="U8" s="2" t="s">
        <v>4</v>
      </c>
      <c r="V8" s="1"/>
    </row>
    <row r="9" spans="1:22" x14ac:dyDescent="0.2">
      <c r="A9" s="42" t="s">
        <v>1</v>
      </c>
      <c r="B9" s="43"/>
      <c r="C9" s="43"/>
      <c r="D9" s="42" t="s">
        <v>38</v>
      </c>
      <c r="E9" s="43"/>
      <c r="F9" s="43"/>
      <c r="G9" s="43"/>
      <c r="H9" s="44"/>
      <c r="I9" s="52" t="s">
        <v>39</v>
      </c>
      <c r="J9" s="52"/>
      <c r="K9" s="52"/>
      <c r="L9" s="52"/>
      <c r="M9" s="52"/>
      <c r="N9" s="52" t="s">
        <v>40</v>
      </c>
      <c r="O9" s="52"/>
      <c r="P9" s="52"/>
      <c r="Q9" s="52"/>
      <c r="R9" s="52"/>
      <c r="S9" s="1"/>
      <c r="T9" s="2" t="s">
        <v>5</v>
      </c>
      <c r="U9" s="2" t="s">
        <v>6</v>
      </c>
      <c r="V9" s="1"/>
    </row>
    <row r="10" spans="1:22" x14ac:dyDescent="0.2">
      <c r="A10" s="3">
        <v>0.97916667000000002</v>
      </c>
      <c r="B10" s="4">
        <v>0.9375</v>
      </c>
      <c r="C10" s="4">
        <v>1.06666667</v>
      </c>
      <c r="D10" s="3">
        <v>5.5</v>
      </c>
      <c r="E10" s="4">
        <v>4.1935483900000001</v>
      </c>
      <c r="F10" s="4">
        <v>4.5384615400000001</v>
      </c>
      <c r="G10" s="4">
        <v>4.2222222199999999</v>
      </c>
      <c r="H10" s="5">
        <v>5.1654134999999997</v>
      </c>
      <c r="I10" s="3">
        <v>0.11240964000000001</v>
      </c>
      <c r="J10" s="4">
        <v>0.34266667000000001</v>
      </c>
      <c r="K10" s="4">
        <v>6.3111109999999998E-2</v>
      </c>
      <c r="L10" s="4">
        <v>6.1499999999999999E-2</v>
      </c>
      <c r="M10" s="5">
        <v>1.841667E-2</v>
      </c>
      <c r="N10" s="3">
        <v>9.4210530000000001E-2</v>
      </c>
      <c r="O10" s="4">
        <v>7.7272729999999998E-2</v>
      </c>
      <c r="P10" s="4">
        <v>0.48571428999999999</v>
      </c>
      <c r="Q10" s="4">
        <v>6.6279069999999995E-2</v>
      </c>
      <c r="R10" s="5">
        <v>1.8024999999999999E-2</v>
      </c>
      <c r="S10" s="1"/>
      <c r="T10" s="2" t="s">
        <v>41</v>
      </c>
      <c r="U10" s="2" t="s">
        <v>6</v>
      </c>
      <c r="V10" s="1"/>
    </row>
    <row r="11" spans="1:22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1"/>
      <c r="T11" s="2" t="s">
        <v>42</v>
      </c>
      <c r="U11" s="2">
        <v>0.99909999999999999</v>
      </c>
      <c r="V11" s="1"/>
    </row>
    <row r="12" spans="1:22" x14ac:dyDescent="0.2">
      <c r="A12" s="35"/>
    </row>
  </sheetData>
  <mergeCells count="10">
    <mergeCell ref="A9:C9"/>
    <mergeCell ref="D9:H9"/>
    <mergeCell ref="I9:M9"/>
    <mergeCell ref="N9:R9"/>
    <mergeCell ref="A3:R3"/>
    <mergeCell ref="A4:C4"/>
    <mergeCell ref="D4:H4"/>
    <mergeCell ref="I4:M4"/>
    <mergeCell ref="N4:R4"/>
    <mergeCell ref="A8:R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55A84-60B9-BF4B-A86C-3448620FE60A}">
  <dimension ref="A1:AB17"/>
  <sheetViews>
    <sheetView topLeftCell="C1" zoomScale="75" workbookViewId="0">
      <selection activeCell="F36" sqref="F36"/>
    </sheetView>
  </sheetViews>
  <sheetFormatPr baseColWidth="10" defaultColWidth="11" defaultRowHeight="16" x14ac:dyDescent="0.2"/>
  <cols>
    <col min="20" max="20" width="24.6640625" customWidth="1"/>
    <col min="26" max="26" width="25.83203125" customWidth="1"/>
  </cols>
  <sheetData>
    <row r="1" spans="1:28" x14ac:dyDescent="0.2">
      <c r="A1" s="28" t="s">
        <v>66</v>
      </c>
    </row>
    <row r="2" spans="1:28" ht="18" x14ac:dyDescent="0.2">
      <c r="A2" s="36" t="s">
        <v>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8"/>
      <c r="Y2" s="1"/>
      <c r="Z2" s="2" t="s">
        <v>37</v>
      </c>
      <c r="AA2" s="2" t="s">
        <v>4</v>
      </c>
      <c r="AB2" s="1"/>
    </row>
    <row r="3" spans="1:28" x14ac:dyDescent="0.2">
      <c r="A3" s="42" t="s">
        <v>1</v>
      </c>
      <c r="B3" s="43"/>
      <c r="C3" s="43"/>
      <c r="D3" s="43"/>
      <c r="E3" s="43"/>
      <c r="F3" s="42" t="s">
        <v>38</v>
      </c>
      <c r="G3" s="43"/>
      <c r="H3" s="43"/>
      <c r="I3" s="43"/>
      <c r="J3" s="43"/>
      <c r="K3" s="43"/>
      <c r="L3" s="52" t="s">
        <v>39</v>
      </c>
      <c r="M3" s="52"/>
      <c r="N3" s="52"/>
      <c r="O3" s="52"/>
      <c r="P3" s="52"/>
      <c r="Q3" s="52"/>
      <c r="R3" s="52"/>
      <c r="S3" s="52" t="s">
        <v>40</v>
      </c>
      <c r="T3" s="52"/>
      <c r="U3" s="52"/>
      <c r="V3" s="52"/>
      <c r="W3" s="52"/>
      <c r="X3" s="52"/>
      <c r="Y3" s="1"/>
      <c r="Z3" s="2" t="s">
        <v>5</v>
      </c>
      <c r="AA3" s="2">
        <v>2.9999999999999997E-4</v>
      </c>
      <c r="AB3" s="1"/>
    </row>
    <row r="4" spans="1:28" x14ac:dyDescent="0.2">
      <c r="A4" s="24">
        <v>0.95136778</v>
      </c>
      <c r="B4" s="25">
        <v>1.09567901</v>
      </c>
      <c r="C4" s="25">
        <v>1.0175054699999999</v>
      </c>
      <c r="D4" s="25">
        <v>1.08241758</v>
      </c>
      <c r="E4" s="25">
        <v>0.90512820999999999</v>
      </c>
      <c r="F4" s="24">
        <v>2.73488372</v>
      </c>
      <c r="G4" s="25">
        <v>1.9088541699999999</v>
      </c>
      <c r="H4" s="25">
        <v>1.5443925199999999</v>
      </c>
      <c r="I4" s="25">
        <v>3.29</v>
      </c>
      <c r="J4" s="25">
        <v>1.61917808</v>
      </c>
      <c r="K4" s="25">
        <v>1.8766756</v>
      </c>
      <c r="L4" s="24">
        <v>0.46734693999999999</v>
      </c>
      <c r="M4" s="25">
        <v>0.48155340000000002</v>
      </c>
      <c r="N4" s="25">
        <v>0.34713376000000001</v>
      </c>
      <c r="O4" s="25">
        <v>0.59166666999999995</v>
      </c>
      <c r="P4" s="25">
        <v>0.43894389</v>
      </c>
      <c r="Q4" s="25">
        <v>0.63464567000000005</v>
      </c>
      <c r="R4" s="26">
        <v>0.68497110000000005</v>
      </c>
      <c r="S4" s="24">
        <v>1.0491228100000001</v>
      </c>
      <c r="T4" s="25">
        <v>0.54513889000000004</v>
      </c>
      <c r="U4" s="25">
        <v>1.1102941200000001</v>
      </c>
      <c r="V4" s="25">
        <v>1.09166667</v>
      </c>
      <c r="W4" s="25">
        <v>1.18115942</v>
      </c>
      <c r="X4" s="26">
        <v>0.90926640999999997</v>
      </c>
      <c r="Y4" s="1"/>
      <c r="Z4" s="2" t="s">
        <v>41</v>
      </c>
      <c r="AA4" s="2">
        <v>1E-4</v>
      </c>
      <c r="AB4" s="1"/>
    </row>
    <row r="5" spans="1:28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1"/>
      <c r="Z5" s="2" t="s">
        <v>42</v>
      </c>
      <c r="AA5" s="2">
        <v>0.15490000000000001</v>
      </c>
      <c r="AB5" s="1"/>
    </row>
    <row r="6" spans="1:28" x14ac:dyDescent="0.2">
      <c r="AB6" s="1"/>
    </row>
    <row r="7" spans="1:28" ht="18" x14ac:dyDescent="0.2">
      <c r="A7" s="36" t="s">
        <v>62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8"/>
      <c r="Y7" s="1"/>
      <c r="Z7" s="2" t="s">
        <v>37</v>
      </c>
      <c r="AA7" s="2" t="s">
        <v>4</v>
      </c>
      <c r="AB7" s="1"/>
    </row>
    <row r="8" spans="1:28" x14ac:dyDescent="0.2">
      <c r="A8" s="42" t="s">
        <v>1</v>
      </c>
      <c r="B8" s="43"/>
      <c r="C8" s="43"/>
      <c r="D8" s="43"/>
      <c r="E8" s="43"/>
      <c r="F8" s="42" t="s">
        <v>38</v>
      </c>
      <c r="G8" s="43"/>
      <c r="H8" s="43"/>
      <c r="I8" s="43"/>
      <c r="J8" s="43"/>
      <c r="K8" s="43"/>
      <c r="L8" s="52" t="s">
        <v>39</v>
      </c>
      <c r="M8" s="52"/>
      <c r="N8" s="52"/>
      <c r="O8" s="52"/>
      <c r="P8" s="52"/>
      <c r="Q8" s="52"/>
      <c r="R8" s="52"/>
      <c r="S8" s="52" t="s">
        <v>40</v>
      </c>
      <c r="T8" s="52"/>
      <c r="U8" s="52"/>
      <c r="V8" s="52"/>
      <c r="W8" s="52"/>
      <c r="X8" s="52"/>
      <c r="Y8" s="1"/>
      <c r="Z8" s="2" t="s">
        <v>5</v>
      </c>
      <c r="AA8" s="2">
        <v>4.4400000000000002E-2</v>
      </c>
      <c r="AB8" s="1"/>
    </row>
    <row r="9" spans="1:28" x14ac:dyDescent="0.2">
      <c r="A9" s="24">
        <v>1.0631067999999999</v>
      </c>
      <c r="B9" s="25">
        <v>1.1898550699999999</v>
      </c>
      <c r="C9" s="25">
        <v>1.05940594</v>
      </c>
      <c r="D9" s="25">
        <v>1.2340425500000001</v>
      </c>
      <c r="E9" s="25">
        <v>0.94054053999999998</v>
      </c>
      <c r="F9" s="24">
        <v>1.9034267899999999</v>
      </c>
      <c r="G9" s="25">
        <v>1.6343115100000001</v>
      </c>
      <c r="H9" s="25">
        <v>1.4008928599999999</v>
      </c>
      <c r="I9" s="25">
        <v>1.3767123299999999</v>
      </c>
      <c r="J9" s="25">
        <v>1.3676691700000001</v>
      </c>
      <c r="K9" s="25">
        <v>1.2756410300000001</v>
      </c>
      <c r="L9" s="24">
        <v>0.72136953999999998</v>
      </c>
      <c r="M9" s="25">
        <v>0.50202429000000004</v>
      </c>
      <c r="N9" s="25">
        <v>0.37812499999999999</v>
      </c>
      <c r="O9" s="25">
        <v>0.50155762999999998</v>
      </c>
      <c r="P9" s="25">
        <v>0.58508771999999998</v>
      </c>
      <c r="Q9" s="25">
        <v>0.70408163000000001</v>
      </c>
      <c r="R9" s="26">
        <v>0.96</v>
      </c>
      <c r="S9" s="24">
        <v>0.74496644000000001</v>
      </c>
      <c r="T9" s="25">
        <v>0.17654321000000001</v>
      </c>
      <c r="U9" s="25">
        <v>0.91737546000000003</v>
      </c>
      <c r="V9" s="25">
        <v>0.53023255999999996</v>
      </c>
      <c r="W9" s="25">
        <v>1.02985075</v>
      </c>
      <c r="X9" s="26">
        <v>0.46178010000000003</v>
      </c>
      <c r="Y9" s="1"/>
      <c r="Z9" s="2" t="s">
        <v>41</v>
      </c>
      <c r="AA9" s="2" t="s">
        <v>6</v>
      </c>
      <c r="AB9" s="1"/>
    </row>
    <row r="10" spans="1:28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1"/>
      <c r="Z10" s="2" t="s">
        <v>42</v>
      </c>
      <c r="AA10" s="2">
        <v>0.99819999999999998</v>
      </c>
      <c r="AB10" s="1"/>
    </row>
    <row r="12" spans="1:28" ht="18" x14ac:dyDescent="0.2">
      <c r="A12" s="36" t="s">
        <v>63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8"/>
      <c r="S12" s="1"/>
      <c r="T12" s="2" t="s">
        <v>37</v>
      </c>
      <c r="U12" s="2" t="s">
        <v>4</v>
      </c>
      <c r="V12" s="1"/>
      <c r="W12" s="1"/>
      <c r="X12" s="1"/>
      <c r="Y12" s="1"/>
      <c r="Z12" s="1"/>
      <c r="AA12" s="1"/>
      <c r="AB12" s="1"/>
    </row>
    <row r="13" spans="1:28" x14ac:dyDescent="0.2">
      <c r="A13" s="42" t="s">
        <v>1</v>
      </c>
      <c r="B13" s="43"/>
      <c r="C13" s="43"/>
      <c r="D13" s="42" t="s">
        <v>38</v>
      </c>
      <c r="E13" s="43"/>
      <c r="F13" s="43"/>
      <c r="G13" s="43"/>
      <c r="H13" s="44"/>
      <c r="I13" s="52" t="s">
        <v>39</v>
      </c>
      <c r="J13" s="52"/>
      <c r="K13" s="52"/>
      <c r="L13" s="52"/>
      <c r="M13" s="52"/>
      <c r="N13" s="52" t="s">
        <v>40</v>
      </c>
      <c r="O13" s="52"/>
      <c r="P13" s="52"/>
      <c r="Q13" s="52"/>
      <c r="R13" s="52"/>
      <c r="S13" s="1"/>
      <c r="T13" s="2" t="s">
        <v>5</v>
      </c>
      <c r="U13" s="2">
        <v>3.0300000000000001E-2</v>
      </c>
      <c r="V13" s="1"/>
      <c r="W13" s="1"/>
      <c r="X13" s="1"/>
      <c r="Y13" s="1"/>
      <c r="Z13" s="1"/>
      <c r="AA13" s="1"/>
      <c r="AB13" s="1"/>
    </row>
    <row r="14" spans="1:28" x14ac:dyDescent="0.2">
      <c r="A14" s="24">
        <v>0.89189189000000002</v>
      </c>
      <c r="B14" s="25">
        <v>1.0833333300000001</v>
      </c>
      <c r="C14" s="25">
        <v>0.98969072000000002</v>
      </c>
      <c r="D14" s="24">
        <v>1.7051792800000001</v>
      </c>
      <c r="E14" s="25">
        <v>1.52191235</v>
      </c>
      <c r="F14" s="25">
        <v>1.5483871</v>
      </c>
      <c r="G14" s="25">
        <v>1.3515625</v>
      </c>
      <c r="H14" s="26">
        <v>2.1209677400000002</v>
      </c>
      <c r="I14" s="24">
        <v>0.95111111000000004</v>
      </c>
      <c r="J14" s="25">
        <v>1.33962264</v>
      </c>
      <c r="K14" s="25">
        <v>0.56532066999999997</v>
      </c>
      <c r="L14" s="25">
        <v>1.23734177</v>
      </c>
      <c r="M14" s="26">
        <v>0.66095238000000001</v>
      </c>
      <c r="N14" s="24">
        <v>0.38873238999999998</v>
      </c>
      <c r="O14" s="25">
        <v>0.78167116000000003</v>
      </c>
      <c r="P14" s="25">
        <v>0.55516014000000002</v>
      </c>
      <c r="Q14" s="25">
        <v>1.129683</v>
      </c>
      <c r="R14" s="26">
        <v>0.64190981000000003</v>
      </c>
      <c r="S14" s="1"/>
      <c r="T14" s="2" t="s">
        <v>41</v>
      </c>
      <c r="U14" s="2">
        <v>5.9999999999999995E-4</v>
      </c>
      <c r="V14" s="1"/>
      <c r="W14" s="23"/>
      <c r="X14" s="1"/>
      <c r="Y14" s="1"/>
      <c r="Z14" s="1"/>
      <c r="AA14" s="1"/>
      <c r="AB14" s="1"/>
    </row>
    <row r="15" spans="1:28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1"/>
      <c r="T15" s="2" t="s">
        <v>42</v>
      </c>
      <c r="U15" s="2">
        <v>0.52249999999999996</v>
      </c>
      <c r="V15" s="1"/>
      <c r="W15" s="1"/>
      <c r="X15" s="1"/>
      <c r="Y15" s="1"/>
      <c r="Z15" s="1"/>
      <c r="AA15" s="1"/>
      <c r="AB15" s="1"/>
    </row>
    <row r="16" spans="1:28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</sheetData>
  <mergeCells count="15">
    <mergeCell ref="A13:C13"/>
    <mergeCell ref="D13:H13"/>
    <mergeCell ref="I13:M13"/>
    <mergeCell ref="N13:R13"/>
    <mergeCell ref="A2:X2"/>
    <mergeCell ref="A3:E3"/>
    <mergeCell ref="F3:K3"/>
    <mergeCell ref="L3:R3"/>
    <mergeCell ref="S3:X3"/>
    <mergeCell ref="A7:X7"/>
    <mergeCell ref="A8:E8"/>
    <mergeCell ref="F8:K8"/>
    <mergeCell ref="L8:R8"/>
    <mergeCell ref="S8:X8"/>
    <mergeCell ref="A12:R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E543C-3696-A643-BB86-F983BAB32DF8}">
  <dimension ref="A1:Q19"/>
  <sheetViews>
    <sheetView zoomScale="75" workbookViewId="0">
      <selection activeCell="K28" sqref="K28"/>
    </sheetView>
  </sheetViews>
  <sheetFormatPr baseColWidth="10" defaultColWidth="11" defaultRowHeight="16" x14ac:dyDescent="0.2"/>
  <cols>
    <col min="1" max="1" width="11.1640625" bestFit="1" customWidth="1"/>
    <col min="2" max="3" width="12.1640625" bestFit="1" customWidth="1"/>
    <col min="4" max="7" width="11.1640625" bestFit="1" customWidth="1"/>
    <col min="8" max="12" width="12.1640625" bestFit="1" customWidth="1"/>
    <col min="13" max="13" width="11.1640625" bestFit="1" customWidth="1"/>
    <col min="14" max="14" width="12.1640625" bestFit="1" customWidth="1"/>
    <col min="16" max="16" width="21" customWidth="1"/>
  </cols>
  <sheetData>
    <row r="1" spans="1:17" x14ac:dyDescent="0.2">
      <c r="A1" s="27" t="s">
        <v>7</v>
      </c>
    </row>
    <row r="2" spans="1:17" ht="18" x14ac:dyDescent="0.2">
      <c r="A2" s="1" t="s">
        <v>45</v>
      </c>
    </row>
    <row r="3" spans="1:17" x14ac:dyDescent="0.2">
      <c r="A3" s="36" t="s">
        <v>55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1"/>
      <c r="P3" s="1"/>
      <c r="Q3" s="1"/>
    </row>
    <row r="4" spans="1:17" x14ac:dyDescent="0.2">
      <c r="A4" s="39" t="s">
        <v>1</v>
      </c>
      <c r="B4" s="40"/>
      <c r="C4" s="40"/>
      <c r="D4" s="40"/>
      <c r="E4" s="40"/>
      <c r="F4" s="40"/>
      <c r="G4" s="40"/>
      <c r="H4" s="39" t="s">
        <v>2</v>
      </c>
      <c r="I4" s="40"/>
      <c r="J4" s="40"/>
      <c r="K4" s="40"/>
      <c r="L4" s="40"/>
      <c r="M4" s="40"/>
      <c r="N4" s="41"/>
      <c r="O4" s="1"/>
      <c r="P4" s="2" t="s">
        <v>3</v>
      </c>
      <c r="Q4" s="2" t="s">
        <v>4</v>
      </c>
    </row>
    <row r="5" spans="1:17" x14ac:dyDescent="0.2">
      <c r="A5" s="24">
        <v>0.88549617999999997</v>
      </c>
      <c r="B5" s="25">
        <v>1.0487105999999999</v>
      </c>
      <c r="C5" s="25">
        <v>0.99821747000000005</v>
      </c>
      <c r="D5" s="25">
        <v>0.96410256000000005</v>
      </c>
      <c r="E5" s="25">
        <v>0.91735537</v>
      </c>
      <c r="F5" s="25">
        <v>0.78849144999999998</v>
      </c>
      <c r="G5" s="25">
        <v>1.06749311</v>
      </c>
      <c r="H5" s="24">
        <v>0.48271092999999998</v>
      </c>
      <c r="I5" s="25">
        <v>0.37386017999999999</v>
      </c>
      <c r="J5" s="25">
        <v>0.61348897999999996</v>
      </c>
      <c r="K5" s="25">
        <v>0.81282051</v>
      </c>
      <c r="L5" s="25">
        <v>0.46045918000000002</v>
      </c>
      <c r="M5" s="25">
        <v>0.53532608999999998</v>
      </c>
      <c r="N5" s="26">
        <v>0.66189856999999996</v>
      </c>
      <c r="O5" s="1"/>
      <c r="P5" s="2" t="s">
        <v>5</v>
      </c>
      <c r="Q5" s="2" t="s">
        <v>6</v>
      </c>
    </row>
    <row r="6" spans="1:17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"/>
      <c r="P6" s="7"/>
      <c r="Q6" s="7"/>
    </row>
    <row r="7" spans="1:17" ht="18" x14ac:dyDescent="0.2">
      <c r="A7" s="36" t="s">
        <v>47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  <c r="O7" s="1"/>
      <c r="P7" s="7"/>
      <c r="Q7" s="7"/>
    </row>
    <row r="8" spans="1:17" x14ac:dyDescent="0.2">
      <c r="A8" s="39" t="s">
        <v>1</v>
      </c>
      <c r="B8" s="40"/>
      <c r="C8" s="40"/>
      <c r="D8" s="40"/>
      <c r="E8" s="40"/>
      <c r="F8" s="40"/>
      <c r="G8" s="40"/>
      <c r="H8" s="39" t="s">
        <v>2</v>
      </c>
      <c r="I8" s="40"/>
      <c r="J8" s="40"/>
      <c r="K8" s="40"/>
      <c r="L8" s="40"/>
      <c r="M8" s="40"/>
      <c r="N8" s="41"/>
      <c r="O8" s="1"/>
      <c r="P8" s="2" t="s">
        <v>3</v>
      </c>
      <c r="Q8" s="2" t="s">
        <v>4</v>
      </c>
    </row>
    <row r="9" spans="1:17" x14ac:dyDescent="0.2">
      <c r="A9" s="29">
        <f>6954.78271/10^3</f>
        <v>6.9547827100000008</v>
      </c>
      <c r="B9" s="30">
        <f>5455.55051/10^3</f>
        <v>5.4555505100000001</v>
      </c>
      <c r="C9" s="30">
        <f>4412.66656/10^3</f>
        <v>4.4126665599999999</v>
      </c>
      <c r="D9" s="30">
        <f>15893.901/10^3</f>
        <v>15.893901</v>
      </c>
      <c r="E9" s="30">
        <f>15722.79/10^3</f>
        <v>15.722790000000002</v>
      </c>
      <c r="F9" s="30">
        <f>6392.7127/10^3</f>
        <v>6.3927126999999997</v>
      </c>
      <c r="G9" s="30">
        <f>6472.2285/10^3</f>
        <v>6.4722284999999999</v>
      </c>
      <c r="H9" s="29">
        <f>6941.81494/10^3</f>
        <v>6.9418149400000004</v>
      </c>
      <c r="I9" s="30">
        <f>22613.1892/10^3</f>
        <v>22.613189200000001</v>
      </c>
      <c r="J9" s="30">
        <f>3027.78326/10^3</f>
        <v>3.0277832600000001</v>
      </c>
      <c r="K9" s="30">
        <f>17603.1748/10^3</f>
        <v>17.603174800000001</v>
      </c>
      <c r="L9" s="30">
        <f>9600.37066/10^3</f>
        <v>9.6003706600000012</v>
      </c>
      <c r="M9" s="30">
        <f>2507.66678/10^3</f>
        <v>2.5076667800000001</v>
      </c>
      <c r="N9" s="31">
        <f>19600.5068/10^3</f>
        <v>19.600506799999998</v>
      </c>
      <c r="O9" s="1"/>
      <c r="P9" s="2" t="s">
        <v>5</v>
      </c>
      <c r="Q9" s="2">
        <v>0.43070000000000003</v>
      </c>
    </row>
    <row r="10" spans="1:17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1"/>
      <c r="P10" s="7"/>
      <c r="Q10" s="7"/>
    </row>
    <row r="11" spans="1:17" ht="18" x14ac:dyDescent="0.2">
      <c r="A11" s="1" t="s">
        <v>46</v>
      </c>
    </row>
    <row r="12" spans="1:17" x14ac:dyDescent="0.2">
      <c r="A12" s="36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8"/>
      <c r="O12" s="1"/>
      <c r="P12" s="1"/>
      <c r="Q12" s="1"/>
    </row>
    <row r="13" spans="1:17" x14ac:dyDescent="0.2">
      <c r="A13" s="39" t="s">
        <v>1</v>
      </c>
      <c r="B13" s="40"/>
      <c r="C13" s="40"/>
      <c r="D13" s="40"/>
      <c r="E13" s="40"/>
      <c r="F13" s="40"/>
      <c r="G13" s="40"/>
      <c r="H13" s="39" t="s">
        <v>2</v>
      </c>
      <c r="I13" s="40"/>
      <c r="J13" s="40"/>
      <c r="K13" s="40"/>
      <c r="L13" s="40"/>
      <c r="M13" s="40"/>
      <c r="N13" s="41"/>
      <c r="O13" s="1"/>
      <c r="P13" s="2" t="s">
        <v>3</v>
      </c>
      <c r="Q13" s="2" t="s">
        <v>4</v>
      </c>
    </row>
    <row r="14" spans="1:17" x14ac:dyDescent="0.2">
      <c r="A14" s="24">
        <v>1.1159196300000001</v>
      </c>
      <c r="B14" s="25">
        <v>1.01674277</v>
      </c>
      <c r="C14" s="25">
        <v>0.97654940999999995</v>
      </c>
      <c r="D14" s="25">
        <v>0.99246230999999996</v>
      </c>
      <c r="E14" s="25">
        <v>1.0422163600000001</v>
      </c>
      <c r="F14" s="25">
        <v>1.06208426</v>
      </c>
      <c r="G14" s="25">
        <v>0.74900398000000001</v>
      </c>
      <c r="H14" s="24">
        <v>2.4061135400000002</v>
      </c>
      <c r="I14" s="25">
        <v>2.26366559</v>
      </c>
      <c r="J14" s="25">
        <v>2.56666667</v>
      </c>
      <c r="K14" s="25">
        <v>1.6755319099999999</v>
      </c>
      <c r="L14" s="25">
        <v>3.12631579</v>
      </c>
      <c r="M14" s="25">
        <v>2.2307692299999999</v>
      </c>
      <c r="N14" s="26">
        <v>2.1875</v>
      </c>
      <c r="O14" s="1"/>
      <c r="P14" s="2" t="s">
        <v>5</v>
      </c>
      <c r="Q14" s="2" t="s">
        <v>6</v>
      </c>
    </row>
    <row r="15" spans="1:17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"/>
      <c r="P15" s="7"/>
      <c r="Q15" s="7"/>
    </row>
    <row r="16" spans="1:17" ht="18" x14ac:dyDescent="0.2">
      <c r="A16" s="36" t="s">
        <v>44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8"/>
      <c r="O16" s="1"/>
      <c r="P16" s="7"/>
      <c r="Q16" s="7"/>
    </row>
    <row r="17" spans="1:17" x14ac:dyDescent="0.2">
      <c r="A17" s="39" t="s">
        <v>1</v>
      </c>
      <c r="B17" s="40"/>
      <c r="C17" s="40"/>
      <c r="D17" s="40"/>
      <c r="E17" s="40"/>
      <c r="F17" s="40"/>
      <c r="G17" s="40"/>
      <c r="H17" s="36" t="s">
        <v>2</v>
      </c>
      <c r="I17" s="37"/>
      <c r="J17" s="37"/>
      <c r="K17" s="37"/>
      <c r="L17" s="37"/>
      <c r="M17" s="37"/>
      <c r="N17" s="38"/>
      <c r="O17" s="1"/>
      <c r="P17" s="2" t="s">
        <v>3</v>
      </c>
      <c r="Q17" s="2" t="s">
        <v>4</v>
      </c>
    </row>
    <row r="18" spans="1:17" x14ac:dyDescent="0.2">
      <c r="A18" s="3">
        <f>7028.91968/10^4</f>
        <v>0.70289196799999998</v>
      </c>
      <c r="B18" s="4">
        <f>11210.8766/10^4</f>
        <v>1.1210876599999999</v>
      </c>
      <c r="C18" s="4">
        <f>11011.5284/10^4</f>
        <v>1.1011528399999999</v>
      </c>
      <c r="D18" s="4">
        <f>6896.64275/10^4</f>
        <v>0.68966427500000005</v>
      </c>
      <c r="E18" s="4">
        <f>1745.98412/10^4</f>
        <v>0.17459841200000001</v>
      </c>
      <c r="F18" s="4">
        <f>519.810395/10^4</f>
        <v>5.1981039499999999E-2</v>
      </c>
      <c r="G18" s="4">
        <f>755.093325/10^4</f>
        <v>7.5509332499999998E-2</v>
      </c>
      <c r="H18" s="3">
        <f>36749.9801/10^4</f>
        <v>3.6749980099999999</v>
      </c>
      <c r="I18" s="4">
        <f>19866.007/10^4</f>
        <v>1.9866007000000001</v>
      </c>
      <c r="J18" s="4">
        <f>22087.3011/10^4</f>
        <v>2.2087301099999999</v>
      </c>
      <c r="K18" s="4">
        <f>28964.7808/10^4</f>
        <v>2.8964780800000001</v>
      </c>
      <c r="L18" s="4">
        <f>12719.2728/10^4</f>
        <v>1.2719272800000001</v>
      </c>
      <c r="M18" s="4">
        <f>9900.96022/10^4</f>
        <v>0.99009602200000013</v>
      </c>
      <c r="N18" s="5">
        <f>17823.6009/10^4</f>
        <v>1.7823600900000001</v>
      </c>
      <c r="O18" s="1"/>
      <c r="P18" s="2" t="s">
        <v>5</v>
      </c>
      <c r="Q18" s="2">
        <v>1.8E-3</v>
      </c>
    </row>
    <row r="19" spans="1:1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</sheetData>
  <mergeCells count="12">
    <mergeCell ref="A12:N12"/>
    <mergeCell ref="A13:G13"/>
    <mergeCell ref="H13:N13"/>
    <mergeCell ref="A16:N16"/>
    <mergeCell ref="A17:G17"/>
    <mergeCell ref="H17:N17"/>
    <mergeCell ref="A3:N3"/>
    <mergeCell ref="A4:G4"/>
    <mergeCell ref="H4:N4"/>
    <mergeCell ref="A7:N7"/>
    <mergeCell ref="A8:G8"/>
    <mergeCell ref="H8:N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FF59-FAEB-9B49-B0E2-A3A658FD31E5}">
  <dimension ref="A1:P10"/>
  <sheetViews>
    <sheetView zoomScale="75" workbookViewId="0">
      <selection activeCell="F19" sqref="F19"/>
    </sheetView>
  </sheetViews>
  <sheetFormatPr baseColWidth="10" defaultColWidth="11" defaultRowHeight="16" x14ac:dyDescent="0.2"/>
  <cols>
    <col min="15" max="15" width="20.83203125" customWidth="1"/>
  </cols>
  <sheetData>
    <row r="1" spans="1:16" x14ac:dyDescent="0.2">
      <c r="A1" s="28" t="s">
        <v>8</v>
      </c>
    </row>
    <row r="2" spans="1:16" x14ac:dyDescent="0.2">
      <c r="A2" s="16" t="s">
        <v>48</v>
      </c>
    </row>
    <row r="3" spans="1:16" ht="18" x14ac:dyDescent="0.2">
      <c r="A3" s="36" t="s">
        <v>57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  <c r="N3" s="1"/>
      <c r="O3" s="1"/>
      <c r="P3" s="1"/>
    </row>
    <row r="4" spans="1:16" x14ac:dyDescent="0.2">
      <c r="A4" s="36" t="s">
        <v>1</v>
      </c>
      <c r="B4" s="37"/>
      <c r="C4" s="37"/>
      <c r="D4" s="37"/>
      <c r="E4" s="37"/>
      <c r="F4" s="37"/>
      <c r="G4" s="37"/>
      <c r="H4" s="39" t="s">
        <v>2</v>
      </c>
      <c r="I4" s="40"/>
      <c r="J4" s="40"/>
      <c r="K4" s="40"/>
      <c r="L4" s="40"/>
      <c r="M4" s="41"/>
      <c r="N4" s="1"/>
      <c r="O4" s="2" t="s">
        <v>3</v>
      </c>
      <c r="P4" s="2" t="s">
        <v>4</v>
      </c>
    </row>
    <row r="5" spans="1:16" x14ac:dyDescent="0.2">
      <c r="A5" s="24">
        <v>1.0170394</v>
      </c>
      <c r="B5" s="25">
        <v>0.96444443999999996</v>
      </c>
      <c r="C5" s="25">
        <v>0.86486485999999996</v>
      </c>
      <c r="D5" s="25">
        <v>1.2152777800000001</v>
      </c>
      <c r="E5" s="25">
        <v>1.0585365900000001</v>
      </c>
      <c r="F5" s="25">
        <v>1.2392473100000001</v>
      </c>
      <c r="G5" s="25">
        <v>1.2301038099999999</v>
      </c>
      <c r="H5" s="24">
        <v>3.3152173899999999</v>
      </c>
      <c r="I5" s="25">
        <v>2.2661290300000001</v>
      </c>
      <c r="J5" s="25">
        <v>2.3233830800000002</v>
      </c>
      <c r="K5" s="25">
        <v>2.05223881</v>
      </c>
      <c r="L5" s="25">
        <v>2.5471698100000002</v>
      </c>
      <c r="M5" s="26">
        <v>2.8571428600000002</v>
      </c>
      <c r="N5" s="1"/>
      <c r="O5" s="2" t="s">
        <v>5</v>
      </c>
      <c r="P5" s="2" t="s">
        <v>6</v>
      </c>
    </row>
    <row r="6" spans="1:1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x14ac:dyDescent="0.2">
      <c r="A7" s="36" t="s">
        <v>58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8"/>
      <c r="N7" s="1"/>
      <c r="O7" s="1"/>
      <c r="P7" s="1"/>
    </row>
    <row r="8" spans="1:16" x14ac:dyDescent="0.2">
      <c r="A8" s="36" t="s">
        <v>1</v>
      </c>
      <c r="B8" s="37"/>
      <c r="C8" s="37"/>
      <c r="D8" s="37"/>
      <c r="E8" s="37"/>
      <c r="F8" s="37"/>
      <c r="G8" s="37"/>
      <c r="H8" s="39" t="s">
        <v>2</v>
      </c>
      <c r="I8" s="40"/>
      <c r="J8" s="40"/>
      <c r="K8" s="40"/>
      <c r="L8" s="40"/>
      <c r="M8" s="41"/>
      <c r="N8" s="1"/>
      <c r="O8" s="2" t="s">
        <v>3</v>
      </c>
      <c r="P8" s="2" t="s">
        <v>4</v>
      </c>
    </row>
    <row r="9" spans="1:16" x14ac:dyDescent="0.2">
      <c r="A9" s="24">
        <v>0.80952380999999995</v>
      </c>
      <c r="B9" s="25">
        <v>0.88073394000000005</v>
      </c>
      <c r="C9" s="25">
        <v>1.23684211</v>
      </c>
      <c r="D9" s="25">
        <v>1.1625000000000001</v>
      </c>
      <c r="E9" s="25">
        <v>1.1866666699999999</v>
      </c>
      <c r="F9" s="25">
        <v>0.66135458000000003</v>
      </c>
      <c r="G9" s="25">
        <v>1.2936170199999999</v>
      </c>
      <c r="H9" s="24">
        <v>1.6835443000000001</v>
      </c>
      <c r="I9" s="25">
        <v>2.59375</v>
      </c>
      <c r="J9" s="25">
        <v>1.5789473700000001</v>
      </c>
      <c r="K9" s="25">
        <v>2.21938776</v>
      </c>
      <c r="L9" s="25">
        <v>2.5</v>
      </c>
      <c r="M9" s="26">
        <v>1.4226804099999999</v>
      </c>
      <c r="N9" s="1"/>
      <c r="O9" s="2" t="s">
        <v>5</v>
      </c>
      <c r="P9" s="2">
        <v>8.9999999999999998E-4</v>
      </c>
    </row>
    <row r="10" spans="1:1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</sheetData>
  <mergeCells count="6">
    <mergeCell ref="A3:M3"/>
    <mergeCell ref="A4:G4"/>
    <mergeCell ref="H4:M4"/>
    <mergeCell ref="A7:M7"/>
    <mergeCell ref="A8:G8"/>
    <mergeCell ref="H8:M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5997-0EA4-3445-9AB1-E84406ACFE79}">
  <dimension ref="A1:Q7"/>
  <sheetViews>
    <sheetView workbookViewId="0">
      <selection activeCell="G15" sqref="G15"/>
    </sheetView>
  </sheetViews>
  <sheetFormatPr baseColWidth="10" defaultColWidth="11" defaultRowHeight="16" x14ac:dyDescent="0.2"/>
  <cols>
    <col min="15" max="15" width="20.83203125" customWidth="1"/>
  </cols>
  <sheetData>
    <row r="1" spans="1:17" x14ac:dyDescent="0.2">
      <c r="A1" s="28" t="s">
        <v>9</v>
      </c>
    </row>
    <row r="2" spans="1:17" ht="18" x14ac:dyDescent="0.2">
      <c r="A2" s="8"/>
      <c r="B2" s="37" t="s">
        <v>59</v>
      </c>
      <c r="C2" s="37"/>
      <c r="D2" s="37"/>
      <c r="E2" s="37"/>
      <c r="F2" s="37"/>
      <c r="G2" s="37"/>
      <c r="H2" s="37"/>
      <c r="I2" s="37"/>
      <c r="J2" s="37"/>
      <c r="K2" s="37"/>
      <c r="L2" s="38"/>
      <c r="M2" s="1"/>
      <c r="N2" s="7"/>
      <c r="O2" s="1"/>
      <c r="P2" s="1"/>
      <c r="Q2" s="1"/>
    </row>
    <row r="3" spans="1:17" x14ac:dyDescent="0.2">
      <c r="A3" s="8"/>
      <c r="B3" s="40" t="s">
        <v>1</v>
      </c>
      <c r="C3" s="40"/>
      <c r="D3" s="40"/>
      <c r="E3" s="40"/>
      <c r="F3" s="40"/>
      <c r="G3" s="39" t="s">
        <v>2</v>
      </c>
      <c r="H3" s="40"/>
      <c r="I3" s="40"/>
      <c r="J3" s="40"/>
      <c r="K3" s="40"/>
      <c r="L3" s="41"/>
      <c r="M3" s="1"/>
      <c r="N3" s="2"/>
      <c r="O3" s="2" t="s">
        <v>3</v>
      </c>
      <c r="P3" s="2" t="s">
        <v>4</v>
      </c>
      <c r="Q3" s="1"/>
    </row>
    <row r="4" spans="1:17" x14ac:dyDescent="0.2">
      <c r="A4" s="9" t="s">
        <v>10</v>
      </c>
      <c r="B4" s="24">
        <v>0.91355140000000001</v>
      </c>
      <c r="C4" s="25">
        <v>1.00696056</v>
      </c>
      <c r="D4" s="25">
        <v>1.0395683499999999</v>
      </c>
      <c r="E4" s="25">
        <v>0.96724469999999996</v>
      </c>
      <c r="F4" s="25">
        <v>0.92470587999999998</v>
      </c>
      <c r="G4" s="24">
        <v>1.76204819</v>
      </c>
      <c r="H4" s="25">
        <v>1.2806026399999999</v>
      </c>
      <c r="I4" s="25">
        <v>1.20095694</v>
      </c>
      <c r="J4" s="25">
        <v>1.7604456799999999</v>
      </c>
      <c r="K4" s="25">
        <v>1.4453830999999999</v>
      </c>
      <c r="L4" s="26">
        <v>1.3123877900000001</v>
      </c>
      <c r="M4" s="1"/>
      <c r="N4" s="2" t="s">
        <v>10</v>
      </c>
      <c r="O4" s="2" t="s">
        <v>5</v>
      </c>
      <c r="P4" s="2">
        <v>1.9E-3</v>
      </c>
      <c r="Q4" s="1"/>
    </row>
    <row r="5" spans="1:17" x14ac:dyDescent="0.2">
      <c r="A5" s="9" t="s">
        <v>11</v>
      </c>
      <c r="B5" s="24">
        <v>0.90127389000000002</v>
      </c>
      <c r="C5" s="25">
        <v>0.98615385</v>
      </c>
      <c r="D5" s="25">
        <v>1.1199413499999999</v>
      </c>
      <c r="E5" s="25">
        <v>0.89123867000000001</v>
      </c>
      <c r="F5" s="26">
        <v>0.88855421999999995</v>
      </c>
      <c r="G5" s="13">
        <v>1</v>
      </c>
      <c r="H5" s="13">
        <v>0.98108746999999996</v>
      </c>
      <c r="I5" s="13">
        <v>1.1006944400000001</v>
      </c>
      <c r="J5" s="13">
        <v>0.95412843999999997</v>
      </c>
      <c r="K5" s="13">
        <v>0.85010706999999996</v>
      </c>
      <c r="L5" s="14">
        <v>0.98268398000000001</v>
      </c>
      <c r="M5" s="1"/>
      <c r="N5" s="2" t="s">
        <v>11</v>
      </c>
      <c r="O5" s="2" t="s">
        <v>5</v>
      </c>
      <c r="P5" s="2">
        <v>0.71140000000000003</v>
      </c>
      <c r="Q5" s="1"/>
    </row>
    <row r="6" spans="1:17" x14ac:dyDescent="0.2">
      <c r="A6" s="9" t="s">
        <v>12</v>
      </c>
      <c r="B6" s="24">
        <v>0.94396552</v>
      </c>
      <c r="C6" s="25">
        <v>1.0555555599999999</v>
      </c>
      <c r="D6" s="25">
        <v>0.96379526000000004</v>
      </c>
      <c r="E6" s="25">
        <v>1.01873199</v>
      </c>
      <c r="F6" s="25">
        <v>0.9633758</v>
      </c>
      <c r="G6" s="24">
        <v>1.3986014</v>
      </c>
      <c r="H6" s="25">
        <v>1.30913838</v>
      </c>
      <c r="I6" s="25">
        <v>1.2837925400000001</v>
      </c>
      <c r="J6" s="25">
        <v>1.3157894699999999</v>
      </c>
      <c r="K6" s="25">
        <v>1.3875370899999999</v>
      </c>
      <c r="L6" s="26">
        <v>1.09270705</v>
      </c>
      <c r="M6" s="1"/>
      <c r="N6" s="2" t="s">
        <v>12</v>
      </c>
      <c r="O6" s="2" t="s">
        <v>5</v>
      </c>
      <c r="P6" s="2">
        <v>2.9999999999999997E-4</v>
      </c>
      <c r="Q6" s="1"/>
    </row>
    <row r="7" spans="1:17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</sheetData>
  <mergeCells count="3">
    <mergeCell ref="B2:L2"/>
    <mergeCell ref="B3:F3"/>
    <mergeCell ref="G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B4CD-FD3E-8E41-81FE-CDB2E7CF52CA}">
  <dimension ref="A1:W14"/>
  <sheetViews>
    <sheetView zoomScale="75" workbookViewId="0">
      <selection activeCell="F29" sqref="F29"/>
    </sheetView>
  </sheetViews>
  <sheetFormatPr baseColWidth="10" defaultColWidth="11" defaultRowHeight="16" x14ac:dyDescent="0.2"/>
  <cols>
    <col min="2" max="6" width="11.33203125" bestFit="1" customWidth="1"/>
    <col min="7" max="7" width="12.1640625" bestFit="1" customWidth="1"/>
    <col min="8" max="8" width="12.33203125" bestFit="1" customWidth="1"/>
    <col min="9" max="9" width="12.1640625" bestFit="1" customWidth="1"/>
    <col min="10" max="10" width="11.33203125" bestFit="1" customWidth="1"/>
    <col min="11" max="13" width="12.33203125" bestFit="1" customWidth="1"/>
    <col min="14" max="15" width="11.1640625" bestFit="1" customWidth="1"/>
    <col min="16" max="16" width="17.6640625" customWidth="1"/>
    <col min="17" max="17" width="12.1640625" bestFit="1" customWidth="1"/>
    <col min="18" max="19" width="11.1640625" bestFit="1" customWidth="1"/>
    <col min="22" max="22" width="19.1640625" customWidth="1"/>
  </cols>
  <sheetData>
    <row r="1" spans="1:23" x14ac:dyDescent="0.2">
      <c r="A1" s="28" t="s">
        <v>13</v>
      </c>
    </row>
    <row r="2" spans="1:23" x14ac:dyDescent="0.2">
      <c r="A2" s="16" t="s">
        <v>49</v>
      </c>
    </row>
    <row r="3" spans="1:23" ht="18" x14ac:dyDescent="0.2">
      <c r="A3" s="8"/>
      <c r="B3" s="37" t="s">
        <v>44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8"/>
      <c r="T3" s="1"/>
      <c r="U3" s="7"/>
      <c r="V3" s="1"/>
      <c r="W3" s="1"/>
    </row>
    <row r="4" spans="1:23" x14ac:dyDescent="0.2">
      <c r="A4" s="8"/>
      <c r="B4" s="40" t="s">
        <v>1</v>
      </c>
      <c r="C4" s="40"/>
      <c r="D4" s="40"/>
      <c r="E4" s="40"/>
      <c r="F4" s="40"/>
      <c r="G4" s="40"/>
      <c r="H4" s="40"/>
      <c r="I4" s="40"/>
      <c r="J4" s="41"/>
      <c r="K4" s="39" t="s">
        <v>2</v>
      </c>
      <c r="L4" s="40"/>
      <c r="M4" s="40"/>
      <c r="N4" s="40"/>
      <c r="O4" s="40"/>
      <c r="P4" s="40"/>
      <c r="Q4" s="40"/>
      <c r="R4" s="40"/>
      <c r="S4" s="41"/>
      <c r="T4" s="1"/>
      <c r="U4" s="2"/>
      <c r="V4" s="2" t="s">
        <v>14</v>
      </c>
      <c r="W4" s="2" t="s">
        <v>4</v>
      </c>
    </row>
    <row r="5" spans="1:23" x14ac:dyDescent="0.2">
      <c r="A5" s="9" t="s">
        <v>10</v>
      </c>
      <c r="B5" s="3">
        <f>6891.33005/10^4</f>
        <v>0.68913300499999997</v>
      </c>
      <c r="C5" s="4">
        <f>1708.36364/10^4</f>
        <v>0.17083636399999999</v>
      </c>
      <c r="D5" s="4">
        <f>6260.49587/10^4</f>
        <v>0.62604958700000002</v>
      </c>
      <c r="E5" s="4">
        <f>5293.15961/10^4</f>
        <v>0.529315961</v>
      </c>
      <c r="F5" s="4">
        <f>1358.03493/10^4</f>
        <v>0.135803493</v>
      </c>
      <c r="G5" s="4">
        <f>4833.10345/10^4</f>
        <v>0.48331034499999997</v>
      </c>
      <c r="H5" s="4">
        <f>11028.2051/10^4</f>
        <v>1.1028205099999999</v>
      </c>
      <c r="I5" s="4">
        <f>2406.82222/10^4</f>
        <v>0.240682222</v>
      </c>
      <c r="J5" s="5">
        <f>1410.75/10^4</f>
        <v>0.14107500000000001</v>
      </c>
      <c r="K5" s="3">
        <f>31172.4138/10^4</f>
        <v>3.1172413799999998</v>
      </c>
      <c r="L5" s="4">
        <f>15660/10^4</f>
        <v>1.5660000000000001</v>
      </c>
      <c r="M5" s="4">
        <f>14730.5785/10^4</f>
        <v>1.47305785</v>
      </c>
      <c r="N5" s="4">
        <f>7274.91857/10^4</f>
        <v>0.72749185699999996</v>
      </c>
      <c r="O5" s="4">
        <f>4976.15721/10^4</f>
        <v>0.49761572100000001</v>
      </c>
      <c r="P5" s="4">
        <f>7348.96552/10^4</f>
        <v>0.73489655199999993</v>
      </c>
      <c r="Q5" s="4">
        <f>26066.6667/10^4</f>
        <v>2.6066666700000001</v>
      </c>
      <c r="R5" s="4">
        <f>3466.86667/10^4</f>
        <v>0.346686667</v>
      </c>
      <c r="S5" s="5">
        <f>3679.5/10^4</f>
        <v>0.36795</v>
      </c>
      <c r="T5" s="1"/>
      <c r="U5" s="2" t="s">
        <v>10</v>
      </c>
      <c r="V5" s="2" t="s">
        <v>5</v>
      </c>
      <c r="W5" s="2">
        <v>1.6199999999999999E-2</v>
      </c>
    </row>
    <row r="6" spans="1:23" x14ac:dyDescent="0.2">
      <c r="A6" s="9" t="s">
        <v>11</v>
      </c>
      <c r="B6" s="10">
        <f>3718.42365/10^4</f>
        <v>0.37184236500000001</v>
      </c>
      <c r="C6" s="10">
        <f>798.66/10^4</f>
        <v>7.9865999999999993E-2</v>
      </c>
      <c r="D6" s="10">
        <f>3038.18182/10^4</f>
        <v>0.30381818199999999</v>
      </c>
      <c r="E6" s="10">
        <f>798.631922/10^4</f>
        <v>7.9863192200000002E-2</v>
      </c>
      <c r="F6" s="10">
        <f>468.868996/10^4</f>
        <v>4.6886899599999997E-2</v>
      </c>
      <c r="G6" s="10">
        <f>1227.47586/10^4</f>
        <v>0.12274758600000001</v>
      </c>
      <c r="H6" s="10">
        <f>3869.89744/10^4</f>
        <v>0.38698974400000002</v>
      </c>
      <c r="I6" s="10">
        <f>877.577778/10^4</f>
        <v>8.7757777799999992E-2</v>
      </c>
      <c r="J6" s="10">
        <f>740.025/10^4</f>
        <v>7.4002499999999999E-2</v>
      </c>
      <c r="K6" s="3">
        <f>6846.79803/10^4</f>
        <v>0.68467980299999998</v>
      </c>
      <c r="L6" s="4">
        <f>7189.36364/10^4</f>
        <v>0.71893636399999994</v>
      </c>
      <c r="M6" s="4">
        <f>2660.71074/10^4</f>
        <v>0.26607107400000002</v>
      </c>
      <c r="N6" s="4">
        <f>1016.28664/10^4</f>
        <v>0.10162866400000001</v>
      </c>
      <c r="O6" s="4">
        <f>1248.99563/10^4</f>
        <v>0.12489956299999999</v>
      </c>
      <c r="P6" s="4">
        <f>3310.34483/10^4</f>
        <v>0.33103448299999999</v>
      </c>
      <c r="Q6" s="4">
        <f>4501.51282/10^4</f>
        <v>0.45015128199999999</v>
      </c>
      <c r="R6" s="4">
        <f>1068.73333/10^4</f>
        <v>0.106873333</v>
      </c>
      <c r="S6" s="5">
        <f>1113.75/10^4</f>
        <v>0.111375</v>
      </c>
      <c r="T6" s="1"/>
      <c r="U6" s="2" t="s">
        <v>11</v>
      </c>
      <c r="V6" s="2" t="s">
        <v>5</v>
      </c>
      <c r="W6" s="2">
        <v>6.9099999999999995E-2</v>
      </c>
    </row>
    <row r="7" spans="1:23" x14ac:dyDescent="0.2">
      <c r="A7" s="9" t="s">
        <v>12</v>
      </c>
      <c r="B7" s="3">
        <f>2950.24631/10^4</f>
        <v>0.29502463099999998</v>
      </c>
      <c r="C7" s="4">
        <f>570.878182/10^4</f>
        <v>5.7087818200000001E-2</v>
      </c>
      <c r="D7" s="4">
        <f>2992.14876/10^4</f>
        <v>0.29921487600000002</v>
      </c>
      <c r="E7" s="4">
        <f>4378.50163/10^4</f>
        <v>0.43785016299999996</v>
      </c>
      <c r="F7" s="4">
        <f>717.676856/10^4</f>
        <v>7.1767685600000006E-2</v>
      </c>
      <c r="G7" s="4">
        <f>3336.82759/10^4</f>
        <v>0.333682759</v>
      </c>
      <c r="H7" s="4">
        <f>6576.82051/10^4</f>
        <v>0.65768205099999999</v>
      </c>
      <c r="I7" s="4">
        <f>1477.11111/10^4</f>
        <v>0.14771111100000001</v>
      </c>
      <c r="J7" s="5">
        <f>636.9/10^4</f>
        <v>6.3689999999999997E-2</v>
      </c>
      <c r="K7" s="3">
        <f>23379.3103/10^4</f>
        <v>2.33793103</v>
      </c>
      <c r="L7" s="4">
        <f>7758.81818/10^4</f>
        <v>0.775881818</v>
      </c>
      <c r="M7" s="4">
        <f>11968.595/10^4</f>
        <v>1.1968595</v>
      </c>
      <c r="N7" s="4">
        <f>6148.5342/10^4</f>
        <v>0.61485341999999998</v>
      </c>
      <c r="O7" s="4">
        <f>3608.20961/10^4</f>
        <v>0.360820961</v>
      </c>
      <c r="P7" s="4">
        <f>3561.93103/10^4</f>
        <v>0.35619310300000001</v>
      </c>
      <c r="Q7" s="4">
        <f>21053.8462/10^4</f>
        <v>2.1053846200000002</v>
      </c>
      <c r="R7" s="4">
        <f>2337.31111/10^4</f>
        <v>0.23373111100000002</v>
      </c>
      <c r="S7" s="5">
        <f>2442/10^4</f>
        <v>0.2442</v>
      </c>
      <c r="T7" s="1"/>
      <c r="U7" s="2" t="s">
        <v>12</v>
      </c>
      <c r="V7" s="2" t="s">
        <v>5</v>
      </c>
      <c r="W7" s="2">
        <v>2.3599999999999999E-2</v>
      </c>
    </row>
    <row r="8" spans="1:23" x14ac:dyDescent="0.2">
      <c r="A8" s="6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1"/>
      <c r="U8" s="7"/>
      <c r="V8" s="7"/>
      <c r="W8" s="7"/>
    </row>
    <row r="9" spans="1:23" x14ac:dyDescent="0.2">
      <c r="A9" s="1" t="s">
        <v>67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8" x14ac:dyDescent="0.2">
      <c r="A10" s="8"/>
      <c r="B10" s="36" t="s">
        <v>44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8"/>
      <c r="N10" s="1"/>
      <c r="O10" s="7"/>
      <c r="P10" s="1"/>
      <c r="Q10" s="1"/>
      <c r="R10" s="1"/>
      <c r="S10" s="1"/>
      <c r="T10" s="1"/>
      <c r="U10" s="1"/>
      <c r="V10" s="1"/>
      <c r="W10" s="1"/>
    </row>
    <row r="11" spans="1:23" x14ac:dyDescent="0.2">
      <c r="A11" s="8"/>
      <c r="B11" s="40" t="s">
        <v>1</v>
      </c>
      <c r="C11" s="40"/>
      <c r="D11" s="40"/>
      <c r="E11" s="40"/>
      <c r="F11" s="40"/>
      <c r="G11" s="40"/>
      <c r="H11" s="36" t="s">
        <v>2</v>
      </c>
      <c r="I11" s="37"/>
      <c r="J11" s="37"/>
      <c r="K11" s="37"/>
      <c r="L11" s="37"/>
      <c r="M11" s="38"/>
      <c r="N11" s="1"/>
      <c r="O11" s="2"/>
      <c r="P11" s="2" t="s">
        <v>14</v>
      </c>
      <c r="Q11" s="2" t="s">
        <v>4</v>
      </c>
      <c r="R11" s="1"/>
      <c r="S11" s="1"/>
      <c r="T11" s="1"/>
      <c r="U11" s="1"/>
      <c r="V11" s="1"/>
      <c r="W11" s="1"/>
    </row>
    <row r="12" spans="1:23" x14ac:dyDescent="0.2">
      <c r="A12" s="9" t="s">
        <v>10</v>
      </c>
      <c r="B12" s="3">
        <f>9280/10^4</f>
        <v>0.92800000000000005</v>
      </c>
      <c r="C12" s="4">
        <f>3053.87234/10^4</f>
        <v>0.30538723400000001</v>
      </c>
      <c r="D12" s="4">
        <f>3370.16667/10^4</f>
        <v>0.33701666699999999</v>
      </c>
      <c r="E12" s="4">
        <f>5098.25806/10^4</f>
        <v>0.50982580600000005</v>
      </c>
      <c r="F12" s="4">
        <f>3597.75/10^4</f>
        <v>0.35977500000000001</v>
      </c>
      <c r="G12" s="4">
        <f>10110.7614/10^4</f>
        <v>1.0110761399999999</v>
      </c>
      <c r="H12" s="3">
        <f>14693.3333/10^4</f>
        <v>1.46933333</v>
      </c>
      <c r="I12" s="4">
        <f>13572.766/10^4</f>
        <v>1.3572766000000001</v>
      </c>
      <c r="J12" s="4">
        <f>5817/10^4</f>
        <v>0.58169999999999999</v>
      </c>
      <c r="K12" s="4">
        <f>7242.19355/10^4</f>
        <v>0.72421935500000001</v>
      </c>
      <c r="L12" s="4">
        <f>6717.47727/10^4</f>
        <v>0.67174772700000007</v>
      </c>
      <c r="M12" s="5">
        <f>25751.269/10^4</f>
        <v>2.5751268999999999</v>
      </c>
      <c r="N12" s="1"/>
      <c r="O12" s="2" t="s">
        <v>10</v>
      </c>
      <c r="P12" s="2" t="s">
        <v>5</v>
      </c>
      <c r="Q12" s="2">
        <v>3.1899999999999998E-2</v>
      </c>
      <c r="R12" s="1"/>
      <c r="S12" s="1"/>
      <c r="T12" s="1"/>
      <c r="U12" s="1"/>
      <c r="V12" s="1"/>
      <c r="W12" s="1"/>
    </row>
    <row r="13" spans="1:23" x14ac:dyDescent="0.2">
      <c r="A13" s="9" t="s">
        <v>12</v>
      </c>
      <c r="B13" s="3">
        <f>9280/10^4</f>
        <v>0.92800000000000005</v>
      </c>
      <c r="C13" s="4">
        <f>2946.42128/10^4</f>
        <v>0.294642128</v>
      </c>
      <c r="D13" s="4">
        <f>3167.03333/10^4</f>
        <v>0.31670333300000003</v>
      </c>
      <c r="E13" s="4">
        <f>4975.16129/10^4</f>
        <v>0.49751612899999997</v>
      </c>
      <c r="F13" s="4">
        <f>3597.75/10^4</f>
        <v>0.35977500000000001</v>
      </c>
      <c r="G13" s="4">
        <f>9799.03553/10^4</f>
        <v>0.97990355299999987</v>
      </c>
      <c r="H13" s="3">
        <f>13920/10^4</f>
        <v>1.3919999999999999</v>
      </c>
      <c r="I13" s="4">
        <f>13572.766/10^4</f>
        <v>1.3572766000000001</v>
      </c>
      <c r="J13" s="4">
        <f>5613.86667/10^4</f>
        <v>0.56138666700000006</v>
      </c>
      <c r="K13" s="4">
        <f>6831.87097/10^4</f>
        <v>0.68318709700000002</v>
      </c>
      <c r="L13" s="4">
        <f>6499.43182/10^4</f>
        <v>0.64994318200000001</v>
      </c>
      <c r="M13" s="5">
        <f>24395.9391/10^4</f>
        <v>2.4395939100000001</v>
      </c>
      <c r="N13" s="1"/>
      <c r="O13" s="2" t="s">
        <v>12</v>
      </c>
      <c r="P13" s="2" t="s">
        <v>5</v>
      </c>
      <c r="Q13" s="2">
        <v>3.39E-2</v>
      </c>
      <c r="R13" s="1"/>
      <c r="S13" s="1"/>
      <c r="T13" s="1"/>
      <c r="U13" s="1"/>
      <c r="V13" s="1"/>
      <c r="W13" s="1"/>
    </row>
    <row r="14" spans="1:2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</sheetData>
  <mergeCells count="6">
    <mergeCell ref="B3:S3"/>
    <mergeCell ref="B4:J4"/>
    <mergeCell ref="K4:S4"/>
    <mergeCell ref="B10:M10"/>
    <mergeCell ref="B11:G11"/>
    <mergeCell ref="H11:M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3B633-9C26-2B43-9724-B7A83CF3D5B4}">
  <dimension ref="A1:W12"/>
  <sheetViews>
    <sheetView zoomScale="75" workbookViewId="0">
      <selection activeCell="G31" sqref="G31"/>
    </sheetView>
  </sheetViews>
  <sheetFormatPr baseColWidth="10" defaultColWidth="11" defaultRowHeight="16" x14ac:dyDescent="0.2"/>
  <cols>
    <col min="1" max="1" width="29.6640625" customWidth="1"/>
    <col min="22" max="22" width="20.33203125" customWidth="1"/>
  </cols>
  <sheetData>
    <row r="1" spans="1:23" x14ac:dyDescent="0.2">
      <c r="A1" s="28" t="s">
        <v>15</v>
      </c>
    </row>
    <row r="2" spans="1:23" x14ac:dyDescent="0.2">
      <c r="A2" s="16" t="s">
        <v>50</v>
      </c>
    </row>
    <row r="3" spans="1:23" ht="18" x14ac:dyDescent="0.2">
      <c r="A3" s="11"/>
      <c r="B3" s="36" t="s">
        <v>51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8"/>
      <c r="U3" s="1"/>
      <c r="V3" s="2" t="s">
        <v>16</v>
      </c>
      <c r="W3" s="2" t="s">
        <v>4</v>
      </c>
    </row>
    <row r="4" spans="1:23" x14ac:dyDescent="0.2">
      <c r="A4" s="9" t="s">
        <v>65</v>
      </c>
      <c r="B4" s="42" t="s">
        <v>18</v>
      </c>
      <c r="C4" s="43"/>
      <c r="D4" s="43"/>
      <c r="E4" s="43"/>
      <c r="F4" s="42" t="s">
        <v>19</v>
      </c>
      <c r="G4" s="43"/>
      <c r="H4" s="43"/>
      <c r="I4" s="43"/>
      <c r="J4" s="43"/>
      <c r="K4" s="43"/>
      <c r="L4" s="43"/>
      <c r="M4" s="44"/>
      <c r="N4" s="42" t="s">
        <v>20</v>
      </c>
      <c r="O4" s="43"/>
      <c r="P4" s="43"/>
      <c r="Q4" s="43"/>
      <c r="R4" s="43"/>
      <c r="S4" s="43"/>
      <c r="T4" s="44"/>
      <c r="U4" s="1"/>
      <c r="V4" s="2" t="s">
        <v>5</v>
      </c>
      <c r="W4" s="2" t="s">
        <v>6</v>
      </c>
    </row>
    <row r="5" spans="1:23" x14ac:dyDescent="0.2">
      <c r="A5" s="12">
        <v>9</v>
      </c>
      <c r="B5" s="34">
        <v>0.43055039620000002</v>
      </c>
      <c r="C5" s="34">
        <v>0.32100205199999998</v>
      </c>
      <c r="D5" s="34">
        <v>0.3191447624</v>
      </c>
      <c r="E5" s="34">
        <v>0.25301517709999999</v>
      </c>
      <c r="F5" s="34">
        <v>0.24334647379999999</v>
      </c>
      <c r="G5" s="34">
        <v>0.23380416780000002</v>
      </c>
      <c r="H5" s="34">
        <v>0.2374376651</v>
      </c>
      <c r="I5" s="34">
        <v>0.23436195099999999</v>
      </c>
      <c r="J5" s="34">
        <v>0.2374376651</v>
      </c>
      <c r="K5" s="34">
        <v>0.35985776710000006</v>
      </c>
      <c r="L5" s="34">
        <v>0.51947001810000004</v>
      </c>
      <c r="M5" s="34">
        <v>0.3241055068</v>
      </c>
      <c r="N5" s="34">
        <v>0.61917870399999997</v>
      </c>
      <c r="O5" s="34">
        <v>0.21510560609999999</v>
      </c>
      <c r="P5" s="34">
        <v>0.21782270960000003</v>
      </c>
      <c r="Q5" s="34">
        <v>0.4271378535</v>
      </c>
      <c r="R5" s="34">
        <v>0.50751181430000003</v>
      </c>
      <c r="S5" s="34">
        <v>0.35311956889999996</v>
      </c>
      <c r="T5" s="34">
        <v>0.3473778582</v>
      </c>
      <c r="U5" s="1"/>
      <c r="V5" s="1"/>
      <c r="W5" s="1"/>
    </row>
    <row r="6" spans="1:23" x14ac:dyDescent="0.2">
      <c r="A6" s="12">
        <v>11</v>
      </c>
      <c r="B6" s="34">
        <v>1.9552536269999998</v>
      </c>
      <c r="C6" s="34">
        <v>1.7284423910000002</v>
      </c>
      <c r="D6" s="34">
        <v>1.0160112049999999</v>
      </c>
      <c r="E6" s="34">
        <v>0.90530303680000002</v>
      </c>
      <c r="F6" s="34">
        <v>0.79725743309999997</v>
      </c>
      <c r="G6" s="34">
        <v>1.0397591500000001</v>
      </c>
      <c r="H6" s="34">
        <v>1.3655937850000002</v>
      </c>
      <c r="I6" s="34">
        <v>1.4569534820000001</v>
      </c>
      <c r="J6" s="34">
        <v>0.97085937450000004</v>
      </c>
      <c r="K6" s="34">
        <v>1.160253575</v>
      </c>
      <c r="L6" s="34">
        <v>1.4308683439999998</v>
      </c>
      <c r="M6" s="34">
        <v>0.8610198604</v>
      </c>
      <c r="N6" s="34">
        <v>1.083149548</v>
      </c>
      <c r="O6" s="34">
        <v>0.36082382789999995</v>
      </c>
      <c r="P6" s="34">
        <v>0.22604190259999998</v>
      </c>
      <c r="Q6" s="34">
        <v>0.54366314180000008</v>
      </c>
      <c r="R6" s="34">
        <v>0.65539303930000004</v>
      </c>
      <c r="S6" s="34">
        <v>0.69870209910000003</v>
      </c>
      <c r="T6" s="34">
        <v>0.54366314180000008</v>
      </c>
      <c r="U6" s="1"/>
      <c r="V6" s="1"/>
      <c r="W6" s="1"/>
    </row>
    <row r="7" spans="1:23" x14ac:dyDescent="0.2">
      <c r="A7" s="12">
        <v>13</v>
      </c>
      <c r="B7" s="34">
        <v>3.3322575030000001</v>
      </c>
      <c r="C7" s="34">
        <v>2.9584055940000002</v>
      </c>
      <c r="D7" s="34">
        <v>2.6202462680000003</v>
      </c>
      <c r="E7" s="34">
        <v>2.3499928130000001</v>
      </c>
      <c r="F7" s="34">
        <v>1.1850679100000001</v>
      </c>
      <c r="G7" s="34">
        <v>1.812747587</v>
      </c>
      <c r="H7" s="34">
        <v>2.2082674190000002</v>
      </c>
      <c r="I7" s="34">
        <v>2.220654068</v>
      </c>
      <c r="J7" s="34">
        <v>1.3415660890000001</v>
      </c>
      <c r="K7" s="34">
        <v>1.573365753</v>
      </c>
      <c r="L7" s="34">
        <v>1.573892109</v>
      </c>
      <c r="M7" s="34">
        <v>1.30233139</v>
      </c>
      <c r="N7" s="34">
        <v>1.219713915</v>
      </c>
      <c r="O7" s="34">
        <v>0.4648185608</v>
      </c>
      <c r="P7" s="34">
        <v>0.38789104680000003</v>
      </c>
      <c r="Q7" s="34">
        <v>0.90442764310000001</v>
      </c>
      <c r="R7" s="34">
        <v>0.79977641270000011</v>
      </c>
      <c r="S7" s="34">
        <v>0.7376035111</v>
      </c>
      <c r="T7" s="34">
        <v>0.48921452459999998</v>
      </c>
      <c r="U7" s="1"/>
      <c r="V7" s="1"/>
      <c r="W7" s="1"/>
    </row>
    <row r="8" spans="1:23" x14ac:dyDescent="0.2">
      <c r="A8" s="12">
        <v>15</v>
      </c>
      <c r="B8" s="34">
        <v>8.8302331600000006</v>
      </c>
      <c r="C8" s="34">
        <v>8.0690204659999996</v>
      </c>
      <c r="D8" s="34">
        <v>6.2375914969999995</v>
      </c>
      <c r="E8" s="34">
        <v>5.9548812669999993</v>
      </c>
      <c r="F8" s="34">
        <v>3.1481199930000003</v>
      </c>
      <c r="G8" s="34">
        <v>3.8093539140000003</v>
      </c>
      <c r="H8" s="34">
        <v>2.6289852730000001</v>
      </c>
      <c r="I8" s="34">
        <v>3.7038354459999998</v>
      </c>
      <c r="J8" s="34">
        <v>2.0793228529999999</v>
      </c>
      <c r="K8" s="34">
        <v>2.543886256</v>
      </c>
      <c r="L8" s="34">
        <v>3.6765628659999998</v>
      </c>
      <c r="M8" s="34">
        <v>2.3916277260000003</v>
      </c>
      <c r="N8" s="34">
        <v>2.2954570150000002</v>
      </c>
      <c r="O8" s="34">
        <v>0.63817387540000003</v>
      </c>
      <c r="P8" s="34">
        <v>0.38822111999999998</v>
      </c>
      <c r="Q8" s="34">
        <v>1.2762277909999999</v>
      </c>
      <c r="R8" s="34">
        <v>1.794569702</v>
      </c>
      <c r="S8" s="34">
        <v>1.5581269870000001</v>
      </c>
      <c r="T8" s="34">
        <v>0.63467063850000005</v>
      </c>
      <c r="U8" s="1"/>
      <c r="V8" s="1"/>
      <c r="W8" s="1"/>
    </row>
    <row r="9" spans="1:23" x14ac:dyDescent="0.2">
      <c r="A9" s="12">
        <v>17</v>
      </c>
      <c r="B9" s="34">
        <v>13.00394082</v>
      </c>
      <c r="C9" s="34">
        <v>9.9838880569999997</v>
      </c>
      <c r="D9" s="34">
        <v>9.6727388100000002</v>
      </c>
      <c r="E9" s="34">
        <v>9.4575663429999999</v>
      </c>
      <c r="F9" s="34">
        <v>4.9041420019999995</v>
      </c>
      <c r="G9" s="34">
        <v>5.8518316109999997</v>
      </c>
      <c r="H9" s="34">
        <v>4.0738187699999999</v>
      </c>
      <c r="I9" s="34">
        <v>5.6378723109999997</v>
      </c>
      <c r="J9" s="34">
        <v>3.9838115749999998</v>
      </c>
      <c r="K9" s="34">
        <v>4.9727271919999998</v>
      </c>
      <c r="L9" s="34">
        <v>5.0563794589999995</v>
      </c>
      <c r="M9" s="34">
        <v>4.9750445789999995</v>
      </c>
      <c r="N9" s="34">
        <v>3.1607297190000003</v>
      </c>
      <c r="O9" s="34">
        <v>0.91670880669999999</v>
      </c>
      <c r="P9" s="34">
        <v>0.68071032990000002</v>
      </c>
      <c r="Q9" s="34">
        <v>1.068774653</v>
      </c>
      <c r="R9" s="34">
        <v>2.3038193310000001</v>
      </c>
      <c r="S9" s="34">
        <v>2.4262051439999999</v>
      </c>
      <c r="T9" s="34">
        <v>0.6581465138999999</v>
      </c>
      <c r="U9" s="1"/>
      <c r="V9" s="1"/>
      <c r="W9" s="1"/>
    </row>
    <row r="10" spans="1:23" x14ac:dyDescent="0.2">
      <c r="A10" s="12">
        <v>19</v>
      </c>
      <c r="B10" s="34">
        <v>17.32311357</v>
      </c>
      <c r="C10" s="34">
        <v>18.747023330000001</v>
      </c>
      <c r="D10" s="34">
        <v>16.97768469</v>
      </c>
      <c r="E10" s="34">
        <v>15.28127624</v>
      </c>
      <c r="F10" s="34">
        <v>8.7545790629999996</v>
      </c>
      <c r="G10" s="34">
        <v>10.704591559999999</v>
      </c>
      <c r="H10" s="34">
        <v>6.8743871590000003</v>
      </c>
      <c r="I10" s="34">
        <v>10.411733349999999</v>
      </c>
      <c r="J10" s="34">
        <v>5.8518316109999997</v>
      </c>
      <c r="K10" s="34">
        <v>8.9963045910000012</v>
      </c>
      <c r="L10" s="34">
        <v>6.8743871590000003</v>
      </c>
      <c r="M10" s="34">
        <v>8.6057780260000012</v>
      </c>
      <c r="N10" s="34">
        <v>6.2776187460000008</v>
      </c>
      <c r="O10" s="34">
        <v>1.860962805</v>
      </c>
      <c r="P10" s="34">
        <v>1.2313363390000001</v>
      </c>
      <c r="Q10" s="34">
        <v>1.8704333420000001</v>
      </c>
      <c r="R10" s="34">
        <v>6.6697693960000004</v>
      </c>
      <c r="S10" s="34">
        <v>5.303005593</v>
      </c>
      <c r="T10" s="34">
        <v>1.573892109</v>
      </c>
      <c r="U10" s="1"/>
      <c r="V10" s="1"/>
      <c r="W10" s="1"/>
    </row>
    <row r="11" spans="1:23" x14ac:dyDescent="0.2">
      <c r="A11" s="15">
        <v>21</v>
      </c>
      <c r="B11" s="34"/>
      <c r="C11" s="34"/>
      <c r="D11" s="34"/>
      <c r="E11" s="34"/>
      <c r="F11" s="34">
        <v>13.693074180000002</v>
      </c>
      <c r="G11" s="34">
        <v>15.565134459999999</v>
      </c>
      <c r="H11" s="34">
        <v>8.8957878049999994</v>
      </c>
      <c r="I11" s="34">
        <v>14.09777946</v>
      </c>
      <c r="J11" s="34">
        <v>8.4486113869999997</v>
      </c>
      <c r="K11" s="34">
        <v>13.39535834</v>
      </c>
      <c r="L11" s="34">
        <v>15.213948009999999</v>
      </c>
      <c r="M11" s="34">
        <v>12.18279589</v>
      </c>
      <c r="N11" s="34">
        <v>9.0377477069999994</v>
      </c>
      <c r="O11" s="34">
        <v>2.779022865</v>
      </c>
      <c r="P11" s="34">
        <v>2.1245371460000002</v>
      </c>
      <c r="Q11" s="34">
        <v>3.742410784</v>
      </c>
      <c r="R11" s="34">
        <v>9.0123091769999988</v>
      </c>
      <c r="S11" s="34">
        <v>9.4393894500000002</v>
      </c>
      <c r="T11" s="34">
        <v>3.3824000819999998</v>
      </c>
      <c r="U11" s="1"/>
      <c r="V11" s="1"/>
      <c r="W11" s="1"/>
    </row>
    <row r="12" spans="1:2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</sheetData>
  <mergeCells count="4">
    <mergeCell ref="B3:T3"/>
    <mergeCell ref="B4:E4"/>
    <mergeCell ref="F4:M4"/>
    <mergeCell ref="N4:T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5E0C-8725-D04B-AB24-AE47B2F66A46}">
  <dimension ref="A1:X12"/>
  <sheetViews>
    <sheetView zoomScale="75" workbookViewId="0">
      <selection activeCell="E22" sqref="E22"/>
    </sheetView>
  </sheetViews>
  <sheetFormatPr baseColWidth="10" defaultColWidth="11" defaultRowHeight="16" x14ac:dyDescent="0.2"/>
  <cols>
    <col min="1" max="1" width="28.5" customWidth="1"/>
    <col min="23" max="23" width="20.6640625" customWidth="1"/>
  </cols>
  <sheetData>
    <row r="1" spans="1:24" x14ac:dyDescent="0.2">
      <c r="A1" s="28" t="s">
        <v>21</v>
      </c>
    </row>
    <row r="2" spans="1:24" x14ac:dyDescent="0.2">
      <c r="A2" s="16" t="s">
        <v>52</v>
      </c>
    </row>
    <row r="3" spans="1:24" ht="18" x14ac:dyDescent="0.2">
      <c r="A3" s="11"/>
      <c r="B3" s="36" t="s">
        <v>51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8"/>
      <c r="V3" s="1"/>
      <c r="W3" s="2" t="s">
        <v>16</v>
      </c>
      <c r="X3" s="2" t="s">
        <v>4</v>
      </c>
    </row>
    <row r="4" spans="1:24" x14ac:dyDescent="0.2">
      <c r="A4" s="9" t="s">
        <v>65</v>
      </c>
      <c r="B4" s="42" t="s">
        <v>18</v>
      </c>
      <c r="C4" s="43"/>
      <c r="D4" s="43"/>
      <c r="E4" s="43"/>
      <c r="F4" s="42" t="s">
        <v>22</v>
      </c>
      <c r="G4" s="43"/>
      <c r="H4" s="43"/>
      <c r="I4" s="43"/>
      <c r="J4" s="43"/>
      <c r="K4" s="43"/>
      <c r="L4" s="43"/>
      <c r="M4" s="42" t="s">
        <v>23</v>
      </c>
      <c r="N4" s="43"/>
      <c r="O4" s="43"/>
      <c r="P4" s="43"/>
      <c r="Q4" s="43"/>
      <c r="R4" s="43"/>
      <c r="S4" s="43"/>
      <c r="T4" s="43"/>
      <c r="U4" s="44"/>
      <c r="V4" s="1"/>
      <c r="W4" s="2" t="s">
        <v>5</v>
      </c>
      <c r="X4" s="2" t="s">
        <v>6</v>
      </c>
    </row>
    <row r="5" spans="1:24" x14ac:dyDescent="0.2">
      <c r="A5" s="12">
        <v>11</v>
      </c>
      <c r="B5" s="34">
        <v>0.12757048779999999</v>
      </c>
      <c r="C5" s="34">
        <v>0.12575239829999998</v>
      </c>
      <c r="D5" s="34">
        <v>6.7588891100000006E-2</v>
      </c>
      <c r="E5" s="34">
        <v>7.7011957510000006E-2</v>
      </c>
      <c r="F5" s="34">
        <v>0.19535637090000002</v>
      </c>
      <c r="G5" s="34">
        <v>1.3940653409999998E-2</v>
      </c>
      <c r="H5" s="34">
        <v>0.21186012430000001</v>
      </c>
      <c r="I5" s="34">
        <v>0.14717676199999999</v>
      </c>
      <c r="J5" s="34">
        <v>0.14124426550000002</v>
      </c>
      <c r="K5" s="34">
        <v>0.1587927553</v>
      </c>
      <c r="L5" s="34">
        <v>0.2097056249</v>
      </c>
      <c r="M5" s="34">
        <v>0.13307666260000001</v>
      </c>
      <c r="N5" s="34">
        <v>8.4442737710000007E-2</v>
      </c>
      <c r="O5" s="34">
        <v>8.1678578619999997E-2</v>
      </c>
      <c r="P5" s="34">
        <v>6.3574385459999994E-2</v>
      </c>
      <c r="Q5" s="34">
        <v>9.7046158090000001E-2</v>
      </c>
      <c r="R5" s="34">
        <v>5.5795519999999994E-2</v>
      </c>
      <c r="S5" s="34">
        <v>0.18186273950000001</v>
      </c>
      <c r="T5" s="34">
        <v>5.7533621300000004E-2</v>
      </c>
      <c r="U5" s="34">
        <v>0.11152522729999999</v>
      </c>
      <c r="V5" s="1"/>
      <c r="W5" s="1"/>
      <c r="X5" s="1"/>
    </row>
    <row r="6" spans="1:24" x14ac:dyDescent="0.2">
      <c r="A6" s="12">
        <v>13</v>
      </c>
      <c r="B6" s="34">
        <v>0.45957035830000004</v>
      </c>
      <c r="C6" s="34">
        <v>1.2187470389999999</v>
      </c>
      <c r="D6" s="34">
        <v>0.17145286139999999</v>
      </c>
      <c r="E6" s="34">
        <v>0.71320773849999997</v>
      </c>
      <c r="F6" s="34">
        <v>0.23380416780000002</v>
      </c>
      <c r="G6" s="34">
        <v>6.2134999970000007E-2</v>
      </c>
      <c r="H6" s="34">
        <v>0.18727331329999999</v>
      </c>
      <c r="I6" s="34">
        <v>0.12757048779999999</v>
      </c>
      <c r="J6" s="34">
        <v>0.69469041850000002</v>
      </c>
      <c r="K6" s="34">
        <v>0.17145286139999999</v>
      </c>
      <c r="L6" s="34">
        <v>0.2541609051</v>
      </c>
      <c r="M6" s="34">
        <v>0.14574555180000001</v>
      </c>
      <c r="N6" s="34">
        <v>7.2437760000000004E-2</v>
      </c>
      <c r="O6" s="34">
        <v>0.10313892</v>
      </c>
      <c r="P6" s="34">
        <v>9.7046158090000001E-2</v>
      </c>
      <c r="Q6" s="34">
        <v>7.7011957510000006E-2</v>
      </c>
      <c r="R6" s="34">
        <v>5.9642667960000006E-2</v>
      </c>
      <c r="S6" s="34">
        <v>0.108921592</v>
      </c>
      <c r="T6" s="34">
        <v>0.108921592</v>
      </c>
      <c r="U6" s="34">
        <v>0.14384453790000001</v>
      </c>
      <c r="V6" s="1"/>
      <c r="W6" s="1"/>
      <c r="X6" s="1"/>
    </row>
    <row r="7" spans="1:24" x14ac:dyDescent="0.2">
      <c r="A7" s="12">
        <v>15</v>
      </c>
      <c r="B7" s="34">
        <v>1.1889010120000001</v>
      </c>
      <c r="C7" s="34">
        <v>2.0361543910000002</v>
      </c>
      <c r="D7" s="34">
        <v>0.38690138889999998</v>
      </c>
      <c r="E7" s="34">
        <v>0.96996333449999994</v>
      </c>
      <c r="F7" s="34">
        <v>0.55403727660000002</v>
      </c>
      <c r="G7" s="34">
        <v>0.12757048779999999</v>
      </c>
      <c r="H7" s="34">
        <v>0.33850890739999995</v>
      </c>
      <c r="I7" s="34">
        <v>0.24193522640000001</v>
      </c>
      <c r="J7" s="34">
        <v>1.12430279</v>
      </c>
      <c r="K7" s="34">
        <v>0.29895346570000003</v>
      </c>
      <c r="L7" s="34">
        <v>0.56148729009999998</v>
      </c>
      <c r="M7" s="34">
        <v>0.31052507039999999</v>
      </c>
      <c r="N7" s="34">
        <v>9.1282010430000005E-2</v>
      </c>
      <c r="O7" s="34">
        <v>0.14147999999999999</v>
      </c>
      <c r="P7" s="34">
        <v>0.14861262650000001</v>
      </c>
      <c r="Q7" s="34">
        <v>0.137724018</v>
      </c>
      <c r="R7" s="34">
        <v>7.0746649250000002E-2</v>
      </c>
      <c r="S7" s="34">
        <v>0.19693394120000002</v>
      </c>
      <c r="T7" s="34">
        <v>0.1632240234</v>
      </c>
      <c r="U7" s="34">
        <v>0.15391704239999998</v>
      </c>
      <c r="V7" s="1"/>
      <c r="W7" s="1"/>
      <c r="X7" s="1"/>
    </row>
    <row r="8" spans="1:24" x14ac:dyDescent="0.2">
      <c r="A8" s="12">
        <v>17</v>
      </c>
      <c r="B8" s="34">
        <v>3.1031283739999997</v>
      </c>
      <c r="C8" s="34">
        <v>4.754985671</v>
      </c>
      <c r="D8" s="34">
        <v>1.160253575</v>
      </c>
      <c r="E8" s="34">
        <v>2.4134468509999998</v>
      </c>
      <c r="F8" s="34">
        <v>1.1574016620000001</v>
      </c>
      <c r="G8" s="34">
        <v>0.18598028979999998</v>
      </c>
      <c r="H8" s="34">
        <v>0.52457117399999997</v>
      </c>
      <c r="I8" s="34">
        <v>0.3191447624</v>
      </c>
      <c r="J8" s="34">
        <v>2.2978452140000001</v>
      </c>
      <c r="K8" s="34">
        <v>0.5381325159</v>
      </c>
      <c r="L8" s="34">
        <v>1.048022113</v>
      </c>
      <c r="M8" s="34">
        <v>0.28633538780000001</v>
      </c>
      <c r="N8" s="34">
        <v>0.1880505596</v>
      </c>
      <c r="O8" s="34">
        <v>0.16371889140000001</v>
      </c>
      <c r="P8" s="34">
        <v>0.1622357868</v>
      </c>
      <c r="Q8" s="34">
        <v>0.40450881780000003</v>
      </c>
      <c r="R8" s="34">
        <v>0.14574555180000001</v>
      </c>
      <c r="S8" s="34">
        <v>0.1622357868</v>
      </c>
      <c r="T8" s="34">
        <v>0.24901874469999999</v>
      </c>
      <c r="U8" s="34">
        <v>0.20169194959999998</v>
      </c>
      <c r="V8" s="1"/>
      <c r="W8" s="1"/>
      <c r="X8" s="1"/>
    </row>
    <row r="9" spans="1:24" x14ac:dyDescent="0.2">
      <c r="A9" s="12">
        <v>19</v>
      </c>
      <c r="B9" s="34">
        <v>10.717559360000001</v>
      </c>
      <c r="C9" s="34">
        <v>8.9192393200000009</v>
      </c>
      <c r="D9" s="34">
        <v>2.2082674190000002</v>
      </c>
      <c r="E9" s="34">
        <v>5.4775597560000007</v>
      </c>
      <c r="F9" s="34">
        <v>2.3867880079999999</v>
      </c>
      <c r="G9" s="34">
        <v>0.31976345980000004</v>
      </c>
      <c r="H9" s="34">
        <v>1.770427712</v>
      </c>
      <c r="I9" s="34">
        <v>0.37248364820000002</v>
      </c>
      <c r="J9" s="34">
        <v>5.5599282189999997</v>
      </c>
      <c r="K9" s="34">
        <v>1.373131551</v>
      </c>
      <c r="L9" s="34">
        <v>1.5754715289999999</v>
      </c>
      <c r="M9" s="34">
        <v>0.38360862220000003</v>
      </c>
      <c r="N9" s="34">
        <v>0.44084216849999996</v>
      </c>
      <c r="O9" s="34">
        <v>0.29834850099999999</v>
      </c>
      <c r="P9" s="34">
        <v>0.20488492520000001</v>
      </c>
      <c r="Q9" s="34">
        <v>0.84300187670000004</v>
      </c>
      <c r="R9" s="34">
        <v>0.15610483999999999</v>
      </c>
      <c r="S9" s="34">
        <v>0.23436195099999999</v>
      </c>
      <c r="T9" s="34">
        <v>0.18598028979999998</v>
      </c>
      <c r="U9" s="34">
        <v>0.36082382789999995</v>
      </c>
      <c r="V9" s="1"/>
      <c r="W9" s="1"/>
      <c r="X9" s="1"/>
    </row>
    <row r="10" spans="1:24" x14ac:dyDescent="0.2">
      <c r="A10" s="12">
        <v>21</v>
      </c>
      <c r="B10" s="34">
        <v>20.233830820000001</v>
      </c>
      <c r="C10" s="34">
        <v>14.738777950000001</v>
      </c>
      <c r="D10" s="34">
        <v>12.168221089999999</v>
      </c>
      <c r="E10" s="34">
        <v>20.81242018</v>
      </c>
      <c r="F10" s="34">
        <v>8.826492064</v>
      </c>
      <c r="G10" s="34">
        <v>1.7311585009999999</v>
      </c>
      <c r="H10" s="34">
        <v>4.9727271919999998</v>
      </c>
      <c r="I10" s="34">
        <v>1.996706914</v>
      </c>
      <c r="J10" s="34">
        <v>10.480979899999999</v>
      </c>
      <c r="K10" s="34">
        <v>5.2746220150000003</v>
      </c>
      <c r="L10" s="34">
        <v>5.6330405399999997</v>
      </c>
      <c r="M10" s="34">
        <v>0.82341418239999997</v>
      </c>
      <c r="N10" s="34">
        <v>1.796769828</v>
      </c>
      <c r="O10" s="34">
        <v>1.40646154</v>
      </c>
      <c r="P10" s="34">
        <v>0.54366314180000008</v>
      </c>
      <c r="Q10" s="34">
        <v>3.2709389149999999</v>
      </c>
      <c r="R10" s="34">
        <v>0.3191447624</v>
      </c>
      <c r="S10" s="34">
        <v>0.52822501659999999</v>
      </c>
      <c r="T10" s="34">
        <v>0.36082382789999995</v>
      </c>
      <c r="U10" s="34">
        <v>1.369612206</v>
      </c>
      <c r="V10" s="1"/>
      <c r="W10" s="1"/>
      <c r="X10" s="1"/>
    </row>
    <row r="11" spans="1:24" x14ac:dyDescent="0.2">
      <c r="A11" s="15">
        <v>23</v>
      </c>
      <c r="B11" s="34"/>
      <c r="C11" s="34"/>
      <c r="D11" s="34"/>
      <c r="E11" s="34"/>
      <c r="F11" s="34">
        <v>22.927973470000001</v>
      </c>
      <c r="G11" s="34">
        <v>4.59683492</v>
      </c>
      <c r="H11" s="34">
        <v>11.147408840000001</v>
      </c>
      <c r="I11" s="34">
        <v>7.7623945370000005</v>
      </c>
      <c r="J11" s="34">
        <v>19.13665293</v>
      </c>
      <c r="K11" s="34">
        <v>13.128645110000001</v>
      </c>
      <c r="L11" s="34">
        <v>14.99358516</v>
      </c>
      <c r="M11" s="34">
        <v>1.6390794020000001</v>
      </c>
      <c r="N11" s="34">
        <v>5.2274290319999999</v>
      </c>
      <c r="O11" s="34">
        <v>4.1790634390000001</v>
      </c>
      <c r="P11" s="34">
        <v>1.610352035</v>
      </c>
      <c r="Q11" s="34">
        <v>9.0509474619999999</v>
      </c>
      <c r="R11" s="34">
        <v>0.37248364820000002</v>
      </c>
      <c r="S11" s="34">
        <v>2.0287026030000002</v>
      </c>
      <c r="T11" s="34">
        <v>0.57799361520000003</v>
      </c>
      <c r="U11" s="34">
        <v>5.4075120539999997</v>
      </c>
      <c r="V11" s="1"/>
      <c r="W11" s="1"/>
      <c r="X11" s="1"/>
    </row>
    <row r="12" spans="1:24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</sheetData>
  <mergeCells count="4">
    <mergeCell ref="B3:U3"/>
    <mergeCell ref="B4:E4"/>
    <mergeCell ref="F4:L4"/>
    <mergeCell ref="M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5578-A353-4A47-B71A-014E983127BD}">
  <dimension ref="A1:X12"/>
  <sheetViews>
    <sheetView zoomScale="66" workbookViewId="0">
      <selection activeCell="K24" sqref="K24"/>
    </sheetView>
  </sheetViews>
  <sheetFormatPr baseColWidth="10" defaultColWidth="11" defaultRowHeight="16" x14ac:dyDescent="0.2"/>
  <cols>
    <col min="1" max="1" width="28.1640625" customWidth="1"/>
    <col min="23" max="23" width="21" customWidth="1"/>
  </cols>
  <sheetData>
    <row r="1" spans="1:24" x14ac:dyDescent="0.2">
      <c r="A1" s="28" t="s">
        <v>24</v>
      </c>
    </row>
    <row r="2" spans="1:24" x14ac:dyDescent="0.2">
      <c r="A2" s="16" t="s">
        <v>53</v>
      </c>
    </row>
    <row r="3" spans="1:24" ht="18" x14ac:dyDescent="0.2">
      <c r="A3" s="17"/>
      <c r="B3" s="45" t="s">
        <v>60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/>
      <c r="V3" s="16"/>
      <c r="W3" s="18" t="s">
        <v>16</v>
      </c>
      <c r="X3" s="19" t="s">
        <v>25</v>
      </c>
    </row>
    <row r="4" spans="1:24" x14ac:dyDescent="0.2">
      <c r="A4" s="20" t="s">
        <v>65</v>
      </c>
      <c r="B4" s="42" t="s">
        <v>18</v>
      </c>
      <c r="C4" s="43"/>
      <c r="D4" s="43"/>
      <c r="E4" s="43"/>
      <c r="F4" s="44"/>
      <c r="G4" s="42" t="s">
        <v>68</v>
      </c>
      <c r="H4" s="43"/>
      <c r="I4" s="43"/>
      <c r="J4" s="43"/>
      <c r="K4" s="43"/>
      <c r="L4" s="43"/>
      <c r="M4" s="44"/>
      <c r="N4" s="42" t="s">
        <v>69</v>
      </c>
      <c r="O4" s="43"/>
      <c r="P4" s="43"/>
      <c r="Q4" s="43"/>
      <c r="R4" s="43"/>
      <c r="S4" s="43"/>
      <c r="T4" s="43"/>
      <c r="U4" s="48"/>
      <c r="V4" s="16"/>
      <c r="W4" s="21" t="s">
        <v>26</v>
      </c>
      <c r="X4" s="22" t="s">
        <v>6</v>
      </c>
    </row>
    <row r="5" spans="1:24" x14ac:dyDescent="0.2">
      <c r="A5" s="12">
        <v>10</v>
      </c>
      <c r="B5" s="34">
        <v>7.6999999999999999E-2</v>
      </c>
      <c r="C5" s="34">
        <v>5.2000000000000005E-2</v>
      </c>
      <c r="D5" s="34">
        <v>8.5600000000000009E-2</v>
      </c>
      <c r="E5" s="34">
        <v>5.5099999999999996E-2</v>
      </c>
      <c r="F5" s="34">
        <v>0.12759999999999999</v>
      </c>
      <c r="G5" s="34">
        <v>6.8000000000000005E-2</v>
      </c>
      <c r="H5" s="34">
        <v>0.12759999999999999</v>
      </c>
      <c r="I5" s="34">
        <v>8.4399999999999989E-2</v>
      </c>
      <c r="J5" s="34">
        <v>3.4599999999999999E-2</v>
      </c>
      <c r="K5" s="34">
        <v>4.7E-2</v>
      </c>
      <c r="L5" s="34">
        <v>0.12759999999999999</v>
      </c>
      <c r="M5" s="34">
        <v>4.41E-2</v>
      </c>
      <c r="N5" s="34">
        <v>8.1699999999999995E-2</v>
      </c>
      <c r="O5" s="34">
        <v>0.03</v>
      </c>
      <c r="P5" s="34">
        <v>0.16320000000000001</v>
      </c>
      <c r="Q5" s="34">
        <v>2.5600000000000001E-2</v>
      </c>
      <c r="R5" s="34">
        <v>6.2100000000000002E-2</v>
      </c>
      <c r="S5" s="34">
        <v>4.7899999999999998E-2</v>
      </c>
      <c r="T5" s="34">
        <v>3.5799999999999998E-2</v>
      </c>
      <c r="U5" s="34">
        <v>4.8399999999999999E-2</v>
      </c>
      <c r="V5" s="16"/>
      <c r="W5" s="16"/>
      <c r="X5" s="16"/>
    </row>
    <row r="6" spans="1:24" x14ac:dyDescent="0.2">
      <c r="A6" s="12">
        <v>13</v>
      </c>
      <c r="B6" s="34">
        <v>0.49709999999999999</v>
      </c>
      <c r="C6" s="34">
        <v>0.22469999999999998</v>
      </c>
      <c r="D6" s="34">
        <v>0.55399999999999994</v>
      </c>
      <c r="E6" s="34">
        <v>0.44600000000000001</v>
      </c>
      <c r="F6" s="34">
        <v>0.73030000000000006</v>
      </c>
      <c r="G6" s="34">
        <v>0.16370000000000001</v>
      </c>
      <c r="H6" s="34">
        <v>0.5615</v>
      </c>
      <c r="I6" s="34">
        <v>0.34610000000000002</v>
      </c>
      <c r="J6" s="34">
        <v>0.17469999999999999</v>
      </c>
      <c r="K6" s="34">
        <v>0.13539999999999999</v>
      </c>
      <c r="L6" s="34">
        <v>0.84730000000000005</v>
      </c>
      <c r="M6" s="34">
        <v>9.6199999999999994E-2</v>
      </c>
      <c r="N6" s="34">
        <v>0.52600000000000002</v>
      </c>
      <c r="O6" s="34">
        <v>9.3299999999999994E-2</v>
      </c>
      <c r="P6" s="34">
        <v>0.7581</v>
      </c>
      <c r="Q6" s="34">
        <v>7.6999999999999999E-2</v>
      </c>
      <c r="R6" s="34">
        <v>0.3599</v>
      </c>
      <c r="S6" s="34">
        <v>0.16079999999999997</v>
      </c>
      <c r="T6" s="34">
        <v>9.6999999999999989E-2</v>
      </c>
      <c r="U6" s="34">
        <v>0.1076</v>
      </c>
      <c r="V6" s="16"/>
      <c r="W6" s="16"/>
      <c r="X6" s="16"/>
    </row>
    <row r="7" spans="1:24" x14ac:dyDescent="0.2">
      <c r="A7" s="12">
        <v>16</v>
      </c>
      <c r="B7" s="34">
        <v>1.4693000000000001</v>
      </c>
      <c r="C7" s="34">
        <v>0.5615</v>
      </c>
      <c r="D7" s="34">
        <v>0.71560000000000001</v>
      </c>
      <c r="E7" s="34">
        <v>1.3715999999999999</v>
      </c>
      <c r="F7" s="34">
        <v>0.87139999999999995</v>
      </c>
      <c r="G7" s="34">
        <v>0.44600000000000001</v>
      </c>
      <c r="H7" s="34">
        <v>1.1593</v>
      </c>
      <c r="I7" s="34">
        <v>1.0896999999999999</v>
      </c>
      <c r="J7" s="34">
        <v>0.30590000000000001</v>
      </c>
      <c r="K7" s="34">
        <v>0.3417</v>
      </c>
      <c r="L7" s="34">
        <v>1.6391</v>
      </c>
      <c r="M7" s="34">
        <v>0.16920000000000002</v>
      </c>
      <c r="N7" s="34">
        <v>0.87139999999999995</v>
      </c>
      <c r="O7" s="34">
        <v>0.12480000000000001</v>
      </c>
      <c r="P7" s="34">
        <v>1.2694000000000001</v>
      </c>
      <c r="Q7" s="34">
        <v>9.7500000000000003E-2</v>
      </c>
      <c r="R7" s="34">
        <v>0.97040000000000004</v>
      </c>
      <c r="S7" s="34">
        <v>0.13769999999999999</v>
      </c>
      <c r="T7" s="34">
        <v>0.16370000000000001</v>
      </c>
      <c r="U7" s="34">
        <v>0.24</v>
      </c>
      <c r="V7" s="16"/>
      <c r="W7" s="16"/>
      <c r="X7" s="16"/>
    </row>
    <row r="8" spans="1:24" x14ac:dyDescent="0.2">
      <c r="A8" s="12">
        <v>19</v>
      </c>
      <c r="B8" s="34">
        <v>3.5647000000000002</v>
      </c>
      <c r="C8" s="34">
        <v>2.1630000000000003</v>
      </c>
      <c r="D8" s="34">
        <v>2.4390000000000001</v>
      </c>
      <c r="E8" s="34">
        <v>5.6603999999999992</v>
      </c>
      <c r="F8" s="34">
        <v>2.6252</v>
      </c>
      <c r="G8" s="34">
        <v>0.94230000000000003</v>
      </c>
      <c r="H8" s="34">
        <v>1.8326</v>
      </c>
      <c r="I8" s="34">
        <v>2.0758999999999999</v>
      </c>
      <c r="J8" s="34">
        <v>1.0206</v>
      </c>
      <c r="K8" s="34">
        <v>0.80230000000000001</v>
      </c>
      <c r="L8" s="34">
        <v>2.6501999999999999</v>
      </c>
      <c r="M8" s="34">
        <v>1.1851</v>
      </c>
      <c r="N8" s="34">
        <v>1.2130000000000001</v>
      </c>
      <c r="O8" s="34">
        <v>9.1899999999999996E-2</v>
      </c>
      <c r="P8" s="34">
        <v>2.3338000000000001</v>
      </c>
      <c r="Q8" s="34">
        <v>0.25469999999999998</v>
      </c>
      <c r="R8" s="34">
        <v>2.3338000000000001</v>
      </c>
      <c r="S8" s="34">
        <v>0.21129999999999999</v>
      </c>
      <c r="T8" s="34">
        <v>0.26429999999999998</v>
      </c>
      <c r="U8" s="34">
        <v>0.9131999999999999</v>
      </c>
      <c r="V8" s="16"/>
      <c r="W8" s="16"/>
      <c r="X8" s="16"/>
    </row>
    <row r="9" spans="1:24" x14ac:dyDescent="0.2">
      <c r="A9" s="12">
        <v>21</v>
      </c>
      <c r="B9" s="34">
        <v>7.3874000000000004</v>
      </c>
      <c r="C9" s="34">
        <v>5.2746000000000004</v>
      </c>
      <c r="D9" s="34">
        <v>5.2391999999999994</v>
      </c>
      <c r="E9" s="34">
        <v>9.8729999999999993</v>
      </c>
      <c r="F9" s="34">
        <v>4.5623000000000005</v>
      </c>
      <c r="G9" s="34">
        <v>1.6343000000000001</v>
      </c>
      <c r="H9" s="34">
        <v>3.2012999999999998</v>
      </c>
      <c r="I9" s="34">
        <v>4.0847000000000007</v>
      </c>
      <c r="J9" s="34">
        <v>2.9058999999999999</v>
      </c>
      <c r="K9" s="34">
        <v>2.2549999999999999</v>
      </c>
      <c r="L9" s="34">
        <v>5.2439</v>
      </c>
      <c r="M9" s="34">
        <v>2.8287999999999998</v>
      </c>
      <c r="N9" s="34">
        <v>1.2792000000000001</v>
      </c>
      <c r="O9" s="34">
        <v>0.1148</v>
      </c>
      <c r="P9" s="34">
        <v>3.5931000000000002</v>
      </c>
      <c r="Q9" s="34">
        <v>0.38819999999999999</v>
      </c>
      <c r="R9" s="34">
        <v>4.1791</v>
      </c>
      <c r="S9" s="34">
        <v>0.3105</v>
      </c>
      <c r="T9" s="34">
        <v>0.25469999999999998</v>
      </c>
      <c r="U9" s="34">
        <v>1.6840999999999999</v>
      </c>
      <c r="V9" s="16"/>
      <c r="W9" s="16"/>
      <c r="X9" s="16"/>
    </row>
    <row r="10" spans="1:24" x14ac:dyDescent="0.2">
      <c r="A10" s="12">
        <v>24</v>
      </c>
      <c r="B10" s="34">
        <v>15.133299999999998</v>
      </c>
      <c r="C10" s="34">
        <v>10.924799999999999</v>
      </c>
      <c r="D10" s="34">
        <v>11.462200000000001</v>
      </c>
      <c r="E10" s="34">
        <v>15.860999999999999</v>
      </c>
      <c r="F10" s="34">
        <v>9.6265000000000001</v>
      </c>
      <c r="G10" s="34">
        <v>2.1630000000000003</v>
      </c>
      <c r="H10" s="34">
        <v>8.088099999999999</v>
      </c>
      <c r="I10" s="34">
        <v>7.7257000000000007</v>
      </c>
      <c r="J10" s="34">
        <v>6.6162000000000001</v>
      </c>
      <c r="K10" s="34">
        <v>4.6172000000000004</v>
      </c>
      <c r="L10" s="34">
        <v>11.7142</v>
      </c>
      <c r="M10" s="34">
        <v>3.2193999999999998</v>
      </c>
      <c r="N10" s="34">
        <v>2.0735000000000001</v>
      </c>
      <c r="O10" s="34">
        <v>9.2100000000000015E-2</v>
      </c>
      <c r="P10" s="34">
        <v>6.0255999999999998</v>
      </c>
      <c r="Q10" s="34">
        <v>1.1889000000000001</v>
      </c>
      <c r="R10" s="34">
        <v>7.0958000000000006</v>
      </c>
      <c r="S10" s="34">
        <v>0.89049999999999996</v>
      </c>
      <c r="T10" s="34">
        <v>0.49349999999999999</v>
      </c>
      <c r="U10" s="34">
        <v>2.9643000000000002</v>
      </c>
      <c r="V10" s="16"/>
      <c r="W10" s="16"/>
      <c r="X10" s="16"/>
    </row>
    <row r="11" spans="1:24" x14ac:dyDescent="0.2">
      <c r="A11" s="15">
        <v>27</v>
      </c>
      <c r="B11" s="34"/>
      <c r="C11" s="34"/>
      <c r="D11" s="34"/>
      <c r="E11" s="34"/>
      <c r="F11" s="34"/>
      <c r="G11" s="34">
        <v>4.9519000000000002</v>
      </c>
      <c r="H11" s="34">
        <v>16.7317</v>
      </c>
      <c r="I11" s="34">
        <v>15.932600000000001</v>
      </c>
      <c r="J11" s="34">
        <v>10.888599999999999</v>
      </c>
      <c r="K11" s="34">
        <v>11.8408</v>
      </c>
      <c r="L11" s="34">
        <v>18.864999999999998</v>
      </c>
      <c r="M11" s="34">
        <v>7.4483000000000006</v>
      </c>
      <c r="N11" s="34">
        <v>5.5535000000000005</v>
      </c>
      <c r="O11" s="34">
        <v>6.8000000000000005E-2</v>
      </c>
      <c r="P11" s="34">
        <v>7.9324000000000003</v>
      </c>
      <c r="Q11" s="34">
        <v>2.0333000000000001</v>
      </c>
      <c r="R11" s="34">
        <v>10.0044</v>
      </c>
      <c r="S11" s="34">
        <v>1.6471</v>
      </c>
      <c r="T11" s="34">
        <v>0.96640000000000004</v>
      </c>
      <c r="U11" s="34">
        <v>5.0587</v>
      </c>
      <c r="V11" s="16"/>
      <c r="W11" s="16"/>
      <c r="X11" s="16"/>
    </row>
    <row r="12" spans="1:24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</sheetData>
  <mergeCells count="4">
    <mergeCell ref="B3:U3"/>
    <mergeCell ref="B4:F4"/>
    <mergeCell ref="G4:M4"/>
    <mergeCell ref="N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34F13-1014-FD4C-B1B9-33ABB94A8D49}">
  <dimension ref="A1:AT11"/>
  <sheetViews>
    <sheetView zoomScale="67" workbookViewId="0">
      <selection activeCell="AI12" sqref="AI12"/>
    </sheetView>
  </sheetViews>
  <sheetFormatPr baseColWidth="10" defaultColWidth="11" defaultRowHeight="16" x14ac:dyDescent="0.2"/>
  <cols>
    <col min="42" max="42" width="53.33203125" customWidth="1"/>
  </cols>
  <sheetData>
    <row r="1" spans="1:46" x14ac:dyDescent="0.2">
      <c r="A1" s="28" t="s">
        <v>27</v>
      </c>
    </row>
    <row r="2" spans="1:46" x14ac:dyDescent="0.2">
      <c r="A2" s="16" t="s">
        <v>50</v>
      </c>
    </row>
    <row r="3" spans="1:46" ht="18" x14ac:dyDescent="0.2">
      <c r="A3" s="11"/>
      <c r="B3" s="36" t="s">
        <v>51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8"/>
      <c r="AP3" s="2" t="s">
        <v>16</v>
      </c>
      <c r="AQ3" s="2" t="s">
        <v>4</v>
      </c>
      <c r="AR3" s="1"/>
      <c r="AS3" s="1"/>
      <c r="AT3" s="1"/>
    </row>
    <row r="4" spans="1:46" x14ac:dyDescent="0.2">
      <c r="A4" s="9" t="s">
        <v>17</v>
      </c>
      <c r="B4" s="49" t="s">
        <v>18</v>
      </c>
      <c r="C4" s="50"/>
      <c r="D4" s="50"/>
      <c r="E4" s="50"/>
      <c r="F4" s="49" t="s">
        <v>28</v>
      </c>
      <c r="G4" s="50"/>
      <c r="H4" s="50"/>
      <c r="I4" s="50"/>
      <c r="J4" s="50"/>
      <c r="K4" s="50"/>
      <c r="L4" s="50"/>
      <c r="M4" s="50"/>
      <c r="N4" s="49" t="s">
        <v>29</v>
      </c>
      <c r="O4" s="50"/>
      <c r="P4" s="50"/>
      <c r="Q4" s="50"/>
      <c r="R4" s="50"/>
      <c r="S4" s="50"/>
      <c r="T4" s="50"/>
      <c r="U4" s="49" t="s">
        <v>30</v>
      </c>
      <c r="V4" s="50"/>
      <c r="W4" s="50"/>
      <c r="X4" s="50"/>
      <c r="Y4" s="50"/>
      <c r="Z4" s="50"/>
      <c r="AA4" s="50"/>
      <c r="AB4" s="50"/>
      <c r="AC4" s="50"/>
      <c r="AD4" s="51"/>
      <c r="AE4" s="49" t="s">
        <v>31</v>
      </c>
      <c r="AF4" s="50"/>
      <c r="AG4" s="50"/>
      <c r="AH4" s="50"/>
      <c r="AI4" s="50"/>
      <c r="AJ4" s="50"/>
      <c r="AK4" s="50"/>
      <c r="AL4" s="50"/>
      <c r="AM4" s="50"/>
      <c r="AN4" s="51"/>
      <c r="AP4" s="2" t="s">
        <v>32</v>
      </c>
      <c r="AQ4" s="2">
        <v>0.28129999999999999</v>
      </c>
      <c r="AR4" s="1"/>
      <c r="AS4" s="23"/>
      <c r="AT4" s="1"/>
    </row>
    <row r="5" spans="1:46" x14ac:dyDescent="0.2">
      <c r="A5" s="12">
        <v>11</v>
      </c>
      <c r="B5" s="34">
        <v>0.67334518399999999</v>
      </c>
      <c r="C5" s="34">
        <v>0.29895346570000003</v>
      </c>
      <c r="D5" s="34">
        <v>1.2410497190000001</v>
      </c>
      <c r="E5" s="34">
        <v>1.8916606329999999</v>
      </c>
      <c r="F5" s="34">
        <v>0.49707999970000005</v>
      </c>
      <c r="G5" s="34">
        <v>0.1207977417</v>
      </c>
      <c r="H5" s="34">
        <v>7.7011957510000006E-2</v>
      </c>
      <c r="I5" s="34">
        <v>0.73637723779999997</v>
      </c>
      <c r="J5" s="34">
        <v>0.52457117399999997</v>
      </c>
      <c r="K5" s="34">
        <v>0.29834850099999999</v>
      </c>
      <c r="L5" s="34">
        <v>0.44705601859999999</v>
      </c>
      <c r="M5" s="34">
        <v>8.1678578619999997E-2</v>
      </c>
      <c r="N5" s="34">
        <v>0.42441434420000002</v>
      </c>
      <c r="O5" s="34">
        <v>0.16371889140000001</v>
      </c>
      <c r="P5" s="34">
        <v>0.38789104680000003</v>
      </c>
      <c r="Q5" s="34">
        <v>0.47714134369999994</v>
      </c>
      <c r="R5" s="34">
        <v>0.2762544408</v>
      </c>
      <c r="S5" s="34">
        <v>0.41627874570000001</v>
      </c>
      <c r="T5" s="34">
        <v>0.23996408219999998</v>
      </c>
      <c r="U5" s="34">
        <v>0.16769576119999999</v>
      </c>
      <c r="V5" s="34">
        <v>0.49135550530000005</v>
      </c>
      <c r="W5" s="34">
        <v>0.59541983580000002</v>
      </c>
      <c r="X5" s="34">
        <v>0.23380416780000002</v>
      </c>
      <c r="Y5" s="34">
        <v>0.16769576119999999</v>
      </c>
      <c r="Z5" s="34">
        <v>0.65342862899999998</v>
      </c>
      <c r="AA5" s="34">
        <v>0.82511135999999996</v>
      </c>
      <c r="AB5" s="34">
        <v>8.1875000000000003E-2</v>
      </c>
      <c r="AC5" s="34">
        <v>0.44325522020000002</v>
      </c>
      <c r="AD5" s="34">
        <v>0.87180499999999994</v>
      </c>
      <c r="AE5" s="34">
        <v>0.59770551500000002</v>
      </c>
      <c r="AF5" s="34">
        <v>0.77345970040000001</v>
      </c>
      <c r="AG5" s="34">
        <v>0.35985776710000006</v>
      </c>
      <c r="AH5" s="34">
        <v>0.12757048779999999</v>
      </c>
      <c r="AI5" s="34">
        <v>0.19640761449999999</v>
      </c>
      <c r="AJ5" s="34">
        <v>0.1076274825</v>
      </c>
      <c r="AK5" s="34">
        <v>0.17981551629999998</v>
      </c>
      <c r="AL5" s="34">
        <v>0.24334647379999999</v>
      </c>
      <c r="AM5" s="34">
        <v>0.41627874570000001</v>
      </c>
      <c r="AN5" s="34">
        <v>0.63467063850000005</v>
      </c>
      <c r="AP5" s="2" t="s">
        <v>33</v>
      </c>
      <c r="AQ5" s="2">
        <v>2.0000000000000001E-4</v>
      </c>
      <c r="AR5" s="1"/>
      <c r="AS5" s="1"/>
      <c r="AT5" s="1"/>
    </row>
    <row r="6" spans="1:46" x14ac:dyDescent="0.2">
      <c r="A6" s="12">
        <v>13</v>
      </c>
      <c r="B6" s="34">
        <v>2.4485044629999999</v>
      </c>
      <c r="C6" s="34">
        <v>0.96861979170000001</v>
      </c>
      <c r="D6" s="34">
        <v>3.1853336680000002</v>
      </c>
      <c r="E6" s="34">
        <v>3.434839814</v>
      </c>
      <c r="F6" s="34">
        <v>1.0219310340000001</v>
      </c>
      <c r="G6" s="34">
        <v>0.2827636624</v>
      </c>
      <c r="H6" s="34">
        <v>0.24334647379999999</v>
      </c>
      <c r="I6" s="34">
        <v>1.2762277909999999</v>
      </c>
      <c r="J6" s="34">
        <v>1.1027270549999999</v>
      </c>
      <c r="K6" s="34">
        <v>0.61609566010000005</v>
      </c>
      <c r="L6" s="34">
        <v>0.89307325100000001</v>
      </c>
      <c r="M6" s="34">
        <v>0.26425929009999999</v>
      </c>
      <c r="N6" s="34">
        <v>0.67474792490000002</v>
      </c>
      <c r="O6" s="34">
        <v>0.31052507039999999</v>
      </c>
      <c r="P6" s="34">
        <v>0.91978771510000001</v>
      </c>
      <c r="Q6" s="34">
        <v>0.84728034510000005</v>
      </c>
      <c r="R6" s="34">
        <v>0.43123399030000004</v>
      </c>
      <c r="S6" s="34">
        <v>1.1545520890000001</v>
      </c>
      <c r="T6" s="34">
        <v>0.59541983580000002</v>
      </c>
      <c r="U6" s="34">
        <v>0.34801427549999997</v>
      </c>
      <c r="V6" s="34">
        <v>1.0461840150000001</v>
      </c>
      <c r="W6" s="34">
        <v>1.279174064</v>
      </c>
      <c r="X6" s="34">
        <v>0.41661667999999996</v>
      </c>
      <c r="Y6" s="34">
        <v>0.15586124339999999</v>
      </c>
      <c r="Z6" s="34">
        <v>0.94409850860000011</v>
      </c>
      <c r="AA6" s="34">
        <v>1.1593026770000001</v>
      </c>
      <c r="AB6" s="34">
        <v>0.24334647379999999</v>
      </c>
      <c r="AC6" s="34">
        <v>1.1299541240000002</v>
      </c>
      <c r="AD6" s="34">
        <v>1.3555649700000001</v>
      </c>
      <c r="AE6" s="34">
        <v>0.89307325100000001</v>
      </c>
      <c r="AF6" s="34">
        <v>1.2129511549999998</v>
      </c>
      <c r="AG6" s="34">
        <v>0.79725743309999997</v>
      </c>
      <c r="AH6" s="34">
        <v>0.41661667999999996</v>
      </c>
      <c r="AI6" s="34">
        <v>0.52457117399999997</v>
      </c>
      <c r="AJ6" s="34">
        <v>0.22219365320000001</v>
      </c>
      <c r="AK6" s="34">
        <v>0.3473778582</v>
      </c>
      <c r="AL6" s="34">
        <v>0.38954234829999995</v>
      </c>
      <c r="AM6" s="34">
        <v>1.0219310340000001</v>
      </c>
      <c r="AN6" s="34">
        <v>1.2860575030000001</v>
      </c>
      <c r="AP6" s="2" t="s">
        <v>34</v>
      </c>
      <c r="AQ6" s="2" t="s">
        <v>6</v>
      </c>
      <c r="AR6" s="1"/>
      <c r="AS6" s="1"/>
      <c r="AT6" s="1"/>
    </row>
    <row r="7" spans="1:46" x14ac:dyDescent="0.2">
      <c r="A7" s="12">
        <v>15</v>
      </c>
      <c r="B7" s="34">
        <v>5.3813217399999997</v>
      </c>
      <c r="C7" s="34">
        <v>3.795933657</v>
      </c>
      <c r="D7" s="34">
        <v>6.2550929159999997</v>
      </c>
      <c r="E7" s="34">
        <v>6.7235061069999995</v>
      </c>
      <c r="F7" s="34">
        <v>2.1024691720000002</v>
      </c>
      <c r="G7" s="34">
        <v>1.2395910910000001</v>
      </c>
      <c r="H7" s="34">
        <v>0.54403252000000002</v>
      </c>
      <c r="I7" s="34">
        <v>3.1481199930000003</v>
      </c>
      <c r="J7" s="34">
        <v>2.3867880079999999</v>
      </c>
      <c r="K7" s="34">
        <v>1.4385241300000002</v>
      </c>
      <c r="L7" s="34">
        <v>1.8304328520000002</v>
      </c>
      <c r="M7" s="34">
        <v>0.75319503330000004</v>
      </c>
      <c r="N7" s="34">
        <v>0.98703516530000002</v>
      </c>
      <c r="O7" s="34">
        <v>0.99334977280000003</v>
      </c>
      <c r="P7" s="34">
        <v>2.2978452140000001</v>
      </c>
      <c r="Q7" s="34">
        <v>2.2537978190000003</v>
      </c>
      <c r="R7" s="34">
        <v>1.4620866090000002</v>
      </c>
      <c r="S7" s="34">
        <v>1.610352035</v>
      </c>
      <c r="T7" s="34">
        <v>1.2313363390000001</v>
      </c>
      <c r="U7" s="34">
        <v>0.86489735429999992</v>
      </c>
      <c r="V7" s="34">
        <v>2.3205743390000002</v>
      </c>
      <c r="W7" s="34">
        <v>2.1140743209999999</v>
      </c>
      <c r="X7" s="34">
        <v>1.5377115770000001</v>
      </c>
      <c r="Y7" s="34">
        <v>0.4001658696</v>
      </c>
      <c r="Z7" s="34">
        <v>1.7143813270000001</v>
      </c>
      <c r="AA7" s="34">
        <v>2.234401938</v>
      </c>
      <c r="AB7" s="34">
        <v>0.61032879760000003</v>
      </c>
      <c r="AC7" s="34">
        <v>2.4377676660000001</v>
      </c>
      <c r="AD7" s="34">
        <v>3.2467860019999999</v>
      </c>
      <c r="AE7" s="34">
        <v>1.777549225</v>
      </c>
      <c r="AF7" s="34">
        <v>2.1140743209999999</v>
      </c>
      <c r="AG7" s="34">
        <v>1.600813934</v>
      </c>
      <c r="AH7" s="34">
        <v>1.405954554</v>
      </c>
      <c r="AI7" s="34">
        <v>1.127598254</v>
      </c>
      <c r="AJ7" s="34">
        <v>0.55032472720000003</v>
      </c>
      <c r="AK7" s="34">
        <v>0.57347609220000006</v>
      </c>
      <c r="AL7" s="34">
        <v>1.2444554080000001</v>
      </c>
      <c r="AM7" s="34">
        <v>2.2106249999999998</v>
      </c>
      <c r="AN7" s="34">
        <v>2.8576444460000001</v>
      </c>
      <c r="AP7" s="2" t="s">
        <v>35</v>
      </c>
      <c r="AQ7" s="2" t="s">
        <v>6</v>
      </c>
      <c r="AR7" s="1"/>
      <c r="AS7" s="1"/>
      <c r="AT7" s="1"/>
    </row>
    <row r="8" spans="1:46" x14ac:dyDescent="0.2">
      <c r="A8" s="12">
        <v>17</v>
      </c>
      <c r="B8" s="34">
        <v>9.7190567439999995</v>
      </c>
      <c r="C8" s="34">
        <v>7.0194474690000002</v>
      </c>
      <c r="D8" s="34">
        <v>10.383090360000001</v>
      </c>
      <c r="E8" s="34">
        <v>9.8002903890000006</v>
      </c>
      <c r="F8" s="34">
        <v>3.0137953879999997</v>
      </c>
      <c r="G8" s="34">
        <v>2.1262826239999999</v>
      </c>
      <c r="H8" s="34">
        <v>1.059534558</v>
      </c>
      <c r="I8" s="34">
        <v>4.9905030219999995</v>
      </c>
      <c r="J8" s="34">
        <v>3.2709389149999999</v>
      </c>
      <c r="K8" s="34">
        <v>3.21534297</v>
      </c>
      <c r="L8" s="34">
        <v>2.4231654209999998</v>
      </c>
      <c r="M8" s="34">
        <v>0.96996333449999994</v>
      </c>
      <c r="N8" s="34">
        <v>1.8748956079999999</v>
      </c>
      <c r="O8" s="34">
        <v>0.89045980410000003</v>
      </c>
      <c r="P8" s="34">
        <v>3.6277809200000002</v>
      </c>
      <c r="Q8" s="34">
        <v>4.7702129869999998</v>
      </c>
      <c r="R8" s="34">
        <v>3.5150339609999999</v>
      </c>
      <c r="S8" s="34">
        <v>3.0820306629999998</v>
      </c>
      <c r="T8" s="34">
        <v>2.4049537870000002</v>
      </c>
      <c r="U8" s="34">
        <v>0.8679171953</v>
      </c>
      <c r="V8" s="34">
        <v>2.9311632029999997</v>
      </c>
      <c r="W8" s="34">
        <v>3.1964728999999998</v>
      </c>
      <c r="X8" s="34">
        <v>1.9898727809999999</v>
      </c>
      <c r="Y8" s="34">
        <v>0.35889257000000002</v>
      </c>
      <c r="Z8" s="34">
        <v>2.7536128189999998</v>
      </c>
      <c r="AA8" s="34">
        <v>3.0803251199999999</v>
      </c>
      <c r="AB8" s="34">
        <v>0.66999060619999995</v>
      </c>
      <c r="AC8" s="34">
        <v>3.0820306629999998</v>
      </c>
      <c r="AD8" s="34">
        <v>3.6180506210000001</v>
      </c>
      <c r="AE8" s="34">
        <v>1.855399391</v>
      </c>
      <c r="AF8" s="34">
        <v>1.8326475310000001</v>
      </c>
      <c r="AG8" s="34">
        <v>1.4620866090000002</v>
      </c>
      <c r="AH8" s="34">
        <v>0.96638193369999992</v>
      </c>
      <c r="AI8" s="34">
        <v>0.97713937060000011</v>
      </c>
      <c r="AJ8" s="34">
        <v>0.57009571240000001</v>
      </c>
      <c r="AK8" s="34">
        <v>0.32753078360000004</v>
      </c>
      <c r="AL8" s="34">
        <v>0.47608089890000005</v>
      </c>
      <c r="AM8" s="34">
        <v>1.99556735</v>
      </c>
      <c r="AN8" s="34">
        <v>2.8833695810000002</v>
      </c>
      <c r="AP8" s="2" t="s">
        <v>36</v>
      </c>
      <c r="AQ8" s="2" t="s">
        <v>6</v>
      </c>
      <c r="AR8" s="1"/>
      <c r="AS8" s="1"/>
      <c r="AT8" s="1"/>
    </row>
    <row r="9" spans="1:46" x14ac:dyDescent="0.2">
      <c r="A9" s="12">
        <v>19</v>
      </c>
      <c r="B9" s="34">
        <v>18.702561619999997</v>
      </c>
      <c r="C9" s="34">
        <v>15.09971771</v>
      </c>
      <c r="D9" s="34">
        <v>17.094124139999998</v>
      </c>
      <c r="E9" s="34">
        <v>15.459047250000001</v>
      </c>
      <c r="F9" s="34">
        <v>7.2144252509999998</v>
      </c>
      <c r="G9" s="34">
        <v>3.5122821069999999</v>
      </c>
      <c r="H9" s="34">
        <v>1.976227969</v>
      </c>
      <c r="I9" s="34">
        <v>12.114137080000001</v>
      </c>
      <c r="J9" s="34">
        <v>8.9417721290000003</v>
      </c>
      <c r="K9" s="34">
        <v>7.9612512840000003</v>
      </c>
      <c r="L9" s="34">
        <v>6.0239134129999998</v>
      </c>
      <c r="M9" s="34">
        <v>3.0688689770000002</v>
      </c>
      <c r="N9" s="34">
        <v>2.7460049889999998</v>
      </c>
      <c r="O9" s="34">
        <v>2.5612027869999996</v>
      </c>
      <c r="P9" s="34">
        <v>8.0735591489999994</v>
      </c>
      <c r="Q9" s="34">
        <v>5.9335679800000003</v>
      </c>
      <c r="R9" s="34">
        <v>4.4181822259999999</v>
      </c>
      <c r="S9" s="34">
        <v>4.7755463809999998</v>
      </c>
      <c r="T9" s="34">
        <v>4.4657906250000003</v>
      </c>
      <c r="U9" s="34">
        <v>1.819925322</v>
      </c>
      <c r="V9" s="34">
        <v>4.0400773299999999</v>
      </c>
      <c r="W9" s="34">
        <v>4.4621650710000003</v>
      </c>
      <c r="X9" s="34">
        <v>3.5752698220000001</v>
      </c>
      <c r="Y9" s="34">
        <v>0.53482319980000004</v>
      </c>
      <c r="Z9" s="34">
        <v>3.1615968290000001</v>
      </c>
      <c r="AA9" s="34">
        <v>5.581217616</v>
      </c>
      <c r="AB9" s="34">
        <v>0.60687736739999998</v>
      </c>
      <c r="AC9" s="34">
        <v>4.8648840209999999</v>
      </c>
      <c r="AD9" s="34">
        <v>4.8136997689999994</v>
      </c>
      <c r="AE9" s="34">
        <v>3.5150339609999999</v>
      </c>
      <c r="AF9" s="34">
        <v>2.1630478129999999</v>
      </c>
      <c r="AG9" s="34">
        <v>2.447518729</v>
      </c>
      <c r="AH9" s="34">
        <v>1.0757222529999999</v>
      </c>
      <c r="AI9" s="34">
        <v>1.0060191860000001</v>
      </c>
      <c r="AJ9" s="34">
        <v>0.68071032990000002</v>
      </c>
      <c r="AK9" s="34">
        <v>0.34547093760000003</v>
      </c>
      <c r="AL9" s="34">
        <v>0.63544857999999993</v>
      </c>
      <c r="AM9" s="34">
        <v>2.6065331579999995</v>
      </c>
      <c r="AN9" s="34">
        <v>4.3515213409999998</v>
      </c>
      <c r="AR9" s="1"/>
      <c r="AS9" s="1"/>
      <c r="AT9" s="1"/>
    </row>
    <row r="10" spans="1:46" x14ac:dyDescent="0.2">
      <c r="A10" s="12">
        <v>21</v>
      </c>
      <c r="B10" s="34"/>
      <c r="C10" s="34"/>
      <c r="D10" s="34"/>
      <c r="E10" s="34"/>
      <c r="F10" s="34">
        <v>12.52776656</v>
      </c>
      <c r="G10" s="34">
        <v>6.9010782159999993</v>
      </c>
      <c r="H10" s="34">
        <v>3.5019690580000002</v>
      </c>
      <c r="I10" s="34">
        <v>16.818644300000003</v>
      </c>
      <c r="J10" s="34">
        <v>13.291508819999999</v>
      </c>
      <c r="K10" s="34">
        <v>11.51125822</v>
      </c>
      <c r="L10" s="34">
        <v>12.71345547</v>
      </c>
      <c r="M10" s="34">
        <v>4.368524753</v>
      </c>
      <c r="N10" s="34">
        <v>4.6058670140000002</v>
      </c>
      <c r="O10" s="34">
        <v>6.6765628660000003</v>
      </c>
      <c r="P10" s="34">
        <v>10.337710620000001</v>
      </c>
      <c r="Q10" s="34">
        <v>7.8153188220000001</v>
      </c>
      <c r="R10" s="34">
        <v>8.3566124970000004</v>
      </c>
      <c r="S10" s="34">
        <v>7.0523985170000003</v>
      </c>
      <c r="T10" s="34">
        <v>7.0958334549999993</v>
      </c>
      <c r="U10" s="34">
        <v>2.1117515879999997</v>
      </c>
      <c r="V10" s="34">
        <v>7.6727388099999994</v>
      </c>
      <c r="W10" s="34">
        <v>7.5640811659999994</v>
      </c>
      <c r="X10" s="34">
        <v>5.1880362219999991</v>
      </c>
      <c r="Y10" s="34">
        <v>1.117721516</v>
      </c>
      <c r="Z10" s="34">
        <v>5.4910805889999992</v>
      </c>
      <c r="AA10" s="34">
        <v>9.2445948399999995</v>
      </c>
      <c r="AB10" s="34">
        <v>1.493528666</v>
      </c>
      <c r="AC10" s="34">
        <v>9.2255337700000002</v>
      </c>
      <c r="AD10" s="34">
        <v>8.7844411700000009</v>
      </c>
      <c r="AE10" s="34">
        <v>3.8093539140000003</v>
      </c>
      <c r="AF10" s="34">
        <v>2.7841142039999998</v>
      </c>
      <c r="AG10" s="34">
        <v>3.226704206</v>
      </c>
      <c r="AH10" s="34">
        <v>1.0219310340000001</v>
      </c>
      <c r="AI10" s="34">
        <v>0.8922018183999999</v>
      </c>
      <c r="AJ10" s="34">
        <v>0.99334977280000003</v>
      </c>
      <c r="AK10" s="34">
        <v>0.66880303080000003</v>
      </c>
      <c r="AL10" s="34">
        <v>1.0966548629999999</v>
      </c>
      <c r="AM10" s="34">
        <v>4.2140997210000002</v>
      </c>
      <c r="AN10" s="34">
        <v>7.1445860080000001</v>
      </c>
      <c r="AP10" s="1"/>
      <c r="AQ10" s="1"/>
      <c r="AR10" s="1"/>
      <c r="AS10" s="1"/>
      <c r="AT10" s="1"/>
    </row>
    <row r="11" spans="1:46" x14ac:dyDescent="0.2">
      <c r="A11" s="15">
        <v>23</v>
      </c>
      <c r="B11" s="34"/>
      <c r="C11" s="34"/>
      <c r="D11" s="34"/>
      <c r="E11" s="34"/>
      <c r="F11" s="34">
        <v>16.52776656</v>
      </c>
      <c r="G11" s="34">
        <v>17.832579499999998</v>
      </c>
      <c r="H11" s="34">
        <v>6.1993122189999994</v>
      </c>
      <c r="I11" s="34">
        <v>20.818644300000003</v>
      </c>
      <c r="J11" s="34">
        <v>17.291508820000001</v>
      </c>
      <c r="K11" s="34">
        <v>18.218193970000002</v>
      </c>
      <c r="L11" s="34">
        <v>21.503295770000001</v>
      </c>
      <c r="M11" s="34">
        <v>9.8138512290000008</v>
      </c>
      <c r="N11" s="34">
        <v>10.158815779999999</v>
      </c>
      <c r="O11" s="34">
        <v>10.466128470000001</v>
      </c>
      <c r="P11" s="34">
        <v>19.300291219999998</v>
      </c>
      <c r="Q11" s="34">
        <v>11.714160079999999</v>
      </c>
      <c r="R11" s="34">
        <v>9.9118679820000004</v>
      </c>
      <c r="S11" s="34">
        <v>15.937199660000001</v>
      </c>
      <c r="T11" s="34">
        <v>13.199165929999999</v>
      </c>
      <c r="U11" s="34">
        <v>3.4034798369999999</v>
      </c>
      <c r="V11" s="34">
        <v>17.11044682</v>
      </c>
      <c r="W11" s="34">
        <v>13.0479158</v>
      </c>
      <c r="X11" s="34">
        <v>9.1160859700000003</v>
      </c>
      <c r="Y11" s="34">
        <v>1.7556673620000001</v>
      </c>
      <c r="Z11" s="34">
        <v>9.9125945699999995</v>
      </c>
      <c r="AA11" s="34">
        <v>15.755787140000001</v>
      </c>
      <c r="AB11" s="34">
        <v>2.254984549</v>
      </c>
      <c r="AC11" s="34">
        <v>12.07466496</v>
      </c>
      <c r="AD11" s="34">
        <v>10.717559360000001</v>
      </c>
      <c r="AE11" s="34">
        <v>6.351223332</v>
      </c>
      <c r="AF11" s="34">
        <v>4.2031404109999997</v>
      </c>
      <c r="AG11" s="34">
        <v>6.8288339970000003</v>
      </c>
      <c r="AH11" s="34">
        <v>1.712717015</v>
      </c>
      <c r="AI11" s="34">
        <v>2.0241214169999999</v>
      </c>
      <c r="AJ11" s="34">
        <v>1.2644653690000001</v>
      </c>
      <c r="AK11" s="34">
        <v>1.6905664909999998</v>
      </c>
      <c r="AL11" s="34">
        <v>2.0172561130000002</v>
      </c>
      <c r="AM11" s="34">
        <v>5.0835886399999994</v>
      </c>
      <c r="AN11" s="34">
        <v>10.0570585</v>
      </c>
      <c r="AP11" s="1"/>
      <c r="AQ11" s="1"/>
      <c r="AR11" s="1"/>
      <c r="AS11" s="1"/>
      <c r="AT11" s="1"/>
    </row>
  </sheetData>
  <mergeCells count="6">
    <mergeCell ref="B3:AN3"/>
    <mergeCell ref="B4:E4"/>
    <mergeCell ref="F4:M4"/>
    <mergeCell ref="N4:T4"/>
    <mergeCell ref="U4:AD4"/>
    <mergeCell ref="AE4:A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 3j</vt:lpstr>
      <vt:lpstr>Figure 3m</vt:lpstr>
      <vt:lpstr>Figure 3n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Zhou, Peipei</cp:lastModifiedBy>
  <cp:revision/>
  <dcterms:created xsi:type="dcterms:W3CDTF">2023-09-13T23:38:30Z</dcterms:created>
  <dcterms:modified xsi:type="dcterms:W3CDTF">2023-09-20T02:17:27Z</dcterms:modified>
  <cp:category/>
  <cp:contentStatus/>
</cp:coreProperties>
</file>