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lennislogsdon/Documents/Eichler Lab/Weekly plans/Ape_cen_assembly/Paper/Drafts/240219 Revised/Supplementary Tables/"/>
    </mc:Choice>
  </mc:AlternateContent>
  <xr:revisionPtr revIDLastSave="0" documentId="13_ncr:1_{2E735257-BD98-6748-A93E-8E2BF4AB5A07}" xr6:coauthVersionLast="47" xr6:coauthVersionMax="47" xr10:uidLastSave="{00000000-0000-0000-0000-000000000000}"/>
  <bookViews>
    <workbookView xWindow="0" yWindow="760" windowWidth="29040" windowHeight="16000" xr2:uid="{CB1EDAE4-D84E-284C-8125-3F5B0CA0F75F}"/>
  </bookViews>
  <sheets>
    <sheet name="Supplementary Table 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53" i="1" l="1"/>
  <c r="Q153" i="1"/>
  <c r="F153" i="1"/>
  <c r="E153" i="1"/>
  <c r="D153" i="1"/>
  <c r="C153" i="1"/>
  <c r="AD152" i="1"/>
  <c r="Q152" i="1"/>
  <c r="K152" i="1"/>
  <c r="F152" i="1"/>
  <c r="G152" i="1" s="1"/>
  <c r="E152" i="1"/>
  <c r="D152" i="1"/>
  <c r="C152" i="1"/>
  <c r="AD151" i="1"/>
  <c r="Q151" i="1"/>
  <c r="F151" i="1"/>
  <c r="G150" i="1" s="1"/>
  <c r="E151" i="1"/>
  <c r="D151" i="1"/>
  <c r="C151" i="1"/>
  <c r="AD150" i="1"/>
  <c r="Q150" i="1"/>
  <c r="F150" i="1"/>
  <c r="E150" i="1"/>
  <c r="D150" i="1"/>
  <c r="C150" i="1"/>
  <c r="AD149" i="1"/>
  <c r="Q149" i="1"/>
  <c r="F149" i="1"/>
  <c r="E149" i="1"/>
  <c r="D149" i="1"/>
  <c r="C149" i="1"/>
  <c r="AD148" i="1"/>
  <c r="Q148" i="1"/>
  <c r="F148" i="1"/>
  <c r="H148" i="1" s="1"/>
  <c r="E148" i="1"/>
  <c r="D148" i="1"/>
  <c r="C148" i="1"/>
  <c r="AB146" i="1"/>
  <c r="AC146" i="1" s="1"/>
  <c r="V146" i="1"/>
  <c r="X146" i="1" s="1"/>
  <c r="AB144" i="1"/>
  <c r="AC144" i="1" s="1"/>
  <c r="V144" i="1"/>
  <c r="X144" i="1" s="1"/>
  <c r="H144" i="1"/>
  <c r="G144" i="1"/>
  <c r="AB140" i="1"/>
  <c r="V140" i="1"/>
  <c r="X140" i="1" s="1"/>
  <c r="S140" i="1"/>
  <c r="AC140" i="1" s="1"/>
  <c r="AB134" i="1"/>
  <c r="AC134" i="1" s="1"/>
  <c r="V134" i="1"/>
  <c r="X134" i="1" s="1"/>
  <c r="H134" i="1"/>
  <c r="G134" i="1"/>
  <c r="AB130" i="1"/>
  <c r="AC130" i="1" s="1"/>
  <c r="X130" i="1"/>
  <c r="W130" i="1"/>
  <c r="V130" i="1"/>
  <c r="L153" i="1"/>
  <c r="AB126" i="1"/>
  <c r="AC126" i="1" s="1"/>
  <c r="V126" i="1"/>
  <c r="W126" i="1" s="1"/>
  <c r="H126" i="1"/>
  <c r="G126" i="1"/>
  <c r="AB123" i="1"/>
  <c r="AC123" i="1" s="1"/>
  <c r="X123" i="1"/>
  <c r="V123" i="1"/>
  <c r="W123" i="1" s="1"/>
  <c r="H122" i="1"/>
  <c r="G122" i="1"/>
  <c r="H121" i="1"/>
  <c r="G121" i="1"/>
  <c r="AB120" i="1"/>
  <c r="AC120" i="1" s="1"/>
  <c r="V120" i="1"/>
  <c r="X120" i="1" s="1"/>
  <c r="H120" i="1"/>
  <c r="G120" i="1"/>
  <c r="AB115" i="1"/>
  <c r="AC115" i="1" s="1"/>
  <c r="W115" i="1"/>
  <c r="V115" i="1"/>
  <c r="X115" i="1" s="1"/>
  <c r="H113" i="1"/>
  <c r="G113" i="1"/>
  <c r="V112" i="1"/>
  <c r="S112" i="1"/>
  <c r="H112" i="1"/>
  <c r="G112" i="1"/>
  <c r="H111" i="1"/>
  <c r="G111" i="1"/>
  <c r="AB110" i="1"/>
  <c r="AC110" i="1" s="1"/>
  <c r="V110" i="1"/>
  <c r="W110" i="1" s="1"/>
  <c r="H110" i="1"/>
  <c r="G110" i="1"/>
  <c r="AB106" i="1"/>
  <c r="AC106" i="1" s="1"/>
  <c r="V106" i="1"/>
  <c r="X106" i="1" s="1"/>
  <c r="H105" i="1"/>
  <c r="G105" i="1"/>
  <c r="H104" i="1"/>
  <c r="G104" i="1"/>
  <c r="H103" i="1"/>
  <c r="G103" i="1"/>
  <c r="AB102" i="1"/>
  <c r="AC102" i="1" s="1"/>
  <c r="W102" i="1"/>
  <c r="V102" i="1"/>
  <c r="X102" i="1" s="1"/>
  <c r="H102" i="1"/>
  <c r="G102" i="1"/>
  <c r="AB98" i="1"/>
  <c r="AC98" i="1" s="1"/>
  <c r="V98" i="1"/>
  <c r="X98" i="1" s="1"/>
  <c r="H97" i="1"/>
  <c r="G97" i="1"/>
  <c r="V96" i="1"/>
  <c r="H96" i="1"/>
  <c r="G96" i="1"/>
  <c r="H95" i="1"/>
  <c r="G95" i="1"/>
  <c r="AB94" i="1"/>
  <c r="AC94" i="1" s="1"/>
  <c r="V94" i="1"/>
  <c r="X94" i="1" s="1"/>
  <c r="H94" i="1"/>
  <c r="G94" i="1"/>
  <c r="V93" i="1"/>
  <c r="AB92" i="1"/>
  <c r="AC92" i="1" s="1"/>
  <c r="V92" i="1"/>
  <c r="W92" i="1" s="1"/>
  <c r="AB90" i="1"/>
  <c r="AC90" i="1" s="1"/>
  <c r="V90" i="1"/>
  <c r="X90" i="1" s="1"/>
  <c r="H90" i="1"/>
  <c r="G90" i="1"/>
  <c r="AB84" i="1"/>
  <c r="AC84" i="1" s="1"/>
  <c r="V84" i="1"/>
  <c r="X84" i="1" s="1"/>
  <c r="H82" i="1"/>
  <c r="G82" i="1"/>
  <c r="H80" i="1"/>
  <c r="G80" i="1"/>
  <c r="AB78" i="1"/>
  <c r="AC78" i="1" s="1"/>
  <c r="V78" i="1"/>
  <c r="W78" i="1" s="1"/>
  <c r="H78" i="1"/>
  <c r="G78" i="1"/>
  <c r="AB70" i="1"/>
  <c r="AC70" i="1" s="1"/>
  <c r="V70" i="1"/>
  <c r="W70" i="1" s="1"/>
  <c r="AB65" i="1"/>
  <c r="AC65" i="1" s="1"/>
  <c r="V65" i="1"/>
  <c r="X65" i="1" s="1"/>
  <c r="H65" i="1"/>
  <c r="G65" i="1"/>
  <c r="AB61" i="1"/>
  <c r="V61" i="1"/>
  <c r="X61" i="1" s="1"/>
  <c r="S61" i="1"/>
  <c r="AC61" i="1" s="1"/>
  <c r="V59" i="1"/>
  <c r="AB57" i="1"/>
  <c r="AC57" i="1" s="1"/>
  <c r="V57" i="1"/>
  <c r="W57" i="1" s="1"/>
  <c r="H57" i="1"/>
  <c r="G57" i="1"/>
  <c r="AB55" i="1"/>
  <c r="AC55" i="1" s="1"/>
  <c r="V55" i="1"/>
  <c r="X55" i="1" s="1"/>
  <c r="AC53" i="1"/>
  <c r="AB53" i="1"/>
  <c r="V53" i="1"/>
  <c r="X53" i="1" s="1"/>
  <c r="H53" i="1"/>
  <c r="G53" i="1"/>
  <c r="AB51" i="1"/>
  <c r="AC51" i="1" s="1"/>
  <c r="V51" i="1"/>
  <c r="X51" i="1" s="1"/>
  <c r="AB49" i="1"/>
  <c r="V49" i="1"/>
  <c r="W49" i="1" s="1"/>
  <c r="S49" i="1"/>
  <c r="H49" i="1"/>
  <c r="G49" i="1"/>
  <c r="AB46" i="1"/>
  <c r="AC46" i="1" s="1"/>
  <c r="V46" i="1"/>
  <c r="X46" i="1" s="1"/>
  <c r="H45" i="1"/>
  <c r="G45" i="1"/>
  <c r="H44" i="1"/>
  <c r="G44" i="1"/>
  <c r="AB43" i="1"/>
  <c r="AC43" i="1" s="1"/>
  <c r="V43" i="1"/>
  <c r="W43" i="1" s="1"/>
  <c r="H43" i="1"/>
  <c r="G43" i="1"/>
  <c r="AB41" i="1"/>
  <c r="AC41" i="1" s="1"/>
  <c r="V41" i="1"/>
  <c r="X41" i="1" s="1"/>
  <c r="AB39" i="1"/>
  <c r="AC39" i="1" s="1"/>
  <c r="V39" i="1"/>
  <c r="X39" i="1" s="1"/>
  <c r="H39" i="1"/>
  <c r="G39" i="1"/>
  <c r="AB37" i="1"/>
  <c r="AC37" i="1" s="1"/>
  <c r="V37" i="1"/>
  <c r="X37" i="1" s="1"/>
  <c r="AB35" i="1"/>
  <c r="AC35" i="1" s="1"/>
  <c r="X35" i="1"/>
  <c r="V35" i="1"/>
  <c r="W35" i="1" s="1"/>
  <c r="H35" i="1"/>
  <c r="G35" i="1"/>
  <c r="AB33" i="1"/>
  <c r="AC33" i="1" s="1"/>
  <c r="V33" i="1"/>
  <c r="X33" i="1" s="1"/>
  <c r="AB31" i="1"/>
  <c r="AC31" i="1" s="1"/>
  <c r="V31" i="1"/>
  <c r="X31" i="1" s="1"/>
  <c r="H31" i="1"/>
  <c r="G31" i="1"/>
  <c r="AB29" i="1"/>
  <c r="AC29" i="1" s="1"/>
  <c r="V29" i="1"/>
  <c r="X29" i="1" s="1"/>
  <c r="AB27" i="1"/>
  <c r="AC27" i="1" s="1"/>
  <c r="X27" i="1"/>
  <c r="V27" i="1"/>
  <c r="W27" i="1" s="1"/>
  <c r="H27" i="1"/>
  <c r="G27" i="1"/>
  <c r="AB25" i="1"/>
  <c r="AC25" i="1" s="1"/>
  <c r="V25" i="1"/>
  <c r="W25" i="1" s="1"/>
  <c r="H24" i="1"/>
  <c r="G24" i="1"/>
  <c r="AB23" i="1"/>
  <c r="V23" i="1"/>
  <c r="X23" i="1" s="1"/>
  <c r="S23" i="1"/>
  <c r="H23" i="1"/>
  <c r="G23" i="1"/>
  <c r="V21" i="1"/>
  <c r="W21" i="1" s="1"/>
  <c r="S21" i="1"/>
  <c r="AB20" i="1"/>
  <c r="V20" i="1"/>
  <c r="S20" i="1"/>
  <c r="H19" i="1"/>
  <c r="G19" i="1"/>
  <c r="H18" i="1"/>
  <c r="G18" i="1"/>
  <c r="AB17" i="1"/>
  <c r="AC17" i="1" s="1"/>
  <c r="V17" i="1"/>
  <c r="W17" i="1" s="1"/>
  <c r="H17" i="1"/>
  <c r="G17" i="1"/>
  <c r="AB14" i="1"/>
  <c r="AC14" i="1" s="1"/>
  <c r="V14" i="1"/>
  <c r="X14" i="1" s="1"/>
  <c r="H13" i="1"/>
  <c r="G13" i="1"/>
  <c r="H12" i="1"/>
  <c r="G12" i="1"/>
  <c r="AB11" i="1"/>
  <c r="V11" i="1"/>
  <c r="X11" i="1" s="1"/>
  <c r="Z11" i="1" s="1"/>
  <c r="S11" i="1"/>
  <c r="AC11" i="1" s="1"/>
  <c r="H11" i="1"/>
  <c r="G11" i="1"/>
  <c r="AC9" i="1"/>
  <c r="AB9" i="1"/>
  <c r="V9" i="1"/>
  <c r="X9" i="1" s="1"/>
  <c r="M151" i="1"/>
  <c r="K151" i="1"/>
  <c r="V8" i="1"/>
  <c r="AB7" i="1"/>
  <c r="AC7" i="1" s="1"/>
  <c r="V7" i="1"/>
  <c r="W7" i="1" s="1"/>
  <c r="M148" i="1"/>
  <c r="H7" i="1"/>
  <c r="G7" i="1"/>
  <c r="AB5" i="1"/>
  <c r="AC5" i="1" s="1"/>
  <c r="V5" i="1"/>
  <c r="W5" i="1" s="1"/>
  <c r="S5" i="1"/>
  <c r="N149" i="1"/>
  <c r="M149" i="1"/>
  <c r="L149" i="1"/>
  <c r="K153" i="1"/>
  <c r="J153" i="1"/>
  <c r="V4" i="1"/>
  <c r="AB3" i="1"/>
  <c r="V3" i="1"/>
  <c r="X3" i="1" s="1"/>
  <c r="N148" i="1"/>
  <c r="M150" i="1"/>
  <c r="L148" i="1"/>
  <c r="K148" i="1"/>
  <c r="J152" i="1"/>
  <c r="H3" i="1"/>
  <c r="G3" i="1"/>
  <c r="X43" i="1" l="1"/>
  <c r="Z43" i="1" s="1"/>
  <c r="W61" i="1"/>
  <c r="Y57" i="1" s="1"/>
  <c r="AA57" i="1" s="1"/>
  <c r="X70" i="1"/>
  <c r="W90" i="1"/>
  <c r="Y90" i="1" s="1"/>
  <c r="W140" i="1"/>
  <c r="X25" i="1"/>
  <c r="W39" i="1"/>
  <c r="Z110" i="1"/>
  <c r="Y126" i="1"/>
  <c r="W31" i="1"/>
  <c r="X57" i="1"/>
  <c r="W84" i="1"/>
  <c r="W94" i="1"/>
  <c r="X17" i="1"/>
  <c r="W134" i="1"/>
  <c r="W11" i="1"/>
  <c r="W46" i="1"/>
  <c r="Y43" i="1" s="1"/>
  <c r="AA43" i="1" s="1"/>
  <c r="X110" i="1"/>
  <c r="AC20" i="1"/>
  <c r="W65" i="1"/>
  <c r="Y65" i="1" s="1"/>
  <c r="X92" i="1"/>
  <c r="Z90" i="1" s="1"/>
  <c r="Z144" i="1"/>
  <c r="H152" i="1"/>
  <c r="W98" i="1"/>
  <c r="Y94" i="1" s="1"/>
  <c r="Z27" i="1"/>
  <c r="Z39" i="1"/>
  <c r="W3" i="1"/>
  <c r="Y3" i="1" s="1"/>
  <c r="S151" i="1"/>
  <c r="X7" i="1"/>
  <c r="Z7" i="1" s="1"/>
  <c r="AC23" i="1"/>
  <c r="W53" i="1"/>
  <c r="Y110" i="1"/>
  <c r="AA110" i="1" s="1"/>
  <c r="AB150" i="1"/>
  <c r="Z23" i="1"/>
  <c r="X49" i="1"/>
  <c r="Z49" i="1" s="1"/>
  <c r="S149" i="1"/>
  <c r="AB153" i="1"/>
  <c r="S150" i="1"/>
  <c r="AC49" i="1"/>
  <c r="Y78" i="1"/>
  <c r="AA78" i="1" s="1"/>
  <c r="Z94" i="1"/>
  <c r="AC153" i="1"/>
  <c r="H150" i="1"/>
  <c r="Z65" i="1"/>
  <c r="Z134" i="1"/>
  <c r="Z57" i="1"/>
  <c r="Z120" i="1"/>
  <c r="Y17" i="1"/>
  <c r="Z53" i="1"/>
  <c r="Z31" i="1"/>
  <c r="Z35" i="1"/>
  <c r="Z102" i="1"/>
  <c r="J151" i="1"/>
  <c r="AC151" i="1"/>
  <c r="L152" i="1"/>
  <c r="AB152" i="1"/>
  <c r="M153" i="1"/>
  <c r="J150" i="1"/>
  <c r="M152" i="1"/>
  <c r="N153" i="1"/>
  <c r="AC3" i="1"/>
  <c r="X5" i="1"/>
  <c r="X21" i="1"/>
  <c r="Z17" i="1" s="1"/>
  <c r="W23" i="1"/>
  <c r="Y23" i="1" s="1"/>
  <c r="AA23" i="1" s="1"/>
  <c r="W29" i="1"/>
  <c r="Y27" i="1" s="1"/>
  <c r="W37" i="1"/>
  <c r="Y35" i="1" s="1"/>
  <c r="W51" i="1"/>
  <c r="Y49" i="1" s="1"/>
  <c r="X78" i="1"/>
  <c r="Z78" i="1" s="1"/>
  <c r="W120" i="1"/>
  <c r="Y120" i="1" s="1"/>
  <c r="X126" i="1"/>
  <c r="Z126" i="1" s="1"/>
  <c r="AA126" i="1" s="1"/>
  <c r="W144" i="1"/>
  <c r="G148" i="1"/>
  <c r="AB149" i="1"/>
  <c r="K150" i="1"/>
  <c r="L151" i="1"/>
  <c r="N152" i="1"/>
  <c r="J149" i="1"/>
  <c r="L150" i="1"/>
  <c r="S153" i="1"/>
  <c r="S148" i="1"/>
  <c r="W146" i="1"/>
  <c r="Y144" i="1" s="1"/>
  <c r="AA144" i="1" s="1"/>
  <c r="J148" i="1"/>
  <c r="K149" i="1"/>
  <c r="N151" i="1"/>
  <c r="S152" i="1"/>
  <c r="N150" i="1"/>
  <c r="W9" i="1"/>
  <c r="Y7" i="1" s="1"/>
  <c r="W14" i="1"/>
  <c r="Y11" i="1" s="1"/>
  <c r="AA11" i="1" s="1"/>
  <c r="W33" i="1"/>
  <c r="Y31" i="1" s="1"/>
  <c r="AA31" i="1" s="1"/>
  <c r="W41" i="1"/>
  <c r="Y39" i="1" s="1"/>
  <c r="W55" i="1"/>
  <c r="Y53" i="1" s="1"/>
  <c r="AA53" i="1" s="1"/>
  <c r="W106" i="1"/>
  <c r="Y102" i="1" s="1"/>
  <c r="AB148" i="1"/>
  <c r="AC148" i="1"/>
  <c r="AB151" i="1"/>
  <c r="AA39" i="1" l="1"/>
  <c r="AA65" i="1"/>
  <c r="Y134" i="1"/>
  <c r="Y150" i="1" s="1"/>
  <c r="AA90" i="1"/>
  <c r="AA49" i="1"/>
  <c r="AA27" i="1"/>
  <c r="AA7" i="1"/>
  <c r="AA94" i="1"/>
  <c r="AA120" i="1"/>
  <c r="X151" i="1"/>
  <c r="X153" i="1"/>
  <c r="X149" i="1"/>
  <c r="AC150" i="1"/>
  <c r="AC149" i="1"/>
  <c r="AC152" i="1"/>
  <c r="W153" i="1"/>
  <c r="W152" i="1"/>
  <c r="AA35" i="1"/>
  <c r="W150" i="1"/>
  <c r="X150" i="1"/>
  <c r="W149" i="1"/>
  <c r="W151" i="1"/>
  <c r="W148" i="1"/>
  <c r="Y148" i="1"/>
  <c r="AA3" i="1"/>
  <c r="X148" i="1"/>
  <c r="X152" i="1"/>
  <c r="AA102" i="1"/>
  <c r="AA17" i="1"/>
  <c r="Z3" i="1"/>
  <c r="Y152" i="1" l="1"/>
  <c r="AA134" i="1"/>
  <c r="AA148" i="1" s="1"/>
  <c r="Z152" i="1"/>
  <c r="Z148" i="1"/>
  <c r="Z150" i="1"/>
  <c r="AA152" i="1" l="1"/>
  <c r="AA150" i="1"/>
</calcChain>
</file>

<file path=xl/sharedStrings.xml><?xml version="1.0" encoding="utf-8"?>
<sst xmlns="http://schemas.openxmlformats.org/spreadsheetml/2006/main" count="374" uniqueCount="232">
  <si>
    <t>Chromosome</t>
  </si>
  <si>
    <t>Genome</t>
  </si>
  <si>
    <r>
      <t xml:space="preserve">Length of centromeric
α-satellite region
</t>
    </r>
    <r>
      <rPr>
        <i/>
        <sz val="11"/>
        <color rgb="FF000000"/>
        <rFont val="Arial"/>
        <family val="2"/>
      </rPr>
      <t>(from first to last 
α-satellite monomer; bp)</t>
    </r>
  </si>
  <si>
    <r>
      <t xml:space="preserve">Length of only
α-satellite repeats
</t>
    </r>
    <r>
      <rPr>
        <i/>
        <sz val="11"/>
        <color rgb="FF000000"/>
        <rFont val="Arial"/>
        <family val="2"/>
      </rPr>
      <t>(bp)</t>
    </r>
  </si>
  <si>
    <r>
      <t xml:space="preserve">Length of monomeric/diverged
α-satellite region(s) 
</t>
    </r>
    <r>
      <rPr>
        <i/>
        <sz val="11"/>
        <color rgb="FF000000"/>
        <rFont val="Arial"/>
        <family val="2"/>
      </rPr>
      <t>(bp)</t>
    </r>
  </si>
  <si>
    <r>
      <t xml:space="preserve">Length of α-satellite HOR array(s)
</t>
    </r>
    <r>
      <rPr>
        <i/>
        <sz val="11"/>
        <color rgb="FF000000"/>
        <rFont val="Arial"/>
        <family val="2"/>
      </rPr>
      <t>(bp)</t>
    </r>
  </si>
  <si>
    <r>
      <t xml:space="preserve">Difference in α-satellite HOR array length(s)
</t>
    </r>
    <r>
      <rPr>
        <i/>
        <sz val="11"/>
        <color rgb="FF000000"/>
        <rFont val="Arial"/>
        <family val="2"/>
      </rPr>
      <t>(bp)</t>
    </r>
  </si>
  <si>
    <r>
      <t xml:space="preserve">Fold-difference in α-satellite HOR array length(s)
</t>
    </r>
    <r>
      <rPr>
        <i/>
        <sz val="11"/>
        <color rgb="FF000000"/>
        <rFont val="Arial"/>
        <family val="2"/>
      </rPr>
      <t>(CHM1/CHM13; bp)</t>
    </r>
  </si>
  <si>
    <t>Coordinates of 
α-satellite HOR array(s)</t>
  </si>
  <si>
    <t># of α-satellite HORs</t>
  </si>
  <si>
    <t># of distinct
α-satellite HORs</t>
  </si>
  <si>
    <t># of distinct, haplotype-specific α-satellite HORs</t>
  </si>
  <si>
    <r>
      <t xml:space="preserve">Most common α-satellite HOR
</t>
    </r>
    <r>
      <rPr>
        <i/>
        <sz val="11"/>
        <color rgb="FF000000"/>
        <rFont val="Arial"/>
        <family val="2"/>
      </rPr>
      <t>(N-mer; technical name; frequency within centromere)</t>
    </r>
  </si>
  <si>
    <t>Coordinates of hypomethylated region(s)</t>
  </si>
  <si>
    <r>
      <t xml:space="preserve">Length of hypomethylated region(s)
</t>
    </r>
    <r>
      <rPr>
        <i/>
        <sz val="11"/>
        <color rgb="FF000000"/>
        <rFont val="Arial"/>
        <family val="2"/>
      </rPr>
      <t>(bp)</t>
    </r>
  </si>
  <si>
    <r>
      <t>Hypomethylated region</t>
    </r>
    <r>
      <rPr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(Primary vs. secondary)</t>
    </r>
  </si>
  <si>
    <r>
      <t xml:space="preserve">Total length of hypomethylated region
</t>
    </r>
    <r>
      <rPr>
        <i/>
        <sz val="11"/>
        <color rgb="FF000000"/>
        <rFont val="Arial"/>
        <family val="2"/>
      </rPr>
      <t>(bp; combined if within 150 kbp of each other)</t>
    </r>
  </si>
  <si>
    <t>Coordinate of p-arm edge of α-satellite HOR array</t>
  </si>
  <si>
    <t>Coordinate of q-arm edge of α-satellite HOR array</t>
  </si>
  <si>
    <t>Coordinate of center of hypomethylated region</t>
  </si>
  <si>
    <r>
      <t>Distance of hypomethylated region from p-arm edge of
α-satellite HOR array
(</t>
    </r>
    <r>
      <rPr>
        <i/>
        <sz val="11"/>
        <color rgb="FF000000"/>
        <rFont val="Arial"/>
        <family val="2"/>
      </rPr>
      <t>bp)</t>
    </r>
  </si>
  <si>
    <r>
      <t xml:space="preserve">Distance of hypomethylated region from q-arm edge of
α-satellite HOR array
</t>
    </r>
    <r>
      <rPr>
        <i/>
        <sz val="11"/>
        <color rgb="FF000000"/>
        <rFont val="Arial"/>
        <family val="2"/>
      </rPr>
      <t>(bp)</t>
    </r>
  </si>
  <si>
    <r>
      <t>Relative distance of
hypomethylated region from p-arm
edge of α-satellite HOR array</t>
    </r>
    <r>
      <rPr>
        <i/>
        <sz val="11"/>
        <color rgb="FF000000"/>
        <rFont val="Arial"/>
        <family val="2"/>
      </rPr>
      <t xml:space="preserve">
(bp)</t>
    </r>
  </si>
  <si>
    <r>
      <t>Relative distance of
hypomethylated region from q-arm
edge of α-satellite HOR array</t>
    </r>
    <r>
      <rPr>
        <i/>
        <sz val="11"/>
        <color rgb="FF000000"/>
        <rFont val="Arial"/>
        <family val="2"/>
      </rPr>
      <t xml:space="preserve">
(bp)</t>
    </r>
  </si>
  <si>
    <r>
      <rPr>
        <b/>
        <sz val="11"/>
        <color theme="1"/>
        <rFont val="Arial"/>
        <family val="2"/>
      </rPr>
      <t>Smallest relative distance of hypomethylated region from edge of α-satellite HOR array</t>
    </r>
    <r>
      <rPr>
        <sz val="11"/>
        <color theme="1"/>
        <rFont val="Arial"/>
        <family val="2"/>
      </rPr>
      <t xml:space="preserve">
</t>
    </r>
    <r>
      <rPr>
        <i/>
        <sz val="11"/>
        <color theme="1"/>
        <rFont val="Arial"/>
        <family val="2"/>
      </rPr>
      <t>(bp)</t>
    </r>
  </si>
  <si>
    <r>
      <t xml:space="preserve">Length of CDR-containing
α-satellite HOR array
</t>
    </r>
    <r>
      <rPr>
        <i/>
        <sz val="11"/>
        <color rgb="FF000000"/>
        <rFont val="Arial"/>
        <family val="2"/>
      </rPr>
      <t>(bp)</t>
    </r>
  </si>
  <si>
    <t># of major evolutionary layers</t>
  </si>
  <si>
    <t>CHM1</t>
  </si>
  <si>
    <t>chr1:69846261-74163552</t>
  </si>
  <si>
    <t>6-mer; S1C1/5/19H1L.1-5(_6/4_5){n}-6; 69.01%</t>
  </si>
  <si>
    <t>chr1:70435000-70595000</t>
  </si>
  <si>
    <t>Primary</t>
  </si>
  <si>
    <t>chr1:73350000-73420000</t>
  </si>
  <si>
    <t>Secondary</t>
  </si>
  <si>
    <t>--</t>
  </si>
  <si>
    <t>CHM13</t>
  </si>
  <si>
    <t>chr1:121796060-126300393</t>
  </si>
  <si>
    <t>6-mer; S1C1/5/19H1L.1-5(_6/4_5){n}-6; 69.41%</t>
  </si>
  <si>
    <t>chr1:122630000-122785000</t>
  </si>
  <si>
    <t>chr1:122805000-122950000</t>
  </si>
  <si>
    <t>chr2:2292901-3823280</t>
  </si>
  <si>
    <t>4-mer; S2C2H1L.1-4; 43.05%</t>
  </si>
  <si>
    <t>chr2:3245000-3410000</t>
  </si>
  <si>
    <t>chr2:3680000-3750000</t>
  </si>
  <si>
    <t>chr2:92333450-94672757</t>
  </si>
  <si>
    <t>4-mer; S2C2H1L.1-4; 52.07%</t>
  </si>
  <si>
    <t>chr2:94345000-94535000</t>
  </si>
  <si>
    <t>chr3:90764094-91358765</t>
  </si>
  <si>
    <t>17-mer; S01/1C3H1L.1-17; 71.73%</t>
  </si>
  <si>
    <t>chr3:93775000-93840000</t>
  </si>
  <si>
    <t>chr3:91621872-94106698</t>
  </si>
  <si>
    <t>chr3:98783722-99089374</t>
  </si>
  <si>
    <t>chr3:93930000-94035000</t>
  </si>
  <si>
    <t>chr3:90711461-91480401</t>
  </si>
  <si>
    <t>17-mer; S01/1C3H1L.1-17; 61.89%</t>
  </si>
  <si>
    <t>chr3:92355000-92495000</t>
  </si>
  <si>
    <t>chr3:91737244-92595909</t>
  </si>
  <si>
    <t>chr3:95863488-96414882</t>
  </si>
  <si>
    <t>chr4:49812583-51228265</t>
  </si>
  <si>
    <t>19-mer; S2C4H1L.1-19; 52.12%</t>
  </si>
  <si>
    <t>chr4:50005000-50165000</t>
  </si>
  <si>
    <t>chr4:51521738-53379876</t>
  </si>
  <si>
    <t>chr4:53470665-53662629</t>
  </si>
  <si>
    <t>chr4:49705065-50433558</t>
  </si>
  <si>
    <t>19-mer; S2C4H1L.1-19; 48.13%</t>
  </si>
  <si>
    <t>chr4:50310000-50370000</t>
  </si>
  <si>
    <t>chr4:52115555-54870496</t>
  </si>
  <si>
    <t>chr4:52145000-52260000</t>
  </si>
  <si>
    <t>chr4:54980358-55199705</t>
  </si>
  <si>
    <t>chr4:52310000-52370000</t>
  </si>
  <si>
    <t>chr5:29388963-29500127</t>
  </si>
  <si>
    <t>8-mer; S1C1/5/19H1L.1-5(_6/4_5){n}_2/6; 30.23%</t>
  </si>
  <si>
    <t>chr5:30850000-30995000</t>
  </si>
  <si>
    <t>chr5:29500298-32818572</t>
  </si>
  <si>
    <t>chr5:31090000-31165000</t>
  </si>
  <si>
    <t>chr5:46812669-47039039</t>
  </si>
  <si>
    <t>4-mer; S1C1/5/19H1L.1_2/4_5_2/6; 58.81%</t>
  </si>
  <si>
    <t>chr5:48235000-48410000</t>
  </si>
  <si>
    <t>chr5:47039040-49596532</t>
  </si>
  <si>
    <t>chr6:58547558-61357156</t>
  </si>
  <si>
    <t>18-mer; S01C6H1L.1-18; 71.80%</t>
  </si>
  <si>
    <t>chr6:61100000-61295000</t>
  </si>
  <si>
    <t>chr6:58286784-61058465</t>
  </si>
  <si>
    <t>18-mer; S01C6H1L.1-18; 68.17%</t>
  </si>
  <si>
    <t>chr6:58380000-58530000</t>
  </si>
  <si>
    <t>chr7:58945053-62981557</t>
  </si>
  <si>
    <t>6-mer; S1C7H1L.1-6; 89.24%</t>
  </si>
  <si>
    <t>chr7:59205000-59485000</t>
  </si>
  <si>
    <t>chr7:60414278-63714572</t>
  </si>
  <si>
    <t>6-mer; S1C7H1L.1-6; 92.88%</t>
  </si>
  <si>
    <t>chr7:60570000-60895000</t>
  </si>
  <si>
    <t>chr8:41244803-43823843</t>
  </si>
  <si>
    <t>11-mer; S2C8H1L.1-11; 30.92%</t>
  </si>
  <si>
    <t>chr8:42980000-43055000</t>
  </si>
  <si>
    <t>chr8:44243623-46324986</t>
  </si>
  <si>
    <t>7-mer; S2C8H1L.1-7; 42.25%</t>
  </si>
  <si>
    <t>chr8:45780000-45920000</t>
  </si>
  <si>
    <t>chr9:45051864-47580810</t>
  </si>
  <si>
    <t>7-mer; S2C9H1L.1-2_6-7; 37.72%</t>
  </si>
  <si>
    <t>chr9:45285000-45435000</t>
  </si>
  <si>
    <t>chr9:44952708-47582671</t>
  </si>
  <si>
    <t>7-mer; S2C9H1L.1-2_6-7; 38.09%</t>
  </si>
  <si>
    <t>chr9:45215000-45370000</t>
  </si>
  <si>
    <t>chr10:39520406-41734913</t>
  </si>
  <si>
    <t>8-mer; S1C10H1L.1-8; 92.44%</t>
  </si>
  <si>
    <t>chr10:39750000-39930000</t>
  </si>
  <si>
    <t>chr10:41734914-41845566</t>
  </si>
  <si>
    <t>chr10:41846734-41950493</t>
  </si>
  <si>
    <t>chr10:39634211-41665514</t>
  </si>
  <si>
    <t>8-mer; S1C10H1L.1-8; 37.54%</t>
  </si>
  <si>
    <t>chr10:40000000-40235000</t>
  </si>
  <si>
    <t>chr10:41665515-41778472</t>
  </si>
  <si>
    <t>chr11:50934495-56294371</t>
  </si>
  <si>
    <t>5-mer; S3C11H1L.1-5; 94.18%</t>
  </si>
  <si>
    <t>chr11:53520000-53630000</t>
  </si>
  <si>
    <t>chr11:53710000-53885000</t>
  </si>
  <si>
    <t>chr11:51021054-54488042</t>
  </si>
  <si>
    <t>5-mer; S3C11H1L.1-5; 98.20%</t>
  </si>
  <si>
    <t>chr11:52795000-53040000</t>
  </si>
  <si>
    <t>chr12:34620833-37692958</t>
  </si>
  <si>
    <t>8-mer; S1C12H1L.1-8; 83.23%</t>
  </si>
  <si>
    <t>chr12:34725000-34905000</t>
  </si>
  <si>
    <t>chr12:34620764-37202415</t>
  </si>
  <si>
    <t>8-mer; S1C12H1L.1-8; 66.63%</t>
  </si>
  <si>
    <t>chr12:35215000-35495000</t>
  </si>
  <si>
    <t>chr13:6192900-8715316</t>
  </si>
  <si>
    <t>11-mer; S2C13/21H1L.1-11; 79.72%</t>
  </si>
  <si>
    <t>chr13:6355000-6515000</t>
  </si>
  <si>
    <t>chr13:8105000-8205000</t>
  </si>
  <si>
    <t>chr13:15547583-17501932</t>
  </si>
  <si>
    <t>7-mer; S2C13/21H1L.1-7; 52.19%</t>
  </si>
  <si>
    <t>chr13:15610000-15695000</t>
  </si>
  <si>
    <t>chr13:15725000-15825000</t>
  </si>
  <si>
    <t>chr14:5595383-7352007</t>
  </si>
  <si>
    <t>8-mer; S2C14/22H1L.1-8; 93.78%</t>
  </si>
  <si>
    <t>chr14:6030000-6210000</t>
  </si>
  <si>
    <t>chr14:10089132-12708675</t>
  </si>
  <si>
    <t>8-mer; S2C14/22H1L.1-8; 96.71%</t>
  </si>
  <si>
    <t>chr14:10530000-10710000</t>
  </si>
  <si>
    <t>chr15:5182380-5425803</t>
  </si>
  <si>
    <t>11-mer; S2C15H1L.1-11; 51.03%</t>
  </si>
  <si>
    <t>chr15:6680000-6800000</t>
  </si>
  <si>
    <t>chr15:5696608-6375621</t>
  </si>
  <si>
    <t>chr15:6494803-8365027</t>
  </si>
  <si>
    <t>chr15:15404700-15695673</t>
  </si>
  <si>
    <t>11-mer; S2C15H1L.1-11; 49.94%</t>
  </si>
  <si>
    <t>chr15:16890000-17140000</t>
  </si>
  <si>
    <t>chr15:15966539-16555776</t>
  </si>
  <si>
    <t>chr15:16674963-17683170</t>
  </si>
  <si>
    <t>chr16:35822854-37690729</t>
  </si>
  <si>
    <t>10-mer; S1C16H1L.1-10; 85.22%</t>
  </si>
  <si>
    <t>chr16:36095000-36290000</t>
  </si>
  <si>
    <t>chr16:35848497-37829433</t>
  </si>
  <si>
    <t>10-mer; S1C16H1L.1-10; 79.74%</t>
  </si>
  <si>
    <t>chr16:36025000-36180000</t>
  </si>
  <si>
    <t>chr16:36420000-36485000</t>
  </si>
  <si>
    <t>chr17:23326917-23728596</t>
  </si>
  <si>
    <t>16-mer; S3C17H1L.1-16; 82.79%</t>
  </si>
  <si>
    <t>chr17:24665000-24810000</t>
  </si>
  <si>
    <t>chr17:23728597-28021057</t>
  </si>
  <si>
    <t>chr17:28030968-28063826</t>
  </si>
  <si>
    <t>chr17:26945000-27010000</t>
  </si>
  <si>
    <t>chr17:28068916-28106302</t>
  </si>
  <si>
    <t>chr17:23433564-23892327</t>
  </si>
  <si>
    <t>16-mer; S3C17H1L.1-16; 84.05%</t>
  </si>
  <si>
    <t>chr17:25025000-25190000</t>
  </si>
  <si>
    <t>chr17:23892328-27571391</t>
  </si>
  <si>
    <t>chr17:27581301-27614159</t>
  </si>
  <si>
    <t>chr17:27619249-27656635</t>
  </si>
  <si>
    <t>chr18:15402346-16002641</t>
  </si>
  <si>
    <t>12-mer; S2C18H1L.1-12; 42.23%</t>
  </si>
  <si>
    <t>chr18:17065000-17240000</t>
  </si>
  <si>
    <t>chr18:16002642-21365471</t>
  </si>
  <si>
    <t>chr18:21365472-21471101</t>
  </si>
  <si>
    <t>chr18:21471899-21604457</t>
  </si>
  <si>
    <t>chr18:15553361-15966118</t>
  </si>
  <si>
    <t>12-mer; S2C18H1L.1-12; 44.55%</t>
  </si>
  <si>
    <t>chr18:19150000-19380000</t>
  </si>
  <si>
    <t>chr18:15966119-20933628</t>
  </si>
  <si>
    <t>chr18:20933629-21021392</t>
  </si>
  <si>
    <t>chr18:21022190-21125330</t>
  </si>
  <si>
    <t>chr19:24587808-24729211</t>
  </si>
  <si>
    <t>2-mer; S1C1/5/19H1L.5(_6/4_5){n}-6; 62.40%</t>
  </si>
  <si>
    <t>chr19:26295000-26480000</t>
  </si>
  <si>
    <t>chr19:24740887-25242657</t>
  </si>
  <si>
    <t>chr19:25289235-25631176</t>
  </si>
  <si>
    <t>chr19:28380000-28470000</t>
  </si>
  <si>
    <t>chr19:25762419-29453709</t>
  </si>
  <si>
    <t>chr19:24565219-24689427</t>
  </si>
  <si>
    <t>2-mer; S1C1/5/19H1L.5(_6/4_5){n}-6; 62.36%</t>
  </si>
  <si>
    <t>chr19:26060000-26485000</t>
  </si>
  <si>
    <t>chr19:24696473-25234867</t>
  </si>
  <si>
    <t>chr19:25281444-25675194</t>
  </si>
  <si>
    <t>chr19:25800990-29769262</t>
  </si>
  <si>
    <t>chr20:26365961-26797622</t>
  </si>
  <si>
    <t>16-mer; S2C20H1L.1-16; 81.61%</t>
  </si>
  <si>
    <t>chr20:28775000-28910000</t>
  </si>
  <si>
    <t>chr20:26797627-29108580</t>
  </si>
  <si>
    <t>chr20:29108581-29539370</t>
  </si>
  <si>
    <t>chr20:26403627-26925565</t>
  </si>
  <si>
    <t>16-mer; S2C20H1L.1-16; 81.71%</t>
  </si>
  <si>
    <t>chr20:27715000-27965000</t>
  </si>
  <si>
    <t>chr20:26925570-29099732</t>
  </si>
  <si>
    <t>chr20:29099733-29520961</t>
  </si>
  <si>
    <t>chr21:5735843-6964356</t>
  </si>
  <si>
    <t>11-mer; S2C13/21H1L.1-11; 85.59%</t>
  </si>
  <si>
    <t>chr21:5960000-6040000</t>
  </si>
  <si>
    <t>chr21:10962851-11306301</t>
  </si>
  <si>
    <t>11-mer; S2C13/21H1L.1-11; 81.73%</t>
  </si>
  <si>
    <t>chr21:11040000-11175000</t>
  </si>
  <si>
    <t>chr22:6406576-8403658</t>
  </si>
  <si>
    <t>8-mer; S2C14/22H1L.1-8; 95.95%</t>
  </si>
  <si>
    <t>chr22:6685000-6795000</t>
  </si>
  <si>
    <t>chr22:12789522-15711336</t>
  </si>
  <si>
    <t>8-mer; S2C14/22H1L.1-8; 96.85%</t>
  </si>
  <si>
    <t>chr22:13045000-13105000</t>
  </si>
  <si>
    <t>chr22:13165000-13230000</t>
  </si>
  <si>
    <t>X</t>
  </si>
  <si>
    <t>chrX:9013836-12333563</t>
  </si>
  <si>
    <t>12-mer; S3CXH1L.1-12; 97.51%</t>
  </si>
  <si>
    <t>chrX:10240000-10360000</t>
  </si>
  <si>
    <t>chrX:57818505-60927291</t>
  </si>
  <si>
    <t>12-mer; S3CXH1L.1-12; 97.49%</t>
  </si>
  <si>
    <t>chrX:59170000-59320000</t>
  </si>
  <si>
    <t>Mean</t>
  </si>
  <si>
    <t>Standard deviation</t>
  </si>
  <si>
    <t>All</t>
  </si>
  <si>
    <t># of distinct, haplotype-specific α-satellite HORs occurring ≥10 times</t>
  </si>
  <si>
    <t># of distinct,
α-satellite HORs
occurring ≥20% of the time</t>
  </si>
  <si>
    <t>Ratio of hypomethylated region: major HOR array size*</t>
  </si>
  <si>
    <t>*Hypomethylated regions located within 150 kbp of each other were considered as a single hypomethylated region and the total length was combined.</t>
  </si>
  <si>
    <t>Supplementary Table 7. Quantification of the genetic and epigenetic variation of all CHM1 and CHM13 centromeres.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</si>
</sst>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3" fontId="1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2" fillId="0" borderId="0" xfId="0" applyFont="1"/>
    <xf numFmtId="164" fontId="1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3" fontId="1" fillId="0" borderId="2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2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0" fontId="2" fillId="0" borderId="4" xfId="0" applyFont="1" applyBorder="1" applyAlignment="1">
      <alignment horizontal="center" vertical="center"/>
    </xf>
    <xf numFmtId="0" fontId="7" fillId="0" borderId="6" xfId="0" applyFont="1" applyBorder="1"/>
    <xf numFmtId="3" fontId="2" fillId="0" borderId="0" xfId="0" applyNumberFormat="1" applyFont="1" applyAlignment="1">
      <alignment horizontal="center" vertical="center"/>
    </xf>
    <xf numFmtId="0" fontId="7" fillId="0" borderId="7" xfId="0" applyFont="1" applyBorder="1"/>
    <xf numFmtId="0" fontId="2" fillId="0" borderId="0" xfId="0" applyFont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/>
    <xf numFmtId="2" fontId="7" fillId="0" borderId="7" xfId="0" applyNumberFormat="1" applyFont="1" applyBorder="1"/>
    <xf numFmtId="0" fontId="2" fillId="0" borderId="4" xfId="0" applyFont="1" applyBorder="1"/>
    <xf numFmtId="3" fontId="2" fillId="0" borderId="0" xfId="0" applyNumberFormat="1" applyFont="1"/>
    <xf numFmtId="3" fontId="7" fillId="0" borderId="7" xfId="0" applyNumberFormat="1" applyFont="1" applyBorder="1"/>
    <xf numFmtId="4" fontId="7" fillId="0" borderId="7" xfId="0" applyNumberFormat="1" applyFont="1" applyBorder="1"/>
    <xf numFmtId="0" fontId="7" fillId="0" borderId="8" xfId="0" applyFont="1" applyBorder="1"/>
    <xf numFmtId="3" fontId="2" fillId="0" borderId="9" xfId="0" applyNumberFormat="1" applyFont="1" applyBorder="1" applyAlignment="1">
      <alignment horizontal="center" vertical="center"/>
    </xf>
    <xf numFmtId="4" fontId="2" fillId="0" borderId="11" xfId="0" applyNumberFormat="1" applyFont="1" applyBorder="1"/>
    <xf numFmtId="0" fontId="7" fillId="0" borderId="11" xfId="0" applyFont="1" applyBorder="1"/>
    <xf numFmtId="0" fontId="2" fillId="0" borderId="4" xfId="0" applyFont="1" applyBorder="1" applyAlignment="1">
      <alignment horizontal="center" vertical="center" wrapText="1"/>
    </xf>
    <xf numFmtId="0" fontId="7" fillId="0" borderId="10" xfId="0" applyFont="1" applyBorder="1"/>
    <xf numFmtId="2" fontId="7" fillId="0" borderId="1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44560-1563-8D44-A5C3-DB6C3CE473C9}">
  <dimension ref="A1:AD159"/>
  <sheetViews>
    <sheetView tabSelected="1" workbookViewId="0"/>
  </sheetViews>
  <sheetFormatPr baseColWidth="10" defaultColWidth="12.6640625" defaultRowHeight="14" x14ac:dyDescent="0.15"/>
  <cols>
    <col min="1" max="1" width="14.6640625" style="5" customWidth="1"/>
    <col min="2" max="2" width="12.6640625" style="5"/>
    <col min="3" max="3" width="25.6640625" style="5" customWidth="1"/>
    <col min="4" max="4" width="17.33203125" style="5" customWidth="1"/>
    <col min="5" max="5" width="21.6640625" style="5" customWidth="1"/>
    <col min="6" max="6" width="19.5" style="5" customWidth="1"/>
    <col min="7" max="7" width="23" style="5" customWidth="1"/>
    <col min="8" max="8" width="26.6640625" style="5" customWidth="1"/>
    <col min="9" max="9" width="24.6640625" style="5" bestFit="1" customWidth="1"/>
    <col min="10" max="10" width="15" style="5" customWidth="1"/>
    <col min="11" max="13" width="18.6640625" style="5" customWidth="1"/>
    <col min="14" max="14" width="18.5" style="5" customWidth="1"/>
    <col min="15" max="15" width="40.1640625" style="5" customWidth="1"/>
    <col min="16" max="16" width="25.5" style="5" customWidth="1"/>
    <col min="17" max="17" width="18" style="5" customWidth="1"/>
    <col min="18" max="18" width="22.5" style="5" customWidth="1"/>
    <col min="19" max="19" width="24.6640625" style="5" customWidth="1"/>
    <col min="20" max="21" width="24.1640625" style="5" customWidth="1"/>
    <col min="22" max="22" width="24.6640625" style="5" customWidth="1"/>
    <col min="23" max="24" width="27.33203125" style="5" customWidth="1"/>
    <col min="25" max="25" width="34" style="5" bestFit="1" customWidth="1"/>
    <col min="26" max="26" width="33.83203125" style="5" customWidth="1"/>
    <col min="27" max="27" width="29" style="5" customWidth="1"/>
    <col min="28" max="28" width="24.83203125" style="5" bestFit="1" customWidth="1"/>
    <col min="29" max="29" width="27.1640625" style="5" bestFit="1" customWidth="1"/>
    <col min="30" max="30" width="18.83203125" style="5" customWidth="1"/>
    <col min="31" max="16384" width="12.6640625" style="5"/>
  </cols>
  <sheetData>
    <row r="1" spans="1:30" ht="15.75" customHeight="1" x14ac:dyDescent="0.15">
      <c r="A1" s="1" t="s">
        <v>231</v>
      </c>
      <c r="B1" s="2"/>
      <c r="C1" s="2"/>
      <c r="D1" s="3"/>
      <c r="E1" s="3"/>
      <c r="F1" s="3"/>
      <c r="G1" s="3"/>
      <c r="H1" s="4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B1" s="3"/>
      <c r="AC1" s="6"/>
      <c r="AD1" s="2"/>
    </row>
    <row r="2" spans="1:30" ht="59.25" customHeight="1" x14ac:dyDescent="0.15">
      <c r="A2" s="7" t="s">
        <v>0</v>
      </c>
      <c r="B2" s="7" t="s">
        <v>1</v>
      </c>
      <c r="C2" s="8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10" t="s">
        <v>7</v>
      </c>
      <c r="I2" s="9" t="s">
        <v>8</v>
      </c>
      <c r="J2" s="8" t="s">
        <v>9</v>
      </c>
      <c r="K2" s="8" t="s">
        <v>10</v>
      </c>
      <c r="L2" s="8" t="s">
        <v>11</v>
      </c>
      <c r="M2" s="8" t="s">
        <v>227</v>
      </c>
      <c r="N2" s="8" t="s">
        <v>228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16</v>
      </c>
      <c r="T2" s="8" t="s">
        <v>17</v>
      </c>
      <c r="U2" s="8" t="s">
        <v>18</v>
      </c>
      <c r="V2" s="8" t="s">
        <v>19</v>
      </c>
      <c r="W2" s="8" t="s">
        <v>20</v>
      </c>
      <c r="X2" s="8" t="s">
        <v>21</v>
      </c>
      <c r="Y2" s="8" t="s">
        <v>22</v>
      </c>
      <c r="Z2" s="8" t="s">
        <v>23</v>
      </c>
      <c r="AA2" s="11" t="s">
        <v>24</v>
      </c>
      <c r="AB2" s="9" t="s">
        <v>25</v>
      </c>
      <c r="AC2" s="12" t="s">
        <v>229</v>
      </c>
      <c r="AD2" s="13" t="s">
        <v>26</v>
      </c>
    </row>
    <row r="3" spans="1:30" ht="15.75" customHeight="1" x14ac:dyDescent="0.15">
      <c r="A3" s="36">
        <v>1</v>
      </c>
      <c r="B3" s="36" t="s">
        <v>27</v>
      </c>
      <c r="C3" s="38">
        <v>5014221</v>
      </c>
      <c r="D3" s="38">
        <v>4976494</v>
      </c>
      <c r="E3" s="15">
        <v>163788</v>
      </c>
      <c r="F3" s="38">
        <v>4317291</v>
      </c>
      <c r="G3" s="38">
        <f>ABS(F3-F5)</f>
        <v>187042</v>
      </c>
      <c r="H3" s="45">
        <f>F3/F5</f>
        <v>0.95847509498076633</v>
      </c>
      <c r="I3" s="40" t="s">
        <v>28</v>
      </c>
      <c r="J3" s="38">
        <v>1975</v>
      </c>
      <c r="K3" s="38">
        <v>97</v>
      </c>
      <c r="L3" s="38">
        <v>15</v>
      </c>
      <c r="M3" s="38">
        <v>2</v>
      </c>
      <c r="N3" s="38">
        <v>1</v>
      </c>
      <c r="O3" s="42" t="s">
        <v>29</v>
      </c>
      <c r="P3" s="17" t="s">
        <v>30</v>
      </c>
      <c r="Q3" s="15">
        <v>160000</v>
      </c>
      <c r="R3" s="15" t="s">
        <v>31</v>
      </c>
      <c r="S3" s="15">
        <v>160000</v>
      </c>
      <c r="T3" s="38">
        <v>69846261</v>
      </c>
      <c r="U3" s="38">
        <v>74163552</v>
      </c>
      <c r="V3" s="15">
        <f>(70435000+70595000)/2</f>
        <v>70515000</v>
      </c>
      <c r="W3" s="15">
        <f>V3-T3</f>
        <v>668739</v>
      </c>
      <c r="X3" s="15">
        <f>U3-V3</f>
        <v>3648552</v>
      </c>
      <c r="Y3" s="15">
        <f>W5-W3</f>
        <v>325201</v>
      </c>
      <c r="Z3" s="15">
        <f>X3-X5</f>
        <v>138159</v>
      </c>
      <c r="AA3" s="15">
        <f>MIN(Y3:Z3)</f>
        <v>138159</v>
      </c>
      <c r="AB3" s="38">
        <f>U3-T3</f>
        <v>4317291</v>
      </c>
      <c r="AC3" s="43">
        <f>S3/AB3</f>
        <v>3.7060276919021674E-2</v>
      </c>
      <c r="AD3" s="34">
        <v>4</v>
      </c>
    </row>
    <row r="4" spans="1:30" ht="15.75" customHeight="1" x14ac:dyDescent="0.15">
      <c r="A4" s="48"/>
      <c r="B4" s="48"/>
      <c r="C4" s="41"/>
      <c r="D4" s="41"/>
      <c r="E4" s="15">
        <v>530121</v>
      </c>
      <c r="F4" s="41"/>
      <c r="G4" s="49"/>
      <c r="H4" s="46"/>
      <c r="I4" s="41"/>
      <c r="J4" s="41"/>
      <c r="K4" s="41"/>
      <c r="L4" s="41"/>
      <c r="M4" s="41"/>
      <c r="N4" s="41"/>
      <c r="O4" s="41"/>
      <c r="P4" s="17" t="s">
        <v>32</v>
      </c>
      <c r="Q4" s="15">
        <v>70000</v>
      </c>
      <c r="R4" s="15" t="s">
        <v>33</v>
      </c>
      <c r="S4" s="15">
        <v>70000</v>
      </c>
      <c r="T4" s="41"/>
      <c r="U4" s="41"/>
      <c r="V4" s="15">
        <f>(73420000+73350000)/2</f>
        <v>73385000</v>
      </c>
      <c r="W4" s="15" t="s">
        <v>34</v>
      </c>
      <c r="X4" s="15" t="s">
        <v>34</v>
      </c>
      <c r="Y4" s="15" t="s">
        <v>34</v>
      </c>
      <c r="Z4" s="15" t="s">
        <v>34</v>
      </c>
      <c r="AA4" s="15" t="s">
        <v>34</v>
      </c>
      <c r="AB4" s="41"/>
      <c r="AC4" s="44"/>
      <c r="AD4" s="35"/>
    </row>
    <row r="5" spans="1:30" ht="15.75" customHeight="1" x14ac:dyDescent="0.15">
      <c r="A5" s="48"/>
      <c r="B5" s="36" t="s">
        <v>35</v>
      </c>
      <c r="C5" s="38">
        <v>5204924</v>
      </c>
      <c r="D5" s="38">
        <v>5167033</v>
      </c>
      <c r="E5" s="15">
        <v>176837</v>
      </c>
      <c r="F5" s="38">
        <v>4504333</v>
      </c>
      <c r="G5" s="49"/>
      <c r="H5" s="46"/>
      <c r="I5" s="40" t="s">
        <v>36</v>
      </c>
      <c r="J5" s="38">
        <v>2056</v>
      </c>
      <c r="K5" s="38">
        <v>101</v>
      </c>
      <c r="L5" s="38">
        <v>19</v>
      </c>
      <c r="M5" s="38">
        <v>2</v>
      </c>
      <c r="N5" s="38">
        <v>1</v>
      </c>
      <c r="O5" s="42" t="s">
        <v>37</v>
      </c>
      <c r="P5" s="17" t="s">
        <v>38</v>
      </c>
      <c r="Q5" s="15">
        <v>155000</v>
      </c>
      <c r="R5" s="38" t="s">
        <v>31</v>
      </c>
      <c r="S5" s="38">
        <f>122950000-122630000</f>
        <v>320000</v>
      </c>
      <c r="T5" s="38">
        <v>121796060</v>
      </c>
      <c r="U5" s="38">
        <v>126300393</v>
      </c>
      <c r="V5" s="38">
        <f>(122630000 + 122950000)/2</f>
        <v>122790000</v>
      </c>
      <c r="W5" s="38">
        <f>V5-T5</f>
        <v>993940</v>
      </c>
      <c r="X5" s="38">
        <f>U5-V5</f>
        <v>3510393</v>
      </c>
      <c r="Y5" s="38"/>
      <c r="Z5" s="38"/>
      <c r="AA5" s="38"/>
      <c r="AB5" s="38">
        <f>U5-T5</f>
        <v>4504333</v>
      </c>
      <c r="AC5" s="43">
        <f>S5/AB5</f>
        <v>7.1042704879945601E-2</v>
      </c>
      <c r="AD5" s="34">
        <v>4</v>
      </c>
    </row>
    <row r="6" spans="1:30" ht="15.75" customHeight="1" x14ac:dyDescent="0.15">
      <c r="A6" s="37"/>
      <c r="B6" s="37"/>
      <c r="C6" s="39"/>
      <c r="D6" s="39"/>
      <c r="E6" s="19">
        <v>523793</v>
      </c>
      <c r="F6" s="39"/>
      <c r="G6" s="50"/>
      <c r="H6" s="47"/>
      <c r="I6" s="39"/>
      <c r="J6" s="39"/>
      <c r="K6" s="39"/>
      <c r="L6" s="39"/>
      <c r="M6" s="39"/>
      <c r="N6" s="39"/>
      <c r="O6" s="39"/>
      <c r="P6" s="20" t="s">
        <v>39</v>
      </c>
      <c r="Q6" s="19">
        <v>145000</v>
      </c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51"/>
      <c r="AD6" s="52"/>
    </row>
    <row r="7" spans="1:30" ht="15.75" customHeight="1" x14ac:dyDescent="0.15">
      <c r="A7" s="36">
        <v>2</v>
      </c>
      <c r="B7" s="36" t="s">
        <v>27</v>
      </c>
      <c r="C7" s="38">
        <v>1967154</v>
      </c>
      <c r="D7" s="38">
        <v>1656553</v>
      </c>
      <c r="E7" s="15">
        <v>31220</v>
      </c>
      <c r="F7" s="38">
        <v>1530379</v>
      </c>
      <c r="G7" s="38">
        <f>ABS(F7-F9)</f>
        <v>808928</v>
      </c>
      <c r="H7" s="45">
        <f>F7/F9</f>
        <v>0.65420186405632097</v>
      </c>
      <c r="I7" s="40" t="s">
        <v>40</v>
      </c>
      <c r="J7" s="38">
        <v>3064</v>
      </c>
      <c r="K7" s="38">
        <v>113</v>
      </c>
      <c r="L7" s="38">
        <v>3</v>
      </c>
      <c r="M7" s="38">
        <v>0</v>
      </c>
      <c r="N7" s="38">
        <v>1</v>
      </c>
      <c r="O7" s="42" t="s">
        <v>41</v>
      </c>
      <c r="P7" s="17" t="s">
        <v>42</v>
      </c>
      <c r="Q7" s="15">
        <v>165000</v>
      </c>
      <c r="R7" s="15" t="s">
        <v>31</v>
      </c>
      <c r="S7" s="15">
        <v>165000</v>
      </c>
      <c r="T7" s="38">
        <v>2292901</v>
      </c>
      <c r="U7" s="38">
        <v>3823280</v>
      </c>
      <c r="V7" s="15">
        <f>(3245000+3410000)/2</f>
        <v>3327500</v>
      </c>
      <c r="W7" s="15">
        <f>V7-T7</f>
        <v>1034599</v>
      </c>
      <c r="X7" s="15">
        <f>U7-V7</f>
        <v>495780</v>
      </c>
      <c r="Y7" s="15">
        <f>W9-W7</f>
        <v>1071951</v>
      </c>
      <c r="Z7" s="15">
        <f>X7-X9</f>
        <v>263023</v>
      </c>
      <c r="AA7" s="15">
        <f>MIN(Y7:Z7)</f>
        <v>263023</v>
      </c>
      <c r="AB7" s="38">
        <f>U7-T7</f>
        <v>1530379</v>
      </c>
      <c r="AC7" s="43">
        <f>S7/AB7</f>
        <v>0.10781642978634705</v>
      </c>
      <c r="AD7" s="34">
        <v>2</v>
      </c>
    </row>
    <row r="8" spans="1:30" ht="15.75" customHeight="1" x14ac:dyDescent="0.15">
      <c r="A8" s="48"/>
      <c r="B8" s="48"/>
      <c r="C8" s="41"/>
      <c r="D8" s="41"/>
      <c r="E8" s="15">
        <v>22387</v>
      </c>
      <c r="F8" s="41"/>
      <c r="G8" s="49"/>
      <c r="H8" s="46"/>
      <c r="I8" s="41"/>
      <c r="J8" s="41"/>
      <c r="K8" s="41"/>
      <c r="L8" s="41"/>
      <c r="M8" s="41"/>
      <c r="N8" s="41"/>
      <c r="O8" s="41"/>
      <c r="P8" s="17" t="s">
        <v>43</v>
      </c>
      <c r="Q8" s="15">
        <v>70000</v>
      </c>
      <c r="R8" s="15" t="s">
        <v>33</v>
      </c>
      <c r="S8" s="15">
        <v>70000</v>
      </c>
      <c r="T8" s="41"/>
      <c r="U8" s="41"/>
      <c r="V8" s="15">
        <f>(3680000 + 3750000)/2</f>
        <v>3715000</v>
      </c>
      <c r="W8" s="15" t="s">
        <v>34</v>
      </c>
      <c r="X8" s="15" t="s">
        <v>34</v>
      </c>
      <c r="Y8" s="15" t="s">
        <v>34</v>
      </c>
      <c r="Z8" s="15" t="s">
        <v>34</v>
      </c>
      <c r="AA8" s="15" t="s">
        <v>34</v>
      </c>
      <c r="AB8" s="41"/>
      <c r="AC8" s="44"/>
      <c r="AD8" s="35"/>
    </row>
    <row r="9" spans="1:30" ht="15.75" customHeight="1" x14ac:dyDescent="0.15">
      <c r="A9" s="48"/>
      <c r="B9" s="36" t="s">
        <v>35</v>
      </c>
      <c r="C9" s="38">
        <v>2780143</v>
      </c>
      <c r="D9" s="38">
        <v>2465506</v>
      </c>
      <c r="E9" s="15">
        <v>35988</v>
      </c>
      <c r="F9" s="38">
        <v>2339307</v>
      </c>
      <c r="G9" s="49"/>
      <c r="H9" s="46"/>
      <c r="I9" s="40" t="s">
        <v>44</v>
      </c>
      <c r="J9" s="38">
        <v>4442</v>
      </c>
      <c r="K9" s="38">
        <v>113</v>
      </c>
      <c r="L9" s="38">
        <v>3</v>
      </c>
      <c r="M9" s="38">
        <v>0</v>
      </c>
      <c r="N9" s="38">
        <v>1</v>
      </c>
      <c r="O9" s="42" t="s">
        <v>45</v>
      </c>
      <c r="P9" s="40" t="s">
        <v>46</v>
      </c>
      <c r="Q9" s="38">
        <v>190000</v>
      </c>
      <c r="R9" s="38" t="s">
        <v>31</v>
      </c>
      <c r="S9" s="38">
        <v>190000</v>
      </c>
      <c r="T9" s="38">
        <v>92333450</v>
      </c>
      <c r="U9" s="38">
        <v>94672757</v>
      </c>
      <c r="V9" s="38">
        <f>(94345000+94535000)/2</f>
        <v>94440000</v>
      </c>
      <c r="W9" s="38">
        <f>V9-T9</f>
        <v>2106550</v>
      </c>
      <c r="X9" s="38">
        <f>U9-V9</f>
        <v>232757</v>
      </c>
      <c r="Y9" s="38"/>
      <c r="Z9" s="38"/>
      <c r="AA9" s="38"/>
      <c r="AB9" s="38">
        <f>U9-T9</f>
        <v>2339307</v>
      </c>
      <c r="AC9" s="43">
        <f>S9/AB9</f>
        <v>8.1220635000023508E-2</v>
      </c>
      <c r="AD9" s="34">
        <v>2</v>
      </c>
    </row>
    <row r="10" spans="1:30" ht="15.75" customHeight="1" x14ac:dyDescent="0.15">
      <c r="A10" s="37"/>
      <c r="B10" s="37"/>
      <c r="C10" s="39"/>
      <c r="D10" s="39"/>
      <c r="E10" s="19">
        <v>22387</v>
      </c>
      <c r="F10" s="39"/>
      <c r="G10" s="50"/>
      <c r="H10" s="47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51"/>
      <c r="AD10" s="52"/>
    </row>
    <row r="11" spans="1:30" ht="15.75" customHeight="1" x14ac:dyDescent="0.15">
      <c r="A11" s="36">
        <v>3</v>
      </c>
      <c r="B11" s="36" t="s">
        <v>27</v>
      </c>
      <c r="C11" s="38">
        <v>8778902</v>
      </c>
      <c r="D11" s="38">
        <v>3784384</v>
      </c>
      <c r="E11" s="15">
        <v>362646</v>
      </c>
      <c r="F11" s="15">
        <v>594541</v>
      </c>
      <c r="G11" s="15">
        <f t="shared" ref="G11:G12" si="0">ABS(F11-F14)</f>
        <v>174399</v>
      </c>
      <c r="H11" s="16">
        <f t="shared" ref="H11:H13" si="1">F11/F14</f>
        <v>0.77319556792467548</v>
      </c>
      <c r="I11" s="17" t="s">
        <v>47</v>
      </c>
      <c r="J11" s="38">
        <v>980</v>
      </c>
      <c r="K11" s="38">
        <v>106</v>
      </c>
      <c r="L11" s="38">
        <v>16</v>
      </c>
      <c r="M11" s="38">
        <v>0</v>
      </c>
      <c r="N11" s="38">
        <v>1</v>
      </c>
      <c r="O11" s="42" t="s">
        <v>48</v>
      </c>
      <c r="P11" s="40" t="s">
        <v>49</v>
      </c>
      <c r="Q11" s="38">
        <v>65000</v>
      </c>
      <c r="R11" s="53" t="s">
        <v>31</v>
      </c>
      <c r="S11" s="38">
        <f>94035000-93775000</f>
        <v>260000</v>
      </c>
      <c r="T11" s="15">
        <v>90764094</v>
      </c>
      <c r="U11" s="15">
        <v>91358765</v>
      </c>
      <c r="V11" s="38">
        <f>(93775000+94035000)/2</f>
        <v>93905000</v>
      </c>
      <c r="W11" s="38">
        <f>V11-T12</f>
        <v>2283128</v>
      </c>
      <c r="X11" s="38">
        <f>U12-V11</f>
        <v>201698</v>
      </c>
      <c r="Y11" s="38">
        <f t="shared" ref="Y11:Z11" si="2">W11-W14</f>
        <v>1595372</v>
      </c>
      <c r="Z11" s="38">
        <f t="shared" si="2"/>
        <v>30789</v>
      </c>
      <c r="AA11" s="38">
        <f>MIN(Y11:Z11)</f>
        <v>30789</v>
      </c>
      <c r="AB11" s="38">
        <f>U12-T12</f>
        <v>2484826</v>
      </c>
      <c r="AC11" s="43">
        <f>S11/AB11</f>
        <v>0.10463509316145275</v>
      </c>
      <c r="AD11" s="34">
        <v>6</v>
      </c>
    </row>
    <row r="12" spans="1:30" ht="15.75" customHeight="1" x14ac:dyDescent="0.15">
      <c r="A12" s="48"/>
      <c r="B12" s="48"/>
      <c r="C12" s="41"/>
      <c r="D12" s="41"/>
      <c r="E12" s="15">
        <v>15791</v>
      </c>
      <c r="F12" s="15">
        <v>2484826</v>
      </c>
      <c r="G12" s="15">
        <f t="shared" si="0"/>
        <v>1626161</v>
      </c>
      <c r="H12" s="16">
        <f t="shared" si="1"/>
        <v>2.8938247162746822</v>
      </c>
      <c r="I12" s="17" t="s">
        <v>50</v>
      </c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15">
        <v>91621872</v>
      </c>
      <c r="U12" s="15">
        <v>94106698</v>
      </c>
      <c r="V12" s="41"/>
      <c r="W12" s="41"/>
      <c r="X12" s="41"/>
      <c r="Y12" s="41"/>
      <c r="Z12" s="41"/>
      <c r="AA12" s="41"/>
      <c r="AB12" s="41"/>
      <c r="AC12" s="44"/>
      <c r="AD12" s="35"/>
    </row>
    <row r="13" spans="1:30" ht="15.75" customHeight="1" x14ac:dyDescent="0.15">
      <c r="A13" s="48"/>
      <c r="B13" s="48"/>
      <c r="C13" s="41"/>
      <c r="D13" s="41"/>
      <c r="E13" s="15">
        <v>83023</v>
      </c>
      <c r="F13" s="15">
        <v>305652</v>
      </c>
      <c r="G13" s="15">
        <f>ABS(ABS(F13-F16))</f>
        <v>245742</v>
      </c>
      <c r="H13" s="16">
        <f t="shared" si="1"/>
        <v>0.55432594478721209</v>
      </c>
      <c r="I13" s="17" t="s">
        <v>51</v>
      </c>
      <c r="J13" s="41"/>
      <c r="K13" s="41"/>
      <c r="L13" s="41"/>
      <c r="M13" s="41"/>
      <c r="N13" s="41"/>
      <c r="O13" s="41"/>
      <c r="P13" s="17" t="s">
        <v>52</v>
      </c>
      <c r="Q13" s="15">
        <v>105000</v>
      </c>
      <c r="R13" s="41"/>
      <c r="S13" s="41"/>
      <c r="T13" s="15">
        <v>98783722</v>
      </c>
      <c r="U13" s="15">
        <v>99089374</v>
      </c>
      <c r="V13" s="41"/>
      <c r="W13" s="41"/>
      <c r="X13" s="41"/>
      <c r="Y13" s="41"/>
      <c r="Z13" s="41"/>
      <c r="AA13" s="41"/>
      <c r="AB13" s="41"/>
      <c r="AC13" s="44"/>
      <c r="AD13" s="35"/>
    </row>
    <row r="14" spans="1:30" ht="15.75" customHeight="1" x14ac:dyDescent="0.15">
      <c r="A14" s="48"/>
      <c r="B14" s="36" t="s">
        <v>35</v>
      </c>
      <c r="C14" s="38">
        <v>6158761</v>
      </c>
      <c r="D14" s="38">
        <v>2612782</v>
      </c>
      <c r="E14" s="15">
        <v>364364</v>
      </c>
      <c r="F14" s="15">
        <v>768940</v>
      </c>
      <c r="G14" s="38"/>
      <c r="H14" s="45"/>
      <c r="I14" s="17" t="s">
        <v>53</v>
      </c>
      <c r="J14" s="38">
        <v>509</v>
      </c>
      <c r="K14" s="38">
        <v>106</v>
      </c>
      <c r="L14" s="38">
        <v>10</v>
      </c>
      <c r="M14" s="38">
        <v>0</v>
      </c>
      <c r="N14" s="38">
        <v>1</v>
      </c>
      <c r="O14" s="42" t="s">
        <v>54</v>
      </c>
      <c r="P14" s="40" t="s">
        <v>55</v>
      </c>
      <c r="Q14" s="38">
        <v>140000</v>
      </c>
      <c r="R14" s="38" t="s">
        <v>31</v>
      </c>
      <c r="S14" s="38">
        <v>140000</v>
      </c>
      <c r="T14" s="15">
        <v>90711461</v>
      </c>
      <c r="U14" s="15">
        <v>91480401</v>
      </c>
      <c r="V14" s="38">
        <f>(92355000+92495000)/2</f>
        <v>92425000</v>
      </c>
      <c r="W14" s="38">
        <f>V14-T15</f>
        <v>687756</v>
      </c>
      <c r="X14" s="38">
        <f>U15-V14</f>
        <v>170909</v>
      </c>
      <c r="Y14" s="38"/>
      <c r="Z14" s="38"/>
      <c r="AA14" s="38"/>
      <c r="AB14" s="38">
        <f>U15-T15</f>
        <v>858665</v>
      </c>
      <c r="AC14" s="43">
        <f>S14/AB14</f>
        <v>0.16304379472786243</v>
      </c>
      <c r="AD14" s="34">
        <v>6</v>
      </c>
    </row>
    <row r="15" spans="1:30" ht="15.75" customHeight="1" x14ac:dyDescent="0.15">
      <c r="A15" s="48"/>
      <c r="B15" s="48"/>
      <c r="C15" s="41"/>
      <c r="D15" s="41"/>
      <c r="E15" s="15">
        <v>25703</v>
      </c>
      <c r="F15" s="15">
        <v>858665</v>
      </c>
      <c r="G15" s="49"/>
      <c r="H15" s="46"/>
      <c r="I15" s="17" t="s">
        <v>56</v>
      </c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15">
        <v>91737244</v>
      </c>
      <c r="U15" s="15">
        <v>92595909</v>
      </c>
      <c r="V15" s="41"/>
      <c r="W15" s="41"/>
      <c r="X15" s="41"/>
      <c r="Y15" s="41"/>
      <c r="Z15" s="41"/>
      <c r="AA15" s="41"/>
      <c r="AB15" s="41"/>
      <c r="AC15" s="44"/>
      <c r="AD15" s="35"/>
    </row>
    <row r="16" spans="1:30" ht="15.75" customHeight="1" x14ac:dyDescent="0.15">
      <c r="A16" s="37"/>
      <c r="B16" s="37"/>
      <c r="C16" s="39"/>
      <c r="D16" s="39"/>
      <c r="E16" s="19">
        <v>83023</v>
      </c>
      <c r="F16" s="19">
        <v>551394</v>
      </c>
      <c r="G16" s="50"/>
      <c r="H16" s="47"/>
      <c r="I16" s="20" t="s">
        <v>57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19">
        <v>95863488</v>
      </c>
      <c r="U16" s="19">
        <v>96414882</v>
      </c>
      <c r="V16" s="39"/>
      <c r="W16" s="39"/>
      <c r="X16" s="39"/>
      <c r="Y16" s="39"/>
      <c r="Z16" s="39"/>
      <c r="AA16" s="39"/>
      <c r="AB16" s="39"/>
      <c r="AC16" s="51"/>
      <c r="AD16" s="52"/>
    </row>
    <row r="17" spans="1:30" ht="15.75" customHeight="1" x14ac:dyDescent="0.15">
      <c r="A17" s="36">
        <v>4</v>
      </c>
      <c r="B17" s="36" t="s">
        <v>27</v>
      </c>
      <c r="C17" s="38">
        <v>4309149</v>
      </c>
      <c r="D17" s="38">
        <v>3912133</v>
      </c>
      <c r="E17" s="38">
        <v>120089</v>
      </c>
      <c r="F17" s="15">
        <v>1415682</v>
      </c>
      <c r="G17" s="15">
        <f t="shared" ref="G17:G19" si="3">ABS(F17-F20)</f>
        <v>687347</v>
      </c>
      <c r="H17" s="16">
        <f t="shared" ref="H17:H19" si="4">F17/F21</f>
        <v>0.51387016999638102</v>
      </c>
      <c r="I17" s="15" t="s">
        <v>58</v>
      </c>
      <c r="J17" s="38">
        <v>1295</v>
      </c>
      <c r="K17" s="38">
        <v>90</v>
      </c>
      <c r="L17" s="38">
        <v>26</v>
      </c>
      <c r="M17" s="38">
        <v>0</v>
      </c>
      <c r="N17" s="38">
        <v>1</v>
      </c>
      <c r="O17" s="42" t="s">
        <v>59</v>
      </c>
      <c r="P17" s="38" t="s">
        <v>60</v>
      </c>
      <c r="Q17" s="38">
        <v>160000</v>
      </c>
      <c r="R17" s="53" t="s">
        <v>31</v>
      </c>
      <c r="S17" s="38">
        <v>160000</v>
      </c>
      <c r="T17" s="15">
        <v>49812583</v>
      </c>
      <c r="U17" s="15">
        <v>51228265</v>
      </c>
      <c r="V17" s="38">
        <f>(50005000+50165000)/2</f>
        <v>50085000</v>
      </c>
      <c r="W17" s="38">
        <f>T18-V17</f>
        <v>1436738</v>
      </c>
      <c r="X17" s="38">
        <f>U18-V17</f>
        <v>3294876</v>
      </c>
      <c r="Y17" s="38">
        <f t="shared" ref="Y17:Z17" si="5">W17-W21</f>
        <v>1294793</v>
      </c>
      <c r="Z17" s="38">
        <f t="shared" si="5"/>
        <v>681880</v>
      </c>
      <c r="AA17" s="38">
        <f>MIN(Y17:Z17)</f>
        <v>681880</v>
      </c>
      <c r="AB17" s="38">
        <f>U17-T17</f>
        <v>1415682</v>
      </c>
      <c r="AC17" s="43">
        <f>S17/AB17</f>
        <v>0.11301973183243129</v>
      </c>
      <c r="AD17" s="34">
        <v>2</v>
      </c>
    </row>
    <row r="18" spans="1:30" ht="15.75" customHeight="1" x14ac:dyDescent="0.15">
      <c r="A18" s="48"/>
      <c r="B18" s="48"/>
      <c r="C18" s="41"/>
      <c r="D18" s="41"/>
      <c r="E18" s="41"/>
      <c r="F18" s="15">
        <v>1858138</v>
      </c>
      <c r="G18" s="15">
        <f t="shared" si="3"/>
        <v>896803</v>
      </c>
      <c r="H18" s="16">
        <f t="shared" si="4"/>
        <v>8.4712259570452293</v>
      </c>
      <c r="I18" s="15" t="s">
        <v>61</v>
      </c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15">
        <v>51521738</v>
      </c>
      <c r="U18" s="15">
        <v>53379876</v>
      </c>
      <c r="V18" s="41"/>
      <c r="W18" s="41"/>
      <c r="X18" s="41"/>
      <c r="Y18" s="41"/>
      <c r="Z18" s="41"/>
      <c r="AA18" s="41"/>
      <c r="AB18" s="41"/>
      <c r="AC18" s="44"/>
      <c r="AD18" s="35"/>
    </row>
    <row r="19" spans="1:30" ht="15.75" customHeight="1" x14ac:dyDescent="0.15">
      <c r="A19" s="48"/>
      <c r="B19" s="48"/>
      <c r="C19" s="41"/>
      <c r="D19" s="41"/>
      <c r="E19" s="41"/>
      <c r="F19" s="15">
        <v>191964</v>
      </c>
      <c r="G19" s="15">
        <f t="shared" si="3"/>
        <v>27383</v>
      </c>
      <c r="H19" s="16">
        <f t="shared" si="4"/>
        <v>1.7242172202561661</v>
      </c>
      <c r="I19" s="15" t="s">
        <v>62</v>
      </c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15">
        <v>53470665</v>
      </c>
      <c r="U19" s="15">
        <v>53662629</v>
      </c>
      <c r="V19" s="41"/>
      <c r="W19" s="41"/>
      <c r="X19" s="41"/>
      <c r="Y19" s="41"/>
      <c r="Z19" s="41"/>
      <c r="AA19" s="41"/>
      <c r="AB19" s="41"/>
      <c r="AC19" s="44"/>
      <c r="AD19" s="35"/>
    </row>
    <row r="20" spans="1:30" ht="15.75" customHeight="1" x14ac:dyDescent="0.15">
      <c r="A20" s="48"/>
      <c r="B20" s="36" t="s">
        <v>35</v>
      </c>
      <c r="C20" s="38">
        <v>5603524</v>
      </c>
      <c r="D20" s="38">
        <v>3798926</v>
      </c>
      <c r="E20" s="38">
        <v>103513</v>
      </c>
      <c r="F20" s="15">
        <v>728335</v>
      </c>
      <c r="G20" s="38"/>
      <c r="H20" s="45"/>
      <c r="I20" s="15" t="s">
        <v>63</v>
      </c>
      <c r="J20" s="38">
        <v>1282</v>
      </c>
      <c r="K20" s="38">
        <v>91</v>
      </c>
      <c r="L20" s="38">
        <v>26</v>
      </c>
      <c r="M20" s="38">
        <v>0</v>
      </c>
      <c r="N20" s="38">
        <v>1</v>
      </c>
      <c r="O20" s="42" t="s">
        <v>64</v>
      </c>
      <c r="P20" s="15" t="s">
        <v>65</v>
      </c>
      <c r="Q20" s="15">
        <v>60000</v>
      </c>
      <c r="R20" s="15" t="s">
        <v>33</v>
      </c>
      <c r="S20" s="15">
        <f>Q20</f>
        <v>60000</v>
      </c>
      <c r="T20" s="15">
        <v>49705065</v>
      </c>
      <c r="U20" s="15">
        <v>50433558</v>
      </c>
      <c r="V20" s="15">
        <f>(50310000+ 50370000)/2</f>
        <v>50340000</v>
      </c>
      <c r="W20" s="15" t="s">
        <v>34</v>
      </c>
      <c r="X20" s="15" t="s">
        <v>34</v>
      </c>
      <c r="Y20" s="38"/>
      <c r="Z20" s="38"/>
      <c r="AA20" s="38"/>
      <c r="AB20" s="38">
        <f>U21-T21</f>
        <v>2754941</v>
      </c>
      <c r="AC20" s="43">
        <f>S21/AB20</f>
        <v>8.1671440513608098E-2</v>
      </c>
      <c r="AD20" s="34">
        <v>2</v>
      </c>
    </row>
    <row r="21" spans="1:30" ht="15.75" customHeight="1" x14ac:dyDescent="0.15">
      <c r="A21" s="48"/>
      <c r="B21" s="48"/>
      <c r="C21" s="41"/>
      <c r="D21" s="41"/>
      <c r="E21" s="41"/>
      <c r="F21" s="15">
        <v>2754941</v>
      </c>
      <c r="G21" s="49"/>
      <c r="H21" s="46"/>
      <c r="I21" s="15" t="s">
        <v>66</v>
      </c>
      <c r="J21" s="41"/>
      <c r="K21" s="41"/>
      <c r="L21" s="41"/>
      <c r="M21" s="41"/>
      <c r="N21" s="41"/>
      <c r="O21" s="41"/>
      <c r="P21" s="15" t="s">
        <v>67</v>
      </c>
      <c r="Q21" s="15">
        <v>115000</v>
      </c>
      <c r="R21" s="38" t="s">
        <v>31</v>
      </c>
      <c r="S21" s="38">
        <f>52370000 -52145000</f>
        <v>225000</v>
      </c>
      <c r="T21" s="15">
        <v>52115555</v>
      </c>
      <c r="U21" s="15">
        <v>54870496</v>
      </c>
      <c r="V21" s="38">
        <f>(52145000+ 52370000)/2</f>
        <v>52257500</v>
      </c>
      <c r="W21" s="38">
        <f>V21-T21</f>
        <v>141945</v>
      </c>
      <c r="X21" s="38">
        <f>U21-V21</f>
        <v>2612996</v>
      </c>
      <c r="Y21" s="41"/>
      <c r="Z21" s="41"/>
      <c r="AA21" s="41"/>
      <c r="AB21" s="41"/>
      <c r="AC21" s="44"/>
      <c r="AD21" s="35"/>
    </row>
    <row r="22" spans="1:30" ht="15.75" customHeight="1" x14ac:dyDescent="0.15">
      <c r="A22" s="37"/>
      <c r="B22" s="37"/>
      <c r="C22" s="39"/>
      <c r="D22" s="39"/>
      <c r="E22" s="39"/>
      <c r="F22" s="19">
        <v>219347</v>
      </c>
      <c r="G22" s="50"/>
      <c r="H22" s="47"/>
      <c r="I22" s="19" t="s">
        <v>68</v>
      </c>
      <c r="J22" s="39"/>
      <c r="K22" s="39"/>
      <c r="L22" s="39"/>
      <c r="M22" s="39"/>
      <c r="N22" s="39"/>
      <c r="O22" s="39"/>
      <c r="P22" s="19" t="s">
        <v>69</v>
      </c>
      <c r="Q22" s="19">
        <v>60000</v>
      </c>
      <c r="R22" s="39"/>
      <c r="S22" s="39"/>
      <c r="T22" s="19">
        <v>54980358</v>
      </c>
      <c r="U22" s="19">
        <v>55199705</v>
      </c>
      <c r="V22" s="39"/>
      <c r="W22" s="39"/>
      <c r="X22" s="39"/>
      <c r="Y22" s="39"/>
      <c r="Z22" s="39"/>
      <c r="AA22" s="39"/>
      <c r="AB22" s="39"/>
      <c r="AC22" s="54"/>
      <c r="AD22" s="52"/>
    </row>
    <row r="23" spans="1:30" ht="15.75" customHeight="1" x14ac:dyDescent="0.15">
      <c r="A23" s="36">
        <v>5</v>
      </c>
      <c r="B23" s="36" t="s">
        <v>27</v>
      </c>
      <c r="C23" s="38">
        <v>5327054</v>
      </c>
      <c r="D23" s="38">
        <v>4515917</v>
      </c>
      <c r="E23" s="15">
        <v>606603</v>
      </c>
      <c r="F23" s="15">
        <v>111334</v>
      </c>
      <c r="G23" s="15">
        <f t="shared" ref="G23:G24" si="6">ABS(F23-F25)</f>
        <v>115036</v>
      </c>
      <c r="H23" s="16">
        <f t="shared" ref="H23:H24" si="7">F23/F25</f>
        <v>0.49182312143835316</v>
      </c>
      <c r="I23" s="17" t="s">
        <v>70</v>
      </c>
      <c r="J23" s="38">
        <v>3209</v>
      </c>
      <c r="K23" s="38">
        <v>100</v>
      </c>
      <c r="L23" s="38">
        <v>92</v>
      </c>
      <c r="M23" s="38">
        <v>7</v>
      </c>
      <c r="N23" s="38">
        <v>2</v>
      </c>
      <c r="O23" s="42" t="s">
        <v>71</v>
      </c>
      <c r="P23" s="15" t="s">
        <v>72</v>
      </c>
      <c r="Q23" s="15">
        <v>145000</v>
      </c>
      <c r="R23" s="53" t="s">
        <v>31</v>
      </c>
      <c r="S23" s="38">
        <f>31165000-30850000</f>
        <v>315000</v>
      </c>
      <c r="T23" s="15">
        <v>29388963</v>
      </c>
      <c r="U23" s="15">
        <v>29500127</v>
      </c>
      <c r="V23" s="38">
        <f>(30850000+31165000)/2</f>
        <v>31007500</v>
      </c>
      <c r="W23" s="38">
        <f>V23-T24</f>
        <v>1507202</v>
      </c>
      <c r="X23" s="38">
        <f>U24-V23</f>
        <v>1811072</v>
      </c>
      <c r="Y23" s="38">
        <f t="shared" ref="Y23:Z23" si="8">W23-W25</f>
        <v>223742</v>
      </c>
      <c r="Z23" s="38">
        <f t="shared" si="8"/>
        <v>537040</v>
      </c>
      <c r="AA23" s="38">
        <f>MIN(Y23:Z23)</f>
        <v>223742</v>
      </c>
      <c r="AB23" s="38">
        <f>U24-T24</f>
        <v>3318274</v>
      </c>
      <c r="AC23" s="43">
        <f>S23/AB23</f>
        <v>9.4928869647292538E-2</v>
      </c>
      <c r="AD23" s="34">
        <v>5</v>
      </c>
    </row>
    <row r="24" spans="1:30" ht="15.75" customHeight="1" x14ac:dyDescent="0.15">
      <c r="A24" s="48"/>
      <c r="B24" s="48"/>
      <c r="C24" s="41"/>
      <c r="D24" s="41"/>
      <c r="E24" s="15">
        <v>620440</v>
      </c>
      <c r="F24" s="15">
        <v>3318274</v>
      </c>
      <c r="G24" s="15">
        <f t="shared" si="6"/>
        <v>760782</v>
      </c>
      <c r="H24" s="16">
        <f t="shared" si="7"/>
        <v>1.2974718982503171</v>
      </c>
      <c r="I24" s="17" t="s">
        <v>73</v>
      </c>
      <c r="J24" s="41"/>
      <c r="K24" s="41"/>
      <c r="L24" s="41"/>
      <c r="M24" s="41"/>
      <c r="N24" s="41"/>
      <c r="O24" s="41"/>
      <c r="P24" s="15" t="s">
        <v>74</v>
      </c>
      <c r="Q24" s="15">
        <v>75000</v>
      </c>
      <c r="R24" s="41"/>
      <c r="S24" s="41"/>
      <c r="T24" s="15">
        <v>29500298</v>
      </c>
      <c r="U24" s="15">
        <v>32818572</v>
      </c>
      <c r="V24" s="41"/>
      <c r="W24" s="41"/>
      <c r="X24" s="41"/>
      <c r="Y24" s="41"/>
      <c r="Z24" s="41"/>
      <c r="AA24" s="41"/>
      <c r="AB24" s="41"/>
      <c r="AC24" s="44"/>
      <c r="AD24" s="35"/>
    </row>
    <row r="25" spans="1:30" ht="15.75" customHeight="1" x14ac:dyDescent="0.15">
      <c r="A25" s="48"/>
      <c r="B25" s="36" t="s">
        <v>35</v>
      </c>
      <c r="C25" s="38">
        <v>4921075</v>
      </c>
      <c r="D25" s="38">
        <v>4308006</v>
      </c>
      <c r="E25" s="15">
        <v>625956</v>
      </c>
      <c r="F25" s="15">
        <v>226370</v>
      </c>
      <c r="G25" s="38"/>
      <c r="H25" s="45"/>
      <c r="I25" s="17" t="s">
        <v>75</v>
      </c>
      <c r="J25" s="38">
        <v>2751</v>
      </c>
      <c r="K25" s="38">
        <v>54</v>
      </c>
      <c r="L25" s="38">
        <v>16</v>
      </c>
      <c r="M25" s="38">
        <v>0</v>
      </c>
      <c r="N25" s="38">
        <v>2</v>
      </c>
      <c r="O25" s="42" t="s">
        <v>76</v>
      </c>
      <c r="P25" s="40" t="s">
        <v>77</v>
      </c>
      <c r="Q25" s="38">
        <v>175000</v>
      </c>
      <c r="R25" s="38" t="s">
        <v>31</v>
      </c>
      <c r="S25" s="38">
        <v>175000</v>
      </c>
      <c r="T25" s="15">
        <v>46812669</v>
      </c>
      <c r="U25" s="15">
        <v>47039039</v>
      </c>
      <c r="V25" s="38">
        <f>(48235000+48410000)/2</f>
        <v>48322500</v>
      </c>
      <c r="W25" s="38">
        <f>V25-T26</f>
        <v>1283460</v>
      </c>
      <c r="X25" s="38">
        <f>U26-V25</f>
        <v>1274032</v>
      </c>
      <c r="Y25" s="38"/>
      <c r="Z25" s="38"/>
      <c r="AA25" s="38"/>
      <c r="AB25" s="38">
        <f>U26-T26</f>
        <v>2557492</v>
      </c>
      <c r="AC25" s="43">
        <f>S25/AB25</f>
        <v>6.8426411500016424E-2</v>
      </c>
      <c r="AD25" s="34">
        <v>4</v>
      </c>
    </row>
    <row r="26" spans="1:30" ht="15.75" customHeight="1" x14ac:dyDescent="0.15">
      <c r="A26" s="37"/>
      <c r="B26" s="37"/>
      <c r="C26" s="39"/>
      <c r="D26" s="39"/>
      <c r="E26" s="19">
        <v>1049147</v>
      </c>
      <c r="F26" s="19">
        <v>2557492</v>
      </c>
      <c r="G26" s="50"/>
      <c r="H26" s="47"/>
      <c r="I26" s="20" t="s">
        <v>78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19">
        <v>47039040</v>
      </c>
      <c r="U26" s="19">
        <v>49596532</v>
      </c>
      <c r="V26" s="39"/>
      <c r="W26" s="39"/>
      <c r="X26" s="39"/>
      <c r="Y26" s="39"/>
      <c r="Z26" s="39"/>
      <c r="AA26" s="39"/>
      <c r="AB26" s="39"/>
      <c r="AC26" s="51"/>
      <c r="AD26" s="52"/>
    </row>
    <row r="27" spans="1:30" ht="15.75" customHeight="1" x14ac:dyDescent="0.15">
      <c r="A27" s="36">
        <v>6</v>
      </c>
      <c r="B27" s="36" t="s">
        <v>27</v>
      </c>
      <c r="C27" s="38">
        <v>4455984</v>
      </c>
      <c r="D27" s="38">
        <v>3348194</v>
      </c>
      <c r="E27" s="15">
        <v>43525</v>
      </c>
      <c r="F27" s="38">
        <v>2809598</v>
      </c>
      <c r="G27" s="38">
        <f>ABS(F27-F29)</f>
        <v>37917</v>
      </c>
      <c r="H27" s="45">
        <f>F27/F31</f>
        <v>0.69604737168599362</v>
      </c>
      <c r="I27" s="38" t="s">
        <v>79</v>
      </c>
      <c r="J27" s="38">
        <v>961</v>
      </c>
      <c r="K27" s="38">
        <v>112</v>
      </c>
      <c r="L27" s="38">
        <v>7</v>
      </c>
      <c r="M27" s="38">
        <v>0</v>
      </c>
      <c r="N27" s="38">
        <v>2</v>
      </c>
      <c r="O27" s="42" t="s">
        <v>80</v>
      </c>
      <c r="P27" s="38" t="s">
        <v>81</v>
      </c>
      <c r="Q27" s="38">
        <v>195000</v>
      </c>
      <c r="R27" s="53" t="s">
        <v>31</v>
      </c>
      <c r="S27" s="38">
        <v>195000</v>
      </c>
      <c r="T27" s="38">
        <v>58547558</v>
      </c>
      <c r="U27" s="38">
        <v>61357156</v>
      </c>
      <c r="V27" s="38">
        <f>(61100000+61295000)/2</f>
        <v>61197500</v>
      </c>
      <c r="W27" s="38">
        <f>V27-T27</f>
        <v>2649942</v>
      </c>
      <c r="X27" s="38">
        <f>U27-V27</f>
        <v>159656</v>
      </c>
      <c r="Y27" s="38">
        <f>W27-W29</f>
        <v>2481726</v>
      </c>
      <c r="Z27" s="38">
        <f>X29-X27</f>
        <v>2443809</v>
      </c>
      <c r="AA27" s="38">
        <f>MIN(Y27:Z27)</f>
        <v>2443809</v>
      </c>
      <c r="AB27" s="38">
        <f>U27-T27</f>
        <v>2809598</v>
      </c>
      <c r="AC27" s="43">
        <f>S27/AB27</f>
        <v>6.9404946899876779E-2</v>
      </c>
      <c r="AD27" s="34">
        <v>3</v>
      </c>
    </row>
    <row r="28" spans="1:30" ht="15.75" customHeight="1" x14ac:dyDescent="0.15">
      <c r="A28" s="48"/>
      <c r="B28" s="48"/>
      <c r="C28" s="41"/>
      <c r="D28" s="41"/>
      <c r="E28" s="15">
        <v>356473</v>
      </c>
      <c r="F28" s="41"/>
      <c r="G28" s="49"/>
      <c r="H28" s="46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4"/>
      <c r="AD28" s="35"/>
    </row>
    <row r="29" spans="1:30" ht="15.75" customHeight="1" x14ac:dyDescent="0.15">
      <c r="A29" s="48"/>
      <c r="B29" s="36" t="s">
        <v>35</v>
      </c>
      <c r="C29" s="38">
        <v>4422286</v>
      </c>
      <c r="D29" s="38">
        <v>3318147</v>
      </c>
      <c r="E29" s="15">
        <v>43521</v>
      </c>
      <c r="F29" s="38">
        <v>2771681</v>
      </c>
      <c r="G29" s="49"/>
      <c r="H29" s="46"/>
      <c r="I29" s="38" t="s">
        <v>82</v>
      </c>
      <c r="J29" s="38">
        <v>955</v>
      </c>
      <c r="K29" s="38">
        <v>109</v>
      </c>
      <c r="L29" s="38">
        <v>4</v>
      </c>
      <c r="M29" s="38">
        <v>0</v>
      </c>
      <c r="N29" s="38">
        <v>2</v>
      </c>
      <c r="O29" s="42" t="s">
        <v>83</v>
      </c>
      <c r="P29" s="38" t="s">
        <v>84</v>
      </c>
      <c r="Q29" s="38">
        <v>150000</v>
      </c>
      <c r="R29" s="38" t="s">
        <v>31</v>
      </c>
      <c r="S29" s="38">
        <v>150000</v>
      </c>
      <c r="T29" s="38">
        <v>58286784</v>
      </c>
      <c r="U29" s="38">
        <v>61058465</v>
      </c>
      <c r="V29" s="38">
        <f>(58380000+58530000)/2</f>
        <v>58455000</v>
      </c>
      <c r="W29" s="38">
        <f>V29-T29</f>
        <v>168216</v>
      </c>
      <c r="X29" s="38">
        <f>U29-V29</f>
        <v>2603465</v>
      </c>
      <c r="Y29" s="38"/>
      <c r="Z29" s="38"/>
      <c r="AA29" s="38"/>
      <c r="AB29" s="38">
        <f>U29-T29</f>
        <v>2771681</v>
      </c>
      <c r="AC29" s="43">
        <f>S29/AB29</f>
        <v>5.4118782067633327E-2</v>
      </c>
      <c r="AD29" s="34">
        <v>3</v>
      </c>
    </row>
    <row r="30" spans="1:30" ht="15.75" customHeight="1" x14ac:dyDescent="0.15">
      <c r="A30" s="37"/>
      <c r="B30" s="37"/>
      <c r="C30" s="39"/>
      <c r="D30" s="39"/>
      <c r="E30" s="19">
        <v>355113</v>
      </c>
      <c r="F30" s="39"/>
      <c r="G30" s="50"/>
      <c r="H30" s="47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51"/>
      <c r="AD30" s="52"/>
    </row>
    <row r="31" spans="1:30" ht="15.75" customHeight="1" x14ac:dyDescent="0.15">
      <c r="A31" s="36">
        <v>7</v>
      </c>
      <c r="B31" s="36" t="s">
        <v>27</v>
      </c>
      <c r="C31" s="38">
        <v>6522527</v>
      </c>
      <c r="D31" s="38">
        <v>5267374</v>
      </c>
      <c r="E31" s="15">
        <v>363171</v>
      </c>
      <c r="F31" s="38">
        <v>4036504</v>
      </c>
      <c r="G31" s="38">
        <f>ABS(F31-F33)</f>
        <v>736210</v>
      </c>
      <c r="H31" s="45">
        <f>F31/F35</f>
        <v>1.5651188038960233</v>
      </c>
      <c r="I31" s="40" t="s">
        <v>85</v>
      </c>
      <c r="J31" s="38">
        <v>3886</v>
      </c>
      <c r="K31" s="38">
        <v>94</v>
      </c>
      <c r="L31" s="38">
        <v>22</v>
      </c>
      <c r="M31" s="38">
        <v>1</v>
      </c>
      <c r="N31" s="38">
        <v>1</v>
      </c>
      <c r="O31" s="42" t="s">
        <v>86</v>
      </c>
      <c r="P31" s="40" t="s">
        <v>87</v>
      </c>
      <c r="Q31" s="38">
        <v>280000</v>
      </c>
      <c r="R31" s="53" t="s">
        <v>31</v>
      </c>
      <c r="S31" s="38">
        <v>280000</v>
      </c>
      <c r="T31" s="38">
        <v>58945053</v>
      </c>
      <c r="U31" s="38">
        <v>62981557</v>
      </c>
      <c r="V31" s="38">
        <f>(59205000+59485000)/2</f>
        <v>59345000</v>
      </c>
      <c r="W31" s="38">
        <f>V31-T31</f>
        <v>399947</v>
      </c>
      <c r="X31" s="38">
        <f>U31-V31</f>
        <v>3636557</v>
      </c>
      <c r="Y31" s="38">
        <f t="shared" ref="Y31:Z31" si="9">W31-W33</f>
        <v>81725</v>
      </c>
      <c r="Z31" s="38">
        <f t="shared" si="9"/>
        <v>654485</v>
      </c>
      <c r="AA31" s="38">
        <f>MIN(Y31:Z31)</f>
        <v>81725</v>
      </c>
      <c r="AB31" s="38">
        <f>U31-T31</f>
        <v>4036504</v>
      </c>
      <c r="AC31" s="43">
        <f>S31/AB31</f>
        <v>6.9366957149057704E-2</v>
      </c>
      <c r="AD31" s="34">
        <v>4</v>
      </c>
    </row>
    <row r="32" spans="1:30" ht="15.75" customHeight="1" x14ac:dyDescent="0.15">
      <c r="A32" s="48"/>
      <c r="B32" s="48"/>
      <c r="C32" s="41"/>
      <c r="D32" s="41"/>
      <c r="E32" s="15">
        <v>480046</v>
      </c>
      <c r="F32" s="41"/>
      <c r="G32" s="49"/>
      <c r="H32" s="46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4"/>
      <c r="AD32" s="35"/>
    </row>
    <row r="33" spans="1:30" ht="15.75" customHeight="1" x14ac:dyDescent="0.15">
      <c r="A33" s="48"/>
      <c r="B33" s="36" t="s">
        <v>35</v>
      </c>
      <c r="C33" s="38">
        <v>6192321</v>
      </c>
      <c r="D33" s="38">
        <v>4610162</v>
      </c>
      <c r="E33" s="15">
        <v>369679</v>
      </c>
      <c r="F33" s="38">
        <v>3300294</v>
      </c>
      <c r="G33" s="49"/>
      <c r="H33" s="46"/>
      <c r="I33" s="40" t="s">
        <v>88</v>
      </c>
      <c r="J33" s="38">
        <v>3175</v>
      </c>
      <c r="K33" s="38">
        <v>94</v>
      </c>
      <c r="L33" s="38">
        <v>22</v>
      </c>
      <c r="M33" s="38">
        <v>0</v>
      </c>
      <c r="N33" s="38">
        <v>1</v>
      </c>
      <c r="O33" s="42" t="s">
        <v>89</v>
      </c>
      <c r="P33" s="40" t="s">
        <v>90</v>
      </c>
      <c r="Q33" s="38">
        <v>325000</v>
      </c>
      <c r="R33" s="38" t="s">
        <v>31</v>
      </c>
      <c r="S33" s="38">
        <v>325000</v>
      </c>
      <c r="T33" s="38">
        <v>60414278</v>
      </c>
      <c r="U33" s="38">
        <v>63714572</v>
      </c>
      <c r="V33" s="38">
        <f>(60570000+60895000)/2</f>
        <v>60732500</v>
      </c>
      <c r="W33" s="38">
        <f>V33-T33</f>
        <v>318222</v>
      </c>
      <c r="X33" s="38">
        <f>U33-V33</f>
        <v>2982072</v>
      </c>
      <c r="Y33" s="38"/>
      <c r="Z33" s="38"/>
      <c r="AA33" s="38"/>
      <c r="AB33" s="38">
        <f>U33-T33</f>
        <v>3300294</v>
      </c>
      <c r="AC33" s="43">
        <f>S33/AB33</f>
        <v>9.847607516178862E-2</v>
      </c>
      <c r="AD33" s="34">
        <v>4</v>
      </c>
    </row>
    <row r="34" spans="1:30" ht="15.75" customHeight="1" x14ac:dyDescent="0.15">
      <c r="A34" s="37"/>
      <c r="B34" s="37"/>
      <c r="C34" s="39"/>
      <c r="D34" s="39"/>
      <c r="E34" s="19">
        <v>381655</v>
      </c>
      <c r="F34" s="39"/>
      <c r="G34" s="50"/>
      <c r="H34" s="47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51"/>
      <c r="AD34" s="52"/>
    </row>
    <row r="35" spans="1:30" ht="15.75" customHeight="1" x14ac:dyDescent="0.15">
      <c r="A35" s="36">
        <v>8</v>
      </c>
      <c r="B35" s="36" t="s">
        <v>27</v>
      </c>
      <c r="C35" s="38">
        <v>3571681</v>
      </c>
      <c r="D35" s="38">
        <v>3157682</v>
      </c>
      <c r="E35" s="15">
        <v>394236</v>
      </c>
      <c r="F35" s="38">
        <v>2579040</v>
      </c>
      <c r="G35" s="38">
        <f>ABS(F35-F37)</f>
        <v>497677</v>
      </c>
      <c r="H35" s="45">
        <f>F35/F39</f>
        <v>1.0198082521334975</v>
      </c>
      <c r="I35" s="38" t="s">
        <v>91</v>
      </c>
      <c r="J35" s="38">
        <v>1724</v>
      </c>
      <c r="K35" s="38">
        <v>105</v>
      </c>
      <c r="L35" s="38">
        <v>9</v>
      </c>
      <c r="M35" s="38">
        <v>1</v>
      </c>
      <c r="N35" s="38">
        <v>3</v>
      </c>
      <c r="O35" s="42" t="s">
        <v>92</v>
      </c>
      <c r="P35" s="38" t="s">
        <v>93</v>
      </c>
      <c r="Q35" s="38">
        <v>75000</v>
      </c>
      <c r="R35" s="53" t="s">
        <v>31</v>
      </c>
      <c r="S35" s="38">
        <v>75000</v>
      </c>
      <c r="T35" s="38">
        <v>41244803</v>
      </c>
      <c r="U35" s="38">
        <v>43823843</v>
      </c>
      <c r="V35" s="38">
        <f>(42980000+43055000)/2</f>
        <v>43017500</v>
      </c>
      <c r="W35" s="38">
        <f>V35-T35</f>
        <v>1772697</v>
      </c>
      <c r="X35" s="38">
        <f>U35-V35</f>
        <v>806343</v>
      </c>
      <c r="Y35" s="38">
        <f t="shared" ref="Y35:Z35" si="10">W35-W37</f>
        <v>166320</v>
      </c>
      <c r="Z35" s="38">
        <f t="shared" si="10"/>
        <v>331357</v>
      </c>
      <c r="AA35" s="38">
        <f>MIN(Y35:Z35)</f>
        <v>166320</v>
      </c>
      <c r="AB35" s="38">
        <f>U35-T35</f>
        <v>2579040</v>
      </c>
      <c r="AC35" s="43">
        <f>S35/AB35</f>
        <v>2.9080588125814256E-2</v>
      </c>
      <c r="AD35" s="34">
        <v>4</v>
      </c>
    </row>
    <row r="36" spans="1:30" ht="15.75" customHeight="1" x14ac:dyDescent="0.15">
      <c r="A36" s="48"/>
      <c r="B36" s="48"/>
      <c r="C36" s="41"/>
      <c r="D36" s="41"/>
      <c r="E36" s="15">
        <v>598412</v>
      </c>
      <c r="F36" s="41"/>
      <c r="G36" s="49"/>
      <c r="H36" s="46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4"/>
      <c r="AD36" s="35"/>
    </row>
    <row r="37" spans="1:30" ht="15.75" customHeight="1" x14ac:dyDescent="0.15">
      <c r="A37" s="48"/>
      <c r="B37" s="36" t="s">
        <v>35</v>
      </c>
      <c r="C37" s="38">
        <v>3073989</v>
      </c>
      <c r="D37" s="38">
        <v>2668352</v>
      </c>
      <c r="E37" s="15">
        <v>397186</v>
      </c>
      <c r="F37" s="38">
        <v>2081363</v>
      </c>
      <c r="G37" s="49"/>
      <c r="H37" s="46"/>
      <c r="I37" s="38" t="s">
        <v>94</v>
      </c>
      <c r="J37" s="38">
        <v>1522</v>
      </c>
      <c r="K37" s="38">
        <v>107</v>
      </c>
      <c r="L37" s="38">
        <v>11</v>
      </c>
      <c r="M37" s="38">
        <v>1</v>
      </c>
      <c r="N37" s="38">
        <v>2</v>
      </c>
      <c r="O37" s="42" t="s">
        <v>95</v>
      </c>
      <c r="P37" s="38" t="s">
        <v>96</v>
      </c>
      <c r="Q37" s="38">
        <v>140000</v>
      </c>
      <c r="R37" s="38" t="s">
        <v>31</v>
      </c>
      <c r="S37" s="38">
        <v>140000</v>
      </c>
      <c r="T37" s="38">
        <v>44243623</v>
      </c>
      <c r="U37" s="38">
        <v>46324986</v>
      </c>
      <c r="V37" s="38">
        <f>(45780000+45920000)/2</f>
        <v>45850000</v>
      </c>
      <c r="W37" s="38">
        <f>V37-T37</f>
        <v>1606377</v>
      </c>
      <c r="X37" s="38">
        <f>U37-V37</f>
        <v>474986</v>
      </c>
      <c r="Y37" s="38"/>
      <c r="Z37" s="38"/>
      <c r="AA37" s="38"/>
      <c r="AB37" s="38">
        <f>U37-T37</f>
        <v>2081363</v>
      </c>
      <c r="AC37" s="43">
        <f>S37/AB37</f>
        <v>6.7263615236746302E-2</v>
      </c>
      <c r="AD37" s="34">
        <v>5</v>
      </c>
    </row>
    <row r="38" spans="1:30" ht="15.75" customHeight="1" x14ac:dyDescent="0.15">
      <c r="A38" s="37"/>
      <c r="B38" s="37"/>
      <c r="C38" s="39"/>
      <c r="D38" s="39"/>
      <c r="E38" s="19">
        <v>595447</v>
      </c>
      <c r="F38" s="39"/>
      <c r="G38" s="50"/>
      <c r="H38" s="47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51"/>
      <c r="AD38" s="52"/>
    </row>
    <row r="39" spans="1:30" ht="15.75" customHeight="1" x14ac:dyDescent="0.15">
      <c r="A39" s="36">
        <v>9</v>
      </c>
      <c r="B39" s="36" t="s">
        <v>27</v>
      </c>
      <c r="C39" s="38">
        <v>2804590</v>
      </c>
      <c r="D39" s="38">
        <v>2639358</v>
      </c>
      <c r="E39" s="15">
        <v>248692</v>
      </c>
      <c r="F39" s="38">
        <v>2528946</v>
      </c>
      <c r="G39" s="38">
        <f>ABS(F39-F41)</f>
        <v>101017</v>
      </c>
      <c r="H39" s="45">
        <f>F39/F43</f>
        <v>1.1419905197861195</v>
      </c>
      <c r="I39" s="40" t="s">
        <v>97</v>
      </c>
      <c r="J39" s="38">
        <v>2906</v>
      </c>
      <c r="K39" s="38">
        <v>108</v>
      </c>
      <c r="L39" s="38">
        <v>6</v>
      </c>
      <c r="M39" s="38">
        <v>0</v>
      </c>
      <c r="N39" s="38">
        <v>3</v>
      </c>
      <c r="O39" s="42" t="s">
        <v>98</v>
      </c>
      <c r="P39" s="40" t="s">
        <v>99</v>
      </c>
      <c r="Q39" s="38">
        <v>150000</v>
      </c>
      <c r="R39" s="53" t="s">
        <v>31</v>
      </c>
      <c r="S39" s="38">
        <v>150000</v>
      </c>
      <c r="T39" s="38">
        <v>45051864</v>
      </c>
      <c r="U39" s="38">
        <v>47580810</v>
      </c>
      <c r="V39" s="38">
        <f>(45285000+45435000)/2</f>
        <v>45360000</v>
      </c>
      <c r="W39" s="38">
        <f>V39-T39</f>
        <v>308136</v>
      </c>
      <c r="X39" s="38">
        <f>U39-V39</f>
        <v>2220810</v>
      </c>
      <c r="Y39" s="38">
        <f t="shared" ref="Y39:Z39" si="11">W41-W39</f>
        <v>31656</v>
      </c>
      <c r="Z39" s="38">
        <f t="shared" si="11"/>
        <v>69361</v>
      </c>
      <c r="AA39" s="38">
        <f>MIN(Y39:Z39)</f>
        <v>31656</v>
      </c>
      <c r="AB39" s="38">
        <f>U39-T39</f>
        <v>2528946</v>
      </c>
      <c r="AC39" s="43">
        <f>S39/AB39</f>
        <v>5.931324749520156E-2</v>
      </c>
      <c r="AD39" s="34">
        <v>3</v>
      </c>
    </row>
    <row r="40" spans="1:30" ht="15.75" customHeight="1" x14ac:dyDescent="0.15">
      <c r="A40" s="48"/>
      <c r="B40" s="48"/>
      <c r="C40" s="41"/>
      <c r="D40" s="41"/>
      <c r="E40" s="15">
        <v>26930</v>
      </c>
      <c r="F40" s="41"/>
      <c r="G40" s="49"/>
      <c r="H40" s="46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4"/>
      <c r="AD40" s="35"/>
    </row>
    <row r="41" spans="1:30" ht="15.75" customHeight="1" x14ac:dyDescent="0.15">
      <c r="A41" s="48"/>
      <c r="B41" s="36" t="s">
        <v>35</v>
      </c>
      <c r="C41" s="38">
        <v>2904219</v>
      </c>
      <c r="D41" s="38">
        <v>2735250</v>
      </c>
      <c r="E41" s="15">
        <v>247304</v>
      </c>
      <c r="F41" s="38">
        <v>2629963</v>
      </c>
      <c r="G41" s="49"/>
      <c r="H41" s="46"/>
      <c r="I41" s="40" t="s">
        <v>100</v>
      </c>
      <c r="J41" s="38">
        <v>3019</v>
      </c>
      <c r="K41" s="38">
        <v>110</v>
      </c>
      <c r="L41" s="38">
        <v>8</v>
      </c>
      <c r="M41" s="38">
        <v>0</v>
      </c>
      <c r="N41" s="38">
        <v>3</v>
      </c>
      <c r="O41" s="42" t="s">
        <v>101</v>
      </c>
      <c r="P41" s="40" t="s">
        <v>102</v>
      </c>
      <c r="Q41" s="38">
        <v>155000</v>
      </c>
      <c r="R41" s="38" t="s">
        <v>31</v>
      </c>
      <c r="S41" s="38">
        <v>155000</v>
      </c>
      <c r="T41" s="38">
        <v>44952708</v>
      </c>
      <c r="U41" s="38">
        <v>47582671</v>
      </c>
      <c r="V41" s="38">
        <f>(45215000+45370000)/2</f>
        <v>45292500</v>
      </c>
      <c r="W41" s="38">
        <f>V41-T41</f>
        <v>339792</v>
      </c>
      <c r="X41" s="38">
        <f>U41-V41</f>
        <v>2290171</v>
      </c>
      <c r="Y41" s="38"/>
      <c r="Z41" s="38"/>
      <c r="AA41" s="38"/>
      <c r="AB41" s="38">
        <f>U41-T41</f>
        <v>2629963</v>
      </c>
      <c r="AC41" s="43">
        <f>S41/AB41</f>
        <v>5.8936190357050652E-2</v>
      </c>
      <c r="AD41" s="34">
        <v>3</v>
      </c>
    </row>
    <row r="42" spans="1:30" ht="15.75" customHeight="1" x14ac:dyDescent="0.15">
      <c r="A42" s="37"/>
      <c r="B42" s="37"/>
      <c r="C42" s="39"/>
      <c r="D42" s="39"/>
      <c r="E42" s="19">
        <v>26930</v>
      </c>
      <c r="F42" s="39"/>
      <c r="G42" s="50"/>
      <c r="H42" s="47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51"/>
      <c r="AD42" s="52"/>
    </row>
    <row r="43" spans="1:30" ht="15.75" customHeight="1" x14ac:dyDescent="0.15">
      <c r="A43" s="36">
        <v>10</v>
      </c>
      <c r="B43" s="36" t="s">
        <v>27</v>
      </c>
      <c r="C43" s="38">
        <v>3123481</v>
      </c>
      <c r="D43" s="38">
        <v>2996936</v>
      </c>
      <c r="E43" s="15">
        <v>564368</v>
      </c>
      <c r="F43" s="15">
        <v>2214507</v>
      </c>
      <c r="G43" s="15">
        <f t="shared" ref="G43:G45" si="12">ABS(F43-F46)</f>
        <v>183204</v>
      </c>
      <c r="H43" s="16">
        <f t="shared" ref="H43:H45" si="13">F43/F46</f>
        <v>1.0901903851862573</v>
      </c>
      <c r="I43" s="15" t="s">
        <v>103</v>
      </c>
      <c r="J43" s="38">
        <v>1692</v>
      </c>
      <c r="K43" s="38">
        <v>55</v>
      </c>
      <c r="L43" s="38">
        <v>15</v>
      </c>
      <c r="M43" s="38">
        <v>1</v>
      </c>
      <c r="N43" s="38">
        <v>1</v>
      </c>
      <c r="O43" s="42" t="s">
        <v>104</v>
      </c>
      <c r="P43" s="38" t="s">
        <v>105</v>
      </c>
      <c r="Q43" s="38">
        <v>180000</v>
      </c>
      <c r="R43" s="53" t="s">
        <v>31</v>
      </c>
      <c r="S43" s="38">
        <v>180000</v>
      </c>
      <c r="T43" s="15">
        <v>39520406</v>
      </c>
      <c r="U43" s="15">
        <v>41734913</v>
      </c>
      <c r="V43" s="38">
        <f>(39750000+39930000)/2</f>
        <v>39840000</v>
      </c>
      <c r="W43" s="38">
        <f>V43-T43</f>
        <v>319594</v>
      </c>
      <c r="X43" s="38">
        <f>U43-V43</f>
        <v>1894913</v>
      </c>
      <c r="Y43" s="38">
        <f>W46-W43</f>
        <v>163695</v>
      </c>
      <c r="Z43" s="38">
        <f>X43-X46</f>
        <v>346899</v>
      </c>
      <c r="AA43" s="38">
        <f>MIN(Y43:Z43)</f>
        <v>163695</v>
      </c>
      <c r="AB43" s="38">
        <f>U43-T43</f>
        <v>2214507</v>
      </c>
      <c r="AC43" s="43">
        <f>S43/AB43</f>
        <v>8.1282199604697569E-2</v>
      </c>
      <c r="AD43" s="34">
        <v>5</v>
      </c>
    </row>
    <row r="44" spans="1:30" ht="15.75" customHeight="1" x14ac:dyDescent="0.15">
      <c r="A44" s="48"/>
      <c r="B44" s="48"/>
      <c r="C44" s="41"/>
      <c r="D44" s="41"/>
      <c r="E44" s="38">
        <v>125656</v>
      </c>
      <c r="F44" s="15">
        <v>110652</v>
      </c>
      <c r="G44" s="15">
        <f t="shared" si="12"/>
        <v>2305</v>
      </c>
      <c r="H44" s="16">
        <f t="shared" si="13"/>
        <v>0.97959400479828607</v>
      </c>
      <c r="I44" s="15" t="s">
        <v>106</v>
      </c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15">
        <v>41734914</v>
      </c>
      <c r="U44" s="15">
        <v>41845566</v>
      </c>
      <c r="V44" s="41"/>
      <c r="W44" s="41"/>
      <c r="X44" s="41"/>
      <c r="Y44" s="41"/>
      <c r="Z44" s="41"/>
      <c r="AA44" s="41"/>
      <c r="AB44" s="41"/>
      <c r="AC44" s="44"/>
      <c r="AD44" s="35"/>
    </row>
    <row r="45" spans="1:30" ht="15.75" customHeight="1" x14ac:dyDescent="0.15">
      <c r="A45" s="48"/>
      <c r="B45" s="48"/>
      <c r="C45" s="41"/>
      <c r="D45" s="41"/>
      <c r="E45" s="41"/>
      <c r="F45" s="15">
        <v>103759</v>
      </c>
      <c r="G45" s="15">
        <f t="shared" si="12"/>
        <v>40515</v>
      </c>
      <c r="H45" s="16">
        <f t="shared" si="13"/>
        <v>0.71918017106339327</v>
      </c>
      <c r="I45" s="15" t="s">
        <v>107</v>
      </c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15">
        <v>41846734</v>
      </c>
      <c r="U45" s="15">
        <v>41950493</v>
      </c>
      <c r="V45" s="41"/>
      <c r="W45" s="41"/>
      <c r="X45" s="41"/>
      <c r="Y45" s="41"/>
      <c r="Z45" s="41"/>
      <c r="AA45" s="41"/>
      <c r="AB45" s="41"/>
      <c r="AC45" s="44"/>
      <c r="AD45" s="35"/>
    </row>
    <row r="46" spans="1:30" ht="15.75" customHeight="1" x14ac:dyDescent="0.15">
      <c r="A46" s="48"/>
      <c r="B46" s="36" t="s">
        <v>35</v>
      </c>
      <c r="C46" s="38">
        <v>2993439</v>
      </c>
      <c r="D46" s="38">
        <v>2870888</v>
      </c>
      <c r="E46" s="15">
        <v>565738</v>
      </c>
      <c r="F46" s="15">
        <v>2031303</v>
      </c>
      <c r="G46" s="38"/>
      <c r="H46" s="45"/>
      <c r="I46" s="15" t="s">
        <v>108</v>
      </c>
      <c r="J46" s="38">
        <v>1665</v>
      </c>
      <c r="K46" s="38">
        <v>101</v>
      </c>
      <c r="L46" s="38">
        <v>61</v>
      </c>
      <c r="M46" s="38">
        <v>7</v>
      </c>
      <c r="N46" s="38">
        <v>2</v>
      </c>
      <c r="O46" s="42" t="s">
        <v>109</v>
      </c>
      <c r="P46" s="38" t="s">
        <v>110</v>
      </c>
      <c r="Q46" s="38">
        <v>235000</v>
      </c>
      <c r="R46" s="38" t="s">
        <v>31</v>
      </c>
      <c r="S46" s="38">
        <v>235000</v>
      </c>
      <c r="T46" s="15">
        <v>39634211</v>
      </c>
      <c r="U46" s="15">
        <v>41665514</v>
      </c>
      <c r="V46" s="38">
        <f>(40000000+40235000)/2</f>
        <v>40117500</v>
      </c>
      <c r="W46" s="38">
        <f>V46-T46</f>
        <v>483289</v>
      </c>
      <c r="X46" s="38">
        <f>U46-V46</f>
        <v>1548014</v>
      </c>
      <c r="Y46" s="38"/>
      <c r="Z46" s="38"/>
      <c r="AA46" s="38"/>
      <c r="AB46" s="38">
        <f>U46-T46</f>
        <v>2031303</v>
      </c>
      <c r="AC46" s="43">
        <f>S46/AB46</f>
        <v>0.11568928909178</v>
      </c>
      <c r="AD46" s="34">
        <v>5</v>
      </c>
    </row>
    <row r="47" spans="1:30" ht="15.75" customHeight="1" x14ac:dyDescent="0.15">
      <c r="A47" s="48"/>
      <c r="B47" s="48"/>
      <c r="C47" s="41"/>
      <c r="D47" s="41"/>
      <c r="E47" s="38">
        <v>139115</v>
      </c>
      <c r="F47" s="15">
        <v>112957</v>
      </c>
      <c r="G47" s="49"/>
      <c r="H47" s="46"/>
      <c r="I47" s="15" t="s">
        <v>111</v>
      </c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15">
        <v>41665515</v>
      </c>
      <c r="U47" s="15">
        <v>41778472</v>
      </c>
      <c r="V47" s="41"/>
      <c r="W47" s="41"/>
      <c r="X47" s="41"/>
      <c r="Y47" s="41"/>
      <c r="Z47" s="41"/>
      <c r="AA47" s="41"/>
      <c r="AB47" s="41"/>
      <c r="AC47" s="44"/>
      <c r="AD47" s="35"/>
    </row>
    <row r="48" spans="1:30" ht="15.75" customHeight="1" x14ac:dyDescent="0.15">
      <c r="A48" s="37"/>
      <c r="B48" s="37"/>
      <c r="C48" s="39"/>
      <c r="D48" s="39"/>
      <c r="E48" s="39"/>
      <c r="F48" s="19">
        <v>144274</v>
      </c>
      <c r="G48" s="50"/>
      <c r="H48" s="47"/>
      <c r="I48" s="19" t="s">
        <v>107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19">
        <v>41846734</v>
      </c>
      <c r="U48" s="19">
        <v>41950493</v>
      </c>
      <c r="V48" s="39"/>
      <c r="W48" s="39"/>
      <c r="X48" s="39"/>
      <c r="Y48" s="39"/>
      <c r="Z48" s="39"/>
      <c r="AA48" s="39"/>
      <c r="AB48" s="39"/>
      <c r="AC48" s="51"/>
      <c r="AD48" s="52"/>
    </row>
    <row r="49" spans="1:30" ht="15.75" customHeight="1" x14ac:dyDescent="0.15">
      <c r="A49" s="36">
        <v>11</v>
      </c>
      <c r="B49" s="36" t="s">
        <v>27</v>
      </c>
      <c r="C49" s="38">
        <v>8226713</v>
      </c>
      <c r="D49" s="38">
        <v>6318106</v>
      </c>
      <c r="E49" s="38">
        <v>484006</v>
      </c>
      <c r="F49" s="38">
        <v>5359876</v>
      </c>
      <c r="G49" s="38">
        <f>ABS(F49-F51)</f>
        <v>1892888</v>
      </c>
      <c r="H49" s="45">
        <f>F49/F51</f>
        <v>1.5459747769533669</v>
      </c>
      <c r="I49" s="40" t="s">
        <v>112</v>
      </c>
      <c r="J49" s="38">
        <v>6494</v>
      </c>
      <c r="K49" s="38">
        <v>109</v>
      </c>
      <c r="L49" s="38">
        <v>0</v>
      </c>
      <c r="M49" s="38">
        <v>0</v>
      </c>
      <c r="N49" s="38">
        <v>1</v>
      </c>
      <c r="O49" s="42" t="s">
        <v>113</v>
      </c>
      <c r="P49" s="17" t="s">
        <v>114</v>
      </c>
      <c r="Q49" s="15">
        <v>110000</v>
      </c>
      <c r="R49" s="53" t="s">
        <v>31</v>
      </c>
      <c r="S49" s="38">
        <f>53885000-53520000</f>
        <v>365000</v>
      </c>
      <c r="T49" s="38">
        <v>50934495</v>
      </c>
      <c r="U49" s="38">
        <v>56294371</v>
      </c>
      <c r="V49" s="38">
        <f>(53520000+ 53885000)/2</f>
        <v>53702500</v>
      </c>
      <c r="W49" s="38">
        <f>V49-T49</f>
        <v>2768005</v>
      </c>
      <c r="X49" s="38">
        <f>U49-V49</f>
        <v>2591871</v>
      </c>
      <c r="Y49" s="38">
        <f t="shared" ref="Y49:Z49" si="14">W49-W51</f>
        <v>871559</v>
      </c>
      <c r="Z49" s="38">
        <f t="shared" si="14"/>
        <v>1021329</v>
      </c>
      <c r="AA49" s="38">
        <f>MIN(Y49:Z49)</f>
        <v>871559</v>
      </c>
      <c r="AB49" s="38">
        <f>U49-T49</f>
        <v>5359876</v>
      </c>
      <c r="AC49" s="43">
        <f>S49/AB49</f>
        <v>6.8098590340522805E-2</v>
      </c>
      <c r="AD49" s="34">
        <v>3</v>
      </c>
    </row>
    <row r="50" spans="1:30" ht="15.75" customHeight="1" x14ac:dyDescent="0.15">
      <c r="A50" s="48"/>
      <c r="B50" s="48"/>
      <c r="C50" s="41"/>
      <c r="D50" s="41"/>
      <c r="E50" s="41"/>
      <c r="F50" s="41"/>
      <c r="G50" s="49"/>
      <c r="H50" s="46"/>
      <c r="I50" s="41"/>
      <c r="J50" s="41"/>
      <c r="K50" s="41"/>
      <c r="L50" s="41"/>
      <c r="M50" s="41"/>
      <c r="N50" s="41"/>
      <c r="O50" s="41"/>
      <c r="P50" s="17" t="s">
        <v>115</v>
      </c>
      <c r="Q50" s="15">
        <v>175000</v>
      </c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4"/>
      <c r="AD50" s="35"/>
    </row>
    <row r="51" spans="1:30" ht="15.75" customHeight="1" x14ac:dyDescent="0.15">
      <c r="A51" s="48"/>
      <c r="B51" s="36" t="s">
        <v>35</v>
      </c>
      <c r="C51" s="38">
        <v>6378114</v>
      </c>
      <c r="D51" s="38">
        <v>4463018</v>
      </c>
      <c r="E51" s="38">
        <v>483772</v>
      </c>
      <c r="F51" s="38">
        <v>3466988</v>
      </c>
      <c r="G51" s="49"/>
      <c r="H51" s="46"/>
      <c r="I51" s="40" t="s">
        <v>116</v>
      </c>
      <c r="J51" s="38">
        <v>3991</v>
      </c>
      <c r="K51" s="38">
        <v>111</v>
      </c>
      <c r="L51" s="38">
        <v>7</v>
      </c>
      <c r="M51" s="38">
        <v>7</v>
      </c>
      <c r="N51" s="38">
        <v>1</v>
      </c>
      <c r="O51" s="42" t="s">
        <v>117</v>
      </c>
      <c r="P51" s="40" t="s">
        <v>118</v>
      </c>
      <c r="Q51" s="38">
        <v>245000</v>
      </c>
      <c r="R51" s="38" t="s">
        <v>31</v>
      </c>
      <c r="S51" s="38">
        <v>245000</v>
      </c>
      <c r="T51" s="38">
        <v>51021054</v>
      </c>
      <c r="U51" s="38">
        <v>54488042</v>
      </c>
      <c r="V51" s="38">
        <f>(52795000+53040000)/2</f>
        <v>52917500</v>
      </c>
      <c r="W51" s="38">
        <f>V51-T51</f>
        <v>1896446</v>
      </c>
      <c r="X51" s="38">
        <f>U51-V51</f>
        <v>1570542</v>
      </c>
      <c r="Y51" s="38"/>
      <c r="Z51" s="38"/>
      <c r="AA51" s="38"/>
      <c r="AB51" s="38">
        <f>U51-T51</f>
        <v>3466988</v>
      </c>
      <c r="AC51" s="43">
        <f>S51/AB51</f>
        <v>7.0666526679642391E-2</v>
      </c>
      <c r="AD51" s="34">
        <v>3</v>
      </c>
    </row>
    <row r="52" spans="1:30" ht="15.75" customHeight="1" x14ac:dyDescent="0.15">
      <c r="A52" s="37"/>
      <c r="B52" s="37"/>
      <c r="C52" s="39"/>
      <c r="D52" s="39"/>
      <c r="E52" s="39"/>
      <c r="F52" s="39"/>
      <c r="G52" s="50"/>
      <c r="H52" s="47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51"/>
      <c r="AD52" s="52"/>
    </row>
    <row r="53" spans="1:30" ht="15.75" customHeight="1" x14ac:dyDescent="0.15">
      <c r="A53" s="36">
        <v>12</v>
      </c>
      <c r="B53" s="36" t="s">
        <v>27</v>
      </c>
      <c r="C53" s="38">
        <v>4906749</v>
      </c>
      <c r="D53" s="38">
        <v>3921416</v>
      </c>
      <c r="E53" s="15">
        <v>479072</v>
      </c>
      <c r="F53" s="38">
        <v>3072125</v>
      </c>
      <c r="G53" s="38">
        <f>ABS(F53-F55)</f>
        <v>490474</v>
      </c>
      <c r="H53" s="45">
        <f>F53/F55</f>
        <v>1.1899846261171629</v>
      </c>
      <c r="I53" s="40" t="s">
        <v>119</v>
      </c>
      <c r="J53" s="38">
        <v>2242</v>
      </c>
      <c r="K53" s="38">
        <v>83</v>
      </c>
      <c r="L53" s="38">
        <v>33</v>
      </c>
      <c r="M53" s="38">
        <v>1</v>
      </c>
      <c r="N53" s="38">
        <v>1</v>
      </c>
      <c r="O53" s="42" t="s">
        <v>120</v>
      </c>
      <c r="P53" s="40" t="s">
        <v>121</v>
      </c>
      <c r="Q53" s="38">
        <v>180000</v>
      </c>
      <c r="R53" s="53" t="s">
        <v>31</v>
      </c>
      <c r="S53" s="38">
        <v>180000</v>
      </c>
      <c r="T53" s="38">
        <v>34620833</v>
      </c>
      <c r="U53" s="38">
        <v>37692958</v>
      </c>
      <c r="V53" s="38">
        <f>(34725000+34905000)/2</f>
        <v>34815000</v>
      </c>
      <c r="W53" s="38">
        <f>V53-T53</f>
        <v>194167</v>
      </c>
      <c r="X53" s="38">
        <f>U53-V53</f>
        <v>2877958</v>
      </c>
      <c r="Y53" s="38">
        <f>W55-W53</f>
        <v>540069</v>
      </c>
      <c r="Z53" s="38">
        <f>X53-X55</f>
        <v>1030543</v>
      </c>
      <c r="AA53" s="38">
        <f>MIN(Y53:Z53)</f>
        <v>540069</v>
      </c>
      <c r="AB53" s="38">
        <f>U53-T53</f>
        <v>3072125</v>
      </c>
      <c r="AC53" s="43">
        <f>S53/AB53</f>
        <v>5.8591365911217802E-2</v>
      </c>
      <c r="AD53" s="34">
        <v>5</v>
      </c>
    </row>
    <row r="54" spans="1:30" ht="15.75" customHeight="1" x14ac:dyDescent="0.15">
      <c r="A54" s="48"/>
      <c r="B54" s="48"/>
      <c r="C54" s="41"/>
      <c r="D54" s="41"/>
      <c r="E54" s="15">
        <v>811378</v>
      </c>
      <c r="F54" s="41"/>
      <c r="G54" s="49"/>
      <c r="H54" s="46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4"/>
      <c r="AD54" s="35"/>
    </row>
    <row r="55" spans="1:30" ht="15.75" customHeight="1" x14ac:dyDescent="0.15">
      <c r="A55" s="48"/>
      <c r="B55" s="36" t="s">
        <v>35</v>
      </c>
      <c r="C55" s="38">
        <v>3840455</v>
      </c>
      <c r="D55" s="38">
        <v>3405710</v>
      </c>
      <c r="E55" s="15">
        <v>464048</v>
      </c>
      <c r="F55" s="38">
        <v>2581651</v>
      </c>
      <c r="G55" s="49"/>
      <c r="H55" s="46"/>
      <c r="I55" s="40" t="s">
        <v>122</v>
      </c>
      <c r="J55" s="38">
        <v>1948</v>
      </c>
      <c r="K55" s="38">
        <v>83</v>
      </c>
      <c r="L55" s="38">
        <v>33</v>
      </c>
      <c r="M55" s="38">
        <v>2</v>
      </c>
      <c r="N55" s="38">
        <v>1</v>
      </c>
      <c r="O55" s="42" t="s">
        <v>123</v>
      </c>
      <c r="P55" s="40" t="s">
        <v>124</v>
      </c>
      <c r="Q55" s="38">
        <v>280000</v>
      </c>
      <c r="R55" s="38" t="s">
        <v>31</v>
      </c>
      <c r="S55" s="38">
        <v>280000</v>
      </c>
      <c r="T55" s="38">
        <v>34620764</v>
      </c>
      <c r="U55" s="38">
        <v>37202415</v>
      </c>
      <c r="V55" s="38">
        <f>(35215000+35495000)/2</f>
        <v>35355000</v>
      </c>
      <c r="W55" s="38">
        <f>V55-T55</f>
        <v>734236</v>
      </c>
      <c r="X55" s="38">
        <f>U55-V55</f>
        <v>1847415</v>
      </c>
      <c r="Y55" s="38"/>
      <c r="Z55" s="38"/>
      <c r="AA55" s="38"/>
      <c r="AB55" s="38">
        <f>U55-T55</f>
        <v>2581651</v>
      </c>
      <c r="AC55" s="43">
        <f>S55/AB55</f>
        <v>0.10845772724508464</v>
      </c>
      <c r="AD55" s="34">
        <v>5</v>
      </c>
    </row>
    <row r="56" spans="1:30" ht="15.75" customHeight="1" x14ac:dyDescent="0.15">
      <c r="A56" s="37"/>
      <c r="B56" s="37"/>
      <c r="C56" s="39"/>
      <c r="D56" s="39"/>
      <c r="E56" s="19">
        <v>794770</v>
      </c>
      <c r="F56" s="39"/>
      <c r="G56" s="50"/>
      <c r="H56" s="47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51"/>
      <c r="AD56" s="52"/>
    </row>
    <row r="57" spans="1:30" ht="15.75" customHeight="1" x14ac:dyDescent="0.15">
      <c r="A57" s="36">
        <v>13</v>
      </c>
      <c r="B57" s="36" t="s">
        <v>27</v>
      </c>
      <c r="C57" s="38">
        <v>5892994</v>
      </c>
      <c r="D57" s="38">
        <v>3281347</v>
      </c>
      <c r="E57" s="15">
        <v>467437</v>
      </c>
      <c r="F57" s="38">
        <v>2522416</v>
      </c>
      <c r="G57" s="38">
        <f>ABS(F57-F61)</f>
        <v>568067</v>
      </c>
      <c r="H57" s="45">
        <f>F57/F61</f>
        <v>1.2906681457610694</v>
      </c>
      <c r="I57" s="40" t="s">
        <v>125</v>
      </c>
      <c r="J57" s="38">
        <v>1514</v>
      </c>
      <c r="K57" s="38">
        <v>109</v>
      </c>
      <c r="L57" s="38">
        <v>17</v>
      </c>
      <c r="M57" s="38">
        <v>1</v>
      </c>
      <c r="N57" s="38">
        <v>1</v>
      </c>
      <c r="O57" s="42" t="s">
        <v>126</v>
      </c>
      <c r="P57" s="40" t="s">
        <v>127</v>
      </c>
      <c r="Q57" s="38">
        <v>160000</v>
      </c>
      <c r="R57" s="53" t="s">
        <v>31</v>
      </c>
      <c r="S57" s="38">
        <v>160000</v>
      </c>
      <c r="T57" s="38">
        <v>6192900</v>
      </c>
      <c r="U57" s="38">
        <v>8715316</v>
      </c>
      <c r="V57" s="38">
        <f>(6355000+6515000)/2</f>
        <v>6435000</v>
      </c>
      <c r="W57" s="38">
        <f>V57-T57</f>
        <v>242100</v>
      </c>
      <c r="X57" s="38">
        <f>U57-V57</f>
        <v>2280316</v>
      </c>
      <c r="Y57" s="38">
        <f t="shared" ref="Y57:Z57" si="15">W57-W61</f>
        <v>72183</v>
      </c>
      <c r="Z57" s="38">
        <f t="shared" si="15"/>
        <v>495884</v>
      </c>
      <c r="AA57" s="38">
        <f>MIN(Y57:Z57)</f>
        <v>72183</v>
      </c>
      <c r="AB57" s="38">
        <f>U57-T57</f>
        <v>2522416</v>
      </c>
      <c r="AC57" s="43">
        <f>S57/AB57</f>
        <v>6.3431250039644532E-2</v>
      </c>
      <c r="AD57" s="34">
        <v>4</v>
      </c>
    </row>
    <row r="58" spans="1:30" ht="15.75" customHeight="1" x14ac:dyDescent="0.15">
      <c r="A58" s="48"/>
      <c r="B58" s="48"/>
      <c r="C58" s="41"/>
      <c r="D58" s="41"/>
      <c r="E58" s="15">
        <v>107731</v>
      </c>
      <c r="F58" s="41"/>
      <c r="G58" s="49"/>
      <c r="H58" s="46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4"/>
      <c r="AD58" s="35"/>
    </row>
    <row r="59" spans="1:30" ht="15.75" customHeight="1" x14ac:dyDescent="0.15">
      <c r="A59" s="48"/>
      <c r="B59" s="48"/>
      <c r="C59" s="41"/>
      <c r="D59" s="41"/>
      <c r="E59" s="15">
        <v>355621</v>
      </c>
      <c r="F59" s="41"/>
      <c r="G59" s="49"/>
      <c r="H59" s="46"/>
      <c r="I59" s="41"/>
      <c r="J59" s="41"/>
      <c r="K59" s="41"/>
      <c r="L59" s="41"/>
      <c r="M59" s="41"/>
      <c r="N59" s="41"/>
      <c r="O59" s="41"/>
      <c r="P59" s="40" t="s">
        <v>128</v>
      </c>
      <c r="Q59" s="38">
        <v>100000</v>
      </c>
      <c r="R59" s="38" t="s">
        <v>33</v>
      </c>
      <c r="S59" s="38">
        <v>100000</v>
      </c>
      <c r="T59" s="41"/>
      <c r="U59" s="41"/>
      <c r="V59" s="38">
        <f>(8205000+8105000)/2</f>
        <v>8155000</v>
      </c>
      <c r="W59" s="38" t="s">
        <v>34</v>
      </c>
      <c r="X59" s="38" t="s">
        <v>34</v>
      </c>
      <c r="Y59" s="41"/>
      <c r="Z59" s="41"/>
      <c r="AA59" s="41"/>
      <c r="AB59" s="41"/>
      <c r="AC59" s="44"/>
      <c r="AD59" s="35"/>
    </row>
    <row r="60" spans="1:30" ht="15.75" customHeight="1" x14ac:dyDescent="0.15">
      <c r="A60" s="48"/>
      <c r="B60" s="48"/>
      <c r="C60" s="41"/>
      <c r="D60" s="41"/>
      <c r="E60" s="15">
        <v>81231</v>
      </c>
      <c r="F60" s="41"/>
      <c r="G60" s="49"/>
      <c r="H60" s="46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4"/>
      <c r="AD60" s="35"/>
    </row>
    <row r="61" spans="1:30" ht="15.75" customHeight="1" x14ac:dyDescent="0.15">
      <c r="A61" s="48"/>
      <c r="B61" s="36" t="s">
        <v>35</v>
      </c>
      <c r="C61" s="38">
        <v>6433118</v>
      </c>
      <c r="D61" s="38">
        <v>2596882</v>
      </c>
      <c r="E61" s="15">
        <v>346655</v>
      </c>
      <c r="F61" s="38">
        <v>1954349</v>
      </c>
      <c r="G61" s="49"/>
      <c r="H61" s="46"/>
      <c r="I61" s="40" t="s">
        <v>129</v>
      </c>
      <c r="J61" s="38">
        <v>1324</v>
      </c>
      <c r="K61" s="38">
        <v>99</v>
      </c>
      <c r="L61" s="38">
        <v>7</v>
      </c>
      <c r="M61" s="38">
        <v>0</v>
      </c>
      <c r="N61" s="38">
        <v>2</v>
      </c>
      <c r="O61" s="42" t="s">
        <v>130</v>
      </c>
      <c r="P61" s="40" t="s">
        <v>131</v>
      </c>
      <c r="Q61" s="38">
        <v>85000</v>
      </c>
      <c r="R61" s="38" t="s">
        <v>31</v>
      </c>
      <c r="S61" s="38">
        <f>15825000-15610000</f>
        <v>215000</v>
      </c>
      <c r="T61" s="38">
        <v>15547583</v>
      </c>
      <c r="U61" s="38">
        <v>17501932</v>
      </c>
      <c r="V61" s="38">
        <f>(15610000+ 15825000)/2</f>
        <v>15717500</v>
      </c>
      <c r="W61" s="38">
        <f>V61-T61</f>
        <v>169917</v>
      </c>
      <c r="X61" s="38">
        <f>U61-V61</f>
        <v>1784432</v>
      </c>
      <c r="Y61" s="38"/>
      <c r="Z61" s="38"/>
      <c r="AA61" s="38"/>
      <c r="AB61" s="38">
        <f>U61-T61</f>
        <v>1954349</v>
      </c>
      <c r="AC61" s="43">
        <f>S61/AB61</f>
        <v>0.11001105739046609</v>
      </c>
      <c r="AD61" s="34">
        <v>3</v>
      </c>
    </row>
    <row r="62" spans="1:30" ht="15.75" customHeight="1" x14ac:dyDescent="0.15">
      <c r="A62" s="48"/>
      <c r="B62" s="48"/>
      <c r="C62" s="41"/>
      <c r="D62" s="41"/>
      <c r="E62" s="15">
        <v>100201</v>
      </c>
      <c r="F62" s="41"/>
      <c r="G62" s="49"/>
      <c r="H62" s="46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4"/>
      <c r="AD62" s="35"/>
    </row>
    <row r="63" spans="1:30" ht="15.75" customHeight="1" x14ac:dyDescent="0.15">
      <c r="A63" s="48"/>
      <c r="B63" s="48"/>
      <c r="C63" s="41"/>
      <c r="D63" s="41"/>
      <c r="E63" s="15">
        <v>354318</v>
      </c>
      <c r="F63" s="41"/>
      <c r="G63" s="49"/>
      <c r="H63" s="46"/>
      <c r="I63" s="41"/>
      <c r="J63" s="41"/>
      <c r="K63" s="41"/>
      <c r="L63" s="41"/>
      <c r="M63" s="41"/>
      <c r="N63" s="41"/>
      <c r="O63" s="41"/>
      <c r="P63" s="40" t="s">
        <v>132</v>
      </c>
      <c r="Q63" s="38">
        <v>100000</v>
      </c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4"/>
      <c r="AD63" s="35"/>
    </row>
    <row r="64" spans="1:30" ht="15.75" customHeight="1" x14ac:dyDescent="0.15">
      <c r="A64" s="37"/>
      <c r="B64" s="37"/>
      <c r="C64" s="39"/>
      <c r="D64" s="39"/>
      <c r="E64" s="19">
        <v>74715</v>
      </c>
      <c r="F64" s="39"/>
      <c r="G64" s="50"/>
      <c r="H64" s="47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51"/>
      <c r="AD64" s="52"/>
    </row>
    <row r="65" spans="1:30" ht="15.75" customHeight="1" x14ac:dyDescent="0.15">
      <c r="A65" s="36">
        <v>14</v>
      </c>
      <c r="B65" s="36" t="s">
        <v>27</v>
      </c>
      <c r="C65" s="38">
        <v>3204477</v>
      </c>
      <c r="D65" s="38">
        <v>2233055</v>
      </c>
      <c r="E65" s="15">
        <v>178836</v>
      </c>
      <c r="F65" s="38">
        <v>1756624</v>
      </c>
      <c r="G65" s="38">
        <f>ABS(F65-F70)</f>
        <v>862919</v>
      </c>
      <c r="H65" s="45">
        <f>F65/F70</f>
        <v>0.67058414387547749</v>
      </c>
      <c r="I65" s="40" t="s">
        <v>133</v>
      </c>
      <c r="J65" s="38">
        <v>1303</v>
      </c>
      <c r="K65" s="38">
        <v>109</v>
      </c>
      <c r="L65" s="38">
        <v>11</v>
      </c>
      <c r="M65" s="38">
        <v>0</v>
      </c>
      <c r="N65" s="38">
        <v>1</v>
      </c>
      <c r="O65" s="42" t="s">
        <v>134</v>
      </c>
      <c r="P65" s="40" t="s">
        <v>135</v>
      </c>
      <c r="Q65" s="38">
        <v>180000</v>
      </c>
      <c r="R65" s="53" t="s">
        <v>31</v>
      </c>
      <c r="S65" s="38">
        <v>180000</v>
      </c>
      <c r="T65" s="38">
        <v>5595383</v>
      </c>
      <c r="U65" s="38">
        <v>7352007</v>
      </c>
      <c r="V65" s="38">
        <f>(6030000+6210000)/2</f>
        <v>6120000</v>
      </c>
      <c r="W65" s="38">
        <f>V65-T65</f>
        <v>524617</v>
      </c>
      <c r="X65" s="38">
        <f>U65-V65</f>
        <v>1232007</v>
      </c>
      <c r="Y65" s="38">
        <f t="shared" ref="Y65:Z65" si="16">W70-W65</f>
        <v>6251</v>
      </c>
      <c r="Z65" s="38">
        <f t="shared" si="16"/>
        <v>856668</v>
      </c>
      <c r="AA65" s="38">
        <f>MIN(Y65:Z65)</f>
        <v>6251</v>
      </c>
      <c r="AB65" s="38">
        <f>U65-T65</f>
        <v>1756624</v>
      </c>
      <c r="AC65" s="43">
        <f>S65/AB65</f>
        <v>0.10246928198635565</v>
      </c>
      <c r="AD65" s="34">
        <v>4</v>
      </c>
    </row>
    <row r="66" spans="1:30" ht="15.75" customHeight="1" x14ac:dyDescent="0.15">
      <c r="A66" s="48"/>
      <c r="B66" s="48"/>
      <c r="C66" s="41"/>
      <c r="D66" s="41"/>
      <c r="E66" s="15">
        <v>133574</v>
      </c>
      <c r="F66" s="41"/>
      <c r="G66" s="49"/>
      <c r="H66" s="46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4"/>
      <c r="AD66" s="35"/>
    </row>
    <row r="67" spans="1:30" ht="15.75" customHeight="1" x14ac:dyDescent="0.15">
      <c r="A67" s="48"/>
      <c r="B67" s="48"/>
      <c r="C67" s="41"/>
      <c r="D67" s="41"/>
      <c r="E67" s="15">
        <v>18991</v>
      </c>
      <c r="F67" s="41"/>
      <c r="G67" s="49"/>
      <c r="H67" s="46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4"/>
      <c r="AD67" s="35"/>
    </row>
    <row r="68" spans="1:30" x14ac:dyDescent="0.15">
      <c r="A68" s="48"/>
      <c r="B68" s="48"/>
      <c r="C68" s="41"/>
      <c r="D68" s="41"/>
      <c r="E68" s="15">
        <v>187557</v>
      </c>
      <c r="F68" s="41"/>
      <c r="G68" s="49"/>
      <c r="H68" s="46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4"/>
      <c r="AD68" s="35"/>
    </row>
    <row r="69" spans="1:30" x14ac:dyDescent="0.15">
      <c r="A69" s="48"/>
      <c r="B69" s="48"/>
      <c r="C69" s="41"/>
      <c r="D69" s="41"/>
      <c r="E69" s="15">
        <v>74808</v>
      </c>
      <c r="F69" s="41"/>
      <c r="G69" s="49"/>
      <c r="H69" s="46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4"/>
      <c r="AD69" s="35"/>
    </row>
    <row r="70" spans="1:30" x14ac:dyDescent="0.15">
      <c r="A70" s="48"/>
      <c r="B70" s="36" t="s">
        <v>35</v>
      </c>
      <c r="C70" s="38">
        <v>6664990</v>
      </c>
      <c r="D70" s="38">
        <v>3808476</v>
      </c>
      <c r="E70" s="15">
        <v>324033</v>
      </c>
      <c r="F70" s="38">
        <v>2619543</v>
      </c>
      <c r="G70" s="49"/>
      <c r="H70" s="46"/>
      <c r="I70" s="40" t="s">
        <v>136</v>
      </c>
      <c r="J70" s="38">
        <v>1917</v>
      </c>
      <c r="K70" s="38">
        <v>105</v>
      </c>
      <c r="L70" s="38">
        <v>7</v>
      </c>
      <c r="M70" s="38">
        <v>1</v>
      </c>
      <c r="N70" s="38">
        <v>1</v>
      </c>
      <c r="O70" s="42" t="s">
        <v>137</v>
      </c>
      <c r="P70" s="40" t="s">
        <v>138</v>
      </c>
      <c r="Q70" s="38">
        <v>180000</v>
      </c>
      <c r="R70" s="38" t="s">
        <v>31</v>
      </c>
      <c r="S70" s="38">
        <v>180000</v>
      </c>
      <c r="T70" s="38">
        <v>10089132</v>
      </c>
      <c r="U70" s="38">
        <v>12708675</v>
      </c>
      <c r="V70" s="38">
        <f>(10530000+10710000)/2</f>
        <v>10620000</v>
      </c>
      <c r="W70" s="38">
        <f>V70-T70</f>
        <v>530868</v>
      </c>
      <c r="X70" s="38">
        <f>U70-V70</f>
        <v>2088675</v>
      </c>
      <c r="Y70" s="38"/>
      <c r="Z70" s="38"/>
      <c r="AA70" s="38"/>
      <c r="AB70" s="38">
        <f>U70-T70</f>
        <v>2619543</v>
      </c>
      <c r="AC70" s="43">
        <f>S70/AB70</f>
        <v>6.8714275734355193E-2</v>
      </c>
      <c r="AD70" s="34">
        <v>4</v>
      </c>
    </row>
    <row r="71" spans="1:30" x14ac:dyDescent="0.15">
      <c r="A71" s="48"/>
      <c r="B71" s="48"/>
      <c r="C71" s="41"/>
      <c r="D71" s="41"/>
      <c r="E71" s="15">
        <v>174802</v>
      </c>
      <c r="F71" s="41"/>
      <c r="G71" s="49"/>
      <c r="H71" s="46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4"/>
      <c r="AD71" s="35"/>
    </row>
    <row r="72" spans="1:30" x14ac:dyDescent="0.15">
      <c r="A72" s="48"/>
      <c r="B72" s="48"/>
      <c r="C72" s="41"/>
      <c r="D72" s="41"/>
      <c r="E72" s="15">
        <v>371494</v>
      </c>
      <c r="F72" s="41"/>
      <c r="G72" s="49"/>
      <c r="H72" s="46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4"/>
      <c r="AD72" s="35"/>
    </row>
    <row r="73" spans="1:30" x14ac:dyDescent="0.15">
      <c r="A73" s="48"/>
      <c r="B73" s="48"/>
      <c r="C73" s="41"/>
      <c r="D73" s="41"/>
      <c r="E73" s="15">
        <v>177729</v>
      </c>
      <c r="F73" s="41"/>
      <c r="G73" s="49"/>
      <c r="H73" s="46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4"/>
      <c r="AD73" s="35"/>
    </row>
    <row r="74" spans="1:30" x14ac:dyDescent="0.15">
      <c r="A74" s="48"/>
      <c r="B74" s="48"/>
      <c r="C74" s="41"/>
      <c r="D74" s="41"/>
      <c r="E74" s="15">
        <v>193884</v>
      </c>
      <c r="F74" s="41"/>
      <c r="G74" s="49"/>
      <c r="H74" s="46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4"/>
      <c r="AD74" s="35"/>
    </row>
    <row r="75" spans="1:30" x14ac:dyDescent="0.15">
      <c r="A75" s="48"/>
      <c r="B75" s="48"/>
      <c r="C75" s="41"/>
      <c r="D75" s="41"/>
      <c r="E75" s="15">
        <v>18990</v>
      </c>
      <c r="F75" s="41"/>
      <c r="G75" s="49"/>
      <c r="H75" s="46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4"/>
      <c r="AD75" s="35"/>
    </row>
    <row r="76" spans="1:30" x14ac:dyDescent="0.15">
      <c r="A76" s="48"/>
      <c r="B76" s="48"/>
      <c r="C76" s="41"/>
      <c r="D76" s="41"/>
      <c r="E76" s="15">
        <v>176708</v>
      </c>
      <c r="F76" s="41"/>
      <c r="G76" s="49"/>
      <c r="H76" s="46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4"/>
      <c r="AD76" s="35"/>
    </row>
    <row r="77" spans="1:30" x14ac:dyDescent="0.15">
      <c r="A77" s="37"/>
      <c r="B77" s="37"/>
      <c r="C77" s="39"/>
      <c r="D77" s="39"/>
      <c r="E77" s="19">
        <v>74811</v>
      </c>
      <c r="F77" s="39"/>
      <c r="G77" s="50"/>
      <c r="H77" s="47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51"/>
      <c r="AD77" s="52"/>
    </row>
    <row r="78" spans="1:30" x14ac:dyDescent="0.15">
      <c r="A78" s="36">
        <v>15</v>
      </c>
      <c r="B78" s="36" t="s">
        <v>27</v>
      </c>
      <c r="C78" s="38">
        <v>4666888</v>
      </c>
      <c r="D78" s="38">
        <v>3559648</v>
      </c>
      <c r="E78" s="15">
        <v>487951</v>
      </c>
      <c r="F78" s="38">
        <v>243423</v>
      </c>
      <c r="G78" s="38">
        <f>ABS(F78-F84)</f>
        <v>47550</v>
      </c>
      <c r="H78" s="45">
        <f>F78/F84</f>
        <v>0.83658277572145867</v>
      </c>
      <c r="I78" s="40" t="s">
        <v>139</v>
      </c>
      <c r="J78" s="38">
        <v>1407</v>
      </c>
      <c r="K78" s="38">
        <v>112</v>
      </c>
      <c r="L78" s="38">
        <v>6</v>
      </c>
      <c r="M78" s="38">
        <v>0</v>
      </c>
      <c r="N78" s="38">
        <v>2</v>
      </c>
      <c r="O78" s="42" t="s">
        <v>140</v>
      </c>
      <c r="P78" s="38" t="s">
        <v>141</v>
      </c>
      <c r="Q78" s="38">
        <v>120000</v>
      </c>
      <c r="R78" s="53" t="s">
        <v>31</v>
      </c>
      <c r="S78" s="38">
        <v>120000</v>
      </c>
      <c r="T78" s="40">
        <v>5182380</v>
      </c>
      <c r="U78" s="40">
        <v>5425803</v>
      </c>
      <c r="V78" s="38">
        <f>(6680000+6800000)/2</f>
        <v>6740000</v>
      </c>
      <c r="W78" s="38">
        <f>V78-T82</f>
        <v>245197</v>
      </c>
      <c r="X78" s="38">
        <f>U82-V78</f>
        <v>1625027</v>
      </c>
      <c r="Y78" s="38">
        <f>W84-W78</f>
        <v>94840</v>
      </c>
      <c r="Z78" s="38">
        <f>X78-X84</f>
        <v>956857</v>
      </c>
      <c r="AA78" s="38">
        <f>MIN(Y78:Z78)</f>
        <v>94840</v>
      </c>
      <c r="AB78" s="38">
        <f>U82-T82</f>
        <v>1870224</v>
      </c>
      <c r="AC78" s="43">
        <f>S78/AB78</f>
        <v>6.4163437106998941E-2</v>
      </c>
      <c r="AD78" s="34">
        <v>4</v>
      </c>
    </row>
    <row r="79" spans="1:30" x14ac:dyDescent="0.15">
      <c r="A79" s="48"/>
      <c r="B79" s="48"/>
      <c r="C79" s="41"/>
      <c r="D79" s="41"/>
      <c r="E79" s="15">
        <v>64327</v>
      </c>
      <c r="F79" s="41"/>
      <c r="G79" s="49"/>
      <c r="H79" s="46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4"/>
      <c r="AD79" s="35"/>
    </row>
    <row r="80" spans="1:30" x14ac:dyDescent="0.15">
      <c r="A80" s="48"/>
      <c r="B80" s="48"/>
      <c r="C80" s="41"/>
      <c r="D80" s="41"/>
      <c r="E80" s="15">
        <v>48895</v>
      </c>
      <c r="F80" s="38">
        <v>679013</v>
      </c>
      <c r="G80" s="38">
        <f>ABS(F80-F86)</f>
        <v>89776</v>
      </c>
      <c r="H80" s="45">
        <f>F80/F86</f>
        <v>1.1523597465875361</v>
      </c>
      <c r="I80" s="40" t="s">
        <v>142</v>
      </c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0">
        <v>5696608</v>
      </c>
      <c r="U80" s="40">
        <v>6375621</v>
      </c>
      <c r="V80" s="41"/>
      <c r="W80" s="41"/>
      <c r="X80" s="41"/>
      <c r="Y80" s="41"/>
      <c r="Z80" s="41"/>
      <c r="AA80" s="41"/>
      <c r="AB80" s="41"/>
      <c r="AC80" s="44"/>
      <c r="AD80" s="35"/>
    </row>
    <row r="81" spans="1:30" x14ac:dyDescent="0.15">
      <c r="A81" s="48"/>
      <c r="B81" s="48"/>
      <c r="C81" s="41"/>
      <c r="D81" s="41"/>
      <c r="E81" s="15">
        <v>121745</v>
      </c>
      <c r="F81" s="41"/>
      <c r="G81" s="49"/>
      <c r="H81" s="46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4"/>
      <c r="AD81" s="35"/>
    </row>
    <row r="82" spans="1:30" x14ac:dyDescent="0.15">
      <c r="A82" s="48"/>
      <c r="B82" s="48"/>
      <c r="C82" s="41"/>
      <c r="D82" s="41"/>
      <c r="E82" s="15">
        <v>62280</v>
      </c>
      <c r="F82" s="38">
        <v>1870224</v>
      </c>
      <c r="G82" s="38">
        <f>ABS(F82-F88)</f>
        <v>862017</v>
      </c>
      <c r="H82" s="45">
        <f>F82/F88</f>
        <v>1.8550000148778971</v>
      </c>
      <c r="I82" s="40" t="s">
        <v>143</v>
      </c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0">
        <v>6494803</v>
      </c>
      <c r="U82" s="40">
        <v>8365027</v>
      </c>
      <c r="V82" s="41"/>
      <c r="W82" s="41"/>
      <c r="X82" s="41"/>
      <c r="Y82" s="41"/>
      <c r="Z82" s="41"/>
      <c r="AA82" s="41"/>
      <c r="AB82" s="41"/>
      <c r="AC82" s="44"/>
      <c r="AD82" s="35"/>
    </row>
    <row r="83" spans="1:30" x14ac:dyDescent="0.15">
      <c r="A83" s="48"/>
      <c r="B83" s="48"/>
      <c r="C83" s="41"/>
      <c r="D83" s="41"/>
      <c r="E83" s="15">
        <v>54303</v>
      </c>
      <c r="F83" s="41"/>
      <c r="G83" s="49"/>
      <c r="H83" s="46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4"/>
      <c r="AD83" s="35"/>
    </row>
    <row r="84" spans="1:30" x14ac:dyDescent="0.15">
      <c r="A84" s="48"/>
      <c r="B84" s="36" t="s">
        <v>35</v>
      </c>
      <c r="C84" s="38">
        <v>3773634</v>
      </c>
      <c r="D84" s="38">
        <v>2648999</v>
      </c>
      <c r="E84" s="15">
        <v>163603</v>
      </c>
      <c r="F84" s="38">
        <v>290973</v>
      </c>
      <c r="G84" s="38"/>
      <c r="H84" s="45"/>
      <c r="I84" s="40" t="s">
        <v>144</v>
      </c>
      <c r="J84" s="38">
        <v>773</v>
      </c>
      <c r="K84" s="38">
        <v>110</v>
      </c>
      <c r="L84" s="38">
        <v>4</v>
      </c>
      <c r="M84" s="38">
        <v>0</v>
      </c>
      <c r="N84" s="38">
        <v>2</v>
      </c>
      <c r="O84" s="42" t="s">
        <v>145</v>
      </c>
      <c r="P84" s="40" t="s">
        <v>146</v>
      </c>
      <c r="Q84" s="38">
        <v>250000</v>
      </c>
      <c r="R84" s="38" t="s">
        <v>31</v>
      </c>
      <c r="S84" s="38">
        <v>250000</v>
      </c>
      <c r="T84" s="40">
        <v>15404700</v>
      </c>
      <c r="U84" s="40">
        <v>15695673</v>
      </c>
      <c r="V84" s="38">
        <f>(16890000+17140000)/2</f>
        <v>17015000</v>
      </c>
      <c r="W84" s="38">
        <f>V84-T88</f>
        <v>340037</v>
      </c>
      <c r="X84" s="38">
        <f>U88-V84</f>
        <v>668170</v>
      </c>
      <c r="Y84" s="38"/>
      <c r="Z84" s="38"/>
      <c r="AA84" s="38"/>
      <c r="AB84" s="38">
        <f>U88-T88</f>
        <v>1008207</v>
      </c>
      <c r="AC84" s="43">
        <f>S84/AB84</f>
        <v>0.24796495164187513</v>
      </c>
      <c r="AD84" s="34">
        <v>4</v>
      </c>
    </row>
    <row r="85" spans="1:30" x14ac:dyDescent="0.15">
      <c r="A85" s="48"/>
      <c r="B85" s="48"/>
      <c r="C85" s="41"/>
      <c r="D85" s="41"/>
      <c r="E85" s="15">
        <v>240351</v>
      </c>
      <c r="F85" s="41"/>
      <c r="G85" s="49"/>
      <c r="H85" s="46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4"/>
      <c r="AD85" s="35"/>
    </row>
    <row r="86" spans="1:30" x14ac:dyDescent="0.15">
      <c r="A86" s="48"/>
      <c r="B86" s="48"/>
      <c r="C86" s="41"/>
      <c r="D86" s="41"/>
      <c r="E86" s="15">
        <v>76559</v>
      </c>
      <c r="F86" s="38">
        <v>589237</v>
      </c>
      <c r="G86" s="49"/>
      <c r="H86" s="46"/>
      <c r="I86" s="40" t="s">
        <v>147</v>
      </c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0">
        <v>15966539</v>
      </c>
      <c r="U86" s="40">
        <v>16555776</v>
      </c>
      <c r="V86" s="41"/>
      <c r="W86" s="41"/>
      <c r="X86" s="41"/>
      <c r="Y86" s="41"/>
      <c r="Z86" s="41"/>
      <c r="AA86" s="41"/>
      <c r="AB86" s="41"/>
      <c r="AC86" s="44"/>
      <c r="AD86" s="35"/>
    </row>
    <row r="87" spans="1:30" x14ac:dyDescent="0.15">
      <c r="A87" s="48"/>
      <c r="B87" s="48"/>
      <c r="C87" s="41"/>
      <c r="D87" s="41"/>
      <c r="E87" s="15">
        <v>280848</v>
      </c>
      <c r="F87" s="41"/>
      <c r="G87" s="49"/>
      <c r="H87" s="46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4"/>
      <c r="AD87" s="35"/>
    </row>
    <row r="88" spans="1:30" x14ac:dyDescent="0.15">
      <c r="A88" s="48"/>
      <c r="B88" s="48"/>
      <c r="C88" s="41"/>
      <c r="D88" s="41"/>
      <c r="E88" s="15">
        <v>259830</v>
      </c>
      <c r="F88" s="38">
        <v>1008207</v>
      </c>
      <c r="G88" s="49"/>
      <c r="H88" s="46"/>
      <c r="I88" s="40" t="s">
        <v>148</v>
      </c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0">
        <v>16674963</v>
      </c>
      <c r="U88" s="40">
        <v>17683170</v>
      </c>
      <c r="V88" s="41"/>
      <c r="W88" s="41"/>
      <c r="X88" s="41"/>
      <c r="Y88" s="41"/>
      <c r="Z88" s="41"/>
      <c r="AA88" s="41"/>
      <c r="AB88" s="41"/>
      <c r="AC88" s="44"/>
      <c r="AD88" s="35"/>
    </row>
    <row r="89" spans="1:30" x14ac:dyDescent="0.15">
      <c r="A89" s="37"/>
      <c r="B89" s="37"/>
      <c r="C89" s="39"/>
      <c r="D89" s="39"/>
      <c r="E89" s="19">
        <v>59254</v>
      </c>
      <c r="F89" s="39"/>
      <c r="G89" s="50"/>
      <c r="H89" s="47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51"/>
      <c r="AD89" s="52"/>
    </row>
    <row r="90" spans="1:30" x14ac:dyDescent="0.15">
      <c r="A90" s="36">
        <v>16</v>
      </c>
      <c r="B90" s="36" t="s">
        <v>27</v>
      </c>
      <c r="C90" s="38">
        <v>5788604</v>
      </c>
      <c r="D90" s="38">
        <v>2458376</v>
      </c>
      <c r="E90" s="15">
        <v>170651</v>
      </c>
      <c r="F90" s="38">
        <v>1867875</v>
      </c>
      <c r="G90" s="38">
        <f>ABS(F90-F92)</f>
        <v>113230</v>
      </c>
      <c r="H90" s="45">
        <f>F90/F92</f>
        <v>0.94284502840586437</v>
      </c>
      <c r="I90" s="40" t="s">
        <v>149</v>
      </c>
      <c r="J90" s="38">
        <v>1137</v>
      </c>
      <c r="K90" s="38">
        <v>98</v>
      </c>
      <c r="L90" s="38">
        <v>14</v>
      </c>
      <c r="M90" s="38">
        <v>0</v>
      </c>
      <c r="N90" s="38">
        <v>1</v>
      </c>
      <c r="O90" s="42" t="s">
        <v>150</v>
      </c>
      <c r="P90" s="40" t="s">
        <v>151</v>
      </c>
      <c r="Q90" s="38">
        <v>195000</v>
      </c>
      <c r="R90" s="38" t="s">
        <v>31</v>
      </c>
      <c r="S90" s="38">
        <v>195000</v>
      </c>
      <c r="T90" s="38">
        <v>35822854</v>
      </c>
      <c r="U90" s="38">
        <v>37690729</v>
      </c>
      <c r="V90" s="38">
        <f>(36095000+36290000)/2</f>
        <v>36192500</v>
      </c>
      <c r="W90" s="38">
        <f>V90-T90</f>
        <v>369646</v>
      </c>
      <c r="X90" s="38">
        <f>U90-V90</f>
        <v>1498229</v>
      </c>
      <c r="Y90" s="38">
        <f>W90-W92</f>
        <v>115643</v>
      </c>
      <c r="Z90" s="38">
        <f>X92-X90</f>
        <v>228704</v>
      </c>
      <c r="AA90" s="38">
        <f>MIN(Y90:Z90)</f>
        <v>115643</v>
      </c>
      <c r="AB90" s="38">
        <f>U90-T90</f>
        <v>1867875</v>
      </c>
      <c r="AC90" s="43">
        <f>S90/AB90</f>
        <v>0.10439670748845613</v>
      </c>
      <c r="AD90" s="34">
        <v>3</v>
      </c>
    </row>
    <row r="91" spans="1:30" x14ac:dyDescent="0.15">
      <c r="A91" s="48"/>
      <c r="B91" s="48"/>
      <c r="C91" s="41"/>
      <c r="D91" s="41"/>
      <c r="E91" s="15">
        <v>603746</v>
      </c>
      <c r="F91" s="41"/>
      <c r="G91" s="49"/>
      <c r="H91" s="46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4"/>
      <c r="AD91" s="35"/>
    </row>
    <row r="92" spans="1:30" x14ac:dyDescent="0.15">
      <c r="A92" s="48"/>
      <c r="B92" s="36" t="s">
        <v>35</v>
      </c>
      <c r="C92" s="38">
        <v>5904563</v>
      </c>
      <c r="D92" s="38">
        <v>2569566</v>
      </c>
      <c r="E92" s="15">
        <v>170674</v>
      </c>
      <c r="F92" s="38">
        <v>1981105</v>
      </c>
      <c r="G92" s="49"/>
      <c r="H92" s="46"/>
      <c r="I92" s="40" t="s">
        <v>152</v>
      </c>
      <c r="J92" s="38">
        <v>1170</v>
      </c>
      <c r="K92" s="38">
        <v>102</v>
      </c>
      <c r="L92" s="38">
        <v>18</v>
      </c>
      <c r="M92" s="38">
        <v>1</v>
      </c>
      <c r="N92" s="38">
        <v>1</v>
      </c>
      <c r="O92" s="42" t="s">
        <v>153</v>
      </c>
      <c r="P92" s="17" t="s">
        <v>154</v>
      </c>
      <c r="Q92" s="15">
        <v>155000</v>
      </c>
      <c r="R92" s="15" t="s">
        <v>31</v>
      </c>
      <c r="S92" s="15">
        <v>155000</v>
      </c>
      <c r="T92" s="38">
        <v>35848497</v>
      </c>
      <c r="U92" s="38">
        <v>37829433</v>
      </c>
      <c r="V92" s="15">
        <f>(36025000+36180000)/2</f>
        <v>36102500</v>
      </c>
      <c r="W92" s="15">
        <f>V92-T92</f>
        <v>254003</v>
      </c>
      <c r="X92" s="15">
        <f>U92-V92</f>
        <v>1726933</v>
      </c>
      <c r="Y92" s="38"/>
      <c r="Z92" s="38"/>
      <c r="AA92" s="38"/>
      <c r="AB92" s="38">
        <f>U92-T92</f>
        <v>1980936</v>
      </c>
      <c r="AC92" s="43">
        <f>S92/AB92</f>
        <v>7.824583934059455E-2</v>
      </c>
      <c r="AD92" s="34">
        <v>3</v>
      </c>
    </row>
    <row r="93" spans="1:30" x14ac:dyDescent="0.15">
      <c r="A93" s="37"/>
      <c r="B93" s="37"/>
      <c r="C93" s="39"/>
      <c r="D93" s="39"/>
      <c r="E93" s="19">
        <v>603450</v>
      </c>
      <c r="F93" s="39"/>
      <c r="G93" s="50"/>
      <c r="H93" s="47"/>
      <c r="I93" s="39"/>
      <c r="J93" s="39"/>
      <c r="K93" s="39"/>
      <c r="L93" s="39"/>
      <c r="M93" s="39"/>
      <c r="N93" s="39"/>
      <c r="O93" s="39"/>
      <c r="P93" s="20" t="s">
        <v>155</v>
      </c>
      <c r="Q93" s="19">
        <v>65000</v>
      </c>
      <c r="R93" s="19" t="s">
        <v>33</v>
      </c>
      <c r="S93" s="19">
        <v>65000</v>
      </c>
      <c r="T93" s="39"/>
      <c r="U93" s="39"/>
      <c r="V93" s="19">
        <f>(36420000+ 36485000)/2</f>
        <v>36452500</v>
      </c>
      <c r="W93" s="19" t="s">
        <v>34</v>
      </c>
      <c r="X93" s="19" t="s">
        <v>34</v>
      </c>
      <c r="Y93" s="39"/>
      <c r="Z93" s="39"/>
      <c r="AA93" s="39"/>
      <c r="AB93" s="39"/>
      <c r="AC93" s="51"/>
      <c r="AD93" s="52"/>
    </row>
    <row r="94" spans="1:30" x14ac:dyDescent="0.15">
      <c r="A94" s="36">
        <v>17</v>
      </c>
      <c r="B94" s="36" t="s">
        <v>27</v>
      </c>
      <c r="C94" s="38">
        <v>5790011</v>
      </c>
      <c r="D94" s="38">
        <v>4859841</v>
      </c>
      <c r="E94" s="38">
        <v>527722</v>
      </c>
      <c r="F94" s="15">
        <v>401679</v>
      </c>
      <c r="G94" s="15">
        <f t="shared" ref="G94:G97" si="17">ABS(F94-F98)</f>
        <v>57084</v>
      </c>
      <c r="H94" s="16">
        <f t="shared" ref="H94:H97" si="18">F94/F98</f>
        <v>0.87556973862321064</v>
      </c>
      <c r="I94" s="17" t="s">
        <v>156</v>
      </c>
      <c r="J94" s="38">
        <v>1586</v>
      </c>
      <c r="K94" s="38">
        <v>106</v>
      </c>
      <c r="L94" s="38">
        <v>17</v>
      </c>
      <c r="M94" s="38">
        <v>0</v>
      </c>
      <c r="N94" s="38">
        <v>1</v>
      </c>
      <c r="O94" s="42" t="s">
        <v>157</v>
      </c>
      <c r="P94" s="38" t="s">
        <v>158</v>
      </c>
      <c r="Q94" s="38">
        <v>145000</v>
      </c>
      <c r="R94" s="38" t="s">
        <v>31</v>
      </c>
      <c r="S94" s="38">
        <v>145000</v>
      </c>
      <c r="T94" s="17">
        <v>23326917</v>
      </c>
      <c r="U94" s="17">
        <v>23728596</v>
      </c>
      <c r="V94" s="38">
        <f>(24665000+24810000)/2</f>
        <v>24737500</v>
      </c>
      <c r="W94" s="38">
        <f>V94-T95</f>
        <v>1008903</v>
      </c>
      <c r="X94" s="38">
        <f>U95-V94</f>
        <v>3283557</v>
      </c>
      <c r="Y94" s="38">
        <f>W98-W94</f>
        <v>206269</v>
      </c>
      <c r="Z94" s="38">
        <f>X94-X98</f>
        <v>819666</v>
      </c>
      <c r="AA94" s="38">
        <f>MIN(Y94:Z94)</f>
        <v>206269</v>
      </c>
      <c r="AB94" s="38">
        <f>U95-T95</f>
        <v>4292460</v>
      </c>
      <c r="AC94" s="43">
        <f>S94/AB94</f>
        <v>3.378016335621066E-2</v>
      </c>
      <c r="AD94" s="34">
        <v>4</v>
      </c>
    </row>
    <row r="95" spans="1:30" x14ac:dyDescent="0.15">
      <c r="A95" s="48"/>
      <c r="B95" s="48"/>
      <c r="C95" s="41"/>
      <c r="D95" s="41"/>
      <c r="E95" s="41"/>
      <c r="F95" s="15">
        <v>4292460</v>
      </c>
      <c r="G95" s="15">
        <f t="shared" si="17"/>
        <v>613397</v>
      </c>
      <c r="H95" s="16">
        <f t="shared" si="18"/>
        <v>1.1667264191996711</v>
      </c>
      <c r="I95" s="17" t="s">
        <v>159</v>
      </c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17">
        <v>23728597</v>
      </c>
      <c r="U95" s="17">
        <v>28021057</v>
      </c>
      <c r="V95" s="41"/>
      <c r="W95" s="41"/>
      <c r="X95" s="41"/>
      <c r="Y95" s="41"/>
      <c r="Z95" s="41"/>
      <c r="AA95" s="41"/>
      <c r="AB95" s="41"/>
      <c r="AC95" s="44"/>
      <c r="AD95" s="35"/>
    </row>
    <row r="96" spans="1:30" x14ac:dyDescent="0.15">
      <c r="A96" s="48"/>
      <c r="B96" s="48"/>
      <c r="C96" s="41"/>
      <c r="D96" s="41"/>
      <c r="E96" s="38">
        <v>37931</v>
      </c>
      <c r="F96" s="15">
        <v>32858</v>
      </c>
      <c r="G96" s="15">
        <f t="shared" si="17"/>
        <v>0</v>
      </c>
      <c r="H96" s="16">
        <f t="shared" si="18"/>
        <v>1</v>
      </c>
      <c r="I96" s="17" t="s">
        <v>160</v>
      </c>
      <c r="J96" s="41"/>
      <c r="K96" s="41"/>
      <c r="L96" s="41"/>
      <c r="M96" s="41"/>
      <c r="N96" s="41"/>
      <c r="O96" s="41"/>
      <c r="P96" s="38" t="s">
        <v>161</v>
      </c>
      <c r="Q96" s="38">
        <v>65000</v>
      </c>
      <c r="R96" s="38" t="s">
        <v>33</v>
      </c>
      <c r="S96" s="38">
        <v>65000</v>
      </c>
      <c r="T96" s="17">
        <v>28030968</v>
      </c>
      <c r="U96" s="17">
        <v>28063826</v>
      </c>
      <c r="V96" s="38">
        <f>(26945000+27010000)/2</f>
        <v>26977500</v>
      </c>
      <c r="W96" s="38" t="s">
        <v>34</v>
      </c>
      <c r="X96" s="38" t="s">
        <v>34</v>
      </c>
      <c r="Y96" s="41"/>
      <c r="Z96" s="41"/>
      <c r="AA96" s="41"/>
      <c r="AB96" s="41"/>
      <c r="AC96" s="44"/>
      <c r="AD96" s="35"/>
    </row>
    <row r="97" spans="1:30" x14ac:dyDescent="0.15">
      <c r="A97" s="48"/>
      <c r="B97" s="48"/>
      <c r="C97" s="41"/>
      <c r="D97" s="41"/>
      <c r="E97" s="41"/>
      <c r="F97" s="15">
        <v>37386</v>
      </c>
      <c r="G97" s="15">
        <f t="shared" si="17"/>
        <v>0</v>
      </c>
      <c r="H97" s="16">
        <f t="shared" si="18"/>
        <v>1</v>
      </c>
      <c r="I97" s="17" t="s">
        <v>162</v>
      </c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17">
        <v>28068916</v>
      </c>
      <c r="U97" s="17">
        <v>28106302</v>
      </c>
      <c r="V97" s="41"/>
      <c r="W97" s="41"/>
      <c r="X97" s="41"/>
      <c r="Y97" s="41"/>
      <c r="Z97" s="41"/>
      <c r="AA97" s="41"/>
      <c r="AB97" s="41"/>
      <c r="AC97" s="44"/>
      <c r="AD97" s="35"/>
    </row>
    <row r="98" spans="1:30" x14ac:dyDescent="0.15">
      <c r="A98" s="48"/>
      <c r="B98" s="36" t="s">
        <v>35</v>
      </c>
      <c r="C98" s="38">
        <v>5245456</v>
      </c>
      <c r="D98" s="38">
        <v>4310175</v>
      </c>
      <c r="E98" s="38">
        <v>539501</v>
      </c>
      <c r="F98" s="15">
        <v>458763</v>
      </c>
      <c r="G98" s="38"/>
      <c r="H98" s="45"/>
      <c r="I98" s="17" t="s">
        <v>163</v>
      </c>
      <c r="J98" s="38">
        <v>1348</v>
      </c>
      <c r="K98" s="38">
        <v>99</v>
      </c>
      <c r="L98" s="38">
        <v>10</v>
      </c>
      <c r="M98" s="38">
        <v>0</v>
      </c>
      <c r="N98" s="38">
        <v>1</v>
      </c>
      <c r="O98" s="42" t="s">
        <v>164</v>
      </c>
      <c r="P98" s="40" t="s">
        <v>165</v>
      </c>
      <c r="Q98" s="38">
        <v>165000</v>
      </c>
      <c r="R98" s="38" t="s">
        <v>31</v>
      </c>
      <c r="S98" s="38">
        <v>165000</v>
      </c>
      <c r="T98" s="17">
        <v>23433564</v>
      </c>
      <c r="U98" s="17">
        <v>23892327</v>
      </c>
      <c r="V98" s="38">
        <f>(25025000+25190000)/2</f>
        <v>25107500</v>
      </c>
      <c r="W98" s="38">
        <f>V98-T99</f>
        <v>1215172</v>
      </c>
      <c r="X98" s="38">
        <f>U99-V98</f>
        <v>2463891</v>
      </c>
      <c r="Y98" s="38"/>
      <c r="Z98" s="38"/>
      <c r="AA98" s="38"/>
      <c r="AB98" s="38">
        <f>U99-T99</f>
        <v>3679063</v>
      </c>
      <c r="AC98" s="43">
        <f>S98/AB98</f>
        <v>4.484837579568493E-2</v>
      </c>
      <c r="AD98" s="34">
        <v>4</v>
      </c>
    </row>
    <row r="99" spans="1:30" x14ac:dyDescent="0.15">
      <c r="A99" s="48"/>
      <c r="B99" s="48"/>
      <c r="C99" s="41"/>
      <c r="D99" s="41"/>
      <c r="E99" s="41"/>
      <c r="F99" s="15">
        <v>3679063</v>
      </c>
      <c r="G99" s="49"/>
      <c r="H99" s="46"/>
      <c r="I99" s="17" t="s">
        <v>166</v>
      </c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17">
        <v>23892328</v>
      </c>
      <c r="U99" s="17">
        <v>27571391</v>
      </c>
      <c r="V99" s="41"/>
      <c r="W99" s="41"/>
      <c r="X99" s="41"/>
      <c r="Y99" s="41"/>
      <c r="Z99" s="41"/>
      <c r="AA99" s="41"/>
      <c r="AB99" s="41"/>
      <c r="AC99" s="44"/>
      <c r="AD99" s="35"/>
    </row>
    <row r="100" spans="1:30" x14ac:dyDescent="0.15">
      <c r="A100" s="48"/>
      <c r="B100" s="48"/>
      <c r="C100" s="41"/>
      <c r="D100" s="41"/>
      <c r="E100" s="38">
        <v>34796</v>
      </c>
      <c r="F100" s="15">
        <v>32858</v>
      </c>
      <c r="G100" s="49"/>
      <c r="H100" s="46"/>
      <c r="I100" s="17" t="s">
        <v>167</v>
      </c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17">
        <v>27581301</v>
      </c>
      <c r="U100" s="17">
        <v>27614159</v>
      </c>
      <c r="V100" s="41"/>
      <c r="W100" s="41"/>
      <c r="X100" s="41"/>
      <c r="Y100" s="41"/>
      <c r="Z100" s="41"/>
      <c r="AA100" s="41"/>
      <c r="AB100" s="41"/>
      <c r="AC100" s="44"/>
      <c r="AD100" s="35"/>
    </row>
    <row r="101" spans="1:30" x14ac:dyDescent="0.15">
      <c r="A101" s="37"/>
      <c r="B101" s="37"/>
      <c r="C101" s="39"/>
      <c r="D101" s="39"/>
      <c r="E101" s="39"/>
      <c r="F101" s="19">
        <v>37386</v>
      </c>
      <c r="G101" s="50"/>
      <c r="H101" s="47"/>
      <c r="I101" s="20" t="s">
        <v>168</v>
      </c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20">
        <v>27619249</v>
      </c>
      <c r="U101" s="20">
        <v>27656635</v>
      </c>
      <c r="V101" s="39"/>
      <c r="W101" s="39"/>
      <c r="X101" s="39"/>
      <c r="Y101" s="39"/>
      <c r="Z101" s="39"/>
      <c r="AA101" s="39"/>
      <c r="AB101" s="39"/>
      <c r="AC101" s="51"/>
      <c r="AD101" s="52"/>
    </row>
    <row r="102" spans="1:30" x14ac:dyDescent="0.15">
      <c r="A102" s="36">
        <v>18</v>
      </c>
      <c r="B102" s="36" t="s">
        <v>27</v>
      </c>
      <c r="C102" s="38">
        <v>6212594</v>
      </c>
      <c r="D102" s="38">
        <v>6082352</v>
      </c>
      <c r="E102" s="38">
        <v>9079</v>
      </c>
      <c r="F102" s="15">
        <v>600295</v>
      </c>
      <c r="G102" s="15">
        <f t="shared" ref="G102:G105" si="19">ABS(F102-F106)</f>
        <v>187538</v>
      </c>
      <c r="H102" s="16">
        <f t="shared" ref="H102:H105" si="20">F102/F106</f>
        <v>1.4543544991362958</v>
      </c>
      <c r="I102" s="15" t="s">
        <v>169</v>
      </c>
      <c r="J102" s="38">
        <v>2984</v>
      </c>
      <c r="K102" s="38">
        <v>106</v>
      </c>
      <c r="L102" s="38">
        <v>30</v>
      </c>
      <c r="M102" s="38">
        <v>0</v>
      </c>
      <c r="N102" s="38">
        <v>1</v>
      </c>
      <c r="O102" s="42" t="s">
        <v>170</v>
      </c>
      <c r="P102" s="38" t="s">
        <v>171</v>
      </c>
      <c r="Q102" s="38">
        <v>175000</v>
      </c>
      <c r="R102" s="53" t="s">
        <v>31</v>
      </c>
      <c r="S102" s="38">
        <v>175000</v>
      </c>
      <c r="T102" s="15">
        <v>15402346</v>
      </c>
      <c r="U102" s="15">
        <v>16002641</v>
      </c>
      <c r="V102" s="38">
        <f>(17065000+17240000)/2</f>
        <v>17152500</v>
      </c>
      <c r="W102" s="38">
        <f>V102-T103</f>
        <v>1149858</v>
      </c>
      <c r="X102" s="38">
        <f>U103-V102</f>
        <v>4212971</v>
      </c>
      <c r="Y102" s="38">
        <f>W106-W102</f>
        <v>2149023</v>
      </c>
      <c r="Z102" s="38">
        <f>X102-X106</f>
        <v>2544343</v>
      </c>
      <c r="AA102" s="38">
        <f>MIN(Y102:Z102)</f>
        <v>2149023</v>
      </c>
      <c r="AB102" s="38">
        <f>U103-T103</f>
        <v>5362829</v>
      </c>
      <c r="AC102" s="43">
        <f>S102/AB102</f>
        <v>3.2632030594300136E-2</v>
      </c>
      <c r="AD102" s="34">
        <v>5</v>
      </c>
    </row>
    <row r="103" spans="1:30" x14ac:dyDescent="0.15">
      <c r="A103" s="48"/>
      <c r="B103" s="48"/>
      <c r="C103" s="41"/>
      <c r="D103" s="41"/>
      <c r="E103" s="41"/>
      <c r="F103" s="15">
        <v>5362829</v>
      </c>
      <c r="G103" s="15">
        <f t="shared" si="19"/>
        <v>395320</v>
      </c>
      <c r="H103" s="16">
        <f t="shared" si="20"/>
        <v>1.0795811341257762</v>
      </c>
      <c r="I103" s="15" t="s">
        <v>172</v>
      </c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15">
        <v>16002642</v>
      </c>
      <c r="U103" s="15">
        <v>21365471</v>
      </c>
      <c r="V103" s="41"/>
      <c r="W103" s="41"/>
      <c r="X103" s="41"/>
      <c r="Y103" s="41"/>
      <c r="Z103" s="41"/>
      <c r="AA103" s="41"/>
      <c r="AB103" s="41"/>
      <c r="AC103" s="44"/>
      <c r="AD103" s="35"/>
    </row>
    <row r="104" spans="1:30" x14ac:dyDescent="0.15">
      <c r="A104" s="48"/>
      <c r="B104" s="48"/>
      <c r="C104" s="41"/>
      <c r="D104" s="41"/>
      <c r="E104" s="41"/>
      <c r="F104" s="15">
        <v>105629</v>
      </c>
      <c r="G104" s="15">
        <f t="shared" si="19"/>
        <v>17866</v>
      </c>
      <c r="H104" s="16">
        <f t="shared" si="20"/>
        <v>1.203570980937297</v>
      </c>
      <c r="I104" s="15" t="s">
        <v>173</v>
      </c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15">
        <v>21365472</v>
      </c>
      <c r="U104" s="15">
        <v>21471101</v>
      </c>
      <c r="V104" s="41"/>
      <c r="W104" s="41"/>
      <c r="X104" s="41"/>
      <c r="Y104" s="41"/>
      <c r="Z104" s="41"/>
      <c r="AA104" s="41"/>
      <c r="AB104" s="41"/>
      <c r="AC104" s="44"/>
      <c r="AD104" s="35"/>
    </row>
    <row r="105" spans="1:30" x14ac:dyDescent="0.15">
      <c r="A105" s="48"/>
      <c r="B105" s="48"/>
      <c r="C105" s="41"/>
      <c r="D105" s="41"/>
      <c r="E105" s="41"/>
      <c r="F105" s="15">
        <v>132558</v>
      </c>
      <c r="G105" s="15">
        <f t="shared" si="19"/>
        <v>29418</v>
      </c>
      <c r="H105" s="16">
        <f t="shared" si="20"/>
        <v>1.2852239674229202</v>
      </c>
      <c r="I105" s="15" t="s">
        <v>174</v>
      </c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15">
        <v>21471899</v>
      </c>
      <c r="U105" s="15">
        <v>21604457</v>
      </c>
      <c r="V105" s="41"/>
      <c r="W105" s="41"/>
      <c r="X105" s="41"/>
      <c r="Y105" s="41"/>
      <c r="Z105" s="41"/>
      <c r="AA105" s="41"/>
      <c r="AB105" s="41"/>
      <c r="AC105" s="44"/>
      <c r="AD105" s="35"/>
    </row>
    <row r="106" spans="1:30" x14ac:dyDescent="0.15">
      <c r="A106" s="48"/>
      <c r="B106" s="36" t="s">
        <v>35</v>
      </c>
      <c r="C106" s="38">
        <v>5582616</v>
      </c>
      <c r="D106" s="38">
        <v>5461351</v>
      </c>
      <c r="E106" s="38">
        <v>9079</v>
      </c>
      <c r="F106" s="15">
        <v>412757</v>
      </c>
      <c r="G106" s="38"/>
      <c r="H106" s="45"/>
      <c r="I106" s="15" t="s">
        <v>175</v>
      </c>
      <c r="J106" s="38">
        <v>2788</v>
      </c>
      <c r="K106" s="38">
        <v>116</v>
      </c>
      <c r="L106" s="38">
        <v>20</v>
      </c>
      <c r="M106" s="38">
        <v>0</v>
      </c>
      <c r="N106" s="38">
        <v>2</v>
      </c>
      <c r="O106" s="42" t="s">
        <v>176</v>
      </c>
      <c r="P106" s="38" t="s">
        <v>177</v>
      </c>
      <c r="Q106" s="38">
        <v>230000</v>
      </c>
      <c r="R106" s="38" t="s">
        <v>31</v>
      </c>
      <c r="S106" s="38">
        <v>230000</v>
      </c>
      <c r="T106" s="15">
        <v>15553361</v>
      </c>
      <c r="U106" s="15">
        <v>15966118</v>
      </c>
      <c r="V106" s="38">
        <f>(19150000+19380000)/2</f>
        <v>19265000</v>
      </c>
      <c r="W106" s="38">
        <f>V106-T107</f>
        <v>3298881</v>
      </c>
      <c r="X106" s="38">
        <f>U107-V106</f>
        <v>1668628</v>
      </c>
      <c r="Y106" s="38"/>
      <c r="Z106" s="38"/>
      <c r="AA106" s="38"/>
      <c r="AB106" s="38">
        <f>U107-T107</f>
        <v>4967509</v>
      </c>
      <c r="AC106" s="43">
        <f>S106/AB106</f>
        <v>4.6300872328565487E-2</v>
      </c>
      <c r="AD106" s="34">
        <v>5</v>
      </c>
    </row>
    <row r="107" spans="1:30" x14ac:dyDescent="0.15">
      <c r="A107" s="48"/>
      <c r="B107" s="48"/>
      <c r="C107" s="41"/>
      <c r="D107" s="41"/>
      <c r="E107" s="41"/>
      <c r="F107" s="15">
        <v>4967509</v>
      </c>
      <c r="G107" s="49"/>
      <c r="H107" s="46"/>
      <c r="I107" s="15" t="s">
        <v>178</v>
      </c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15">
        <v>15966119</v>
      </c>
      <c r="U107" s="15">
        <v>20933628</v>
      </c>
      <c r="V107" s="41"/>
      <c r="W107" s="41"/>
      <c r="X107" s="41"/>
      <c r="Y107" s="41"/>
      <c r="Z107" s="41"/>
      <c r="AA107" s="41"/>
      <c r="AB107" s="41"/>
      <c r="AC107" s="44"/>
      <c r="AD107" s="35"/>
    </row>
    <row r="108" spans="1:30" x14ac:dyDescent="0.15">
      <c r="A108" s="48"/>
      <c r="B108" s="48"/>
      <c r="C108" s="41"/>
      <c r="D108" s="41"/>
      <c r="E108" s="41"/>
      <c r="F108" s="15">
        <v>87763</v>
      </c>
      <c r="G108" s="49"/>
      <c r="H108" s="46"/>
      <c r="I108" s="15" t="s">
        <v>179</v>
      </c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15">
        <v>20933629</v>
      </c>
      <c r="U108" s="15">
        <v>21021392</v>
      </c>
      <c r="V108" s="41"/>
      <c r="W108" s="41"/>
      <c r="X108" s="41"/>
      <c r="Y108" s="41"/>
      <c r="Z108" s="41"/>
      <c r="AA108" s="41"/>
      <c r="AB108" s="41"/>
      <c r="AC108" s="44"/>
      <c r="AD108" s="35"/>
    </row>
    <row r="109" spans="1:30" x14ac:dyDescent="0.15">
      <c r="A109" s="37"/>
      <c r="B109" s="37"/>
      <c r="C109" s="39"/>
      <c r="D109" s="39"/>
      <c r="E109" s="39"/>
      <c r="F109" s="19">
        <v>103140</v>
      </c>
      <c r="G109" s="50"/>
      <c r="H109" s="47"/>
      <c r="I109" s="19" t="s">
        <v>180</v>
      </c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19">
        <v>21022190</v>
      </c>
      <c r="U109" s="19">
        <v>21125330</v>
      </c>
      <c r="V109" s="39"/>
      <c r="W109" s="39"/>
      <c r="X109" s="39"/>
      <c r="Y109" s="39"/>
      <c r="Z109" s="39"/>
      <c r="AA109" s="39"/>
      <c r="AB109" s="39"/>
      <c r="AC109" s="51"/>
      <c r="AD109" s="52"/>
    </row>
    <row r="110" spans="1:30" x14ac:dyDescent="0.15">
      <c r="A110" s="36">
        <v>19</v>
      </c>
      <c r="B110" s="36" t="s">
        <v>27</v>
      </c>
      <c r="C110" s="38">
        <v>5565157</v>
      </c>
      <c r="D110" s="38">
        <v>5337929</v>
      </c>
      <c r="E110" s="15">
        <v>212527</v>
      </c>
      <c r="F110" s="15">
        <v>141403</v>
      </c>
      <c r="G110" s="15">
        <f t="shared" ref="G110:G113" si="21">ABS(F110-F115)</f>
        <v>17195</v>
      </c>
      <c r="H110" s="16">
        <f t="shared" ref="H110:H113" si="22">F110/F115</f>
        <v>1.1384371377044957</v>
      </c>
      <c r="I110" s="17" t="s">
        <v>181</v>
      </c>
      <c r="J110" s="38">
        <v>1960</v>
      </c>
      <c r="K110" s="38">
        <v>108</v>
      </c>
      <c r="L110" s="38">
        <v>12</v>
      </c>
      <c r="M110" s="38">
        <v>0</v>
      </c>
      <c r="N110" s="38">
        <v>1</v>
      </c>
      <c r="O110" s="42" t="s">
        <v>182</v>
      </c>
      <c r="P110" s="38" t="s">
        <v>183</v>
      </c>
      <c r="Q110" s="38">
        <v>185000</v>
      </c>
      <c r="R110" s="38" t="s">
        <v>31</v>
      </c>
      <c r="S110" s="38">
        <v>185000</v>
      </c>
      <c r="T110" s="17">
        <v>24587808</v>
      </c>
      <c r="U110" s="17">
        <v>24729211</v>
      </c>
      <c r="V110" s="38">
        <f>(26295000+26480000)/2</f>
        <v>26387500</v>
      </c>
      <c r="W110" s="38">
        <f>V110-T113</f>
        <v>625081</v>
      </c>
      <c r="X110" s="38">
        <f>U113-V110</f>
        <v>3066209</v>
      </c>
      <c r="Y110" s="38">
        <f>W110-W115</f>
        <v>153571</v>
      </c>
      <c r="Z110" s="38">
        <f>X115-X110</f>
        <v>430553</v>
      </c>
      <c r="AA110" s="38">
        <f>MIN(Y110:Z110)</f>
        <v>153571</v>
      </c>
      <c r="AB110" s="38">
        <f>U113-T113</f>
        <v>3691290</v>
      </c>
      <c r="AC110" s="43">
        <f>S110/AB110</f>
        <v>5.0117980435024072E-2</v>
      </c>
      <c r="AD110" s="34">
        <v>6</v>
      </c>
    </row>
    <row r="111" spans="1:30" x14ac:dyDescent="0.15">
      <c r="A111" s="48"/>
      <c r="B111" s="48"/>
      <c r="C111" s="41"/>
      <c r="D111" s="41"/>
      <c r="E111" s="15">
        <v>6847</v>
      </c>
      <c r="F111" s="15">
        <v>501770</v>
      </c>
      <c r="G111" s="15">
        <f t="shared" si="21"/>
        <v>36624</v>
      </c>
      <c r="H111" s="16">
        <f t="shared" si="22"/>
        <v>0.93197546778010154</v>
      </c>
      <c r="I111" s="17" t="s">
        <v>184</v>
      </c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17">
        <v>24740887</v>
      </c>
      <c r="U111" s="17">
        <v>25242657</v>
      </c>
      <c r="V111" s="41"/>
      <c r="W111" s="41"/>
      <c r="X111" s="41"/>
      <c r="Y111" s="41"/>
      <c r="Z111" s="41"/>
      <c r="AA111" s="41"/>
      <c r="AB111" s="41"/>
      <c r="AC111" s="44"/>
      <c r="AD111" s="35"/>
    </row>
    <row r="112" spans="1:30" x14ac:dyDescent="0.15">
      <c r="A112" s="48"/>
      <c r="B112" s="48"/>
      <c r="C112" s="41"/>
      <c r="D112" s="41"/>
      <c r="E112" s="15">
        <v>38384</v>
      </c>
      <c r="F112" s="15">
        <v>341941</v>
      </c>
      <c r="G112" s="15">
        <f t="shared" si="21"/>
        <v>51809</v>
      </c>
      <c r="H112" s="16">
        <f t="shared" si="22"/>
        <v>0.86842158730158725</v>
      </c>
      <c r="I112" s="17" t="s">
        <v>185</v>
      </c>
      <c r="J112" s="41"/>
      <c r="K112" s="41"/>
      <c r="L112" s="41"/>
      <c r="M112" s="41"/>
      <c r="N112" s="41"/>
      <c r="O112" s="41"/>
      <c r="P112" s="40" t="s">
        <v>186</v>
      </c>
      <c r="Q112" s="38">
        <v>90000</v>
      </c>
      <c r="R112" s="38" t="s">
        <v>33</v>
      </c>
      <c r="S112" s="38">
        <f>28470000-28380000</f>
        <v>90000</v>
      </c>
      <c r="T112" s="17">
        <v>25289235</v>
      </c>
      <c r="U112" s="17">
        <v>25631176</v>
      </c>
      <c r="V112" s="38">
        <f>(28380000+28470000)/2</f>
        <v>28425000</v>
      </c>
      <c r="W112" s="38" t="s">
        <v>34</v>
      </c>
      <c r="X112" s="38" t="s">
        <v>34</v>
      </c>
      <c r="Y112" s="41"/>
      <c r="Z112" s="41"/>
      <c r="AA112" s="41"/>
      <c r="AB112" s="41"/>
      <c r="AC112" s="44"/>
      <c r="AD112" s="35"/>
    </row>
    <row r="113" spans="1:30" x14ac:dyDescent="0.15">
      <c r="A113" s="48"/>
      <c r="B113" s="48"/>
      <c r="C113" s="41"/>
      <c r="D113" s="41"/>
      <c r="E113" s="15">
        <v>131945</v>
      </c>
      <c r="F113" s="38">
        <v>3690478</v>
      </c>
      <c r="G113" s="38">
        <f t="shared" si="21"/>
        <v>276982</v>
      </c>
      <c r="H113" s="45">
        <f t="shared" si="22"/>
        <v>0.93018656772847108</v>
      </c>
      <c r="I113" s="40" t="s">
        <v>187</v>
      </c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0">
        <v>25762419</v>
      </c>
      <c r="U113" s="40">
        <v>29453709</v>
      </c>
      <c r="V113" s="41"/>
      <c r="W113" s="41"/>
      <c r="X113" s="41"/>
      <c r="Y113" s="41"/>
      <c r="Z113" s="41"/>
      <c r="AA113" s="41"/>
      <c r="AB113" s="41"/>
      <c r="AC113" s="44"/>
      <c r="AD113" s="35"/>
    </row>
    <row r="114" spans="1:30" x14ac:dyDescent="0.15">
      <c r="A114" s="48"/>
      <c r="B114" s="48"/>
      <c r="C114" s="41"/>
      <c r="D114" s="41"/>
      <c r="E114" s="15">
        <v>486667</v>
      </c>
      <c r="F114" s="41"/>
      <c r="G114" s="49"/>
      <c r="H114" s="46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4"/>
      <c r="AD114" s="35"/>
    </row>
    <row r="115" spans="1:30" x14ac:dyDescent="0.15">
      <c r="A115" s="48"/>
      <c r="B115" s="36" t="s">
        <v>35</v>
      </c>
      <c r="C115" s="38">
        <v>5908338</v>
      </c>
      <c r="D115" s="38">
        <v>5683005</v>
      </c>
      <c r="E115" s="15">
        <v>212499</v>
      </c>
      <c r="F115" s="15">
        <v>124208</v>
      </c>
      <c r="G115" s="38"/>
      <c r="H115" s="45"/>
      <c r="I115" s="17" t="s">
        <v>188</v>
      </c>
      <c r="J115" s="38">
        <v>2250</v>
      </c>
      <c r="K115" s="38">
        <v>104</v>
      </c>
      <c r="L115" s="38">
        <v>8</v>
      </c>
      <c r="M115" s="38">
        <v>0</v>
      </c>
      <c r="N115" s="38">
        <v>2</v>
      </c>
      <c r="O115" s="42" t="s">
        <v>189</v>
      </c>
      <c r="P115" s="40" t="s">
        <v>190</v>
      </c>
      <c r="Q115" s="38">
        <v>425000</v>
      </c>
      <c r="R115" s="38" t="s">
        <v>31</v>
      </c>
      <c r="S115" s="38">
        <v>425000</v>
      </c>
      <c r="T115" s="17">
        <v>24565219</v>
      </c>
      <c r="U115" s="17">
        <v>24689427</v>
      </c>
      <c r="V115" s="38">
        <f>(26060000+26485000)/2</f>
        <v>26272500</v>
      </c>
      <c r="W115" s="38">
        <f>V115-T118</f>
        <v>471510</v>
      </c>
      <c r="X115" s="38">
        <f>U118-V115</f>
        <v>3496762</v>
      </c>
      <c r="Y115" s="38"/>
      <c r="Z115" s="38"/>
      <c r="AA115" s="38"/>
      <c r="AB115" s="38">
        <f>U118-T118</f>
        <v>3968272</v>
      </c>
      <c r="AC115" s="43">
        <f>S115/AB115</f>
        <v>0.10709951333981138</v>
      </c>
      <c r="AD115" s="34">
        <v>6</v>
      </c>
    </row>
    <row r="116" spans="1:30" x14ac:dyDescent="0.15">
      <c r="A116" s="48"/>
      <c r="B116" s="48"/>
      <c r="C116" s="41"/>
      <c r="D116" s="41"/>
      <c r="E116" s="15">
        <v>2216</v>
      </c>
      <c r="F116" s="15">
        <v>538394</v>
      </c>
      <c r="G116" s="49"/>
      <c r="H116" s="46"/>
      <c r="I116" s="17" t="s">
        <v>191</v>
      </c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17">
        <v>24696473</v>
      </c>
      <c r="U116" s="17">
        <v>25234867</v>
      </c>
      <c r="V116" s="41"/>
      <c r="W116" s="41"/>
      <c r="X116" s="41"/>
      <c r="Y116" s="41"/>
      <c r="Z116" s="41"/>
      <c r="AA116" s="41"/>
      <c r="AB116" s="41"/>
      <c r="AC116" s="44"/>
      <c r="AD116" s="35"/>
    </row>
    <row r="117" spans="1:30" x14ac:dyDescent="0.15">
      <c r="A117" s="48"/>
      <c r="B117" s="48"/>
      <c r="C117" s="41"/>
      <c r="D117" s="41"/>
      <c r="E117" s="15">
        <v>40540</v>
      </c>
      <c r="F117" s="15">
        <v>393750</v>
      </c>
      <c r="G117" s="49"/>
      <c r="H117" s="46"/>
      <c r="I117" s="17" t="s">
        <v>192</v>
      </c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17">
        <v>25281444</v>
      </c>
      <c r="U117" s="17">
        <v>25675194</v>
      </c>
      <c r="V117" s="41"/>
      <c r="W117" s="41"/>
      <c r="X117" s="41"/>
      <c r="Y117" s="41"/>
      <c r="Z117" s="41"/>
      <c r="AA117" s="41"/>
      <c r="AB117" s="41"/>
      <c r="AC117" s="44"/>
      <c r="AD117" s="35"/>
    </row>
    <row r="118" spans="1:30" x14ac:dyDescent="0.15">
      <c r="A118" s="48"/>
      <c r="B118" s="48"/>
      <c r="C118" s="41"/>
      <c r="D118" s="41"/>
      <c r="E118" s="15">
        <v>126498</v>
      </c>
      <c r="F118" s="38">
        <v>3967460</v>
      </c>
      <c r="G118" s="49"/>
      <c r="H118" s="46"/>
      <c r="I118" s="40" t="s">
        <v>193</v>
      </c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0">
        <v>25800990</v>
      </c>
      <c r="U118" s="40">
        <v>29769262</v>
      </c>
      <c r="V118" s="41"/>
      <c r="W118" s="41"/>
      <c r="X118" s="41"/>
      <c r="Y118" s="41"/>
      <c r="Z118" s="41"/>
      <c r="AA118" s="41"/>
      <c r="AB118" s="41"/>
      <c r="AC118" s="44"/>
      <c r="AD118" s="35"/>
    </row>
    <row r="119" spans="1:30" x14ac:dyDescent="0.15">
      <c r="A119" s="37"/>
      <c r="B119" s="37"/>
      <c r="C119" s="39"/>
      <c r="D119" s="39"/>
      <c r="E119" s="19">
        <v>491734</v>
      </c>
      <c r="F119" s="39"/>
      <c r="G119" s="50"/>
      <c r="H119" s="47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51"/>
      <c r="AD119" s="52"/>
    </row>
    <row r="120" spans="1:30" x14ac:dyDescent="0.15">
      <c r="A120" s="36">
        <v>20</v>
      </c>
      <c r="B120" s="36" t="s">
        <v>27</v>
      </c>
      <c r="C120" s="38">
        <v>5929395</v>
      </c>
      <c r="D120" s="38">
        <v>4002662</v>
      </c>
      <c r="E120" s="15">
        <v>428944</v>
      </c>
      <c r="F120" s="15">
        <v>431661</v>
      </c>
      <c r="G120" s="15">
        <f t="shared" ref="G120:G122" si="23">ABS(F120-F123)</f>
        <v>90277</v>
      </c>
      <c r="H120" s="16">
        <f t="shared" ref="H120:H122" si="24">F120/F123</f>
        <v>0.82703501182132744</v>
      </c>
      <c r="I120" s="17" t="s">
        <v>194</v>
      </c>
      <c r="J120" s="38">
        <v>859</v>
      </c>
      <c r="K120" s="38">
        <v>107</v>
      </c>
      <c r="L120" s="38">
        <v>15</v>
      </c>
      <c r="M120" s="38">
        <v>0</v>
      </c>
      <c r="N120" s="38">
        <v>1</v>
      </c>
      <c r="O120" s="42" t="s">
        <v>195</v>
      </c>
      <c r="P120" s="38" t="s">
        <v>196</v>
      </c>
      <c r="Q120" s="38">
        <v>135000</v>
      </c>
      <c r="R120" s="38" t="s">
        <v>31</v>
      </c>
      <c r="S120" s="38">
        <v>135000</v>
      </c>
      <c r="T120" s="17">
        <v>26365961</v>
      </c>
      <c r="U120" s="17">
        <v>26797622</v>
      </c>
      <c r="V120" s="38">
        <f>(28775000+28910000)/2</f>
        <v>28842500</v>
      </c>
      <c r="W120" s="38">
        <f>V120-T121</f>
        <v>2044873</v>
      </c>
      <c r="X120" s="38">
        <f>U121-V120</f>
        <v>266080</v>
      </c>
      <c r="Y120" s="38">
        <f>W120-W123</f>
        <v>1130443</v>
      </c>
      <c r="Z120" s="38">
        <f>X123-X120</f>
        <v>993652</v>
      </c>
      <c r="AA120" s="38">
        <f>MIN(Y120:Z120)</f>
        <v>993652</v>
      </c>
      <c r="AB120" s="38">
        <f>U121-T121</f>
        <v>2310953</v>
      </c>
      <c r="AC120" s="43">
        <f>S120/AB120</f>
        <v>5.8417458078982999E-2</v>
      </c>
      <c r="AD120" s="34">
        <v>4</v>
      </c>
    </row>
    <row r="121" spans="1:30" x14ac:dyDescent="0.15">
      <c r="A121" s="48"/>
      <c r="B121" s="48"/>
      <c r="C121" s="41"/>
      <c r="D121" s="41"/>
      <c r="E121" s="38">
        <v>260629</v>
      </c>
      <c r="F121" s="15">
        <v>2310953</v>
      </c>
      <c r="G121" s="15">
        <f t="shared" si="23"/>
        <v>136791</v>
      </c>
      <c r="H121" s="16">
        <f t="shared" si="24"/>
        <v>1.062916654784694</v>
      </c>
      <c r="I121" s="17" t="s">
        <v>197</v>
      </c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17">
        <v>26797627</v>
      </c>
      <c r="U121" s="17">
        <v>29108580</v>
      </c>
      <c r="V121" s="41"/>
      <c r="W121" s="41"/>
      <c r="X121" s="41"/>
      <c r="Y121" s="41"/>
      <c r="Z121" s="41"/>
      <c r="AA121" s="41"/>
      <c r="AB121" s="41"/>
      <c r="AC121" s="44"/>
      <c r="AD121" s="35"/>
    </row>
    <row r="122" spans="1:30" x14ac:dyDescent="0.15">
      <c r="A122" s="48"/>
      <c r="B122" s="48"/>
      <c r="C122" s="41"/>
      <c r="D122" s="41"/>
      <c r="E122" s="41"/>
      <c r="F122" s="15">
        <v>430789</v>
      </c>
      <c r="G122" s="15">
        <f t="shared" si="23"/>
        <v>9561</v>
      </c>
      <c r="H122" s="16">
        <f t="shared" si="24"/>
        <v>1.0226979213157721</v>
      </c>
      <c r="I122" s="17" t="s">
        <v>198</v>
      </c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17">
        <v>29108581</v>
      </c>
      <c r="U122" s="17">
        <v>29539370</v>
      </c>
      <c r="V122" s="41"/>
      <c r="W122" s="41"/>
      <c r="X122" s="41"/>
      <c r="Y122" s="41"/>
      <c r="Z122" s="41"/>
      <c r="AA122" s="41"/>
      <c r="AB122" s="41"/>
      <c r="AC122" s="44"/>
      <c r="AD122" s="35"/>
    </row>
    <row r="123" spans="1:30" x14ac:dyDescent="0.15">
      <c r="A123" s="48"/>
      <c r="B123" s="36" t="s">
        <v>35</v>
      </c>
      <c r="C123" s="38">
        <v>6047852</v>
      </c>
      <c r="D123" s="38">
        <v>4124212</v>
      </c>
      <c r="E123" s="15">
        <v>434388</v>
      </c>
      <c r="F123" s="15">
        <v>521938</v>
      </c>
      <c r="G123" s="38"/>
      <c r="H123" s="45"/>
      <c r="I123" s="17" t="s">
        <v>199</v>
      </c>
      <c r="J123" s="38">
        <v>809</v>
      </c>
      <c r="K123" s="38">
        <v>101</v>
      </c>
      <c r="L123" s="38">
        <v>9</v>
      </c>
      <c r="M123" s="38">
        <v>0</v>
      </c>
      <c r="N123" s="38">
        <v>1</v>
      </c>
      <c r="O123" s="42" t="s">
        <v>200</v>
      </c>
      <c r="P123" s="40" t="s">
        <v>201</v>
      </c>
      <c r="Q123" s="38">
        <v>250000</v>
      </c>
      <c r="R123" s="38" t="s">
        <v>31</v>
      </c>
      <c r="S123" s="38">
        <v>250000</v>
      </c>
      <c r="T123" s="17">
        <v>26403627</v>
      </c>
      <c r="U123" s="17">
        <v>26925565</v>
      </c>
      <c r="V123" s="38">
        <f>(27715000+27965000)/2</f>
        <v>27840000</v>
      </c>
      <c r="W123" s="38">
        <f>V123-T124</f>
        <v>914430</v>
      </c>
      <c r="X123" s="38">
        <f>U124-V123</f>
        <v>1259732</v>
      </c>
      <c r="Y123" s="38"/>
      <c r="Z123" s="38"/>
      <c r="AA123" s="38"/>
      <c r="AB123" s="38">
        <f>U124-T124</f>
        <v>2174162</v>
      </c>
      <c r="AC123" s="43">
        <f>S123/AB123</f>
        <v>0.1149868317080328</v>
      </c>
      <c r="AD123" s="34">
        <v>4</v>
      </c>
    </row>
    <row r="124" spans="1:30" x14ac:dyDescent="0.15">
      <c r="A124" s="48"/>
      <c r="B124" s="48"/>
      <c r="C124" s="41"/>
      <c r="D124" s="41"/>
      <c r="E124" s="38">
        <v>279036</v>
      </c>
      <c r="F124" s="15">
        <v>2174162</v>
      </c>
      <c r="G124" s="49"/>
      <c r="H124" s="46"/>
      <c r="I124" s="17" t="s">
        <v>202</v>
      </c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17">
        <v>26925570</v>
      </c>
      <c r="U124" s="17">
        <v>29099732</v>
      </c>
      <c r="V124" s="41"/>
      <c r="W124" s="41"/>
      <c r="X124" s="41"/>
      <c r="Y124" s="41"/>
      <c r="Z124" s="41"/>
      <c r="AA124" s="41"/>
      <c r="AB124" s="41"/>
      <c r="AC124" s="44"/>
      <c r="AD124" s="35"/>
    </row>
    <row r="125" spans="1:30" x14ac:dyDescent="0.15">
      <c r="A125" s="37"/>
      <c r="B125" s="37"/>
      <c r="C125" s="39"/>
      <c r="D125" s="39"/>
      <c r="E125" s="39"/>
      <c r="F125" s="19">
        <v>421228</v>
      </c>
      <c r="G125" s="50"/>
      <c r="H125" s="47"/>
      <c r="I125" s="20" t="s">
        <v>203</v>
      </c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20">
        <v>29099733</v>
      </c>
      <c r="U125" s="20">
        <v>29520961</v>
      </c>
      <c r="V125" s="39"/>
      <c r="W125" s="39"/>
      <c r="X125" s="39"/>
      <c r="Y125" s="39"/>
      <c r="Z125" s="39"/>
      <c r="AA125" s="39"/>
      <c r="AB125" s="39"/>
      <c r="AC125" s="51"/>
      <c r="AD125" s="52"/>
    </row>
    <row r="126" spans="1:30" x14ac:dyDescent="0.15">
      <c r="A126" s="36">
        <v>21</v>
      </c>
      <c r="B126" s="36" t="s">
        <v>27</v>
      </c>
      <c r="C126" s="38">
        <v>4016644</v>
      </c>
      <c r="D126" s="38">
        <v>1942433</v>
      </c>
      <c r="E126" s="15">
        <v>438025</v>
      </c>
      <c r="F126" s="38">
        <v>1228513</v>
      </c>
      <c r="G126" s="38">
        <f>ABS(F126-F130)</f>
        <v>885063</v>
      </c>
      <c r="H126" s="45">
        <f>F126/F130</f>
        <v>3.5769777260154316</v>
      </c>
      <c r="I126" s="40" t="s">
        <v>204</v>
      </c>
      <c r="J126" s="38">
        <v>687</v>
      </c>
      <c r="K126" s="38">
        <v>113</v>
      </c>
      <c r="L126" s="38">
        <v>11</v>
      </c>
      <c r="M126" s="38">
        <v>0</v>
      </c>
      <c r="N126" s="38">
        <v>1</v>
      </c>
      <c r="O126" s="42" t="s">
        <v>205</v>
      </c>
      <c r="P126" s="40" t="s">
        <v>206</v>
      </c>
      <c r="Q126" s="38">
        <v>80000</v>
      </c>
      <c r="R126" s="38" t="s">
        <v>31</v>
      </c>
      <c r="S126" s="38">
        <v>80000</v>
      </c>
      <c r="T126" s="38">
        <v>5735843</v>
      </c>
      <c r="U126" s="38">
        <v>6964356</v>
      </c>
      <c r="V126" s="38">
        <f>(5960000+6040000)/2</f>
        <v>6000000</v>
      </c>
      <c r="W126" s="38">
        <f>V126-T126</f>
        <v>264157</v>
      </c>
      <c r="X126" s="38">
        <f>U126-V126</f>
        <v>964356</v>
      </c>
      <c r="Y126" s="38">
        <f t="shared" ref="Y126:Z126" si="25">W126-W130</f>
        <v>119508</v>
      </c>
      <c r="Z126" s="38">
        <f t="shared" si="25"/>
        <v>765555</v>
      </c>
      <c r="AA126" s="38">
        <f>MIN(Y126:Z126)</f>
        <v>119508</v>
      </c>
      <c r="AB126" s="38">
        <f>U126-T126</f>
        <v>1228513</v>
      </c>
      <c r="AC126" s="43">
        <f>S126/AB126</f>
        <v>6.5119376026138917E-2</v>
      </c>
      <c r="AD126" s="34">
        <v>3</v>
      </c>
    </row>
    <row r="127" spans="1:30" x14ac:dyDescent="0.15">
      <c r="A127" s="48"/>
      <c r="B127" s="48"/>
      <c r="C127" s="41"/>
      <c r="D127" s="41"/>
      <c r="E127" s="15">
        <v>135879</v>
      </c>
      <c r="F127" s="41"/>
      <c r="G127" s="49"/>
      <c r="H127" s="46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4"/>
      <c r="AD127" s="35"/>
    </row>
    <row r="128" spans="1:30" x14ac:dyDescent="0.15">
      <c r="A128" s="48"/>
      <c r="B128" s="48"/>
      <c r="C128" s="41"/>
      <c r="D128" s="41"/>
      <c r="E128" s="15">
        <v>333424</v>
      </c>
      <c r="F128" s="41"/>
      <c r="G128" s="49"/>
      <c r="H128" s="46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4"/>
      <c r="AD128" s="35"/>
    </row>
    <row r="129" spans="1:30" x14ac:dyDescent="0.15">
      <c r="A129" s="48"/>
      <c r="B129" s="48"/>
      <c r="C129" s="41"/>
      <c r="D129" s="41"/>
      <c r="E129" s="15">
        <v>35084</v>
      </c>
      <c r="F129" s="41"/>
      <c r="G129" s="49"/>
      <c r="H129" s="46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4"/>
      <c r="AD129" s="35"/>
    </row>
    <row r="130" spans="1:30" x14ac:dyDescent="0.15">
      <c r="A130" s="48"/>
      <c r="B130" s="36" t="s">
        <v>35</v>
      </c>
      <c r="C130" s="38">
        <v>3172644</v>
      </c>
      <c r="D130" s="38">
        <v>995854</v>
      </c>
      <c r="E130" s="15">
        <v>383071</v>
      </c>
      <c r="F130" s="38">
        <v>343450</v>
      </c>
      <c r="G130" s="49"/>
      <c r="H130" s="46"/>
      <c r="I130" s="40" t="s">
        <v>207</v>
      </c>
      <c r="J130" s="38">
        <v>197</v>
      </c>
      <c r="K130" s="38">
        <v>105</v>
      </c>
      <c r="L130" s="38">
        <v>3</v>
      </c>
      <c r="M130" s="38">
        <v>0</v>
      </c>
      <c r="N130" s="38">
        <v>1</v>
      </c>
      <c r="O130" s="42" t="s">
        <v>208</v>
      </c>
      <c r="P130" s="40" t="s">
        <v>209</v>
      </c>
      <c r="Q130" s="38">
        <v>135000</v>
      </c>
      <c r="R130" s="38" t="s">
        <v>31</v>
      </c>
      <c r="S130" s="38">
        <v>135000</v>
      </c>
      <c r="T130" s="38">
        <v>10962851</v>
      </c>
      <c r="U130" s="38">
        <v>11306301</v>
      </c>
      <c r="V130" s="38">
        <f>(11040000+11175000)/2</f>
        <v>11107500</v>
      </c>
      <c r="W130" s="38">
        <f>V130-T130</f>
        <v>144649</v>
      </c>
      <c r="X130" s="38">
        <f>U130-V130</f>
        <v>198801</v>
      </c>
      <c r="Y130" s="38"/>
      <c r="Z130" s="38"/>
      <c r="AA130" s="38"/>
      <c r="AB130" s="38">
        <f>U130-T130</f>
        <v>343450</v>
      </c>
      <c r="AC130" s="43">
        <f>S130/AB130</f>
        <v>0.3930703159120687</v>
      </c>
      <c r="AD130" s="34">
        <v>3</v>
      </c>
    </row>
    <row r="131" spans="1:30" x14ac:dyDescent="0.15">
      <c r="A131" s="48"/>
      <c r="B131" s="48"/>
      <c r="C131" s="41"/>
      <c r="D131" s="41"/>
      <c r="E131" s="15">
        <v>105511</v>
      </c>
      <c r="F131" s="41"/>
      <c r="G131" s="49"/>
      <c r="H131" s="46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4"/>
      <c r="AD131" s="35"/>
    </row>
    <row r="132" spans="1:30" x14ac:dyDescent="0.15">
      <c r="A132" s="48"/>
      <c r="B132" s="48"/>
      <c r="C132" s="41"/>
      <c r="D132" s="41"/>
      <c r="E132" s="15">
        <v>405849</v>
      </c>
      <c r="F132" s="41"/>
      <c r="G132" s="49"/>
      <c r="H132" s="46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4"/>
      <c r="AD132" s="35"/>
    </row>
    <row r="133" spans="1:30" x14ac:dyDescent="0.15">
      <c r="A133" s="37"/>
      <c r="B133" s="37"/>
      <c r="C133" s="39"/>
      <c r="D133" s="39"/>
      <c r="E133" s="19">
        <v>35085</v>
      </c>
      <c r="F133" s="39"/>
      <c r="G133" s="50"/>
      <c r="H133" s="47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51"/>
      <c r="AD133" s="52"/>
    </row>
    <row r="134" spans="1:30" x14ac:dyDescent="0.15">
      <c r="A134" s="36">
        <v>22</v>
      </c>
      <c r="B134" s="36" t="s">
        <v>27</v>
      </c>
      <c r="C134" s="38">
        <v>7750621</v>
      </c>
      <c r="D134" s="38">
        <v>3527507</v>
      </c>
      <c r="E134" s="15">
        <v>439842</v>
      </c>
      <c r="F134" s="38">
        <v>1997082</v>
      </c>
      <c r="G134" s="38">
        <f>ABS(F134-F140)</f>
        <v>924732</v>
      </c>
      <c r="H134" s="45">
        <f>F134/F140</f>
        <v>0.68350757440412013</v>
      </c>
      <c r="I134" s="40" t="s">
        <v>210</v>
      </c>
      <c r="J134" s="38">
        <v>1482</v>
      </c>
      <c r="K134" s="38">
        <v>114</v>
      </c>
      <c r="L134" s="38">
        <v>6</v>
      </c>
      <c r="M134" s="38">
        <v>0</v>
      </c>
      <c r="N134" s="38">
        <v>1</v>
      </c>
      <c r="O134" s="42" t="s">
        <v>211</v>
      </c>
      <c r="P134" s="40" t="s">
        <v>212</v>
      </c>
      <c r="Q134" s="38">
        <v>110000</v>
      </c>
      <c r="R134" s="38" t="s">
        <v>31</v>
      </c>
      <c r="S134" s="38">
        <v>110000</v>
      </c>
      <c r="T134" s="38">
        <v>6406576</v>
      </c>
      <c r="U134" s="38">
        <v>8403658</v>
      </c>
      <c r="V134" s="38">
        <f>(6685000+6795000)/2</f>
        <v>6740000</v>
      </c>
      <c r="W134" s="38">
        <f>V134-T134</f>
        <v>333424</v>
      </c>
      <c r="X134" s="38">
        <f>U134-V134</f>
        <v>1663658</v>
      </c>
      <c r="Y134" s="38">
        <f t="shared" ref="Y134:Z134" si="26">W140-W134</f>
        <v>14554</v>
      </c>
      <c r="Z134" s="38">
        <f t="shared" si="26"/>
        <v>910178</v>
      </c>
      <c r="AA134" s="38">
        <f>MIN(Y134:Z134)</f>
        <v>14554</v>
      </c>
      <c r="AB134" s="38">
        <f>U134-T134</f>
        <v>1997082</v>
      </c>
      <c r="AC134" s="43">
        <f>S134/AB134</f>
        <v>5.5080362248520594E-2</v>
      </c>
      <c r="AD134" s="34">
        <v>3</v>
      </c>
    </row>
    <row r="135" spans="1:30" x14ac:dyDescent="0.15">
      <c r="A135" s="48"/>
      <c r="B135" s="48"/>
      <c r="C135" s="41"/>
      <c r="D135" s="41"/>
      <c r="E135" s="15">
        <v>353196</v>
      </c>
      <c r="F135" s="41"/>
      <c r="G135" s="49"/>
      <c r="H135" s="46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4"/>
      <c r="AD135" s="35"/>
    </row>
    <row r="136" spans="1:30" x14ac:dyDescent="0.15">
      <c r="A136" s="48"/>
      <c r="B136" s="48"/>
      <c r="C136" s="41"/>
      <c r="D136" s="41"/>
      <c r="E136" s="15">
        <v>476373</v>
      </c>
      <c r="F136" s="41"/>
      <c r="G136" s="49"/>
      <c r="H136" s="46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4"/>
      <c r="AD136" s="35"/>
    </row>
    <row r="137" spans="1:30" x14ac:dyDescent="0.15">
      <c r="A137" s="48"/>
      <c r="B137" s="48"/>
      <c r="C137" s="41"/>
      <c r="D137" s="41"/>
      <c r="E137" s="15">
        <v>400560</v>
      </c>
      <c r="F137" s="41"/>
      <c r="G137" s="49"/>
      <c r="H137" s="46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4"/>
      <c r="AD137" s="35"/>
    </row>
    <row r="138" spans="1:30" x14ac:dyDescent="0.15">
      <c r="A138" s="48"/>
      <c r="B138" s="48"/>
      <c r="C138" s="41"/>
      <c r="D138" s="41"/>
      <c r="E138" s="15">
        <v>134604</v>
      </c>
      <c r="F138" s="41"/>
      <c r="G138" s="49"/>
      <c r="H138" s="46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4"/>
      <c r="AD138" s="35"/>
    </row>
    <row r="139" spans="1:30" x14ac:dyDescent="0.15">
      <c r="A139" s="48"/>
      <c r="B139" s="48"/>
      <c r="C139" s="41"/>
      <c r="D139" s="41"/>
      <c r="E139" s="15">
        <v>74809</v>
      </c>
      <c r="F139" s="41"/>
      <c r="G139" s="49"/>
      <c r="H139" s="46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4"/>
      <c r="AD139" s="35"/>
    </row>
    <row r="140" spans="1:30" x14ac:dyDescent="0.15">
      <c r="A140" s="48"/>
      <c r="B140" s="36" t="s">
        <v>35</v>
      </c>
      <c r="C140" s="38">
        <v>8385867</v>
      </c>
      <c r="D140" s="38">
        <v>4171068</v>
      </c>
      <c r="E140" s="15">
        <v>254365</v>
      </c>
      <c r="F140" s="38">
        <v>2921814</v>
      </c>
      <c r="G140" s="49"/>
      <c r="H140" s="46"/>
      <c r="I140" s="40" t="s">
        <v>213</v>
      </c>
      <c r="J140" s="38">
        <v>2157</v>
      </c>
      <c r="K140" s="38">
        <v>110</v>
      </c>
      <c r="L140" s="38">
        <v>2</v>
      </c>
      <c r="M140" s="38">
        <v>0</v>
      </c>
      <c r="N140" s="38">
        <v>1</v>
      </c>
      <c r="O140" s="42" t="s">
        <v>214</v>
      </c>
      <c r="P140" s="40" t="s">
        <v>215</v>
      </c>
      <c r="Q140" s="38">
        <v>60000</v>
      </c>
      <c r="R140" s="38" t="s">
        <v>31</v>
      </c>
      <c r="S140" s="38">
        <f>13230000-13045000</f>
        <v>185000</v>
      </c>
      <c r="T140" s="38">
        <v>12789522</v>
      </c>
      <c r="U140" s="38">
        <v>15711336</v>
      </c>
      <c r="V140" s="38">
        <f>(13045000+ 13230000)/2</f>
        <v>13137500</v>
      </c>
      <c r="W140" s="38">
        <f>V140-T140</f>
        <v>347978</v>
      </c>
      <c r="X140" s="38">
        <f>U140-V140</f>
        <v>2573836</v>
      </c>
      <c r="Y140" s="38"/>
      <c r="Z140" s="38"/>
      <c r="AA140" s="38"/>
      <c r="AB140" s="38">
        <f>U140-T140</f>
        <v>2921814</v>
      </c>
      <c r="AC140" s="43">
        <f>S140/AB140</f>
        <v>6.3316829887186524E-2</v>
      </c>
      <c r="AD140" s="34">
        <v>3</v>
      </c>
    </row>
    <row r="141" spans="1:30" x14ac:dyDescent="0.15">
      <c r="A141" s="48"/>
      <c r="B141" s="48"/>
      <c r="C141" s="41"/>
      <c r="D141" s="41"/>
      <c r="E141" s="15">
        <v>244407</v>
      </c>
      <c r="F141" s="41"/>
      <c r="G141" s="49"/>
      <c r="H141" s="46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4"/>
      <c r="AD141" s="35"/>
    </row>
    <row r="142" spans="1:30" x14ac:dyDescent="0.15">
      <c r="A142" s="48"/>
      <c r="B142" s="48"/>
      <c r="C142" s="41"/>
      <c r="D142" s="41"/>
      <c r="E142" s="15">
        <v>474756</v>
      </c>
      <c r="F142" s="41"/>
      <c r="G142" s="49"/>
      <c r="H142" s="46"/>
      <c r="I142" s="41"/>
      <c r="J142" s="41"/>
      <c r="K142" s="41"/>
      <c r="L142" s="41"/>
      <c r="M142" s="41"/>
      <c r="N142" s="41"/>
      <c r="O142" s="41"/>
      <c r="P142" s="40" t="s">
        <v>216</v>
      </c>
      <c r="Q142" s="38">
        <v>65000</v>
      </c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4"/>
      <c r="AD142" s="35"/>
    </row>
    <row r="143" spans="1:30" x14ac:dyDescent="0.15">
      <c r="A143" s="37"/>
      <c r="B143" s="37"/>
      <c r="C143" s="39"/>
      <c r="D143" s="39"/>
      <c r="E143" s="19">
        <v>74804</v>
      </c>
      <c r="F143" s="39"/>
      <c r="G143" s="50"/>
      <c r="H143" s="47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51"/>
      <c r="AD143" s="52"/>
    </row>
    <row r="144" spans="1:30" x14ac:dyDescent="0.15">
      <c r="A144" s="36" t="s">
        <v>217</v>
      </c>
      <c r="B144" s="36" t="s">
        <v>27</v>
      </c>
      <c r="C144" s="38">
        <v>4095511</v>
      </c>
      <c r="D144" s="38">
        <v>3815529</v>
      </c>
      <c r="E144" s="15">
        <v>455391</v>
      </c>
      <c r="F144" s="38">
        <v>3320410</v>
      </c>
      <c r="G144" s="38">
        <f>ABS(F144-F146)</f>
        <v>211110</v>
      </c>
      <c r="H144" s="45">
        <f>F144/F146</f>
        <v>1.0678963110667996</v>
      </c>
      <c r="I144" s="40" t="s">
        <v>218</v>
      </c>
      <c r="J144" s="38">
        <v>1609</v>
      </c>
      <c r="K144" s="38">
        <v>114</v>
      </c>
      <c r="L144" s="38">
        <v>4</v>
      </c>
      <c r="M144" s="38">
        <v>0</v>
      </c>
      <c r="N144" s="38">
        <v>1</v>
      </c>
      <c r="O144" s="42" t="s">
        <v>219</v>
      </c>
      <c r="P144" s="40" t="s">
        <v>220</v>
      </c>
      <c r="Q144" s="38">
        <v>120000</v>
      </c>
      <c r="R144" s="53" t="s">
        <v>31</v>
      </c>
      <c r="S144" s="38">
        <v>120000</v>
      </c>
      <c r="T144" s="38">
        <v>9013836</v>
      </c>
      <c r="U144" s="38">
        <v>12333563</v>
      </c>
      <c r="V144" s="38">
        <f>(10240000+10360000)/2</f>
        <v>10300000</v>
      </c>
      <c r="W144" s="38">
        <f>V144-T144</f>
        <v>1286164</v>
      </c>
      <c r="X144" s="38">
        <f>U144-V144</f>
        <v>2033563</v>
      </c>
      <c r="Y144" s="38">
        <f>W146-W144</f>
        <v>140331</v>
      </c>
      <c r="Z144" s="38">
        <f>X144-X146</f>
        <v>351272</v>
      </c>
      <c r="AA144" s="38">
        <f>MIN(Y144:Z144)</f>
        <v>140331</v>
      </c>
      <c r="AB144" s="38">
        <f>U144-T144</f>
        <v>3319727</v>
      </c>
      <c r="AC144" s="43">
        <f>S144/AB144</f>
        <v>3.6147550687149879E-2</v>
      </c>
      <c r="AD144" s="34">
        <v>4</v>
      </c>
    </row>
    <row r="145" spans="1:30" x14ac:dyDescent="0.15">
      <c r="A145" s="48"/>
      <c r="B145" s="48"/>
      <c r="C145" s="41"/>
      <c r="D145" s="41"/>
      <c r="E145" s="15">
        <v>315073</v>
      </c>
      <c r="F145" s="41"/>
      <c r="G145" s="49"/>
      <c r="H145" s="46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4"/>
      <c r="AD145" s="35"/>
    </row>
    <row r="146" spans="1:30" x14ac:dyDescent="0.15">
      <c r="A146" s="48"/>
      <c r="B146" s="36" t="s">
        <v>35</v>
      </c>
      <c r="C146" s="38">
        <v>3885106</v>
      </c>
      <c r="D146" s="38">
        <v>3623231</v>
      </c>
      <c r="E146" s="15">
        <v>455407</v>
      </c>
      <c r="F146" s="38">
        <v>3109300</v>
      </c>
      <c r="G146" s="49"/>
      <c r="H146" s="46"/>
      <c r="I146" s="40" t="s">
        <v>221</v>
      </c>
      <c r="J146" s="38">
        <v>1513</v>
      </c>
      <c r="K146" s="38">
        <v>112</v>
      </c>
      <c r="L146" s="38">
        <v>2</v>
      </c>
      <c r="M146" s="38">
        <v>0</v>
      </c>
      <c r="N146" s="38">
        <v>1</v>
      </c>
      <c r="O146" s="42" t="s">
        <v>222</v>
      </c>
      <c r="P146" s="40" t="s">
        <v>223</v>
      </c>
      <c r="Q146" s="38">
        <v>150000</v>
      </c>
      <c r="R146" s="38" t="s">
        <v>31</v>
      </c>
      <c r="S146" s="38">
        <v>150000</v>
      </c>
      <c r="T146" s="38">
        <v>57818505</v>
      </c>
      <c r="U146" s="38">
        <v>60927291</v>
      </c>
      <c r="V146" s="38">
        <f>(59170000+59320000)/2</f>
        <v>59245000</v>
      </c>
      <c r="W146" s="38">
        <f>V146-T146</f>
        <v>1426495</v>
      </c>
      <c r="X146" s="38">
        <f>U146-V146</f>
        <v>1682291</v>
      </c>
      <c r="Y146" s="38"/>
      <c r="Z146" s="38"/>
      <c r="AA146" s="38"/>
      <c r="AB146" s="38">
        <f>U146-T146</f>
        <v>3108786</v>
      </c>
      <c r="AC146" s="43">
        <f>S146/AB146</f>
        <v>4.8250345954980497E-2</v>
      </c>
      <c r="AD146" s="34">
        <v>4</v>
      </c>
    </row>
    <row r="147" spans="1:30" x14ac:dyDescent="0.15">
      <c r="A147" s="37"/>
      <c r="B147" s="37"/>
      <c r="C147" s="39"/>
      <c r="D147" s="39"/>
      <c r="E147" s="19">
        <v>315586</v>
      </c>
      <c r="F147" s="39"/>
      <c r="G147" s="50"/>
      <c r="H147" s="47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51"/>
      <c r="AD147" s="52"/>
    </row>
    <row r="148" spans="1:30" x14ac:dyDescent="0.15">
      <c r="A148" s="36" t="s">
        <v>226</v>
      </c>
      <c r="B148" s="14" t="s">
        <v>27</v>
      </c>
      <c r="C148" s="15">
        <f t="shared" ref="C148:D148" si="27">SUM(C3,C7,C11,C17,C23,C27,C31,C35,C39,C43,C49,C53,C57,C65,C78,C90,C94,C102,C110,C120,C126,C134,C144)</f>
        <v>117921101</v>
      </c>
      <c r="D148" s="15">
        <f t="shared" si="27"/>
        <v>87595226</v>
      </c>
      <c r="E148" s="15">
        <f>SUM(E3:E4,E7:E8,E11:E13,E17,E23:E24,E27:E28,E31:E32,E35:E36,E39:E40,E43:E45,E49,E53:E54,E57:E60,E65:E69,E78:E83,E90:E91,E94:E97,E102,E110:E114,E120:E122,E126:E129,E134:E139,E144:E145)</f>
        <v>16484692</v>
      </c>
      <c r="F148" s="15">
        <f>SUM(F3,F7,F11:F13,F17:F19,F23:F24,F27,F31,F35,F39,F43:F45,F49,F53,F57,F65,F78,F90,F94:F97,F102:F105,F110:F114,F120:F122,F126,F134,F144)</f>
        <v>70694120</v>
      </c>
      <c r="G148" s="38">
        <f>ABS(F148-F149)</f>
        <v>3326165</v>
      </c>
      <c r="H148" s="45">
        <f>F148/F149</f>
        <v>1.0493731032803355</v>
      </c>
      <c r="I148" s="45" t="s">
        <v>34</v>
      </c>
      <c r="J148" s="15">
        <f t="shared" ref="J148:N148" si="28">SUM(J3,J7,J11,J17,J23,J27,J31,J35,J39,J43,J49,J53,J57,J65,J78,J90,J94,J102,J110,J115,J120,J126,J134,J144)</f>
        <v>49206</v>
      </c>
      <c r="K148" s="15">
        <f t="shared" si="28"/>
        <v>2472</v>
      </c>
      <c r="L148" s="15">
        <f t="shared" si="28"/>
        <v>395</v>
      </c>
      <c r="M148" s="15">
        <f t="shared" si="28"/>
        <v>14</v>
      </c>
      <c r="N148" s="15">
        <f t="shared" si="28"/>
        <v>32</v>
      </c>
      <c r="O148" s="45" t="s">
        <v>34</v>
      </c>
      <c r="P148" s="45" t="s">
        <v>34</v>
      </c>
      <c r="Q148" s="15">
        <f>SUM(Q3,Q7,Q11:Q13,Q17,Q23:Q24,Q27,Q31,Q35,Q39,Q43,Q49:Q50,Q53,Q57,Q65,Q78,Q90,Q94,Q102,Q110,Q120,Q126,Q134,Q144)</f>
        <v>3825000</v>
      </c>
      <c r="R148" s="45" t="s">
        <v>34</v>
      </c>
      <c r="S148" s="15">
        <f>SUM(S3,S7,S11,S17,S23,S27,S31,S35,S39,S43,S49,S53,S57,S65,S78,S90,S94,S102,S110,S120,S126,S134,S144)</f>
        <v>4090000</v>
      </c>
      <c r="T148" s="45" t="s">
        <v>34</v>
      </c>
      <c r="U148" s="45" t="s">
        <v>34</v>
      </c>
      <c r="V148" s="45" t="s">
        <v>34</v>
      </c>
      <c r="W148" s="15">
        <f>SUM(W3,W7,W11,W17,W23,W27,W31,W35,W39,W43,W49,W53,W57,W65,W78,W90,W94,W102,W110,W120,W126,W134,W144)</f>
        <v>23436914</v>
      </c>
      <c r="X148" s="15">
        <f>SUM(X3,X7,X11,X17,X23,X27,X31,X35,X39,X43,X49,X53,X57,X65,X78,X90,X94,X102,X110,X120,X126,X134,X144)</f>
        <v>45766059</v>
      </c>
      <c r="Y148" s="38">
        <f>SUM(Y1:Y145)</f>
        <v>13050425</v>
      </c>
      <c r="Z148" s="38">
        <f>SUM(Z1:Z145)</f>
        <v>16902006</v>
      </c>
      <c r="AA148" s="38">
        <f>SUM(AA1:AA145)</f>
        <v>9702251</v>
      </c>
      <c r="AB148" s="15">
        <f>SUM(AB1,AB5,AB9,AB15,AB21,AB25,AB29,AB33,AB37,AB41,AB47,AB51,AB55,AB63,AB76,AB88,AB92,AB100,AB108,AB118,AB124,AB132,AB142,)</f>
        <v>28214008</v>
      </c>
      <c r="AC148" s="18">
        <f>SUM(AC1,AC5,AC9,AC15,AC21,AC25,AC29,AC33,AC37,AC41,AC47,AC51,AC55,AC63,AC76,AC88,AC92,AC100,AC108,AC118,AC124,AC132,AC142,)</f>
        <v>0.75685450746852601</v>
      </c>
      <c r="AD148" s="21">
        <f>SUM(AD1,AD5,AD9,AD15,AD21,AD25,AD29,AD33,AD37,AD41,AD47,AD51,AD55,AD63,AD76,AD88,AD92,AD100,AD108,AD118,AD124,AD132,AD142,)</f>
        <v>36</v>
      </c>
    </row>
    <row r="149" spans="1:30" x14ac:dyDescent="0.15">
      <c r="A149" s="37"/>
      <c r="B149" s="22" t="s">
        <v>35</v>
      </c>
      <c r="C149" s="19">
        <f t="shared" ref="C149:D149" si="29">SUM(C5,C9,C14,C20,C25,C29,C33,C37,C41,C46,C51,C55,C61,C70,C84,C92,C98,C106,C115,C123,C130,C140,C146)</f>
        <v>115477434</v>
      </c>
      <c r="D149" s="19">
        <f t="shared" si="29"/>
        <v>82416599</v>
      </c>
      <c r="E149" s="19">
        <f>SUM(E5:E6,E9:E10,E14:E16,E20,E25:E26,E29:E30,E33:E34,E37:E38,E41:E42,E46:E48,E51,E55:E56,E61:E64,E70:E77,E84:E89,E92:E93,E98:E101,E106,E115:E119,E123:E125,E130:E133,E140:E143,E146:E147)</f>
        <v>17037026</v>
      </c>
      <c r="F149" s="19">
        <f>SUM(F5,F9,F14:F16,F20:F22,F25:F26,F29,F33,F37,F41,F46:F48,F51,F55,F61,F70,F84:F89,F92,F98:F101,F106:F109,F115:F119,F123:F125,F130,F140,F146)</f>
        <v>67367955</v>
      </c>
      <c r="G149" s="50"/>
      <c r="H149" s="47"/>
      <c r="I149" s="39"/>
      <c r="J149" s="19">
        <f t="shared" ref="J149:N149" si="30">SUM(J5,J9,J14,J20,J25,J29,J33,J37,J41,J46,J51,J55,J61,J70,J84,J92,J98,J106,J115,J123,J130,J140,J146)</f>
        <v>43561</v>
      </c>
      <c r="K149" s="19">
        <f t="shared" si="30"/>
        <v>2343</v>
      </c>
      <c r="L149" s="19">
        <f>SUM(L5,L9,L14,L20,L25,L29,L33,L37,L41,L46,L51,L55,L61,L70,L84,L92,L98,L106,L115,L123,L130,L140,L146)</f>
        <v>310</v>
      </c>
      <c r="M149" s="19">
        <f t="shared" si="30"/>
        <v>21</v>
      </c>
      <c r="N149" s="19">
        <f t="shared" si="30"/>
        <v>33</v>
      </c>
      <c r="O149" s="39"/>
      <c r="P149" s="39"/>
      <c r="Q149" s="19">
        <f>SUM(Q5:Q6,Q9,Q14,Q21:Q22,Q25,Q29,Q33,Q37,Q41,Q46,Q51,Q55,Q61:Q63,Q70,Q84,Q92,Q98,Q106,Q115,Q123,Q130,Q140:Q143,Q146)</f>
        <v>4760000</v>
      </c>
      <c r="R149" s="39"/>
      <c r="S149" s="19">
        <f>SUM(S5,S9,S14,S21,S25,S29,S33,S37,S41,S46,S51,S55,S61,S70,S84,S92,S98,S106,S115,S123,S130,S140,S146)</f>
        <v>4920000</v>
      </c>
      <c r="T149" s="39"/>
      <c r="U149" s="39"/>
      <c r="V149" s="39"/>
      <c r="W149" s="19">
        <f>SUM(W5,W9,W14,W21,W25,W29,W33,W37,W41,W46,W51,W55,W61,W70,W84,W92,W98,W106,W115,W123,W130,W140,W146)</f>
        <v>19874169</v>
      </c>
      <c r="X149" s="19">
        <f>SUM(X5,X9,X14,X21,X25,X29,X33,X37,X41,X46,X51,X55,X61,X70,X84,X92,X98,X106,X115,X123,X130,X140,X146)</f>
        <v>40729903</v>
      </c>
      <c r="Y149" s="39"/>
      <c r="Z149" s="39"/>
      <c r="AA149" s="39"/>
      <c r="AB149" s="19">
        <f>SUM(AB3,AB7,AB12,AB18,AB23,AB27,AB31,AB35,AB39,AB44,AB49,AB53,AB59,AB68,AB82,AB90,AB96,AB104,AB113,AB121,AB128,AB138,AB144)</f>
        <v>34739635</v>
      </c>
      <c r="AC149" s="23">
        <f>SUM(AC3,AC7,AC12,AC18,AC23,AC27,AC31,AC35,AC39,AC44,AC49,AC53,AC59,AC68,AC82,AC90,AC96,AC104,AC113,AC121,AC128,AC138,AC144)</f>
        <v>0.73420553044995829</v>
      </c>
      <c r="AD149" s="24">
        <f>SUM(AD3,AD7,AD12,AD18,AD23,AD27,AD31,AD35,AD39,AD44,AD49,AD53,AD59,AD68,AD82,AD90,AD96,AD104,AD113,AD121,AD128,AD138,AD144)</f>
        <v>40</v>
      </c>
    </row>
    <row r="150" spans="1:30" x14ac:dyDescent="0.15">
      <c r="A150" s="36" t="s">
        <v>224</v>
      </c>
      <c r="B150" s="14" t="s">
        <v>27</v>
      </c>
      <c r="C150" s="15">
        <f t="shared" ref="C150:D150" si="31">AVERAGE(C3,C7,C11,C17,C23,C27,C31,C35,C39,C43,C49,C53,C57,C65,C78,C90,C94,C102,C110,C120,C126,C134,C144)</f>
        <v>5127004.3913043477</v>
      </c>
      <c r="D150" s="15">
        <f t="shared" si="31"/>
        <v>3808488.086956522</v>
      </c>
      <c r="E150" s="15">
        <f>AVERAGE(E3:E4,E7:E8,E11:E13,E17,E23:E24,E27:E28,E31:E32,E35:E36,E39:E40,E43:E45,E49,E53:E54,E57:E60,E65:E69,E78:E83,E90:E91,E94:E97,E102,E110:E114,E120:E122,E126:E129,E134:E139,E144:E145)</f>
        <v>265882.12903225806</v>
      </c>
      <c r="F150" s="15">
        <f>AVERAGE(F3,F7,F11:F13,F17:F19,F23:F24,F27,F31,F35,F39,F43:F45,F49,F53,F57,F65,F78,F90,F94:F97,F102:F105,F110:F114,F120:F122,F126,F134,F144)</f>
        <v>1724246.8292682928</v>
      </c>
      <c r="G150" s="38">
        <f>ABS(F150-F151)</f>
        <v>157550.20136131602</v>
      </c>
      <c r="H150" s="45">
        <f>AVERAGE(H3:H147)</f>
        <v>1.3070613725866855</v>
      </c>
      <c r="I150" s="45" t="s">
        <v>34</v>
      </c>
      <c r="J150" s="15">
        <f t="shared" ref="J150:N150" si="32">AVERAGE(J3,J7,J11,J17,J23,J27,J31,J35,J39,J43,J49,J53,J57,J65,J78,J90,J94,J102,J110,J115,J120,J126,J134,J144)</f>
        <v>2050.25</v>
      </c>
      <c r="K150" s="15">
        <f t="shared" si="32"/>
        <v>103</v>
      </c>
      <c r="L150" s="15">
        <f t="shared" si="32"/>
        <v>16.458333333333332</v>
      </c>
      <c r="M150" s="15">
        <f t="shared" si="32"/>
        <v>0.58333333333333337</v>
      </c>
      <c r="N150" s="15">
        <f t="shared" si="32"/>
        <v>1.3333333333333333</v>
      </c>
      <c r="O150" s="45" t="s">
        <v>34</v>
      </c>
      <c r="P150" s="45" t="s">
        <v>34</v>
      </c>
      <c r="Q150" s="15">
        <f>AVERAGE(Q3,Q7,Q11:Q13,Q17,Q23:Q24,Q27,Q31,Q35,Q39,Q43,Q49:Q50,Q53,Q57,Q65,Q78,Q90,Q94,Q102,Q110,Q120,Q126,Q134,Q144)</f>
        <v>147115.38461538462</v>
      </c>
      <c r="R150" s="45" t="s">
        <v>34</v>
      </c>
      <c r="S150" s="15">
        <f>AVERAGE(S3,S7,S11,S17,S23,S27,S31,S35,S39,S43,S49,S53,S57,S65,S78,S90,S94,S102,S110,S120,S126,S134,S144)</f>
        <v>177826.08695652173</v>
      </c>
      <c r="T150" s="45" t="s">
        <v>34</v>
      </c>
      <c r="U150" s="45" t="s">
        <v>34</v>
      </c>
      <c r="V150" s="45" t="s">
        <v>34</v>
      </c>
      <c r="W150" s="15">
        <f>AVERAGE(W3,W7,W11,W17,W23,W27,W31,W35,W39,W43,W49,W53,W57,W65,W78,W90,W94,W102,W110,W120,W126,W134,W144)</f>
        <v>1018996.2608695652</v>
      </c>
      <c r="X150" s="15">
        <f>AVERAGE(X3,X7,X11,X17,X23,X27,X31,X35,X39,X43,X49,X53,X57,X65,X78,X90,X94,X102,X110,X120,X126,X134,X144)</f>
        <v>1989828.6521739131</v>
      </c>
      <c r="Y150" s="38">
        <f t="shared" ref="Y150:AA150" si="33">AVERAGE(Y3:Y147)</f>
        <v>567409.78260869568</v>
      </c>
      <c r="Z150" s="38">
        <f t="shared" si="33"/>
        <v>734869.82608695654</v>
      </c>
      <c r="AA150" s="38">
        <f t="shared" si="33"/>
        <v>421837</v>
      </c>
      <c r="AB150" s="15">
        <f t="shared" ref="AB150:AD150" si="34">AVERAGE(AB3,AB7,AB11,AB17,AB23,AB27,AB31,AB35,AB39,AB43,AB49,AB53,AB57,AB65,AB78,AB90,AB94,AB102,AB110,AB120,AB126,AB134,AB144,)</f>
        <v>2745293.375</v>
      </c>
      <c r="AC150" s="18">
        <f t="shared" si="34"/>
        <v>6.4931412288363174E-2</v>
      </c>
      <c r="AD150" s="21">
        <f t="shared" si="34"/>
        <v>3.75</v>
      </c>
    </row>
    <row r="151" spans="1:30" x14ac:dyDescent="0.15">
      <c r="A151" s="37"/>
      <c r="B151" s="22" t="s">
        <v>35</v>
      </c>
      <c r="C151" s="19">
        <f t="shared" ref="C151:D151" si="35">AVERAGE(C5,C9,C14,C20,C25,C29,C33,C37,C41,C46,C51,C55,C61,C70,C84,C92,C98,C106,C115,C123,C130,C140,C146)</f>
        <v>5020758</v>
      </c>
      <c r="D151" s="19">
        <f t="shared" si="35"/>
        <v>3583330.3913043477</v>
      </c>
      <c r="E151" s="19">
        <f>AVERAGE(E5:E6,E9:E10,E14:E16,E20,E25:E26,E29:E30,E33:E34,E37:E38,E41:E42,E46:E48,E51,E55:E56,E61:E64,E70:E77,E84:E89,E92:E93,E98:E101,E106,E115:E119,E123:E125,E130:E133,E140:E143,E146:E147)</f>
        <v>270428.98412698414</v>
      </c>
      <c r="F151" s="19">
        <f>AVERAGE(F5,F9,F14:F16,F20:F22,F25:F26,F29,F33,F37,F41,F46:F48,F51,F55,F61,F70,F84:F89,F92,F98:F101,F106:F109,F115:F119,F123:F125,F130,F140,F146)</f>
        <v>1566696.6279069767</v>
      </c>
      <c r="G151" s="50"/>
      <c r="H151" s="47"/>
      <c r="I151" s="39"/>
      <c r="J151" s="19">
        <f t="shared" ref="J151:N151" si="36">AVERAGE(J5,J9,J14,J20,J25,J29,J33,J37,J41,J46,J51,J55,J61,J70,J84,J92,J98,J106,J115,J123,J130,J140,J146)</f>
        <v>1893.9565217391305</v>
      </c>
      <c r="K151" s="19">
        <f t="shared" si="36"/>
        <v>101.8695652173913</v>
      </c>
      <c r="L151" s="19">
        <f t="shared" si="36"/>
        <v>13.478260869565217</v>
      </c>
      <c r="M151" s="19">
        <f t="shared" si="36"/>
        <v>0.91304347826086951</v>
      </c>
      <c r="N151" s="19">
        <f t="shared" si="36"/>
        <v>1.4347826086956521</v>
      </c>
      <c r="O151" s="39"/>
      <c r="P151" s="39"/>
      <c r="Q151" s="19">
        <f>AVERAGE(Q5:Q6,Q9,Q14,Q21:Q22,Q25,Q29,Q33,Q37,Q41,Q46,Q51,Q55,Q61:Q63,Q70,Q84,Q92,Q98,Q106,Q115,Q123,Q130,Q140:Q143,Q146)</f>
        <v>176296.29629629629</v>
      </c>
      <c r="R151" s="39"/>
      <c r="S151" s="19">
        <f>AVERAGE(S5,S9,S14,S21,S25,S29,S33,S37,S41,S46,S51,S55,S61,S70,S84,S92,S98,S106,S115,S123,S130,S140,S146)</f>
        <v>213913.04347826086</v>
      </c>
      <c r="T151" s="39"/>
      <c r="U151" s="39"/>
      <c r="V151" s="39"/>
      <c r="W151" s="19">
        <f>AVERAGE(W5,W9,W14,W21,W25,W29,W33,W37,W41,W46,W51,W55,W61,W70,W84,W92,W98,W106,W115,W123,W130,W140,W146)</f>
        <v>864094.30434782605</v>
      </c>
      <c r="X151" s="19">
        <f>AVERAGE(X5,X9,X14,X21,X25,X29,X33,X37,X41,X46,X51,X55,X61,X70,X84,X92,X98,X106,X115,X123,X130,X140,X146)</f>
        <v>1770865.3478260869</v>
      </c>
      <c r="Y151" s="39"/>
      <c r="Z151" s="39"/>
      <c r="AA151" s="39"/>
      <c r="AB151" s="19">
        <f t="shared" ref="AB151:AD151" si="37">AVERAGE(AB5,AB9,AB14,AB20,AB25,AB29,AB33,AB37,AB41,AB46,AB51,AB55,AB61,AB70,AB84,AB92,AB98,AB106,AB115,AB123,AB130,AB140,AB146)</f>
        <v>2634959.6521739131</v>
      </c>
      <c r="AC151" s="23">
        <f t="shared" si="37"/>
        <v>0.10268793049977405</v>
      </c>
      <c r="AD151" s="24">
        <f t="shared" si="37"/>
        <v>3.8695652173913042</v>
      </c>
    </row>
    <row r="152" spans="1:30" x14ac:dyDescent="0.15">
      <c r="A152" s="56" t="s">
        <v>225</v>
      </c>
      <c r="B152" s="14" t="s">
        <v>27</v>
      </c>
      <c r="C152" s="15">
        <f t="shared" ref="C152:D152" si="38">STDEV(C3,C7,C11,C17,C23,C27,C31,C35,C39,C43,C49,C53,C57,C65,C78,C90,C94,C102,C110,C120,C126,C134,C144)</f>
        <v>1712125.8415339778</v>
      </c>
      <c r="D152" s="15">
        <f t="shared" si="38"/>
        <v>1251643.8497825353</v>
      </c>
      <c r="E152" s="15">
        <f>STDEV(E3:E4,E7:E8,E11:E13,E17,E23:E24,E27:E28,E31:E32,E35:E36,E39:E40,E43:E45,E49,E53:E54,E57:E60,E65:E69,E78:E83,E90:E91,E94:E97,E102,E110:E114,E120:E122,E126:E129,E134:E139,E144:E145)</f>
        <v>208889.73575286343</v>
      </c>
      <c r="F152" s="15">
        <f>STDEV(F3,F7,F11:F13,F17:F19,F23:F24,F27,F31,F35,F39,F43:F45,F49,F53,F57,F65,F78,F90,F94:F97,F102:F105,F110:F114,F120:F122,F126,F134,F144)</f>
        <v>1577424.6376841099</v>
      </c>
      <c r="G152" s="38">
        <f>ABS(F152-F153)</f>
        <v>166200.30947532551</v>
      </c>
      <c r="H152" s="45">
        <f>STDEV(H5:H149)</f>
        <v>1.251770042357222</v>
      </c>
      <c r="I152" s="45" t="s">
        <v>34</v>
      </c>
      <c r="J152" s="15">
        <f t="shared" ref="J152:N152" si="39">STDEV(J3,J7,J11,J17,J23,J27,J31,J35,J39,J43,J49,J53,J57,J65,J78,J90,J94,J102,J110,J115,J120,J126,J134,J144)</f>
        <v>1258.4229001620138</v>
      </c>
      <c r="K152" s="15">
        <f t="shared" si="39"/>
        <v>12.911067042421902</v>
      </c>
      <c r="L152" s="15">
        <f t="shared" si="39"/>
        <v>18.093907614266829</v>
      </c>
      <c r="M152" s="15">
        <f t="shared" si="39"/>
        <v>1.4719601443879746</v>
      </c>
      <c r="N152" s="15">
        <f t="shared" si="39"/>
        <v>0.63702205727060612</v>
      </c>
      <c r="O152" s="45" t="s">
        <v>34</v>
      </c>
      <c r="P152" s="45" t="s">
        <v>34</v>
      </c>
      <c r="Q152" s="15">
        <f>STDEV(Q3,Q7,Q11:Q13,Q17,Q23:Q24,Q27,Q31,Q35,Q39,Q43,Q49:Q50,Q53,Q57,Q65,Q78,Q90,Q94,Q102,Q110,Q120,Q126,Q134,Q144)</f>
        <v>47794.833966090438</v>
      </c>
      <c r="R152" s="45" t="s">
        <v>34</v>
      </c>
      <c r="S152" s="15">
        <f>STDEV(S3,S7,S11,S17,S23,S27,S31,S35,S39,S43,S49,S53,S57,S65,S78,S90,S94,S102,S110,S120,S126,S134,S144)</f>
        <v>70045.863010610294</v>
      </c>
      <c r="T152" s="45" t="s">
        <v>34</v>
      </c>
      <c r="U152" s="45" t="s">
        <v>34</v>
      </c>
      <c r="V152" s="45" t="s">
        <v>34</v>
      </c>
      <c r="W152" s="15">
        <f>STDEV(W3,W7,W11,W17,W23,W27,W31,W35,W39,W43,W49,W53,W57,W65,W78,W90,W94,W102,W110,W120,W126,W134,W144)</f>
        <v>816960.16627212812</v>
      </c>
      <c r="X152" s="15">
        <f>STDEV(X3,X7,X11,X17,X23,X27,X31,X35,X39,X43,X49,X53,X57,X65,X78,X90,X94,X102,X110,X120,X126,X134,X144)</f>
        <v>1197171.9138872323</v>
      </c>
      <c r="Y152" s="38">
        <f t="shared" ref="Y152:AA152" si="40">STDEV(Y3:Y147)</f>
        <v>720422.42688079493</v>
      </c>
      <c r="Z152" s="38">
        <f t="shared" si="40"/>
        <v>638401.88870026008</v>
      </c>
      <c r="AA152" s="38">
        <f t="shared" si="40"/>
        <v>651246.36147760414</v>
      </c>
      <c r="AB152" s="15">
        <f t="shared" ref="AB152:AD152" si="41">STDEV(AB3,AB7,AB11,AB17,AB23,AB27,AB31,AB35,AB39,AB43,AB49,AB53,AB57,AB65,AB78,AB90,AB94,AB102,AB110,AB120,AB126,AB134,AB144,)</f>
        <v>1297157.3215762768</v>
      </c>
      <c r="AC152" s="18">
        <f t="shared" si="41"/>
        <v>2.9091599862803099E-2</v>
      </c>
      <c r="AD152" s="21">
        <f t="shared" si="41"/>
        <v>1.3269776053940743</v>
      </c>
    </row>
    <row r="153" spans="1:30" x14ac:dyDescent="0.15">
      <c r="A153" s="57"/>
      <c r="B153" s="25" t="s">
        <v>35</v>
      </c>
      <c r="C153" s="26">
        <f t="shared" ref="C153:D153" si="42">STDEV(C5,C9,C14,C20,C25,C29,C33,C37,C41,C46,C51,C55,C61,C70,C84,C92,C98,C106,C115,C123,C130,C140,C146)</f>
        <v>1497233.4678026852</v>
      </c>
      <c r="D153" s="26">
        <f t="shared" si="42"/>
        <v>1127916.970140805</v>
      </c>
      <c r="E153" s="26">
        <f>STDEV(E5:E6,E9:E10,E14:E16,E20,E25:E26,E29:E30,E33:E34,E37:E38,E41:E42,E46:E48,E51,E55:E56,E61:E64,E70:E77,E84:E89,E92:E93,E98:E101,E106,E115:E119,E123:E125,E130:E133,E140:E143,E146:E147)</f>
        <v>215273.02911745117</v>
      </c>
      <c r="F153" s="26">
        <f>STDEV(F5,F9,F14:F16,F20:F22,F25:F26,F29,F33,F37,F41,F46:F48,F51,F55,F61,F70,F84:F89,F92,F98:F101,F106:F109,F115:F119,F123:F125,F130,F140,F146)</f>
        <v>1411224.3282087843</v>
      </c>
      <c r="G153" s="50"/>
      <c r="H153" s="58"/>
      <c r="I153" s="55"/>
      <c r="J153" s="26">
        <f t="shared" ref="J153:N153" si="43">STDEV(J5,J9,J14,J20,J25,J29,J33,J37,J41,J46,J51,J55,J61,J70,J84,J92,J98,J106,J115,J123,J130,J140,J146)</f>
        <v>1077.1789957722003</v>
      </c>
      <c r="K153" s="26">
        <f t="shared" si="43"/>
        <v>12.920400879743633</v>
      </c>
      <c r="L153" s="26">
        <f t="shared" si="43"/>
        <v>13.259197717459076</v>
      </c>
      <c r="M153" s="26">
        <f t="shared" si="43"/>
        <v>2.0206444399174166</v>
      </c>
      <c r="N153" s="26">
        <f t="shared" si="43"/>
        <v>0.58976782461958843</v>
      </c>
      <c r="O153" s="55"/>
      <c r="P153" s="55"/>
      <c r="Q153" s="26">
        <f>STDEV(Q5:Q6,Q9,Q14,Q21:Q22,Q25,Q29,Q33,Q37,Q41,Q46,Q51,Q55,Q61:Q63,Q70,Q84,Q92,Q98,Q106,Q115,Q123,Q130,Q140:Q143,Q146)</f>
        <v>83753.215697077205</v>
      </c>
      <c r="R153" s="55"/>
      <c r="S153" s="26">
        <f>STDEV(S5,S9,S14,S21,S25,S29,S33,S37,S41,S46,S51,S55,S61,S70,S84,S92,S98,S106,S115,S123,S130,S140,S146)</f>
        <v>72503.236945593904</v>
      </c>
      <c r="T153" s="55"/>
      <c r="U153" s="55"/>
      <c r="V153" s="55"/>
      <c r="W153" s="26">
        <f>STDEV(W5,W9,W14,W21,W25,W29,W33,W37,W41,W46,W51,W55,W61,W70,W84,W92,W98,W106,W115,W123,W130,W140,W146)</f>
        <v>788349.35277125565</v>
      </c>
      <c r="X153" s="26">
        <f>STDEV(X5,X9,X14,X21,X25,X29,X33,X37,X41,X46,X51,X55,X61,X70,X84,X92,X98,X106,X115,X123,X130,X140,X146)</f>
        <v>983644.8951448896</v>
      </c>
      <c r="Y153" s="55"/>
      <c r="Z153" s="55"/>
      <c r="AA153" s="55"/>
      <c r="AB153" s="26">
        <f t="shared" ref="AB153:AD153" si="44">STDEV(AB5,AB9,AB14,AB20,AB25,AB29,AB33,AB37,AB41,AB46,AB51,AB55,AB61,AB70,AB84,AB92,AB98,AB106,AB115,AB123,AB130,AB140,AB146)</f>
        <v>1091314.9962382584</v>
      </c>
      <c r="AC153" s="27">
        <f t="shared" si="44"/>
        <v>7.7440858492432138E-2</v>
      </c>
      <c r="AD153" s="28">
        <f t="shared" si="44"/>
        <v>1.0997664142934653</v>
      </c>
    </row>
    <row r="154" spans="1:30" x14ac:dyDescent="0.15">
      <c r="A154" s="29" t="s">
        <v>230</v>
      </c>
      <c r="B154" s="30"/>
      <c r="C154" s="17"/>
      <c r="D154" s="15"/>
      <c r="E154" s="15"/>
      <c r="F154" s="15"/>
      <c r="G154" s="17"/>
      <c r="H154" s="16"/>
      <c r="I154" s="17"/>
      <c r="J154" s="17"/>
      <c r="K154" s="17"/>
      <c r="L154" s="17"/>
      <c r="M154" s="17"/>
      <c r="N154" s="17"/>
      <c r="O154" s="31"/>
      <c r="P154" s="17"/>
      <c r="Q154" s="31"/>
      <c r="R154" s="17"/>
      <c r="S154" s="31"/>
      <c r="T154" s="17"/>
      <c r="U154" s="17"/>
      <c r="V154" s="17"/>
      <c r="W154" s="15"/>
      <c r="X154" s="15"/>
      <c r="Y154" s="17"/>
      <c r="Z154" s="17"/>
      <c r="AA154" s="17"/>
      <c r="AB154" s="17"/>
      <c r="AC154" s="32"/>
      <c r="AD154" s="17"/>
    </row>
    <row r="155" spans="1:30" x14ac:dyDescent="0.15">
      <c r="A155" s="33"/>
      <c r="B155" s="17"/>
      <c r="C155" s="17"/>
      <c r="D155" s="15"/>
      <c r="E155" s="15"/>
      <c r="F155" s="15"/>
      <c r="G155" s="17"/>
      <c r="H155" s="16"/>
      <c r="I155" s="17"/>
      <c r="J155" s="17"/>
      <c r="K155" s="17"/>
      <c r="L155" s="17"/>
      <c r="M155" s="17"/>
      <c r="N155" s="17"/>
      <c r="O155" s="31"/>
      <c r="P155" s="17"/>
      <c r="Q155" s="17"/>
      <c r="R155" s="17"/>
      <c r="S155" s="17"/>
      <c r="T155" s="17"/>
      <c r="U155" s="17"/>
      <c r="V155" s="17"/>
      <c r="W155" s="15"/>
      <c r="X155" s="15"/>
      <c r="Y155" s="17"/>
      <c r="Z155" s="17"/>
      <c r="AB155" s="17"/>
      <c r="AC155" s="32"/>
      <c r="AD155" s="17"/>
    </row>
    <row r="156" spans="1:30" x14ac:dyDescent="0.15">
      <c r="A156" s="17"/>
      <c r="B156" s="17"/>
      <c r="C156" s="17"/>
      <c r="D156" s="15"/>
      <c r="E156" s="15"/>
      <c r="F156" s="15"/>
      <c r="G156" s="17"/>
      <c r="H156" s="16"/>
      <c r="I156" s="17"/>
      <c r="J156" s="17"/>
      <c r="K156" s="17"/>
      <c r="L156" s="17"/>
      <c r="M156" s="17"/>
      <c r="N156" s="17"/>
      <c r="O156" s="31"/>
      <c r="P156" s="17"/>
      <c r="Q156" s="17"/>
      <c r="R156" s="17"/>
      <c r="S156" s="17"/>
      <c r="T156" s="17"/>
      <c r="U156" s="17"/>
      <c r="V156" s="17"/>
      <c r="W156" s="15"/>
      <c r="X156" s="15"/>
      <c r="Y156" s="17"/>
      <c r="Z156" s="17"/>
      <c r="AB156" s="17"/>
      <c r="AC156" s="32"/>
      <c r="AD156" s="17"/>
    </row>
    <row r="157" spans="1:30" x14ac:dyDescent="0.15">
      <c r="A157" s="17"/>
      <c r="B157" s="17"/>
      <c r="C157" s="17"/>
      <c r="D157" s="15"/>
      <c r="E157" s="15"/>
      <c r="F157" s="15"/>
      <c r="G157" s="17"/>
      <c r="H157" s="16"/>
      <c r="I157" s="17"/>
      <c r="J157" s="17"/>
      <c r="K157" s="17"/>
      <c r="L157" s="17"/>
      <c r="M157" s="17"/>
      <c r="N157" s="17"/>
      <c r="O157" s="31"/>
      <c r="P157" s="17"/>
      <c r="Q157" s="17"/>
      <c r="R157" s="17"/>
      <c r="S157" s="17"/>
      <c r="T157" s="17"/>
      <c r="U157" s="17"/>
      <c r="V157" s="17"/>
      <c r="W157" s="15"/>
      <c r="X157" s="15"/>
      <c r="Y157" s="17"/>
      <c r="Z157" s="17"/>
      <c r="AB157" s="17"/>
      <c r="AC157" s="32"/>
      <c r="AD157" s="17"/>
    </row>
    <row r="158" spans="1:30" x14ac:dyDescent="0.15">
      <c r="A158" s="17"/>
      <c r="B158" s="17"/>
      <c r="C158" s="17"/>
      <c r="D158" s="15"/>
      <c r="E158" s="15"/>
      <c r="F158" s="15"/>
      <c r="G158" s="17"/>
      <c r="H158" s="16"/>
      <c r="I158" s="17"/>
      <c r="J158" s="17"/>
      <c r="K158" s="17"/>
      <c r="L158" s="17"/>
      <c r="M158" s="17"/>
      <c r="N158" s="17"/>
      <c r="O158" s="31"/>
      <c r="P158" s="17"/>
      <c r="Q158" s="17"/>
      <c r="R158" s="17"/>
      <c r="S158" s="17"/>
      <c r="T158" s="17"/>
      <c r="U158" s="17"/>
      <c r="V158" s="17"/>
      <c r="W158" s="15"/>
      <c r="X158" s="15"/>
      <c r="Y158" s="17"/>
      <c r="Z158" s="17"/>
      <c r="AB158" s="17"/>
      <c r="AC158" s="32"/>
      <c r="AD158" s="17"/>
    </row>
    <row r="159" spans="1:30" x14ac:dyDescent="0.15">
      <c r="A159" s="17"/>
      <c r="B159" s="17"/>
      <c r="C159" s="17"/>
      <c r="D159" s="15"/>
      <c r="E159" s="15"/>
      <c r="F159" s="15"/>
      <c r="G159" s="17"/>
      <c r="H159" s="16"/>
      <c r="I159" s="17"/>
      <c r="J159" s="17"/>
      <c r="K159" s="17"/>
      <c r="L159" s="17"/>
      <c r="M159" s="17"/>
      <c r="N159" s="17"/>
      <c r="O159" s="31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B159" s="17"/>
      <c r="AC159" s="32"/>
      <c r="AD159" s="17"/>
    </row>
  </sheetData>
  <mergeCells count="1276">
    <mergeCell ref="U152:U153"/>
    <mergeCell ref="V152:V153"/>
    <mergeCell ref="Y152:Y153"/>
    <mergeCell ref="Z152:Z153"/>
    <mergeCell ref="AA152:AA153"/>
    <mergeCell ref="Z150:Z151"/>
    <mergeCell ref="AA150:AA151"/>
    <mergeCell ref="A152:A153"/>
    <mergeCell ref="G152:G153"/>
    <mergeCell ref="H152:H153"/>
    <mergeCell ref="I152:I153"/>
    <mergeCell ref="O152:O153"/>
    <mergeCell ref="P152:P153"/>
    <mergeCell ref="R152:R153"/>
    <mergeCell ref="T152:T153"/>
    <mergeCell ref="P150:P151"/>
    <mergeCell ref="R150:R151"/>
    <mergeCell ref="T150:T151"/>
    <mergeCell ref="U150:U151"/>
    <mergeCell ref="V150:V151"/>
    <mergeCell ref="Y150:Y151"/>
    <mergeCell ref="U148:U149"/>
    <mergeCell ref="V148:V149"/>
    <mergeCell ref="Y148:Y149"/>
    <mergeCell ref="Z148:Z149"/>
    <mergeCell ref="AA148:AA149"/>
    <mergeCell ref="A150:A151"/>
    <mergeCell ref="G150:G151"/>
    <mergeCell ref="H150:H151"/>
    <mergeCell ref="I150:I151"/>
    <mergeCell ref="O150:O151"/>
    <mergeCell ref="AC146:AC147"/>
    <mergeCell ref="AD146:AD147"/>
    <mergeCell ref="A148:A149"/>
    <mergeCell ref="G148:G149"/>
    <mergeCell ref="H148:H149"/>
    <mergeCell ref="I148:I149"/>
    <mergeCell ref="O148:O149"/>
    <mergeCell ref="P148:P149"/>
    <mergeCell ref="R148:R149"/>
    <mergeCell ref="T148:T149"/>
    <mergeCell ref="W146:W147"/>
    <mergeCell ref="X146:X147"/>
    <mergeCell ref="Y146:Y147"/>
    <mergeCell ref="Z146:Z147"/>
    <mergeCell ref="AA146:AA147"/>
    <mergeCell ref="AB146:AB147"/>
    <mergeCell ref="Q146:Q147"/>
    <mergeCell ref="R146:R147"/>
    <mergeCell ref="S146:S147"/>
    <mergeCell ref="T146:T147"/>
    <mergeCell ref="U146:U147"/>
    <mergeCell ref="V146:V147"/>
    <mergeCell ref="M146:M147"/>
    <mergeCell ref="N146:N147"/>
    <mergeCell ref="O146:O147"/>
    <mergeCell ref="P146:P147"/>
    <mergeCell ref="AA144:AA145"/>
    <mergeCell ref="AB144:AB145"/>
    <mergeCell ref="AC144:AC145"/>
    <mergeCell ref="AD144:AD145"/>
    <mergeCell ref="B146:B147"/>
    <mergeCell ref="C146:C147"/>
    <mergeCell ref="D146:D147"/>
    <mergeCell ref="F146:F147"/>
    <mergeCell ref="I146:I147"/>
    <mergeCell ref="J146:J147"/>
    <mergeCell ref="U144:U145"/>
    <mergeCell ref="V144:V145"/>
    <mergeCell ref="W144:W145"/>
    <mergeCell ref="X144:X145"/>
    <mergeCell ref="Y144:Y145"/>
    <mergeCell ref="Z144:Z145"/>
    <mergeCell ref="O144:O145"/>
    <mergeCell ref="P144:P145"/>
    <mergeCell ref="Q144:Q145"/>
    <mergeCell ref="R144:R145"/>
    <mergeCell ref="S144:S145"/>
    <mergeCell ref="T144:T145"/>
    <mergeCell ref="I144:I145"/>
    <mergeCell ref="J144:J145"/>
    <mergeCell ref="K144:K145"/>
    <mergeCell ref="L144:L145"/>
    <mergeCell ref="M144:M145"/>
    <mergeCell ref="N144:N145"/>
    <mergeCell ref="AD140:AD143"/>
    <mergeCell ref="P142:P143"/>
    <mergeCell ref="Q142:Q143"/>
    <mergeCell ref="A144:A147"/>
    <mergeCell ref="B144:B145"/>
    <mergeCell ref="C144:C145"/>
    <mergeCell ref="D144:D145"/>
    <mergeCell ref="F144:F145"/>
    <mergeCell ref="G144:G147"/>
    <mergeCell ref="H144:H147"/>
    <mergeCell ref="X140:X143"/>
    <mergeCell ref="Y140:Y143"/>
    <mergeCell ref="Z140:Z143"/>
    <mergeCell ref="AA140:AA143"/>
    <mergeCell ref="AB140:AB143"/>
    <mergeCell ref="AC140:AC143"/>
    <mergeCell ref="R140:R143"/>
    <mergeCell ref="S140:S143"/>
    <mergeCell ref="T140:T143"/>
    <mergeCell ref="U140:U143"/>
    <mergeCell ref="V140:V143"/>
    <mergeCell ref="W140:W143"/>
    <mergeCell ref="L140:L143"/>
    <mergeCell ref="M140:M143"/>
    <mergeCell ref="N140:N143"/>
    <mergeCell ref="O140:O143"/>
    <mergeCell ref="P140:P141"/>
    <mergeCell ref="Q140:Q141"/>
    <mergeCell ref="K146:K147"/>
    <mergeCell ref="L146:L147"/>
    <mergeCell ref="AC134:AC139"/>
    <mergeCell ref="AD134:AD139"/>
    <mergeCell ref="B140:B143"/>
    <mergeCell ref="C140:C143"/>
    <mergeCell ref="D140:D143"/>
    <mergeCell ref="F140:F143"/>
    <mergeCell ref="I140:I143"/>
    <mergeCell ref="J140:J143"/>
    <mergeCell ref="K140:K143"/>
    <mergeCell ref="V134:V139"/>
    <mergeCell ref="W134:W139"/>
    <mergeCell ref="X134:X139"/>
    <mergeCell ref="Y134:Y139"/>
    <mergeCell ref="Z134:Z139"/>
    <mergeCell ref="AA134:AA139"/>
    <mergeCell ref="P134:P139"/>
    <mergeCell ref="Q134:Q139"/>
    <mergeCell ref="R134:R139"/>
    <mergeCell ref="S134:S139"/>
    <mergeCell ref="T134:T139"/>
    <mergeCell ref="U134:U139"/>
    <mergeCell ref="J134:J139"/>
    <mergeCell ref="K134:K139"/>
    <mergeCell ref="L134:L139"/>
    <mergeCell ref="M134:M139"/>
    <mergeCell ref="N134:N139"/>
    <mergeCell ref="O134:O139"/>
    <mergeCell ref="A134:A143"/>
    <mergeCell ref="B134:B139"/>
    <mergeCell ref="C134:C139"/>
    <mergeCell ref="D134:D139"/>
    <mergeCell ref="F134:F139"/>
    <mergeCell ref="G134:G143"/>
    <mergeCell ref="H134:H143"/>
    <mergeCell ref="I134:I139"/>
    <mergeCell ref="W130:W133"/>
    <mergeCell ref="X130:X133"/>
    <mergeCell ref="Y130:Y133"/>
    <mergeCell ref="Z130:Z133"/>
    <mergeCell ref="AA130:AA133"/>
    <mergeCell ref="AB130:AB133"/>
    <mergeCell ref="Q130:Q133"/>
    <mergeCell ref="R130:R133"/>
    <mergeCell ref="S130:S133"/>
    <mergeCell ref="T130:T133"/>
    <mergeCell ref="U130:U133"/>
    <mergeCell ref="V130:V133"/>
    <mergeCell ref="K130:K133"/>
    <mergeCell ref="L130:L133"/>
    <mergeCell ref="M130:M133"/>
    <mergeCell ref="N130:N133"/>
    <mergeCell ref="O130:O133"/>
    <mergeCell ref="P130:P133"/>
    <mergeCell ref="AB134:AB139"/>
    <mergeCell ref="AA126:AA129"/>
    <mergeCell ref="AB126:AB129"/>
    <mergeCell ref="AC126:AC129"/>
    <mergeCell ref="AD126:AD129"/>
    <mergeCell ref="B130:B133"/>
    <mergeCell ref="C130:C133"/>
    <mergeCell ref="D130:D133"/>
    <mergeCell ref="F130:F133"/>
    <mergeCell ref="I130:I133"/>
    <mergeCell ref="J130:J133"/>
    <mergeCell ref="U126:U129"/>
    <mergeCell ref="V126:V129"/>
    <mergeCell ref="W126:W129"/>
    <mergeCell ref="X126:X129"/>
    <mergeCell ref="Y126:Y129"/>
    <mergeCell ref="Z126:Z129"/>
    <mergeCell ref="O126:O129"/>
    <mergeCell ref="P126:P129"/>
    <mergeCell ref="Q126:Q129"/>
    <mergeCell ref="R126:R129"/>
    <mergeCell ref="S126:S129"/>
    <mergeCell ref="T126:T129"/>
    <mergeCell ref="I126:I129"/>
    <mergeCell ref="J126:J129"/>
    <mergeCell ref="K126:K129"/>
    <mergeCell ref="L126:L129"/>
    <mergeCell ref="M126:M129"/>
    <mergeCell ref="N126:N129"/>
    <mergeCell ref="AC130:AC133"/>
    <mergeCell ref="AD130:AD133"/>
    <mergeCell ref="AC123:AC125"/>
    <mergeCell ref="AD123:AD125"/>
    <mergeCell ref="E124:E125"/>
    <mergeCell ref="A126:A133"/>
    <mergeCell ref="B126:B129"/>
    <mergeCell ref="C126:C129"/>
    <mergeCell ref="D126:D129"/>
    <mergeCell ref="F126:F129"/>
    <mergeCell ref="G126:G133"/>
    <mergeCell ref="H126:H133"/>
    <mergeCell ref="W123:W125"/>
    <mergeCell ref="X123:X125"/>
    <mergeCell ref="Y123:Y125"/>
    <mergeCell ref="Z123:Z125"/>
    <mergeCell ref="AA123:AA125"/>
    <mergeCell ref="AB123:AB125"/>
    <mergeCell ref="O123:O125"/>
    <mergeCell ref="P123:P125"/>
    <mergeCell ref="Q123:Q125"/>
    <mergeCell ref="R123:R125"/>
    <mergeCell ref="S123:S125"/>
    <mergeCell ref="V123:V125"/>
    <mergeCell ref="H123:H125"/>
    <mergeCell ref="J123:J125"/>
    <mergeCell ref="K123:K125"/>
    <mergeCell ref="L123:L125"/>
    <mergeCell ref="M123:M125"/>
    <mergeCell ref="N123:N125"/>
    <mergeCell ref="A120:A125"/>
    <mergeCell ref="B120:B122"/>
    <mergeCell ref="C120:C122"/>
    <mergeCell ref="D120:D122"/>
    <mergeCell ref="Z120:Z122"/>
    <mergeCell ref="AA120:AA122"/>
    <mergeCell ref="AB120:AB122"/>
    <mergeCell ref="AC120:AC122"/>
    <mergeCell ref="AD120:AD122"/>
    <mergeCell ref="E121:E122"/>
    <mergeCell ref="R120:R122"/>
    <mergeCell ref="S120:S122"/>
    <mergeCell ref="V120:V122"/>
    <mergeCell ref="W120:W122"/>
    <mergeCell ref="X120:X122"/>
    <mergeCell ref="Y120:Y122"/>
    <mergeCell ref="L120:L122"/>
    <mergeCell ref="M120:M122"/>
    <mergeCell ref="N120:N122"/>
    <mergeCell ref="O120:O122"/>
    <mergeCell ref="P120:P122"/>
    <mergeCell ref="Q120:Q122"/>
    <mergeCell ref="J120:J122"/>
    <mergeCell ref="K120:K122"/>
    <mergeCell ref="B123:B125"/>
    <mergeCell ref="C123:C125"/>
    <mergeCell ref="D123:D125"/>
    <mergeCell ref="G123:G125"/>
    <mergeCell ref="Y115:Y119"/>
    <mergeCell ref="Z115:Z119"/>
    <mergeCell ref="AA115:AA119"/>
    <mergeCell ref="AB115:AB119"/>
    <mergeCell ref="AC115:AC119"/>
    <mergeCell ref="AD115:AD119"/>
    <mergeCell ref="Q115:Q119"/>
    <mergeCell ref="R115:R119"/>
    <mergeCell ref="S115:S119"/>
    <mergeCell ref="V115:V119"/>
    <mergeCell ref="W115:W119"/>
    <mergeCell ref="X115:X119"/>
    <mergeCell ref="T118:T119"/>
    <mergeCell ref="U118:U119"/>
    <mergeCell ref="K115:K119"/>
    <mergeCell ref="L115:L119"/>
    <mergeCell ref="M115:M119"/>
    <mergeCell ref="N115:N119"/>
    <mergeCell ref="O115:O119"/>
    <mergeCell ref="P115:P119"/>
    <mergeCell ref="B115:B119"/>
    <mergeCell ref="C115:C119"/>
    <mergeCell ref="D115:D119"/>
    <mergeCell ref="G115:G119"/>
    <mergeCell ref="H115:H119"/>
    <mergeCell ref="J115:J119"/>
    <mergeCell ref="F118:F119"/>
    <mergeCell ref="I118:I119"/>
    <mergeCell ref="F113:F114"/>
    <mergeCell ref="G113:G114"/>
    <mergeCell ref="H113:H114"/>
    <mergeCell ref="I113:I114"/>
    <mergeCell ref="T113:T114"/>
    <mergeCell ref="U113:U114"/>
    <mergeCell ref="AA110:AA114"/>
    <mergeCell ref="AB110:AB114"/>
    <mergeCell ref="AC110:AC114"/>
    <mergeCell ref="AD110:AD114"/>
    <mergeCell ref="P112:P114"/>
    <mergeCell ref="Q112:Q114"/>
    <mergeCell ref="R112:R114"/>
    <mergeCell ref="S112:S114"/>
    <mergeCell ref="V112:V114"/>
    <mergeCell ref="W112:W114"/>
    <mergeCell ref="S110:S111"/>
    <mergeCell ref="V110:V111"/>
    <mergeCell ref="W110:W111"/>
    <mergeCell ref="X110:X111"/>
    <mergeCell ref="Y110:Y114"/>
    <mergeCell ref="Z110:Z114"/>
    <mergeCell ref="X112:X114"/>
    <mergeCell ref="M110:M114"/>
    <mergeCell ref="N110:N114"/>
    <mergeCell ref="O110:O114"/>
    <mergeCell ref="P110:P111"/>
    <mergeCell ref="Q110:Q111"/>
    <mergeCell ref="R110:R111"/>
    <mergeCell ref="AB106:AB109"/>
    <mergeCell ref="AC106:AC109"/>
    <mergeCell ref="AD106:AD109"/>
    <mergeCell ref="A110:A119"/>
    <mergeCell ref="B110:B114"/>
    <mergeCell ref="C110:C114"/>
    <mergeCell ref="D110:D114"/>
    <mergeCell ref="J110:J114"/>
    <mergeCell ref="K110:K114"/>
    <mergeCell ref="L110:L114"/>
    <mergeCell ref="V106:V109"/>
    <mergeCell ref="W106:W109"/>
    <mergeCell ref="X106:X109"/>
    <mergeCell ref="Y106:Y109"/>
    <mergeCell ref="Z106:Z109"/>
    <mergeCell ref="AA106:AA109"/>
    <mergeCell ref="N106:N109"/>
    <mergeCell ref="O106:O109"/>
    <mergeCell ref="P106:P109"/>
    <mergeCell ref="Q106:Q109"/>
    <mergeCell ref="R106:R109"/>
    <mergeCell ref="S106:S109"/>
    <mergeCell ref="G106:G109"/>
    <mergeCell ref="H106:H109"/>
    <mergeCell ref="J106:J109"/>
    <mergeCell ref="K106:K109"/>
    <mergeCell ref="L106:L109"/>
    <mergeCell ref="M106:M109"/>
    <mergeCell ref="A102:A109"/>
    <mergeCell ref="B102:B105"/>
    <mergeCell ref="C102:C105"/>
    <mergeCell ref="D102:D105"/>
    <mergeCell ref="B106:B109"/>
    <mergeCell ref="C106:C109"/>
    <mergeCell ref="D106:D109"/>
    <mergeCell ref="E106:E109"/>
    <mergeCell ref="Z98:Z101"/>
    <mergeCell ref="AA98:AA101"/>
    <mergeCell ref="AB98:AB101"/>
    <mergeCell ref="AC98:AC101"/>
    <mergeCell ref="AD98:AD101"/>
    <mergeCell ref="E100:E101"/>
    <mergeCell ref="R98:R101"/>
    <mergeCell ref="S98:S101"/>
    <mergeCell ref="V98:V101"/>
    <mergeCell ref="W98:W101"/>
    <mergeCell ref="X98:X101"/>
    <mergeCell ref="Y98:Y101"/>
    <mergeCell ref="L98:L101"/>
    <mergeCell ref="M98:M101"/>
    <mergeCell ref="N98:N101"/>
    <mergeCell ref="O98:O101"/>
    <mergeCell ref="P98:P101"/>
    <mergeCell ref="Q98:Q101"/>
    <mergeCell ref="Y102:Y105"/>
    <mergeCell ref="Z102:Z105"/>
    <mergeCell ref="AA102:AA105"/>
    <mergeCell ref="AB102:AB105"/>
    <mergeCell ref="AC102:AC105"/>
    <mergeCell ref="AD102:AD105"/>
    <mergeCell ref="Q102:Q105"/>
    <mergeCell ref="R102:R105"/>
    <mergeCell ref="S102:S105"/>
    <mergeCell ref="V102:V105"/>
    <mergeCell ref="B98:B101"/>
    <mergeCell ref="C98:C101"/>
    <mergeCell ref="D98:D101"/>
    <mergeCell ref="E98:E99"/>
    <mergeCell ref="G98:G101"/>
    <mergeCell ref="H98:H101"/>
    <mergeCell ref="J98:J101"/>
    <mergeCell ref="K98:K101"/>
    <mergeCell ref="E96:E97"/>
    <mergeCell ref="P96:P97"/>
    <mergeCell ref="Q96:Q97"/>
    <mergeCell ref="R96:R97"/>
    <mergeCell ref="S96:S97"/>
    <mergeCell ref="V96:V97"/>
    <mergeCell ref="Y94:Y97"/>
    <mergeCell ref="E102:E105"/>
    <mergeCell ref="J102:J105"/>
    <mergeCell ref="W102:W105"/>
    <mergeCell ref="X102:X105"/>
    <mergeCell ref="K102:K105"/>
    <mergeCell ref="L102:L105"/>
    <mergeCell ref="M102:M105"/>
    <mergeCell ref="N102:N105"/>
    <mergeCell ref="O102:O105"/>
    <mergeCell ref="P102:P105"/>
    <mergeCell ref="Z94:Z97"/>
    <mergeCell ref="AA94:AA97"/>
    <mergeCell ref="AB94:AB97"/>
    <mergeCell ref="AC94:AC97"/>
    <mergeCell ref="AD94:AD97"/>
    <mergeCell ref="Q94:Q95"/>
    <mergeCell ref="R94:R95"/>
    <mergeCell ref="S94:S95"/>
    <mergeCell ref="V94:V95"/>
    <mergeCell ref="W94:W95"/>
    <mergeCell ref="X94:X95"/>
    <mergeCell ref="K94:K97"/>
    <mergeCell ref="L94:L97"/>
    <mergeCell ref="M94:M97"/>
    <mergeCell ref="N94:N97"/>
    <mergeCell ref="O94:O97"/>
    <mergeCell ref="P94:P95"/>
    <mergeCell ref="W96:W97"/>
    <mergeCell ref="X96:X97"/>
    <mergeCell ref="AA92:AA93"/>
    <mergeCell ref="AB92:AB93"/>
    <mergeCell ref="AC92:AC93"/>
    <mergeCell ref="AD92:AD93"/>
    <mergeCell ref="A94:A101"/>
    <mergeCell ref="B94:B97"/>
    <mergeCell ref="C94:C97"/>
    <mergeCell ref="D94:D97"/>
    <mergeCell ref="E94:E95"/>
    <mergeCell ref="J94:J97"/>
    <mergeCell ref="N92:N93"/>
    <mergeCell ref="O92:O93"/>
    <mergeCell ref="T92:T93"/>
    <mergeCell ref="U92:U93"/>
    <mergeCell ref="Y92:Y93"/>
    <mergeCell ref="Z92:Z93"/>
    <mergeCell ref="Z90:Z91"/>
    <mergeCell ref="AA90:AA91"/>
    <mergeCell ref="AB90:AB91"/>
    <mergeCell ref="AC90:AC91"/>
    <mergeCell ref="AD90:AD91"/>
    <mergeCell ref="B92:B93"/>
    <mergeCell ref="C92:C93"/>
    <mergeCell ref="D92:D93"/>
    <mergeCell ref="F92:F93"/>
    <mergeCell ref="I92:I93"/>
    <mergeCell ref="T90:T91"/>
    <mergeCell ref="U90:U91"/>
    <mergeCell ref="V90:V91"/>
    <mergeCell ref="W90:W91"/>
    <mergeCell ref="X90:X91"/>
    <mergeCell ref="Y90:Y91"/>
    <mergeCell ref="N90:N91"/>
    <mergeCell ref="O90:O91"/>
    <mergeCell ref="P90:P91"/>
    <mergeCell ref="Q90:Q91"/>
    <mergeCell ref="R90:R91"/>
    <mergeCell ref="S90:S91"/>
    <mergeCell ref="H90:H93"/>
    <mergeCell ref="I90:I91"/>
    <mergeCell ref="J90:J91"/>
    <mergeCell ref="K90:K91"/>
    <mergeCell ref="L90:L91"/>
    <mergeCell ref="M90:M91"/>
    <mergeCell ref="J92:J93"/>
    <mergeCell ref="K92:K93"/>
    <mergeCell ref="L92:L93"/>
    <mergeCell ref="M92:M93"/>
    <mergeCell ref="A90:A93"/>
    <mergeCell ref="B90:B91"/>
    <mergeCell ref="C90:C91"/>
    <mergeCell ref="D90:D91"/>
    <mergeCell ref="F90:F91"/>
    <mergeCell ref="G90:G93"/>
    <mergeCell ref="AA84:AA89"/>
    <mergeCell ref="AB84:AB89"/>
    <mergeCell ref="AC84:AC89"/>
    <mergeCell ref="AD84:AD89"/>
    <mergeCell ref="F86:F87"/>
    <mergeCell ref="I86:I87"/>
    <mergeCell ref="T86:T87"/>
    <mergeCell ref="U86:U87"/>
    <mergeCell ref="F88:F89"/>
    <mergeCell ref="I88:I89"/>
    <mergeCell ref="U84:U85"/>
    <mergeCell ref="V84:V89"/>
    <mergeCell ref="W84:W89"/>
    <mergeCell ref="X84:X89"/>
    <mergeCell ref="Y84:Y89"/>
    <mergeCell ref="Z84:Z89"/>
    <mergeCell ref="U88:U89"/>
    <mergeCell ref="O84:O89"/>
    <mergeCell ref="P84:P89"/>
    <mergeCell ref="Q84:Q89"/>
    <mergeCell ref="R84:R89"/>
    <mergeCell ref="S84:S89"/>
    <mergeCell ref="T84:T85"/>
    <mergeCell ref="T88:T89"/>
    <mergeCell ref="I84:I85"/>
    <mergeCell ref="J84:J89"/>
    <mergeCell ref="K84:K89"/>
    <mergeCell ref="L84:L89"/>
    <mergeCell ref="M84:M89"/>
    <mergeCell ref="N84:N89"/>
    <mergeCell ref="B84:B89"/>
    <mergeCell ref="C84:C89"/>
    <mergeCell ref="D84:D89"/>
    <mergeCell ref="F84:F85"/>
    <mergeCell ref="G84:G89"/>
    <mergeCell ref="H84:H89"/>
    <mergeCell ref="F82:F83"/>
    <mergeCell ref="G82:G83"/>
    <mergeCell ref="H82:H83"/>
    <mergeCell ref="I82:I83"/>
    <mergeCell ref="T82:T83"/>
    <mergeCell ref="U82:U83"/>
    <mergeCell ref="F80:F81"/>
    <mergeCell ref="G80:G81"/>
    <mergeCell ref="H80:H81"/>
    <mergeCell ref="I80:I81"/>
    <mergeCell ref="T80:T81"/>
    <mergeCell ref="U80:U81"/>
    <mergeCell ref="Y78:Y83"/>
    <mergeCell ref="Z78:Z83"/>
    <mergeCell ref="AA78:AA83"/>
    <mergeCell ref="AB78:AB83"/>
    <mergeCell ref="AC78:AC83"/>
    <mergeCell ref="AD78:AD83"/>
    <mergeCell ref="S78:S83"/>
    <mergeCell ref="T78:T79"/>
    <mergeCell ref="U78:U79"/>
    <mergeCell ref="V78:V83"/>
    <mergeCell ref="W78:W83"/>
    <mergeCell ref="X78:X83"/>
    <mergeCell ref="M78:M83"/>
    <mergeCell ref="N78:N83"/>
    <mergeCell ref="O78:O83"/>
    <mergeCell ref="P78:P83"/>
    <mergeCell ref="Q78:Q83"/>
    <mergeCell ref="R78:R83"/>
    <mergeCell ref="G78:G79"/>
    <mergeCell ref="H78:H79"/>
    <mergeCell ref="I78:I79"/>
    <mergeCell ref="J78:J83"/>
    <mergeCell ref="K78:K83"/>
    <mergeCell ref="L78:L83"/>
    <mergeCell ref="Z70:Z77"/>
    <mergeCell ref="AA70:AA77"/>
    <mergeCell ref="AB70:AB77"/>
    <mergeCell ref="AC70:AC77"/>
    <mergeCell ref="AD70:AD77"/>
    <mergeCell ref="A78:A89"/>
    <mergeCell ref="B78:B83"/>
    <mergeCell ref="C78:C83"/>
    <mergeCell ref="D78:D83"/>
    <mergeCell ref="F78:F79"/>
    <mergeCell ref="T70:T77"/>
    <mergeCell ref="U70:U77"/>
    <mergeCell ref="V70:V77"/>
    <mergeCell ref="W70:W77"/>
    <mergeCell ref="X70:X77"/>
    <mergeCell ref="Y70:Y77"/>
    <mergeCell ref="N70:N77"/>
    <mergeCell ref="O70:O77"/>
    <mergeCell ref="P70:P77"/>
    <mergeCell ref="Q70:Q77"/>
    <mergeCell ref="R70:R77"/>
    <mergeCell ref="S70:S77"/>
    <mergeCell ref="A65:A77"/>
    <mergeCell ref="B65:B69"/>
    <mergeCell ref="C65:C69"/>
    <mergeCell ref="D65:D69"/>
    <mergeCell ref="B70:B77"/>
    <mergeCell ref="C70:C77"/>
    <mergeCell ref="D70:D77"/>
    <mergeCell ref="F70:F77"/>
    <mergeCell ref="I70:I77"/>
    <mergeCell ref="T65:T69"/>
    <mergeCell ref="U65:U69"/>
    <mergeCell ref="V65:V69"/>
    <mergeCell ref="W65:W69"/>
    <mergeCell ref="X65:X69"/>
    <mergeCell ref="Y65:Y69"/>
    <mergeCell ref="N65:N69"/>
    <mergeCell ref="O65:O69"/>
    <mergeCell ref="P65:P69"/>
    <mergeCell ref="Q65:Q69"/>
    <mergeCell ref="R65:R69"/>
    <mergeCell ref="S65:S69"/>
    <mergeCell ref="H65:H77"/>
    <mergeCell ref="I65:I69"/>
    <mergeCell ref="J65:J69"/>
    <mergeCell ref="K65:K69"/>
    <mergeCell ref="L65:L69"/>
    <mergeCell ref="M65:M69"/>
    <mergeCell ref="J70:J77"/>
    <mergeCell ref="K70:K77"/>
    <mergeCell ref="L70:L77"/>
    <mergeCell ref="M70:M77"/>
    <mergeCell ref="W57:W58"/>
    <mergeCell ref="X57:X58"/>
    <mergeCell ref="Y57:Y60"/>
    <mergeCell ref="W59:W60"/>
    <mergeCell ref="X59:X60"/>
    <mergeCell ref="F65:F69"/>
    <mergeCell ref="G65:G77"/>
    <mergeCell ref="Y61:Y64"/>
    <mergeCell ref="Z61:Z64"/>
    <mergeCell ref="AA61:AA64"/>
    <mergeCell ref="AB61:AB64"/>
    <mergeCell ref="AC61:AC64"/>
    <mergeCell ref="AD61:AD64"/>
    <mergeCell ref="S61:S64"/>
    <mergeCell ref="T61:T64"/>
    <mergeCell ref="U61:U64"/>
    <mergeCell ref="V61:V64"/>
    <mergeCell ref="W61:W64"/>
    <mergeCell ref="X61:X64"/>
    <mergeCell ref="M61:M64"/>
    <mergeCell ref="N61:N64"/>
    <mergeCell ref="O61:O64"/>
    <mergeCell ref="P61:P62"/>
    <mergeCell ref="Q61:Q62"/>
    <mergeCell ref="R61:R64"/>
    <mergeCell ref="P63:P64"/>
    <mergeCell ref="Q63:Q64"/>
    <mergeCell ref="Z65:Z69"/>
    <mergeCell ref="AA65:AA69"/>
    <mergeCell ref="AB65:AB69"/>
    <mergeCell ref="AC65:AC69"/>
    <mergeCell ref="AD65:AD69"/>
    <mergeCell ref="H57:H64"/>
    <mergeCell ref="I57:I60"/>
    <mergeCell ref="J57:J60"/>
    <mergeCell ref="K57:K60"/>
    <mergeCell ref="L57:L60"/>
    <mergeCell ref="M57:M60"/>
    <mergeCell ref="I61:I64"/>
    <mergeCell ref="J61:J64"/>
    <mergeCell ref="K61:K64"/>
    <mergeCell ref="L61:L64"/>
    <mergeCell ref="A57:A64"/>
    <mergeCell ref="B57:B60"/>
    <mergeCell ref="C57:C60"/>
    <mergeCell ref="D57:D60"/>
    <mergeCell ref="F57:F60"/>
    <mergeCell ref="G57:G64"/>
    <mergeCell ref="B61:B64"/>
    <mergeCell ref="C61:C64"/>
    <mergeCell ref="D61:D64"/>
    <mergeCell ref="F61:F64"/>
    <mergeCell ref="AD55:AD56"/>
    <mergeCell ref="S55:S56"/>
    <mergeCell ref="T55:T56"/>
    <mergeCell ref="U55:U56"/>
    <mergeCell ref="V55:V56"/>
    <mergeCell ref="W55:W56"/>
    <mergeCell ref="X55:X56"/>
    <mergeCell ref="M55:M56"/>
    <mergeCell ref="N55:N56"/>
    <mergeCell ref="O55:O56"/>
    <mergeCell ref="P55:P56"/>
    <mergeCell ref="Q55:Q56"/>
    <mergeCell ref="R55:R56"/>
    <mergeCell ref="N57:N60"/>
    <mergeCell ref="O57:O60"/>
    <mergeCell ref="P57:P58"/>
    <mergeCell ref="Q57:Q58"/>
    <mergeCell ref="R57:R58"/>
    <mergeCell ref="S57:S58"/>
    <mergeCell ref="Z57:Z60"/>
    <mergeCell ref="AA57:AA60"/>
    <mergeCell ref="AB57:AB60"/>
    <mergeCell ref="AC57:AC60"/>
    <mergeCell ref="AD57:AD60"/>
    <mergeCell ref="P59:P60"/>
    <mergeCell ref="Q59:Q60"/>
    <mergeCell ref="R59:R60"/>
    <mergeCell ref="S59:S60"/>
    <mergeCell ref="V59:V60"/>
    <mergeCell ref="T57:T60"/>
    <mergeCell ref="U57:U60"/>
    <mergeCell ref="V57:V58"/>
    <mergeCell ref="AD53:AD54"/>
    <mergeCell ref="B55:B56"/>
    <mergeCell ref="C55:C56"/>
    <mergeCell ref="D55:D56"/>
    <mergeCell ref="F55:F56"/>
    <mergeCell ref="I55:I56"/>
    <mergeCell ref="J55:J56"/>
    <mergeCell ref="K55:K56"/>
    <mergeCell ref="L55:L56"/>
    <mergeCell ref="W53:W54"/>
    <mergeCell ref="X53:X54"/>
    <mergeCell ref="Y53:Y54"/>
    <mergeCell ref="Z53:Z54"/>
    <mergeCell ref="AA53:AA54"/>
    <mergeCell ref="AB53:AB54"/>
    <mergeCell ref="Q53:Q54"/>
    <mergeCell ref="R53:R54"/>
    <mergeCell ref="S53:S54"/>
    <mergeCell ref="T53:T54"/>
    <mergeCell ref="U53:U54"/>
    <mergeCell ref="V53:V54"/>
    <mergeCell ref="K53:K54"/>
    <mergeCell ref="L53:L54"/>
    <mergeCell ref="M53:M54"/>
    <mergeCell ref="N53:N54"/>
    <mergeCell ref="O53:O54"/>
    <mergeCell ref="P53:P54"/>
    <mergeCell ref="Y55:Y56"/>
    <mergeCell ref="Z55:Z56"/>
    <mergeCell ref="AA55:AA56"/>
    <mergeCell ref="AB55:AB56"/>
    <mergeCell ref="AC55:AC56"/>
    <mergeCell ref="A53:A56"/>
    <mergeCell ref="B53:B54"/>
    <mergeCell ref="C53:C54"/>
    <mergeCell ref="D53:D54"/>
    <mergeCell ref="F53:F54"/>
    <mergeCell ref="G53:G56"/>
    <mergeCell ref="H53:H56"/>
    <mergeCell ref="I53:I54"/>
    <mergeCell ref="J53:J54"/>
    <mergeCell ref="X51:X52"/>
    <mergeCell ref="Y51:Y52"/>
    <mergeCell ref="Z51:Z52"/>
    <mergeCell ref="AA51:AA52"/>
    <mergeCell ref="AB51:AB52"/>
    <mergeCell ref="AC51:AC52"/>
    <mergeCell ref="R51:R52"/>
    <mergeCell ref="S51:S52"/>
    <mergeCell ref="T51:T52"/>
    <mergeCell ref="U51:U52"/>
    <mergeCell ref="V51:V52"/>
    <mergeCell ref="W51:W52"/>
    <mergeCell ref="L51:L52"/>
    <mergeCell ref="M51:M52"/>
    <mergeCell ref="N51:N52"/>
    <mergeCell ref="O51:O52"/>
    <mergeCell ref="P51:P52"/>
    <mergeCell ref="Q51:Q52"/>
    <mergeCell ref="AC53:AC54"/>
    <mergeCell ref="AD49:AD50"/>
    <mergeCell ref="B51:B52"/>
    <mergeCell ref="C51:C52"/>
    <mergeCell ref="D51:D52"/>
    <mergeCell ref="E51:E52"/>
    <mergeCell ref="F51:F52"/>
    <mergeCell ref="I51:I52"/>
    <mergeCell ref="J51:J52"/>
    <mergeCell ref="K51:K52"/>
    <mergeCell ref="W49:W50"/>
    <mergeCell ref="X49:X50"/>
    <mergeCell ref="Y49:Y50"/>
    <mergeCell ref="Z49:Z50"/>
    <mergeCell ref="AA49:AA50"/>
    <mergeCell ref="AB49:AB50"/>
    <mergeCell ref="O49:O50"/>
    <mergeCell ref="R49:R50"/>
    <mergeCell ref="S49:S50"/>
    <mergeCell ref="T49:T50"/>
    <mergeCell ref="U49:U50"/>
    <mergeCell ref="V49:V50"/>
    <mergeCell ref="I49:I50"/>
    <mergeCell ref="J49:J50"/>
    <mergeCell ref="K49:K50"/>
    <mergeCell ref="L49:L50"/>
    <mergeCell ref="M49:M50"/>
    <mergeCell ref="N49:N50"/>
    <mergeCell ref="AD51:AD52"/>
    <mergeCell ref="E47:E48"/>
    <mergeCell ref="A49:A52"/>
    <mergeCell ref="B49:B50"/>
    <mergeCell ref="C49:C50"/>
    <mergeCell ref="D49:D50"/>
    <mergeCell ref="E49:E50"/>
    <mergeCell ref="F49:F50"/>
    <mergeCell ref="G49:G52"/>
    <mergeCell ref="H49:H52"/>
    <mergeCell ref="X46:X48"/>
    <mergeCell ref="Y46:Y48"/>
    <mergeCell ref="Z46:Z48"/>
    <mergeCell ref="AA46:AA48"/>
    <mergeCell ref="AB46:AB48"/>
    <mergeCell ref="AC46:AC48"/>
    <mergeCell ref="P46:P48"/>
    <mergeCell ref="Q46:Q48"/>
    <mergeCell ref="R46:R48"/>
    <mergeCell ref="S46:S48"/>
    <mergeCell ref="V46:V48"/>
    <mergeCell ref="W46:W48"/>
    <mergeCell ref="J46:J48"/>
    <mergeCell ref="K46:K48"/>
    <mergeCell ref="L46:L48"/>
    <mergeCell ref="M46:M48"/>
    <mergeCell ref="N46:N48"/>
    <mergeCell ref="O46:O48"/>
    <mergeCell ref="AC49:AC50"/>
    <mergeCell ref="G46:G48"/>
    <mergeCell ref="H46:H48"/>
    <mergeCell ref="Y43:Y45"/>
    <mergeCell ref="Z43:Z45"/>
    <mergeCell ref="AA43:AA45"/>
    <mergeCell ref="AB43:AB45"/>
    <mergeCell ref="AC43:AC45"/>
    <mergeCell ref="AD43:AD45"/>
    <mergeCell ref="Q43:Q45"/>
    <mergeCell ref="R43:R45"/>
    <mergeCell ref="S43:S45"/>
    <mergeCell ref="V43:V45"/>
    <mergeCell ref="W43:W45"/>
    <mergeCell ref="X43:X45"/>
    <mergeCell ref="K43:K45"/>
    <mergeCell ref="L43:L45"/>
    <mergeCell ref="M43:M45"/>
    <mergeCell ref="N43:N45"/>
    <mergeCell ref="O43:O45"/>
    <mergeCell ref="P43:P45"/>
    <mergeCell ref="AD46:AD48"/>
    <mergeCell ref="Z41:Z42"/>
    <mergeCell ref="AA41:AA42"/>
    <mergeCell ref="AB41:AB42"/>
    <mergeCell ref="AC41:AC42"/>
    <mergeCell ref="AD41:AD42"/>
    <mergeCell ref="A43:A48"/>
    <mergeCell ref="B43:B45"/>
    <mergeCell ref="C43:C45"/>
    <mergeCell ref="D43:D45"/>
    <mergeCell ref="J43:J45"/>
    <mergeCell ref="T41:T42"/>
    <mergeCell ref="U41:U42"/>
    <mergeCell ref="V41:V42"/>
    <mergeCell ref="W41:W42"/>
    <mergeCell ref="X41:X42"/>
    <mergeCell ref="Y41:Y42"/>
    <mergeCell ref="N41:N42"/>
    <mergeCell ref="O41:O42"/>
    <mergeCell ref="P41:P42"/>
    <mergeCell ref="Q41:Q42"/>
    <mergeCell ref="R41:R42"/>
    <mergeCell ref="S41:S42"/>
    <mergeCell ref="A39:A42"/>
    <mergeCell ref="B39:B40"/>
    <mergeCell ref="C39:C40"/>
    <mergeCell ref="D39:D40"/>
    <mergeCell ref="F39:F40"/>
    <mergeCell ref="G39:G42"/>
    <mergeCell ref="E44:E45"/>
    <mergeCell ref="B46:B48"/>
    <mergeCell ref="C46:C48"/>
    <mergeCell ref="D46:D48"/>
    <mergeCell ref="Z39:Z40"/>
    <mergeCell ref="AA39:AA40"/>
    <mergeCell ref="AB39:AB40"/>
    <mergeCell ref="AC39:AC40"/>
    <mergeCell ref="AD39:AD40"/>
    <mergeCell ref="B41:B42"/>
    <mergeCell ref="C41:C42"/>
    <mergeCell ref="D41:D42"/>
    <mergeCell ref="F41:F42"/>
    <mergeCell ref="I41:I42"/>
    <mergeCell ref="T39:T40"/>
    <mergeCell ref="U39:U40"/>
    <mergeCell ref="V39:V40"/>
    <mergeCell ref="W39:W40"/>
    <mergeCell ref="X39:X40"/>
    <mergeCell ref="Y39:Y40"/>
    <mergeCell ref="N39:N40"/>
    <mergeCell ref="O39:O40"/>
    <mergeCell ref="P39:P40"/>
    <mergeCell ref="Q39:Q40"/>
    <mergeCell ref="R39:R40"/>
    <mergeCell ref="S39:S40"/>
    <mergeCell ref="H39:H42"/>
    <mergeCell ref="I39:I40"/>
    <mergeCell ref="J39:J40"/>
    <mergeCell ref="K39:K40"/>
    <mergeCell ref="L39:L40"/>
    <mergeCell ref="M39:M40"/>
    <mergeCell ref="J41:J42"/>
    <mergeCell ref="K41:K42"/>
    <mergeCell ref="L41:L42"/>
    <mergeCell ref="M41:M42"/>
    <mergeCell ref="G35:G38"/>
    <mergeCell ref="H35:H38"/>
    <mergeCell ref="I35:I36"/>
    <mergeCell ref="J35:J36"/>
    <mergeCell ref="K35:K36"/>
    <mergeCell ref="L35:L36"/>
    <mergeCell ref="K37:K38"/>
    <mergeCell ref="L37:L38"/>
    <mergeCell ref="Y37:Y38"/>
    <mergeCell ref="Z37:Z38"/>
    <mergeCell ref="AA37:AA38"/>
    <mergeCell ref="AB37:AB38"/>
    <mergeCell ref="AC37:AC38"/>
    <mergeCell ref="AD37:AD38"/>
    <mergeCell ref="S37:S38"/>
    <mergeCell ref="T37:T38"/>
    <mergeCell ref="U37:U38"/>
    <mergeCell ref="V37:V38"/>
    <mergeCell ref="W37:W38"/>
    <mergeCell ref="X37:X38"/>
    <mergeCell ref="M37:M38"/>
    <mergeCell ref="N37:N38"/>
    <mergeCell ref="O37:O38"/>
    <mergeCell ref="P37:P38"/>
    <mergeCell ref="Q37:Q38"/>
    <mergeCell ref="R37:R38"/>
    <mergeCell ref="I37:I38"/>
    <mergeCell ref="J37:J38"/>
    <mergeCell ref="Y35:Y36"/>
    <mergeCell ref="Z35:Z36"/>
    <mergeCell ref="AA35:AA36"/>
    <mergeCell ref="AB35:AB36"/>
    <mergeCell ref="AC35:AC36"/>
    <mergeCell ref="AD35:AD36"/>
    <mergeCell ref="S35:S36"/>
    <mergeCell ref="T35:T36"/>
    <mergeCell ref="U35:U36"/>
    <mergeCell ref="V35:V36"/>
    <mergeCell ref="W35:W36"/>
    <mergeCell ref="X35:X36"/>
    <mergeCell ref="M35:M36"/>
    <mergeCell ref="N35:N36"/>
    <mergeCell ref="O35:O36"/>
    <mergeCell ref="P35:P36"/>
    <mergeCell ref="Q35:Q36"/>
    <mergeCell ref="R35:R36"/>
    <mergeCell ref="Z33:Z34"/>
    <mergeCell ref="AA33:AA34"/>
    <mergeCell ref="AB33:AB34"/>
    <mergeCell ref="AC33:AC34"/>
    <mergeCell ref="AD33:AD34"/>
    <mergeCell ref="A35:A38"/>
    <mergeCell ref="B35:B36"/>
    <mergeCell ref="C35:C36"/>
    <mergeCell ref="D35:D36"/>
    <mergeCell ref="F35:F36"/>
    <mergeCell ref="T33:T34"/>
    <mergeCell ref="U33:U34"/>
    <mergeCell ref="V33:V34"/>
    <mergeCell ref="W33:W34"/>
    <mergeCell ref="X33:X34"/>
    <mergeCell ref="Y33:Y34"/>
    <mergeCell ref="N33:N34"/>
    <mergeCell ref="O33:O34"/>
    <mergeCell ref="P33:P34"/>
    <mergeCell ref="Q33:Q34"/>
    <mergeCell ref="R33:R34"/>
    <mergeCell ref="S33:S34"/>
    <mergeCell ref="A31:A34"/>
    <mergeCell ref="B31:B32"/>
    <mergeCell ref="C31:C32"/>
    <mergeCell ref="D31:D32"/>
    <mergeCell ref="F31:F32"/>
    <mergeCell ref="G31:G34"/>
    <mergeCell ref="B37:B38"/>
    <mergeCell ref="C37:C38"/>
    <mergeCell ref="D37:D38"/>
    <mergeCell ref="F37:F38"/>
    <mergeCell ref="Z31:Z32"/>
    <mergeCell ref="AA31:AA32"/>
    <mergeCell ref="AB31:AB32"/>
    <mergeCell ref="AC31:AC32"/>
    <mergeCell ref="AD31:AD32"/>
    <mergeCell ref="B33:B34"/>
    <mergeCell ref="C33:C34"/>
    <mergeCell ref="D33:D34"/>
    <mergeCell ref="F33:F34"/>
    <mergeCell ref="I33:I34"/>
    <mergeCell ref="T31:T32"/>
    <mergeCell ref="U31:U32"/>
    <mergeCell ref="V31:V32"/>
    <mergeCell ref="W31:W32"/>
    <mergeCell ref="X31:X32"/>
    <mergeCell ref="Y31:Y32"/>
    <mergeCell ref="N31:N32"/>
    <mergeCell ref="O31:O32"/>
    <mergeCell ref="P31:P32"/>
    <mergeCell ref="Q31:Q32"/>
    <mergeCell ref="R31:R32"/>
    <mergeCell ref="S31:S32"/>
    <mergeCell ref="H31:H34"/>
    <mergeCell ref="I31:I32"/>
    <mergeCell ref="J31:J32"/>
    <mergeCell ref="K31:K32"/>
    <mergeCell ref="L31:L32"/>
    <mergeCell ref="M31:M32"/>
    <mergeCell ref="J33:J34"/>
    <mergeCell ref="K33:K34"/>
    <mergeCell ref="L33:L34"/>
    <mergeCell ref="M33:M34"/>
    <mergeCell ref="L29:L30"/>
    <mergeCell ref="Y29:Y30"/>
    <mergeCell ref="Z29:Z30"/>
    <mergeCell ref="AA29:AA30"/>
    <mergeCell ref="AB29:AB30"/>
    <mergeCell ref="AC29:AC30"/>
    <mergeCell ref="AD29:AD30"/>
    <mergeCell ref="S29:S30"/>
    <mergeCell ref="T29:T30"/>
    <mergeCell ref="U29:U30"/>
    <mergeCell ref="V29:V30"/>
    <mergeCell ref="W29:W30"/>
    <mergeCell ref="X29:X30"/>
    <mergeCell ref="M29:M30"/>
    <mergeCell ref="N29:N30"/>
    <mergeCell ref="O29:O30"/>
    <mergeCell ref="P29:P30"/>
    <mergeCell ref="Q29:Q30"/>
    <mergeCell ref="R29:R30"/>
    <mergeCell ref="Z27:Z28"/>
    <mergeCell ref="AA27:AA28"/>
    <mergeCell ref="AB27:AB28"/>
    <mergeCell ref="AC27:AC28"/>
    <mergeCell ref="AD27:AD28"/>
    <mergeCell ref="S27:S28"/>
    <mergeCell ref="T27:T28"/>
    <mergeCell ref="U27:U28"/>
    <mergeCell ref="V27:V28"/>
    <mergeCell ref="W27:W28"/>
    <mergeCell ref="X27:X28"/>
    <mergeCell ref="M27:M28"/>
    <mergeCell ref="N27:N28"/>
    <mergeCell ref="O27:O28"/>
    <mergeCell ref="P27:P28"/>
    <mergeCell ref="Q27:Q28"/>
    <mergeCell ref="R27:R28"/>
    <mergeCell ref="A27:A30"/>
    <mergeCell ref="B27:B28"/>
    <mergeCell ref="C27:C28"/>
    <mergeCell ref="D27:D28"/>
    <mergeCell ref="F27:F28"/>
    <mergeCell ref="R25:R26"/>
    <mergeCell ref="S25:S26"/>
    <mergeCell ref="V25:V26"/>
    <mergeCell ref="W25:W26"/>
    <mergeCell ref="X25:X26"/>
    <mergeCell ref="Y25:Y26"/>
    <mergeCell ref="L25:L26"/>
    <mergeCell ref="M25:M26"/>
    <mergeCell ref="N25:N26"/>
    <mergeCell ref="O25:O26"/>
    <mergeCell ref="P25:P26"/>
    <mergeCell ref="Q25:Q26"/>
    <mergeCell ref="A23:A26"/>
    <mergeCell ref="B29:B30"/>
    <mergeCell ref="C29:C30"/>
    <mergeCell ref="D29:D30"/>
    <mergeCell ref="F29:F30"/>
    <mergeCell ref="I29:I30"/>
    <mergeCell ref="J29:J30"/>
    <mergeCell ref="Y27:Y28"/>
    <mergeCell ref="G27:G30"/>
    <mergeCell ref="H27:H30"/>
    <mergeCell ref="I27:I28"/>
    <mergeCell ref="J27:J28"/>
    <mergeCell ref="K27:K28"/>
    <mergeCell ref="L27:L28"/>
    <mergeCell ref="K29:K30"/>
    <mergeCell ref="AB23:AB24"/>
    <mergeCell ref="AC23:AC24"/>
    <mergeCell ref="AD23:AD24"/>
    <mergeCell ref="B25:B26"/>
    <mergeCell ref="C25:C26"/>
    <mergeCell ref="D25:D26"/>
    <mergeCell ref="G25:G26"/>
    <mergeCell ref="H25:H26"/>
    <mergeCell ref="J25:J26"/>
    <mergeCell ref="K25:K26"/>
    <mergeCell ref="V23:V24"/>
    <mergeCell ref="W23:W24"/>
    <mergeCell ref="X23:X24"/>
    <mergeCell ref="Y23:Y24"/>
    <mergeCell ref="Z23:Z24"/>
    <mergeCell ref="AA23:AA24"/>
    <mergeCell ref="L23:L24"/>
    <mergeCell ref="M23:M24"/>
    <mergeCell ref="N23:N24"/>
    <mergeCell ref="O23:O24"/>
    <mergeCell ref="R23:R24"/>
    <mergeCell ref="S23:S24"/>
    <mergeCell ref="B23:B24"/>
    <mergeCell ref="C23:C24"/>
    <mergeCell ref="D23:D24"/>
    <mergeCell ref="J23:J24"/>
    <mergeCell ref="K23:K24"/>
    <mergeCell ref="Z25:Z26"/>
    <mergeCell ref="AA25:AA26"/>
    <mergeCell ref="AB25:AB26"/>
    <mergeCell ref="AC25:AC26"/>
    <mergeCell ref="AD25:AD26"/>
    <mergeCell ref="AB20:AB22"/>
    <mergeCell ref="AC20:AC22"/>
    <mergeCell ref="AD20:AD22"/>
    <mergeCell ref="R21:R22"/>
    <mergeCell ref="S21:S22"/>
    <mergeCell ref="V21:V22"/>
    <mergeCell ref="W21:W22"/>
    <mergeCell ref="X21:X22"/>
    <mergeCell ref="M20:M22"/>
    <mergeCell ref="N20:N22"/>
    <mergeCell ref="O20:O22"/>
    <mergeCell ref="Y20:Y22"/>
    <mergeCell ref="Z20:Z22"/>
    <mergeCell ref="AA20:AA22"/>
    <mergeCell ref="AD17:AD19"/>
    <mergeCell ref="B20:B22"/>
    <mergeCell ref="C20:C22"/>
    <mergeCell ref="D20:D22"/>
    <mergeCell ref="E20:E22"/>
    <mergeCell ref="G20:G22"/>
    <mergeCell ref="H20:H22"/>
    <mergeCell ref="J20:J22"/>
    <mergeCell ref="K20:K22"/>
    <mergeCell ref="L20:L22"/>
    <mergeCell ref="X17:X19"/>
    <mergeCell ref="Y17:Y19"/>
    <mergeCell ref="Z17:Z19"/>
    <mergeCell ref="AA17:AA19"/>
    <mergeCell ref="AB17:AB19"/>
    <mergeCell ref="AC17:AC19"/>
    <mergeCell ref="P17:P19"/>
    <mergeCell ref="Q17:Q19"/>
    <mergeCell ref="R17:R19"/>
    <mergeCell ref="S17:S19"/>
    <mergeCell ref="V17:V19"/>
    <mergeCell ref="W17:W19"/>
    <mergeCell ref="J17:J19"/>
    <mergeCell ref="K17:K19"/>
    <mergeCell ref="L17:L19"/>
    <mergeCell ref="M17:M19"/>
    <mergeCell ref="N17:N19"/>
    <mergeCell ref="O17:O19"/>
    <mergeCell ref="Z14:Z16"/>
    <mergeCell ref="AA14:AA16"/>
    <mergeCell ref="AB14:AB16"/>
    <mergeCell ref="AC14:AC16"/>
    <mergeCell ref="AD14:AD16"/>
    <mergeCell ref="A17:A22"/>
    <mergeCell ref="B17:B19"/>
    <mergeCell ref="C17:C19"/>
    <mergeCell ref="D17:D19"/>
    <mergeCell ref="E17:E19"/>
    <mergeCell ref="R14:R16"/>
    <mergeCell ref="S14:S16"/>
    <mergeCell ref="V14:V16"/>
    <mergeCell ref="W14:W16"/>
    <mergeCell ref="X14:X16"/>
    <mergeCell ref="Y14:Y16"/>
    <mergeCell ref="L14:L16"/>
    <mergeCell ref="M14:M16"/>
    <mergeCell ref="N14:N16"/>
    <mergeCell ref="O14:O16"/>
    <mergeCell ref="P14:P16"/>
    <mergeCell ref="Q14:Q16"/>
    <mergeCell ref="P9:P10"/>
    <mergeCell ref="B9:B10"/>
    <mergeCell ref="C9:C10"/>
    <mergeCell ref="D9:D10"/>
    <mergeCell ref="F9:F10"/>
    <mergeCell ref="AB11:AB13"/>
    <mergeCell ref="AC11:AC13"/>
    <mergeCell ref="AD11:AD13"/>
    <mergeCell ref="B14:B16"/>
    <mergeCell ref="C14:C16"/>
    <mergeCell ref="D14:D16"/>
    <mergeCell ref="G14:G16"/>
    <mergeCell ref="H14:H16"/>
    <mergeCell ref="J14:J16"/>
    <mergeCell ref="K14:K16"/>
    <mergeCell ref="V11:V13"/>
    <mergeCell ref="W11:W13"/>
    <mergeCell ref="X11:X13"/>
    <mergeCell ref="Y11:Y13"/>
    <mergeCell ref="Z11:Z13"/>
    <mergeCell ref="AA11:AA13"/>
    <mergeCell ref="N11:N13"/>
    <mergeCell ref="O11:O13"/>
    <mergeCell ref="P11:P12"/>
    <mergeCell ref="Q11:Q12"/>
    <mergeCell ref="R11:R13"/>
    <mergeCell ref="S11:S13"/>
    <mergeCell ref="AB7:AB8"/>
    <mergeCell ref="AC7:AC8"/>
    <mergeCell ref="AD7:AD8"/>
    <mergeCell ref="I7:I8"/>
    <mergeCell ref="J7:J8"/>
    <mergeCell ref="K7:K8"/>
    <mergeCell ref="L7:L8"/>
    <mergeCell ref="M7:M8"/>
    <mergeCell ref="N7:N8"/>
    <mergeCell ref="AB5:AB6"/>
    <mergeCell ref="AC5:AC6"/>
    <mergeCell ref="AD5:AD6"/>
    <mergeCell ref="AC9:AC10"/>
    <mergeCell ref="AD9:AD10"/>
    <mergeCell ref="A11:A16"/>
    <mergeCell ref="B11:B13"/>
    <mergeCell ref="C11:C13"/>
    <mergeCell ref="D11:D13"/>
    <mergeCell ref="J11:J13"/>
    <mergeCell ref="K11:K13"/>
    <mergeCell ref="L11:L13"/>
    <mergeCell ref="M11:M13"/>
    <mergeCell ref="W9:W10"/>
    <mergeCell ref="X9:X10"/>
    <mergeCell ref="Y9:Y10"/>
    <mergeCell ref="Z9:Z10"/>
    <mergeCell ref="AA9:AA10"/>
    <mergeCell ref="AB9:AB10"/>
    <mergeCell ref="Q9:Q10"/>
    <mergeCell ref="R9:R10"/>
    <mergeCell ref="S9:S10"/>
    <mergeCell ref="T9:T10"/>
    <mergeCell ref="A7:A10"/>
    <mergeCell ref="B7:B8"/>
    <mergeCell ref="C7:C8"/>
    <mergeCell ref="D7:D8"/>
    <mergeCell ref="F7:F8"/>
    <mergeCell ref="G7:G10"/>
    <mergeCell ref="H7:H10"/>
    <mergeCell ref="V5:V6"/>
    <mergeCell ref="W5:W6"/>
    <mergeCell ref="X5:X6"/>
    <mergeCell ref="Y5:Y6"/>
    <mergeCell ref="Z5:Z6"/>
    <mergeCell ref="AA5:AA6"/>
    <mergeCell ref="N5:N6"/>
    <mergeCell ref="O5:O6"/>
    <mergeCell ref="R5:R6"/>
    <mergeCell ref="S5:S6"/>
    <mergeCell ref="T5:T6"/>
    <mergeCell ref="U5:U6"/>
    <mergeCell ref="A3:A6"/>
    <mergeCell ref="I9:I10"/>
    <mergeCell ref="J9:J10"/>
    <mergeCell ref="O7:O8"/>
    <mergeCell ref="T7:T8"/>
    <mergeCell ref="U7:U8"/>
    <mergeCell ref="U9:U10"/>
    <mergeCell ref="V9:V10"/>
    <mergeCell ref="K9:K10"/>
    <mergeCell ref="L9:L10"/>
    <mergeCell ref="M9:M10"/>
    <mergeCell ref="N9:N10"/>
    <mergeCell ref="O9:O10"/>
    <mergeCell ref="AD3:AD4"/>
    <mergeCell ref="B5:B6"/>
    <mergeCell ref="C5:C6"/>
    <mergeCell ref="D5:D6"/>
    <mergeCell ref="F5:F6"/>
    <mergeCell ref="I5:I6"/>
    <mergeCell ref="J5:J6"/>
    <mergeCell ref="K5:K6"/>
    <mergeCell ref="L5:L6"/>
    <mergeCell ref="M5:M6"/>
    <mergeCell ref="N3:N4"/>
    <mergeCell ref="O3:O4"/>
    <mergeCell ref="T3:T4"/>
    <mergeCell ref="U3:U4"/>
    <mergeCell ref="AB3:AB4"/>
    <mergeCell ref="AC3:AC4"/>
    <mergeCell ref="H3:H6"/>
    <mergeCell ref="I3:I4"/>
    <mergeCell ref="J3:J4"/>
    <mergeCell ref="K3:K4"/>
    <mergeCell ref="L3:L4"/>
    <mergeCell ref="M3:M4"/>
    <mergeCell ref="B3:B4"/>
    <mergeCell ref="C3:C4"/>
    <mergeCell ref="D3:D4"/>
    <mergeCell ref="F3:F4"/>
    <mergeCell ref="G3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Glennis Logsdon</dc:creator>
  <cp:lastModifiedBy>Logsdon, Glennis</cp:lastModifiedBy>
  <dcterms:created xsi:type="dcterms:W3CDTF">2023-05-27T15:58:23Z</dcterms:created>
  <dcterms:modified xsi:type="dcterms:W3CDTF">2024-02-22T19:57:52Z</dcterms:modified>
</cp:coreProperties>
</file>