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2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davidvilchezguerrero/Desktop/CAT-4 23-01-2026/Final Revision 30-08-2026/Figures Final Revision/Supplementary Table 7 lifespan/"/>
    </mc:Choice>
  </mc:AlternateContent>
  <xr:revisionPtr revIDLastSave="0" documentId="13_ncr:1_{C66DFBBA-3B1E-3E4B-B910-32404024642A}" xr6:coauthVersionLast="47" xr6:coauthVersionMax="47" xr10:uidLastSave="{00000000-0000-0000-0000-000000000000}"/>
  <bookViews>
    <workbookView xWindow="1120" yWindow="600" windowWidth="38400" windowHeight="19140" tabRatio="500" xr2:uid="{00000000-000D-0000-FFFF-FFFF00000000}"/>
  </bookViews>
  <sheets>
    <sheet name="Fig. 1" sheetId="19" r:id="rId1"/>
    <sheet name="Fig. 2" sheetId="8" r:id="rId2"/>
    <sheet name="Fig. 3" sheetId="16" r:id="rId3"/>
    <sheet name="Fig. 4" sheetId="15" r:id="rId4"/>
    <sheet name="Extended Data Fig. 2" sheetId="13" r:id="rId5"/>
    <sheet name="Extended Data Fig. 3" sheetId="20" r:id="rId6"/>
    <sheet name="Extended Data Fig. 4" sheetId="12" r:id="rId7"/>
    <sheet name="Extended Data Fig. 5" sheetId="21" r:id="rId8"/>
    <sheet name="Extended Data Fig. 7" sheetId="17" r:id="rId9"/>
    <sheet name="Extended Data Fig. 8" sheetId="18" r:id="rId10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89" i="15" l="1"/>
  <c r="H86" i="15"/>
  <c r="H83" i="15"/>
  <c r="H76" i="15"/>
  <c r="H73" i="15"/>
  <c r="H70" i="15"/>
  <c r="H147" i="18"/>
  <c r="H144" i="18"/>
  <c r="H141" i="18"/>
  <c r="H136" i="18"/>
  <c r="H133" i="18"/>
  <c r="H130" i="18"/>
  <c r="H125" i="18"/>
  <c r="H122" i="18"/>
  <c r="H119" i="18"/>
  <c r="H113" i="18"/>
  <c r="H108" i="18"/>
  <c r="H103" i="18"/>
  <c r="H98" i="18"/>
  <c r="H93" i="18"/>
  <c r="H88" i="18"/>
  <c r="H83" i="18"/>
  <c r="H78" i="18"/>
  <c r="H73" i="18"/>
  <c r="H26" i="18"/>
  <c r="H25" i="18"/>
  <c r="H20" i="18"/>
  <c r="H19" i="18"/>
  <c r="H18" i="18"/>
  <c r="H13" i="18"/>
  <c r="H12" i="18"/>
  <c r="H11" i="18"/>
  <c r="H10" i="18"/>
  <c r="H97" i="17"/>
  <c r="H96" i="17"/>
  <c r="H95" i="17"/>
  <c r="H89" i="17"/>
  <c r="H88" i="17"/>
  <c r="H87" i="17"/>
  <c r="H81" i="17"/>
  <c r="H80" i="17"/>
  <c r="H79" i="17"/>
  <c r="H40" i="17"/>
  <c r="H35" i="17"/>
  <c r="H56" i="21"/>
  <c r="H55" i="21"/>
  <c r="H54" i="21"/>
  <c r="H49" i="20"/>
  <c r="H48" i="21" l="1"/>
  <c r="H47" i="21"/>
  <c r="H46" i="21"/>
  <c r="H40" i="21" l="1"/>
  <c r="H39" i="21"/>
  <c r="H38" i="21"/>
  <c r="H19" i="8" l="1"/>
  <c r="H87" i="13" l="1"/>
  <c r="H81" i="13"/>
  <c r="H19" i="21" l="1"/>
  <c r="H18" i="21"/>
  <c r="H13" i="21"/>
  <c r="H66" i="12"/>
  <c r="H32" i="21" l="1"/>
  <c r="H26" i="21" l="1"/>
  <c r="H12" i="21" l="1"/>
  <c r="H106" i="13" l="1"/>
  <c r="H103" i="13" l="1"/>
  <c r="H97" i="13" l="1"/>
  <c r="H94" i="13"/>
  <c r="H38" i="20" l="1"/>
  <c r="H65" i="20"/>
  <c r="H54" i="20"/>
  <c r="H71" i="20" l="1"/>
  <c r="H59" i="20"/>
  <c r="H44" i="20"/>
  <c r="H33" i="20"/>
  <c r="H29" i="17" l="1"/>
  <c r="H28" i="17"/>
  <c r="H22" i="17"/>
  <c r="H21" i="17"/>
  <c r="H15" i="17"/>
  <c r="H10" i="17"/>
  <c r="H73" i="17"/>
  <c r="H62" i="17" l="1"/>
  <c r="H51" i="17"/>
  <c r="H68" i="17" l="1"/>
  <c r="H57" i="17"/>
  <c r="H46" i="17"/>
  <c r="H71" i="12" l="1"/>
  <c r="H77" i="12" l="1"/>
  <c r="H34" i="13"/>
  <c r="H31" i="13"/>
  <c r="H94" i="20" l="1"/>
  <c r="H88" i="20"/>
  <c r="H82" i="20"/>
  <c r="H77" i="20"/>
  <c r="H44" i="13" l="1"/>
  <c r="H41" i="13"/>
  <c r="H57" i="13" l="1"/>
  <c r="H50" i="13" l="1"/>
  <c r="H60" i="12" l="1"/>
  <c r="H59" i="12"/>
  <c r="H56" i="12"/>
  <c r="H55" i="12"/>
  <c r="H49" i="12"/>
  <c r="H48" i="12"/>
  <c r="H45" i="12"/>
  <c r="H44" i="12"/>
  <c r="H26" i="20"/>
  <c r="H21" i="20"/>
  <c r="H15" i="20"/>
  <c r="H11" i="20"/>
  <c r="H45" i="19"/>
  <c r="H42" i="19"/>
  <c r="H37" i="19"/>
  <c r="H34" i="19"/>
  <c r="H28" i="19"/>
  <c r="H25" i="19"/>
  <c r="H22" i="19"/>
  <c r="H16" i="19"/>
  <c r="H13" i="19"/>
  <c r="H10" i="19"/>
  <c r="H41" i="18" l="1"/>
  <c r="H40" i="18"/>
  <c r="H39" i="18"/>
  <c r="H34" i="18"/>
  <c r="H33" i="18"/>
  <c r="H32" i="18"/>
  <c r="H37" i="15"/>
  <c r="H31" i="15"/>
  <c r="H190" i="8"/>
  <c r="H185" i="8"/>
  <c r="H160" i="8"/>
  <c r="H155" i="8"/>
  <c r="H149" i="8"/>
  <c r="H75" i="8"/>
  <c r="H69" i="8"/>
  <c r="H31" i="8"/>
  <c r="H25" i="8"/>
  <c r="H26" i="15"/>
  <c r="H21" i="15"/>
  <c r="H46" i="18" l="1"/>
  <c r="H16" i="15" l="1"/>
  <c r="H56" i="18" l="1"/>
  <c r="H62" i="18" l="1"/>
  <c r="H67" i="18" l="1"/>
  <c r="H51" i="18" l="1"/>
  <c r="H117" i="17" l="1"/>
  <c r="H116" i="17"/>
  <c r="H110" i="17" l="1"/>
  <c r="H109" i="17"/>
  <c r="H103" i="17" l="1"/>
  <c r="H102" i="17"/>
  <c r="H45" i="15" l="1"/>
  <c r="H44" i="15"/>
  <c r="H34" i="16" l="1"/>
  <c r="H29" i="16" l="1"/>
  <c r="H113" i="8" l="1"/>
  <c r="H112" i="8"/>
  <c r="H111" i="8"/>
  <c r="H110" i="8"/>
  <c r="H104" i="8" l="1"/>
  <c r="H103" i="8"/>
  <c r="H102" i="8"/>
  <c r="H101" i="8"/>
  <c r="H52" i="15" l="1"/>
  <c r="H51" i="15"/>
  <c r="H128" i="8"/>
  <c r="H127" i="8"/>
  <c r="H126" i="8"/>
  <c r="H58" i="8" l="1"/>
  <c r="H58" i="15" l="1"/>
  <c r="H57" i="15"/>
  <c r="H64" i="15"/>
  <c r="H63" i="15"/>
  <c r="H66" i="13"/>
  <c r="H63" i="13"/>
  <c r="H12" i="13" l="1"/>
  <c r="H22" i="13"/>
  <c r="H15" i="13"/>
  <c r="H25" i="13"/>
  <c r="H11" i="15" l="1"/>
  <c r="H144" i="8" l="1"/>
  <c r="H211" i="8" l="1"/>
  <c r="H195" i="8" l="1"/>
  <c r="H180" i="8" l="1"/>
  <c r="H165" i="8" l="1"/>
  <c r="H134" i="8" l="1"/>
  <c r="H47" i="8" l="1"/>
  <c r="H200" i="8" l="1"/>
  <c r="H205" i="8"/>
  <c r="H175" i="8"/>
  <c r="H170" i="8"/>
  <c r="H139" i="8"/>
  <c r="H120" i="8"/>
  <c r="H119" i="8"/>
  <c r="H118" i="8"/>
  <c r="H74" i="16"/>
  <c r="H73" i="16"/>
  <c r="H72" i="16"/>
  <c r="H66" i="16"/>
  <c r="H65" i="16"/>
  <c r="H64" i="16"/>
  <c r="H58" i="16"/>
  <c r="H57" i="16"/>
  <c r="H56" i="16"/>
  <c r="H50" i="16"/>
  <c r="H49" i="16"/>
  <c r="H48" i="16"/>
  <c r="H43" i="16"/>
  <c r="H42" i="16"/>
  <c r="H41" i="16"/>
  <c r="H23" i="16"/>
  <c r="H20" i="16"/>
  <c r="H14" i="16"/>
  <c r="H11" i="16"/>
  <c r="H36" i="12"/>
  <c r="H32" i="12"/>
  <c r="H26" i="12"/>
  <c r="H22" i="12"/>
  <c r="H15" i="12"/>
  <c r="H11" i="12"/>
  <c r="H75" i="13" l="1"/>
  <c r="H72" i="13"/>
  <c r="H37" i="12" l="1"/>
  <c r="H33" i="12"/>
  <c r="H27" i="12"/>
  <c r="H23" i="12"/>
  <c r="H16" i="12"/>
  <c r="H12" i="12"/>
  <c r="H63" i="8" l="1"/>
  <c r="H53" i="8" l="1"/>
  <c r="H42" i="8"/>
  <c r="H36" i="8"/>
  <c r="H86" i="8"/>
  <c r="H80" i="8"/>
  <c r="H96" i="8"/>
  <c r="H91" i="8"/>
  <c r="H14" i="8"/>
  <c r="H9" i="8"/>
</calcChain>
</file>

<file path=xl/sharedStrings.xml><?xml version="1.0" encoding="utf-8"?>
<sst xmlns="http://schemas.openxmlformats.org/spreadsheetml/2006/main" count="4259" uniqueCount="783">
  <si>
    <t>Strain</t>
  </si>
  <si>
    <t>Genotype</t>
  </si>
  <si>
    <t>RNAi</t>
  </si>
  <si>
    <t>Total Animals Died/Total</t>
  </si>
  <si>
    <t>Median Lifespan (Days)</t>
  </si>
  <si>
    <t>(exp. 1)</t>
  </si>
  <si>
    <t>Temperature</t>
  </si>
  <si>
    <t xml:space="preserve">%  change in mean lifespan </t>
  </si>
  <si>
    <t>Mean Lifespan +/- s.e.m. (Days)</t>
  </si>
  <si>
    <t>Two-sided Log Rank P Value</t>
  </si>
  <si>
    <t>15°C</t>
  </si>
  <si>
    <t>81/96</t>
  </si>
  <si>
    <t>None</t>
  </si>
  <si>
    <t>DVG9</t>
  </si>
  <si>
    <t>N2, ocbEx9[myo3p::GFP]</t>
  </si>
  <si>
    <t>N2, ocbEx280[sur-5p::cat-4, myo-3p::GFP]</t>
  </si>
  <si>
    <t>DVG348</t>
  </si>
  <si>
    <t>&lt;0.0001</t>
  </si>
  <si>
    <t>0.0001</t>
  </si>
  <si>
    <t>79/96</t>
  </si>
  <si>
    <t>20.61 ± 0.45</t>
  </si>
  <si>
    <t>23.24 ± 0.47</t>
  </si>
  <si>
    <t>(exp. 2)</t>
  </si>
  <si>
    <t>18.54 ± 0.61</t>
  </si>
  <si>
    <t>24.41 ± 0.86</t>
  </si>
  <si>
    <t>22.36 ± 0.74</t>
  </si>
  <si>
    <t>60/96</t>
  </si>
  <si>
    <t>DVG352</t>
  </si>
  <si>
    <t>N2, ocbEx284[myo-3p::cat-4, myo-3p::GFP]</t>
  </si>
  <si>
    <t>29.41 ± 0.82</t>
  </si>
  <si>
    <t>71/96</t>
  </si>
  <si>
    <t>20°C</t>
  </si>
  <si>
    <t>15.44 ± 0.40</t>
  </si>
  <si>
    <t>69/96</t>
  </si>
  <si>
    <t>21.05 ± 0.69</t>
  </si>
  <si>
    <t>74/96</t>
  </si>
  <si>
    <t>25°C</t>
  </si>
  <si>
    <t>64/96</t>
  </si>
  <si>
    <t>91/96</t>
  </si>
  <si>
    <t>82/96</t>
  </si>
  <si>
    <t>WM118</t>
  </si>
  <si>
    <r>
      <rPr>
        <i/>
        <sz val="12"/>
        <color theme="1"/>
        <rFont val="Calibri (Body)"/>
      </rPr>
      <t>rde-1(ne300)</t>
    </r>
    <r>
      <rPr>
        <sz val="12"/>
        <color theme="1"/>
        <rFont val="Calibri (Body)"/>
      </rPr>
      <t>; neIs9 [</t>
    </r>
    <r>
      <rPr>
        <i/>
        <sz val="12"/>
        <color theme="1"/>
        <rFont val="Calibri (Body)"/>
      </rPr>
      <t>myo-3p</t>
    </r>
    <r>
      <rPr>
        <sz val="12"/>
        <color theme="1"/>
        <rFont val="Calibri (Body)"/>
      </rPr>
      <t>::HA::RDE-1 + </t>
    </r>
    <r>
      <rPr>
        <i/>
        <sz val="12"/>
        <color theme="1"/>
        <rFont val="Calibri (Body)"/>
      </rPr>
      <t>rol-6</t>
    </r>
    <r>
      <rPr>
        <sz val="12"/>
        <color theme="1"/>
        <rFont val="Calibri (Body)"/>
      </rPr>
      <t>(</t>
    </r>
    <r>
      <rPr>
        <i/>
        <sz val="12"/>
        <color theme="1"/>
        <rFont val="Calibri (Body)"/>
      </rPr>
      <t>su1006</t>
    </r>
    <r>
      <rPr>
        <sz val="12"/>
        <color theme="1"/>
        <rFont val="Calibri (Body)"/>
      </rPr>
      <t>)]</t>
    </r>
  </si>
  <si>
    <t>Empty Vector</t>
  </si>
  <si>
    <t>26.60 ± 0.85</t>
  </si>
  <si>
    <t>70/96</t>
  </si>
  <si>
    <t>cat-4</t>
  </si>
  <si>
    <t>21.05 ± 0.60</t>
  </si>
  <si>
    <t>76/96</t>
  </si>
  <si>
    <t>26.09 ± 1.12</t>
  </si>
  <si>
    <t>72/96</t>
  </si>
  <si>
    <t>21.47 ± 0.81</t>
  </si>
  <si>
    <t>0.0013</t>
  </si>
  <si>
    <t xml:space="preserve">DCL569 </t>
  </si>
  <si>
    <t>mkcSi13[sun-1p::rde-1::sun-1 3'UTR + unc-119(+)];rde-1(mkc36)</t>
  </si>
  <si>
    <t>28.23 ± 0.73</t>
  </si>
  <si>
    <t>78/96</t>
  </si>
  <si>
    <t>27.30 ± 0.77</t>
  </si>
  <si>
    <t>0.2604</t>
  </si>
  <si>
    <t>18.59 ± 0.61</t>
  </si>
  <si>
    <t>20.09 ± 0.58</t>
  </si>
  <si>
    <t>0.1001</t>
  </si>
  <si>
    <t>80/96</t>
  </si>
  <si>
    <t>NR222</t>
  </si>
  <si>
    <t>rde-1(ne219)V; kzIs9 [(pKK1260) lin-26p::NLS::GFP + (pKK1253) lin-26p::rde-1 + rol-6(su1006)]</t>
  </si>
  <si>
    <t>19.80 ± 0.34</t>
  </si>
  <si>
    <t>19.34 ± 0.44</t>
  </si>
  <si>
    <t>0.7405</t>
  </si>
  <si>
    <t>87/96</t>
  </si>
  <si>
    <t>22.56 ± 0.23</t>
  </si>
  <si>
    <t>86/96</t>
  </si>
  <si>
    <t>22.39 ± 0.34</t>
  </si>
  <si>
    <t>0.3996</t>
  </si>
  <si>
    <t>85/96</t>
  </si>
  <si>
    <t>VP303</t>
  </si>
  <si>
    <t>rde-1(ne219); kbIs7 [nhx-2p::rde-1 + rol-6(su1006)]</t>
  </si>
  <si>
    <t>25.78 ± 0.63</t>
  </si>
  <si>
    <t>26.97 ± 0.47</t>
  </si>
  <si>
    <t>0.5858</t>
  </si>
  <si>
    <t>77/96</t>
  </si>
  <si>
    <t>23.57 ± 0.53</t>
  </si>
  <si>
    <t>26.38 ± 0.45</t>
  </si>
  <si>
    <t>0.0006</t>
  </si>
  <si>
    <t>MAH677</t>
  </si>
  <si>
    <t>sid-1(qt9);sqIs71[rgef-1p::GFP + rgef-1p::sid-1]</t>
  </si>
  <si>
    <t>31.98 ± 0.66</t>
  </si>
  <si>
    <t>84/96</t>
  </si>
  <si>
    <t>31.61 ± 0.75</t>
  </si>
  <si>
    <t>0.8708</t>
  </si>
  <si>
    <t>N2</t>
  </si>
  <si>
    <t>Wild-type</t>
  </si>
  <si>
    <t>Treatment</t>
  </si>
  <si>
    <t>Vehicle control</t>
  </si>
  <si>
    <t>500 µM BH2</t>
  </si>
  <si>
    <t>21.76 ± 0.43</t>
  </si>
  <si>
    <t>Vehicle control (DMSO)</t>
  </si>
  <si>
    <t>13.67 ± 0.28</t>
  </si>
  <si>
    <t>150 µM BH2</t>
  </si>
  <si>
    <t>13.86 ± 0.29</t>
  </si>
  <si>
    <t>0.7502</t>
  </si>
  <si>
    <t>13.50 ± 0.28</t>
  </si>
  <si>
    <t>0.6048</t>
  </si>
  <si>
    <t>12.84 ± 0.26</t>
  </si>
  <si>
    <t>13.13 ± 0.21</t>
  </si>
  <si>
    <t>0.8310</t>
  </si>
  <si>
    <t>12.06 ± 0.22</t>
  </si>
  <si>
    <t>0.0106</t>
  </si>
  <si>
    <t>18.29 ± 0.44</t>
  </si>
  <si>
    <t>22.32 ± 0.54</t>
  </si>
  <si>
    <t>13.44 ± 0.32</t>
  </si>
  <si>
    <t>15.93 ± 0.60</t>
  </si>
  <si>
    <t>73/96</t>
  </si>
  <si>
    <t>23.98 ± 0.45</t>
  </si>
  <si>
    <t>8.84 ± 0.24</t>
  </si>
  <si>
    <t>8.80 ± 0.17</t>
  </si>
  <si>
    <t>0.8993</t>
  </si>
  <si>
    <t>13.01 ± 0.31</t>
  </si>
  <si>
    <t>12.49 ± 0.28</t>
  </si>
  <si>
    <t>0.2595</t>
  </si>
  <si>
    <t>22.88 ± 0.50</t>
  </si>
  <si>
    <t>18.83 ± 0.51</t>
  </si>
  <si>
    <t xml:space="preserve">(exp. 2) </t>
  </si>
  <si>
    <t>8.13 ± 0.26</t>
  </si>
  <si>
    <t>7.96 ± 0.19</t>
  </si>
  <si>
    <t>0.5390</t>
  </si>
  <si>
    <t>12.35 ± 0.30</t>
  </si>
  <si>
    <t>88/96</t>
  </si>
  <si>
    <t>11.93 ± 0.28</t>
  </si>
  <si>
    <t>0.2415</t>
  </si>
  <si>
    <t>19.75 ± 0.47</t>
  </si>
  <si>
    <t>83/96</t>
  </si>
  <si>
    <t>15.35 ± 0.45</t>
  </si>
  <si>
    <t>89/96</t>
  </si>
  <si>
    <t>CF1041</t>
  </si>
  <si>
    <t>daf-2(e1370)</t>
  </si>
  <si>
    <t>38.62 ± 1.31</t>
  </si>
  <si>
    <t>37.21 ± 1.22</t>
  </si>
  <si>
    <t>0.1715</t>
  </si>
  <si>
    <t>34.5</t>
  </si>
  <si>
    <t>38.43 ± 1.51</t>
  </si>
  <si>
    <t>30.69 ± 1.41</t>
  </si>
  <si>
    <t>0.0005</t>
  </si>
  <si>
    <t>wild-type</t>
  </si>
  <si>
    <t>29.74 ± 0.72</t>
  </si>
  <si>
    <t>pcbd-1</t>
  </si>
  <si>
    <t>28.94 ± 0.57</t>
  </si>
  <si>
    <t>qdpr-1</t>
  </si>
  <si>
    <t>29.16 ± 0.60</t>
  </si>
  <si>
    <t>18.78 ± 0.47</t>
  </si>
  <si>
    <t>18.15 ± 0.45</t>
  </si>
  <si>
    <t>17.69 ± 0.38</t>
  </si>
  <si>
    <t>39.41 ± 1.16</t>
  </si>
  <si>
    <t>67/96</t>
  </si>
  <si>
    <t>40.57 ± 1.38</t>
  </si>
  <si>
    <t>0.1565</t>
  </si>
  <si>
    <t>68/96</t>
  </si>
  <si>
    <t>32.02 ± 1.06</t>
  </si>
  <si>
    <t>25.09 ± 0.79</t>
  </si>
  <si>
    <t>25.49 ± 0.63</t>
  </si>
  <si>
    <t>25.92 ± 0.65</t>
  </si>
  <si>
    <t>0.4179</t>
  </si>
  <si>
    <t>19.21 ± 0.46</t>
  </si>
  <si>
    <t>63/96</t>
  </si>
  <si>
    <t>DVG351</t>
  </si>
  <si>
    <t>N2, ocbEx283[rgef-1p::cat-4, myo-3p::GFP]</t>
  </si>
  <si>
    <t>24.91 ± 0.63</t>
  </si>
  <si>
    <t>DVG349</t>
  </si>
  <si>
    <t>N2, ocbEx281[gly-19p::cat-4, myo-3p::GFP]</t>
  </si>
  <si>
    <t>27.38 ± 0.72</t>
  </si>
  <si>
    <t>29.23 ± 0.74</t>
  </si>
  <si>
    <t>19.32 ± 0.49</t>
  </si>
  <si>
    <t>75/96</t>
  </si>
  <si>
    <t>25.52 ± 0.67</t>
  </si>
  <si>
    <t>26.80 ± 0.56</t>
  </si>
  <si>
    <t>27.94 ± 0.67</t>
  </si>
  <si>
    <t>15.71 ± 0.32</t>
  </si>
  <si>
    <t>16.87 ± 0.51</t>
  </si>
  <si>
    <t>0.0121</t>
  </si>
  <si>
    <t>17.60 ± 0.47</t>
  </si>
  <si>
    <t>19.21 ± 0.48</t>
  </si>
  <si>
    <t>15.24 ± 0.41</t>
  </si>
  <si>
    <t>65/96</t>
  </si>
  <si>
    <t>16.67 ± 0.36</t>
  </si>
  <si>
    <t>0.0219</t>
  </si>
  <si>
    <t>19.44 ± 0.44</t>
  </si>
  <si>
    <t>20.05 ± 0.70</t>
  </si>
  <si>
    <t>(exp. 3)</t>
  </si>
  <si>
    <t>15.99 ± 0.24</t>
  </si>
  <si>
    <t>16.83 ± 0.29</t>
  </si>
  <si>
    <t>0.0332</t>
  </si>
  <si>
    <t>17.59 ± 0.38</t>
  </si>
  <si>
    <t>0.0003</t>
  </si>
  <si>
    <t>92/96</t>
  </si>
  <si>
    <t>18.45 ± 0.51</t>
  </si>
  <si>
    <t>0.0479</t>
  </si>
  <si>
    <t>27.60 ± 0.72</t>
  </si>
  <si>
    <t>29.36 ± 0.81</t>
  </si>
  <si>
    <t>27.95 ± 0.51</t>
  </si>
  <si>
    <t>Y39G8B.1</t>
  </si>
  <si>
    <t>26.28 ± 0.48</t>
  </si>
  <si>
    <t>17.87 ± 0.43</t>
  </si>
  <si>
    <t>18.33 ± 0.40</t>
  </si>
  <si>
    <t>90/96</t>
  </si>
  <si>
    <t>27.69 ± 0.63</t>
  </si>
  <si>
    <t>18.10 ± 0.45</t>
  </si>
  <si>
    <t>27.29 ± 0.61</t>
  </si>
  <si>
    <t>26.17 ± 0.52</t>
  </si>
  <si>
    <t>19.09 ± 0.45</t>
  </si>
  <si>
    <t>18.77 ± 0.45</t>
  </si>
  <si>
    <t>dhs-31</t>
  </si>
  <si>
    <t>26.49 ± 0.54</t>
  </si>
  <si>
    <t>18.37  ± 0.39</t>
  </si>
  <si>
    <t>27.58 ± 0.68</t>
  </si>
  <si>
    <t>0.0466</t>
  </si>
  <si>
    <t>17.87 ± 0.36</t>
  </si>
  <si>
    <t>27.05 ± 0.53</t>
  </si>
  <si>
    <t>19.41 ± 0.40</t>
  </si>
  <si>
    <t>15.11 ± 0.34</t>
  </si>
  <si>
    <t>LC141</t>
  </si>
  <si>
    <t>him-8(e1489);cat-4(e3015)</t>
  </si>
  <si>
    <t>13.15 ± 0.12</t>
  </si>
  <si>
    <t>15.78 ± 0.36</t>
  </si>
  <si>
    <t>12.64 ± 0.19</t>
  </si>
  <si>
    <t>93/96</t>
  </si>
  <si>
    <t>22.09 ± 0.53</t>
  </si>
  <si>
    <t>21.39 ± 0.58</t>
  </si>
  <si>
    <t>21.45 ± 0.45</t>
  </si>
  <si>
    <t>94/96</t>
  </si>
  <si>
    <t>15.19 ± 0.35</t>
  </si>
  <si>
    <t>15.00 ± 0.43</t>
  </si>
  <si>
    <t>14.21 ± 0.34</t>
  </si>
  <si>
    <t>dhfr-1</t>
  </si>
  <si>
    <t>27.75 ± 0.67</t>
  </si>
  <si>
    <t>17.95 ± 0.42</t>
  </si>
  <si>
    <t>20 °C</t>
  </si>
  <si>
    <t>18.55 ± 0.39</t>
  </si>
  <si>
    <t>18.30 ± 0.44</t>
  </si>
  <si>
    <t>27.86 ± 0.55</t>
  </si>
  <si>
    <t>24.01 ± 0.67</t>
  </si>
  <si>
    <t>29.49 ± 0.58</t>
  </si>
  <si>
    <t>ent-1</t>
  </si>
  <si>
    <t>26.21 ± 0.52</t>
  </si>
  <si>
    <t>ent-4</t>
  </si>
  <si>
    <t>29.60 ± 0.54</t>
  </si>
  <si>
    <t>0.9091</t>
  </si>
  <si>
    <t>ent-5</t>
  </si>
  <si>
    <t>24.52 ± 0.48</t>
  </si>
  <si>
    <t>ent-6</t>
  </si>
  <si>
    <t>23.19 ± 0.39</t>
  </si>
  <si>
    <t>21.08 ± 0.69</t>
  </si>
  <si>
    <t>53/96</t>
  </si>
  <si>
    <t>21.79 ± 0.85</t>
  </si>
  <si>
    <t>0.2742</t>
  </si>
  <si>
    <t>55/96</t>
  </si>
  <si>
    <t>30.42 ± 0.58</t>
  </si>
  <si>
    <t>26.17 ± 0.50</t>
  </si>
  <si>
    <t>24.74 ± 0.54</t>
  </si>
  <si>
    <t>23.28 ± 0.55</t>
  </si>
  <si>
    <t>0.0341</t>
  </si>
  <si>
    <t>62/96</t>
  </si>
  <si>
    <t>31.32 ± 0.50</t>
  </si>
  <si>
    <t>29.36 ± 0.39</t>
  </si>
  <si>
    <t>23.74 ± 0.60</t>
  </si>
  <si>
    <t>23.19 ± 0.51</t>
  </si>
  <si>
    <t>0.3016</t>
  </si>
  <si>
    <t>29.57 ± 0.47</t>
  </si>
  <si>
    <t>tph-1</t>
  </si>
  <si>
    <t>cat-2</t>
  </si>
  <si>
    <t>28.11 ± 0.52</t>
  </si>
  <si>
    <t>0.1292</t>
  </si>
  <si>
    <t>97/99</t>
  </si>
  <si>
    <t>pah-1</t>
  </si>
  <si>
    <t>24.10 ± 0.64</t>
  </si>
  <si>
    <t>agmo-1</t>
  </si>
  <si>
    <t>29.51 ± 0.66</t>
  </si>
  <si>
    <t>0.1534</t>
  </si>
  <si>
    <t>21.38 ± 0.48</t>
  </si>
  <si>
    <t>16.99 ± 0.24</t>
  </si>
  <si>
    <t>21.22 ± 0.41</t>
  </si>
  <si>
    <t>18.42 ± 0.18</t>
  </si>
  <si>
    <t>RNAi from egg hatching</t>
  </si>
  <si>
    <t>0.0004</t>
  </si>
  <si>
    <t>32.98 ± 0.69</t>
  </si>
  <si>
    <t>27.52 ± 1.10</t>
  </si>
  <si>
    <t>20.14 ± 0.58</t>
  </si>
  <si>
    <t>17.30 ± 0.52</t>
  </si>
  <si>
    <t>19.03 ± 0.42</t>
  </si>
  <si>
    <t>18.55 ± 0.38</t>
  </si>
  <si>
    <t>0.2209</t>
  </si>
  <si>
    <t>19.04 ± 0.42</t>
  </si>
  <si>
    <t>0.9840</t>
  </si>
  <si>
    <t>18.15 ± 0.40</t>
  </si>
  <si>
    <t>0.1278</t>
  </si>
  <si>
    <t>20.61 ± 0.66</t>
  </si>
  <si>
    <r>
      <rPr>
        <i/>
        <sz val="12"/>
        <rFont val="Calibri (Body)"/>
      </rPr>
      <t>rde-1(ne300)</t>
    </r>
    <r>
      <rPr>
        <sz val="12"/>
        <rFont val="Calibri (Body)"/>
      </rPr>
      <t>; neIs9 [</t>
    </r>
    <r>
      <rPr>
        <i/>
        <sz val="12"/>
        <rFont val="Calibri (Body)"/>
      </rPr>
      <t>myo-3p</t>
    </r>
    <r>
      <rPr>
        <sz val="12"/>
        <rFont val="Calibri (Body)"/>
      </rPr>
      <t>::HA::RDE-1 + </t>
    </r>
    <r>
      <rPr>
        <i/>
        <sz val="12"/>
        <rFont val="Calibri (Body)"/>
      </rPr>
      <t>rol-6</t>
    </r>
    <r>
      <rPr>
        <sz val="12"/>
        <rFont val="Calibri (Body)"/>
      </rPr>
      <t>(</t>
    </r>
    <r>
      <rPr>
        <i/>
        <sz val="12"/>
        <rFont val="Calibri (Body)"/>
      </rPr>
      <t>su1006</t>
    </r>
    <r>
      <rPr>
        <sz val="12"/>
        <rFont val="Calibri (Body)"/>
      </rPr>
      <t>)]</t>
    </r>
  </si>
  <si>
    <t>0.0011</t>
  </si>
  <si>
    <t>23.59 ± 0.59</t>
  </si>
  <si>
    <t>25.31 ± 0.64</t>
  </si>
  <si>
    <t>0.1076</t>
  </si>
  <si>
    <t>26.38 ± 0.77</t>
  </si>
  <si>
    <t>25.26 ± 0.70</t>
  </si>
  <si>
    <t>0.8819</t>
  </si>
  <si>
    <t>23.06 ± 0.60</t>
  </si>
  <si>
    <t>23.21 ± 0.54</t>
  </si>
  <si>
    <t>28.16 ± 0.43</t>
  </si>
  <si>
    <t>24.36 ± 0.50</t>
  </si>
  <si>
    <t>27.09 ± 0.60</t>
  </si>
  <si>
    <t>24.46 ± 0.57</t>
  </si>
  <si>
    <t>29.73 ± 0.65</t>
  </si>
  <si>
    <t>23.48 ± 0.54</t>
  </si>
  <si>
    <t>0.5121</t>
  </si>
  <si>
    <t>51/96</t>
  </si>
  <si>
    <t>49/96</t>
  </si>
  <si>
    <t>24.03 ± 0.87</t>
  </si>
  <si>
    <t>24.51 ± 0.99</t>
  </si>
  <si>
    <t>0.0002</t>
  </si>
  <si>
    <t>0.2975</t>
  </si>
  <si>
    <t>0.1304</t>
  </si>
  <si>
    <t>0.0918</t>
  </si>
  <si>
    <t>26.16 ± 0.48</t>
  </si>
  <si>
    <t>24.32 ± 0.41</t>
  </si>
  <si>
    <t>26.69 ± 0.49</t>
  </si>
  <si>
    <t>27.43 ± 0.41</t>
  </si>
  <si>
    <t>27.59 ± 0.38</t>
  </si>
  <si>
    <t>Bacteria</t>
  </si>
  <si>
    <t>OP50</t>
  </si>
  <si>
    <t>17.92 ± 0.32</t>
  </si>
  <si>
    <t>95/96</t>
  </si>
  <si>
    <t>LC74</t>
  </si>
  <si>
    <t>pah-1(ok687)</t>
  </si>
  <si>
    <t>16.87 ± 0.42</t>
  </si>
  <si>
    <t>0.0353</t>
  </si>
  <si>
    <t>28.20 ± 0.67</t>
  </si>
  <si>
    <t>23.81 ± 0.61</t>
  </si>
  <si>
    <t>32.23 ± 0.59</t>
  </si>
  <si>
    <t>31.18 ± 0.69</t>
  </si>
  <si>
    <t>0.4936</t>
  </si>
  <si>
    <t>21.24 ± 0.87</t>
  </si>
  <si>
    <t>21.15 ± 0.60</t>
  </si>
  <si>
    <t>0.2377</t>
  </si>
  <si>
    <t>25.71 ± 0.63</t>
  </si>
  <si>
    <t>25.63 ± 0.63</t>
  </si>
  <si>
    <t>0.9385</t>
  </si>
  <si>
    <t>Vehicle control (HCl)</t>
  </si>
  <si>
    <t>1 mM tyrosine</t>
  </si>
  <si>
    <t>0.0016</t>
  </si>
  <si>
    <t>0.0434</t>
  </si>
  <si>
    <t>0.0057</t>
  </si>
  <si>
    <t>0.0246</t>
  </si>
  <si>
    <t>14.35 ± 0.46</t>
  </si>
  <si>
    <t>16.92 ± 0.52</t>
  </si>
  <si>
    <t>16.04 ± 0.43</t>
  </si>
  <si>
    <t>12.66 ± 0.30</t>
  </si>
  <si>
    <t>14.16 ± 0.36</t>
  </si>
  <si>
    <t>13.85 ± 0.39</t>
  </si>
  <si>
    <t>RNAi and Treatment</t>
  </si>
  <si>
    <t>Vector RNAi + Vehicle control (HCl)</t>
  </si>
  <si>
    <t>58/96</t>
  </si>
  <si>
    <t>0.0032</t>
  </si>
  <si>
    <t>61/96</t>
  </si>
  <si>
    <t>21.57 ± 0.27</t>
  </si>
  <si>
    <t>24.49 ± 0.43</t>
  </si>
  <si>
    <t>20.29 ± 0.33</t>
  </si>
  <si>
    <t>24.30 ± 0.29</t>
  </si>
  <si>
    <t>rde-1(ne219)V; kzIs9 [lin-26p::NLS::GFP + lin-26p::rde-1 + rol-6(su1006)]</t>
  </si>
  <si>
    <t>0.0027</t>
  </si>
  <si>
    <t>27.16 ± 0.94</t>
  </si>
  <si>
    <t>22.28 ± 0.88</t>
  </si>
  <si>
    <t>18.66 ± 0.45</t>
  </si>
  <si>
    <t>16.66 ± 0.43</t>
  </si>
  <si>
    <t>16.23 ± 0.38</t>
  </si>
  <si>
    <t>19.48 ± 0.38</t>
  </si>
  <si>
    <t>18.82 ± 0.39</t>
  </si>
  <si>
    <t>0.0908</t>
  </si>
  <si>
    <t>29.04 ± 0.73</t>
  </si>
  <si>
    <t>26.66 ± 0.78</t>
  </si>
  <si>
    <t>0.9675</t>
  </si>
  <si>
    <t>0.8556</t>
  </si>
  <si>
    <t>0.6159</t>
  </si>
  <si>
    <t>62/100</t>
  </si>
  <si>
    <t>67/100</t>
  </si>
  <si>
    <t>48/75</t>
  </si>
  <si>
    <t>20.89 ± 0.56</t>
  </si>
  <si>
    <t>20.74 ± 0.56</t>
  </si>
  <si>
    <t>21.08 ± 0.47</t>
  </si>
  <si>
    <t>21.66 ± 0.48</t>
  </si>
  <si>
    <t>52/96</t>
  </si>
  <si>
    <t>22.96 ± 0.71</t>
  </si>
  <si>
    <t>0.0093</t>
  </si>
  <si>
    <t>0.0045</t>
  </si>
  <si>
    <t>23.37 ± 0.50</t>
  </si>
  <si>
    <t>23.56 ± 0.44</t>
  </si>
  <si>
    <t>0.0374</t>
  </si>
  <si>
    <t>25.17 ± 0.46</t>
  </si>
  <si>
    <t>23.68 ± 0.47</t>
  </si>
  <si>
    <t>27.83 ± 0.45</t>
  </si>
  <si>
    <t>8.72 ± 0.28</t>
  </si>
  <si>
    <t>66/96</t>
  </si>
  <si>
    <t>11.35 ± 0.31</t>
  </si>
  <si>
    <t>11.00 ± 0.29</t>
  </si>
  <si>
    <t>12.51 ± 0.34</t>
  </si>
  <si>
    <t>0.0103</t>
  </si>
  <si>
    <t>25.74 ± 0.71</t>
  </si>
  <si>
    <t>26.03 ± 0.69</t>
  </si>
  <si>
    <t>dhfr1</t>
  </si>
  <si>
    <t>DVG377</t>
  </si>
  <si>
    <t>sid-1(qt9);sqIs71[rgef-1p::GFP + rgef-1p::sid-1], ocbEx301[myo-3p::cat-4, myo-3p::mCherry]</t>
  </si>
  <si>
    <t>DVG378</t>
  </si>
  <si>
    <t>sid-1(qt9);sqIs71[rgef-1p::GFP + rgef-1p::sid-1], ocbEx302[myo3p::mCherry]</t>
  </si>
  <si>
    <t>36/96</t>
  </si>
  <si>
    <t>0.0237</t>
  </si>
  <si>
    <t>57/96</t>
  </si>
  <si>
    <t>15.55 ± 0.78</t>
  </si>
  <si>
    <t>11.87 ± 0.46</t>
  </si>
  <si>
    <t>12.41 ± 0.43</t>
  </si>
  <si>
    <t>13.51 ± 0.59</t>
  </si>
  <si>
    <t>56/96</t>
  </si>
  <si>
    <t>0.0355</t>
  </si>
  <si>
    <t>45/96</t>
  </si>
  <si>
    <t>0.0263</t>
  </si>
  <si>
    <t>16.02 ± 0.32</t>
  </si>
  <si>
    <t>16.96 ± 0.23</t>
  </si>
  <si>
    <t>15.64 ± 0.27</t>
  </si>
  <si>
    <t>16.18 ± 0.23</t>
  </si>
  <si>
    <t>0.7964</t>
  </si>
  <si>
    <t>42/96</t>
  </si>
  <si>
    <t>54/96</t>
  </si>
  <si>
    <t>0.9892</t>
  </si>
  <si>
    <t>16.22 ± 0.26</t>
  </si>
  <si>
    <t>16.19 ± 0.22</t>
  </si>
  <si>
    <t>0.2289</t>
  </si>
  <si>
    <t>43/96</t>
  </si>
  <si>
    <t>41/96</t>
  </si>
  <si>
    <t>0.0196</t>
  </si>
  <si>
    <t>14.11 ± 0.45</t>
  </si>
  <si>
    <t>15.20 ± 0.48</t>
  </si>
  <si>
    <t>0.0055</t>
  </si>
  <si>
    <t>22.99 ± 0.65</t>
  </si>
  <si>
    <t>22.14 ± 0.59</t>
  </si>
  <si>
    <t>20.76 ± 0.48</t>
  </si>
  <si>
    <t>20.99 ± 0.43</t>
  </si>
  <si>
    <t>0.7447</t>
  </si>
  <si>
    <t>0.8127</t>
  </si>
  <si>
    <t>20.46 ± 0.53</t>
  </si>
  <si>
    <t>20.86 ± 0.54</t>
  </si>
  <si>
    <t>29.91 ± 0.55</t>
  </si>
  <si>
    <t>27.68 ± 0.54</t>
  </si>
  <si>
    <t>29.57 ± 0.43</t>
  </si>
  <si>
    <t>0.0519</t>
  </si>
  <si>
    <t>12.46 ± 0.32</t>
  </si>
  <si>
    <t>15.37 ± 0.36</t>
  </si>
  <si>
    <t>0.0051</t>
  </si>
  <si>
    <t>14.67 ± 0.47</t>
  </si>
  <si>
    <t>16.87 ± 0.67</t>
  </si>
  <si>
    <t>55/73</t>
  </si>
  <si>
    <t>20.07 ± 0.46</t>
  </si>
  <si>
    <t>17.08 ± 0.56</t>
  </si>
  <si>
    <t>18.04 ± 0.30</t>
  </si>
  <si>
    <t>16.78 ± 0.28</t>
  </si>
  <si>
    <t>0.1660</t>
  </si>
  <si>
    <t>16.18 ± 0.32</t>
  </si>
  <si>
    <t>16.80 ± 0.41</t>
  </si>
  <si>
    <t>59/96</t>
  </si>
  <si>
    <t>21.23 ± 0.64</t>
  </si>
  <si>
    <t>24.72 ± 0.51</t>
  </si>
  <si>
    <t>19.86 ± 0.46</t>
  </si>
  <si>
    <t>23.02 ± 0.58</t>
  </si>
  <si>
    <t>19.83 ± 0.77</t>
  </si>
  <si>
    <t>0.2842</t>
  </si>
  <si>
    <t>18.25 ± 0.81</t>
  </si>
  <si>
    <t>22.68 ± 0.50</t>
  </si>
  <si>
    <t>19.66 ± 0.52</t>
  </si>
  <si>
    <t>0.0102</t>
  </si>
  <si>
    <t>0.4300</t>
  </si>
  <si>
    <t>28.59 ± 0.63</t>
  </si>
  <si>
    <t>30.00 ± 0.70</t>
  </si>
  <si>
    <t>28.26 ± 0.64</t>
  </si>
  <si>
    <t>28.76 ± 0.65</t>
  </si>
  <si>
    <t>0.3178</t>
  </si>
  <si>
    <t>0.0129</t>
  </si>
  <si>
    <t>30.90 ± 0.61</t>
  </si>
  <si>
    <t>28.99 ± 0.68</t>
  </si>
  <si>
    <t>29.34 ± 0.68</t>
  </si>
  <si>
    <t>28.28 ± 0.71</t>
  </si>
  <si>
    <t>0.0300</t>
  </si>
  <si>
    <t>20.23 ± 0.28</t>
  </si>
  <si>
    <t>21.23 ± 0.47</t>
  </si>
  <si>
    <t>18.86 ± 0.25</t>
  </si>
  <si>
    <t>19.59 ± 0.27</t>
  </si>
  <si>
    <t>0.0282</t>
  </si>
  <si>
    <t>0.0260</t>
  </si>
  <si>
    <t>96/96</t>
  </si>
  <si>
    <t>(exp. 4)</t>
  </si>
  <si>
    <t>0.0026</t>
  </si>
  <si>
    <t>26.44 ± 0.47</t>
  </si>
  <si>
    <t>24.57 ± 0.36</t>
  </si>
  <si>
    <t>25.59 ± 0.45</t>
  </si>
  <si>
    <t>24.03 ± 0.39</t>
  </si>
  <si>
    <t>IG1839</t>
  </si>
  <si>
    <t>rde-1(ne300); frSi17 [mtl-2p::rde-1 3UTR];  frIs7 [nlp-29p::GFP + col-12p::DsRed]</t>
  </si>
  <si>
    <t>24.47 ± 0.43</t>
  </si>
  <si>
    <t>23.93 ± 0.52</t>
  </si>
  <si>
    <t>0.5374</t>
  </si>
  <si>
    <t>23.52 ± 0.60</t>
  </si>
  <si>
    <t>25.32 ± 0.56</t>
  </si>
  <si>
    <t>0.0567</t>
  </si>
  <si>
    <t>IG1846</t>
  </si>
  <si>
    <t>rde-1(ne300); frSi21 [col-62p::rde-1 3'UTR];  frIs7 [nlp-29p::GFP + col-12p::DsRed]</t>
  </si>
  <si>
    <t>24.07 ± 0.49</t>
  </si>
  <si>
    <t>23.47 ± 0.58</t>
  </si>
  <si>
    <t>0.8399</t>
  </si>
  <si>
    <t>23.95 ± 0.68</t>
  </si>
  <si>
    <t>26.61 ± 0.71</t>
  </si>
  <si>
    <t>0.0475</t>
  </si>
  <si>
    <t>47/96</t>
  </si>
  <si>
    <t>20.72 ± 0.43</t>
  </si>
  <si>
    <t>21.48 ± 0.48</t>
  </si>
  <si>
    <t>0.1830</t>
  </si>
  <si>
    <t>22.36 ± 0.59</t>
  </si>
  <si>
    <t>0.2300</t>
  </si>
  <si>
    <t>21.58 ± 0.37</t>
  </si>
  <si>
    <t>21.46 ± 0.37</t>
  </si>
  <si>
    <t>0.8897</t>
  </si>
  <si>
    <t>24.63 ± 0.65</t>
  </si>
  <si>
    <t>21.44 ± 0.53</t>
  </si>
  <si>
    <t>25.29 ± 0.42</t>
  </si>
  <si>
    <t>23.87 ± 0.40</t>
  </si>
  <si>
    <t>0.0089</t>
  </si>
  <si>
    <t>23.30 ± 0.41</t>
  </si>
  <si>
    <t>0.0008</t>
  </si>
  <si>
    <t>25.06 ± 0.49</t>
  </si>
  <si>
    <t>23.08 ± 0.44</t>
  </si>
  <si>
    <t xml:space="preserve">MT15620 </t>
  </si>
  <si>
    <t>cat-2(n4547)</t>
  </si>
  <si>
    <t>17.73 ± 0.39</t>
  </si>
  <si>
    <t>0.5676</t>
  </si>
  <si>
    <t xml:space="preserve">MT14984 </t>
  </si>
  <si>
    <t xml:space="preserve">tph-1(n4622) </t>
  </si>
  <si>
    <t>20.16 ± 0.56</t>
  </si>
  <si>
    <t>0.0007</t>
  </si>
  <si>
    <t xml:space="preserve">LC144 </t>
  </si>
  <si>
    <t>agmo-1(e3016)</t>
  </si>
  <si>
    <t>17.68 ± 0.23</t>
  </si>
  <si>
    <t>0.0657</t>
  </si>
  <si>
    <t>0.0081</t>
  </si>
  <si>
    <t>0.0022</t>
  </si>
  <si>
    <t>0.0119</t>
  </si>
  <si>
    <t>19.74 ± 0.56</t>
  </si>
  <si>
    <t>22.01 ± 0.75</t>
  </si>
  <si>
    <t>22.35 ± 0.87</t>
  </si>
  <si>
    <t>18.83 ± 0.34</t>
  </si>
  <si>
    <t>Extended Data Figure 3</t>
  </si>
  <si>
    <t>Figure 1</t>
  </si>
  <si>
    <t>Extended Data Figure 4</t>
  </si>
  <si>
    <t>Extended Data Figure 4a</t>
  </si>
  <si>
    <t>Extended Data Figure 4b</t>
  </si>
  <si>
    <t>Extended Data Figure 5</t>
  </si>
  <si>
    <t>Figure 2</t>
  </si>
  <si>
    <t>Figure 2c</t>
  </si>
  <si>
    <t>Figure 2d_IG1839 strain</t>
  </si>
  <si>
    <t>Figure 2d_VP303 strain</t>
  </si>
  <si>
    <t>Figure 2e</t>
  </si>
  <si>
    <t>Figure 2f_IG1846</t>
  </si>
  <si>
    <t>Figure 2f_NR222</t>
  </si>
  <si>
    <t>Figure 2g</t>
  </si>
  <si>
    <t>Figure 2h</t>
  </si>
  <si>
    <t>Figure 2i</t>
  </si>
  <si>
    <t>Fig. 2j</t>
  </si>
  <si>
    <t>Fig. 2k_IG1846</t>
  </si>
  <si>
    <t>Fig. 2k_NR222</t>
  </si>
  <si>
    <t>Fig. 2l</t>
  </si>
  <si>
    <t>Fig. 2m_IG1839</t>
  </si>
  <si>
    <t>Fig. 2m_VP303</t>
  </si>
  <si>
    <t>Fig. 2n</t>
  </si>
  <si>
    <t>Extended Data Figure 3d</t>
  </si>
  <si>
    <t>Extended Data Figure 3c</t>
  </si>
  <si>
    <t>LC81</t>
  </si>
  <si>
    <t>cat-4(tm773)</t>
  </si>
  <si>
    <t>13.16 ± 0.17</t>
  </si>
  <si>
    <t>12.26 ± 0.21</t>
  </si>
  <si>
    <t>LC35</t>
  </si>
  <si>
    <t>cat-4(ok342)</t>
  </si>
  <si>
    <t>0.0238</t>
  </si>
  <si>
    <t>20.00 ± 0.47</t>
  </si>
  <si>
    <t>18.72 ± 0.33</t>
  </si>
  <si>
    <t>14.39 ± 0.37</t>
  </si>
  <si>
    <t>12.85 ± 0.27</t>
  </si>
  <si>
    <t xml:space="preserve">N2 </t>
  </si>
  <si>
    <t>LC143</t>
  </si>
  <si>
    <t>pcbd-1(tm5924)</t>
  </si>
  <si>
    <t>LC87</t>
  </si>
  <si>
    <t>qdpr-1(tm2337)</t>
  </si>
  <si>
    <t>20.23 ± 0.43</t>
  </si>
  <si>
    <t>0.0849</t>
  </si>
  <si>
    <t>DA597</t>
  </si>
  <si>
    <t>phm-2(ad597)</t>
  </si>
  <si>
    <t>20.28 ± 0.46</t>
  </si>
  <si>
    <t>18.18 ± 0.42</t>
  </si>
  <si>
    <t>19.59 ± 0.50</t>
  </si>
  <si>
    <t>17.32 ± 0.41</t>
  </si>
  <si>
    <t>28.38 ± 0.43</t>
  </si>
  <si>
    <t>25.13 ± 0.47</t>
  </si>
  <si>
    <t>29.34 ± 0.40</t>
  </si>
  <si>
    <t>26.34 ± 0.40</t>
  </si>
  <si>
    <t>Figure 3a</t>
  </si>
  <si>
    <t>Figure 3b</t>
  </si>
  <si>
    <t>Figure 3</t>
  </si>
  <si>
    <t>Extended Data Figure 8</t>
  </si>
  <si>
    <t>Figure 4</t>
  </si>
  <si>
    <t>21.85 ± 0.41</t>
  </si>
  <si>
    <t>19.15 ± 0.30</t>
  </si>
  <si>
    <t>16.15 ± 0.42</t>
  </si>
  <si>
    <t>13.72 ± 0.21</t>
  </si>
  <si>
    <t>0.9642</t>
  </si>
  <si>
    <t>21.12 ± 0.45</t>
  </si>
  <si>
    <t>21.50 ± 0.37</t>
  </si>
  <si>
    <t>trpa-1(ok999);ocbEx309[myo-3p::GFP]</t>
  </si>
  <si>
    <t>DVG389</t>
  </si>
  <si>
    <t>DVG390</t>
  </si>
  <si>
    <t>trpa-1(ok999)IV;ocbEx310[myo-3p::cat-4, myo-3p::GFP]</t>
  </si>
  <si>
    <t>19.39 ± 0.47</t>
  </si>
  <si>
    <t>23.78 ± 0.57</t>
  </si>
  <si>
    <t>12.88 ± 0.32</t>
  </si>
  <si>
    <t>15.66 ± 0.40</t>
  </si>
  <si>
    <t>9.65 ± 0.22</t>
  </si>
  <si>
    <t>11.04 ± 0.23</t>
  </si>
  <si>
    <t>21.35 ± 0.51</t>
  </si>
  <si>
    <t>17.96 ± 0.36</t>
  </si>
  <si>
    <t>12.90 ± 0.26</t>
  </si>
  <si>
    <t>14.86 ± 0.43</t>
  </si>
  <si>
    <t>0.0325</t>
  </si>
  <si>
    <t>9.60 ± 0.18</t>
  </si>
  <si>
    <t>10.11 ± 0.20</t>
  </si>
  <si>
    <t>Extended Data Figure 8a</t>
  </si>
  <si>
    <t>Extended Data Figure 8b</t>
  </si>
  <si>
    <t>Figure 3g</t>
  </si>
  <si>
    <t>DA1116</t>
  </si>
  <si>
    <t>eat-2(ad1116)</t>
  </si>
  <si>
    <t>0.0064</t>
  </si>
  <si>
    <t>23.75 ± 0.63</t>
  </si>
  <si>
    <t>21.09 ± 0.63</t>
  </si>
  <si>
    <t>0.0146</t>
  </si>
  <si>
    <t>30.51 ± 0.74</t>
  </si>
  <si>
    <t>28.17 ± 0.64</t>
  </si>
  <si>
    <t>Extended Data Figure 4c</t>
  </si>
  <si>
    <t>Extended Data Figure 4d</t>
  </si>
  <si>
    <t>isp-1(qm150)</t>
  </si>
  <si>
    <t>23.77 ± 0.61</t>
  </si>
  <si>
    <t>19.56 ± 0.65</t>
  </si>
  <si>
    <t xml:space="preserve">MQ887 </t>
  </si>
  <si>
    <t>32.36 ± 0.62</t>
  </si>
  <si>
    <t>24.83 ± 0.74</t>
  </si>
  <si>
    <t>27.92 ± 0.66</t>
  </si>
  <si>
    <t>25.10 ± 0.58</t>
  </si>
  <si>
    <t>40.84 ± 0.53</t>
  </si>
  <si>
    <t>32.66 ± 0.71</t>
  </si>
  <si>
    <t>0.0068</t>
  </si>
  <si>
    <t>22.06 ± 0.67</t>
  </si>
  <si>
    <t>18.51 ± 0.78</t>
  </si>
  <si>
    <t>Extended Data Figure 3e</t>
  </si>
  <si>
    <t>Extended Data Figure 3f</t>
  </si>
  <si>
    <t>PP4642</t>
  </si>
  <si>
    <t>cat-4(hh131[cat-4::3xFLAG::mIAA7::gfp]</t>
  </si>
  <si>
    <t xml:space="preserve">PP4634 </t>
  </si>
  <si>
    <t>cat-4(hh131[cat-4::3xFLAG::mIAA7::GFP]V;wrdSi58[eft-3p::TIR1(F79G)::F2A::mTagBFP2::AID*::NLS::tbb-2 3'UTR]</t>
  </si>
  <si>
    <t>19.50</t>
  </si>
  <si>
    <t>0.8656</t>
  </si>
  <si>
    <t>20.29 ± 0.35</t>
  </si>
  <si>
    <t>17.46 ± 0.28</t>
  </si>
  <si>
    <t>14.66 ± 0.40</t>
  </si>
  <si>
    <t>14.65 ± 0.37</t>
  </si>
  <si>
    <t>0.2254</t>
  </si>
  <si>
    <t>20.57 ± 0.38</t>
  </si>
  <si>
    <t>17.99 ± 0.31</t>
  </si>
  <si>
    <t>16.07 ± 0.52</t>
  </si>
  <si>
    <t>15.53 ± 0.40</t>
  </si>
  <si>
    <t>Auxin after development</t>
  </si>
  <si>
    <t>PP4635</t>
  </si>
  <si>
    <t>cat-4(hh131[cat-4::3xFLAG::mIAA7::GFP]V; reSi11[unc-54p::TIR1(F79G)::F2A::mTagBFP2::AID*::NLS::tbb-2 3'UTR]</t>
  </si>
  <si>
    <t>wild-type (same control as Extended Data Fig. 9a experiment 1 because lifespan assays were performed together)</t>
  </si>
  <si>
    <t>wild-type (same control as Extended Data Fig. 3d experiment 2 because lifespan assays were performed together)</t>
  </si>
  <si>
    <t>wild-type (same control as Extended Data Fig. 3c experiment 1 because lifespan assays were performed together)</t>
  </si>
  <si>
    <t>20.57± 0.38</t>
  </si>
  <si>
    <t>17.98 ± 0.35</t>
  </si>
  <si>
    <t>PP4642 (same as Extended Data Fig. 3i as P4635 lifespan was perfomed in parallel)</t>
  </si>
  <si>
    <t>PP4634 (same as Extended Data Fig. 3i as P4635 lifespan was perfomed in parallel)</t>
  </si>
  <si>
    <t>17.50</t>
  </si>
  <si>
    <t>17.39 ± 0.34</t>
  </si>
  <si>
    <t>16.52 ± 0.51</t>
  </si>
  <si>
    <t>0.7330</t>
  </si>
  <si>
    <t>0.4122</t>
  </si>
  <si>
    <t>15.16 ± 0.41</t>
  </si>
  <si>
    <t>hpd-1</t>
  </si>
  <si>
    <t>0.4504</t>
  </si>
  <si>
    <t>0.0826</t>
  </si>
  <si>
    <t>28.50 ± 0.52</t>
  </si>
  <si>
    <t>24.29 ± 0.62</t>
  </si>
  <si>
    <t>18.84 ± 0.38</t>
  </si>
  <si>
    <t>17.66 ± 0.46</t>
  </si>
  <si>
    <t>13.45 ± 0.32</t>
  </si>
  <si>
    <t>12.34 ± 0.35</t>
  </si>
  <si>
    <t>0.2360</t>
  </si>
  <si>
    <t>0.4567</t>
  </si>
  <si>
    <t>20.29 ± 0.44</t>
  </si>
  <si>
    <t>19.24 ± 0.47</t>
  </si>
  <si>
    <t>14.32 ± 0.32</t>
  </si>
  <si>
    <t>13.37 ± 0.31</t>
  </si>
  <si>
    <t>29.24 ± 0.76</t>
  </si>
  <si>
    <t>26.08 ± 0.61</t>
  </si>
  <si>
    <t>0.1661</t>
  </si>
  <si>
    <t>18.60 ± 0.82</t>
  </si>
  <si>
    <t>Extended Data Figure 3h</t>
  </si>
  <si>
    <t>Auxin from egg hatching</t>
  </si>
  <si>
    <t>15.20 ± 0.31</t>
  </si>
  <si>
    <t>12.18 ± 0.14</t>
  </si>
  <si>
    <t>16.88 ± 0.38</t>
  </si>
  <si>
    <t>11.38 ± 0.18</t>
  </si>
  <si>
    <t>wild-type (same control as Extended Data Fig. 3a exp.2 because experiments were done together))</t>
  </si>
  <si>
    <t>wild-type (same control as Extended Data Fig. 3a exp. 1 because experiments were done together)</t>
  </si>
  <si>
    <t>wild-type (same control as Fig. 1j experiment 2 because experiments were done together)</t>
  </si>
  <si>
    <t>25.29 ± 0.71</t>
  </si>
  <si>
    <t>DVG399</t>
  </si>
  <si>
    <t>ent-1(ok743); sid-1(qt9);sqIs71[rgef-1p::GFP + rgef-1p::sid-1]</t>
  </si>
  <si>
    <t>DVG400</t>
  </si>
  <si>
    <t>ent-1(ok743); rde-1(ne300)V; neIs9[myo-3p::HA::RDE-1 + rol-6(su1006)]</t>
  </si>
  <si>
    <t>0.0098</t>
  </si>
  <si>
    <t>0.0050</t>
  </si>
  <si>
    <t>25.50 ± 0.68</t>
  </si>
  <si>
    <t>26.47 ± 0.73</t>
  </si>
  <si>
    <t>25.62 ± 0.87</t>
  </si>
  <si>
    <t>29.83 ± 0.60</t>
  </si>
  <si>
    <t>23.25 ± 0.83</t>
  </si>
  <si>
    <t>19.78 ± 0.69</t>
  </si>
  <si>
    <t>19.89 ± 0.58</t>
  </si>
  <si>
    <t>20.05 ± 0.59</t>
  </si>
  <si>
    <t>27.67 ± 0.93</t>
  </si>
  <si>
    <t>23.62 ± 0.79</t>
  </si>
  <si>
    <t>0.0222</t>
  </si>
  <si>
    <t>25.36 ± 0.93</t>
  </si>
  <si>
    <t>22.71 ± 0.82</t>
  </si>
  <si>
    <t>18.90 ± 0.70</t>
  </si>
  <si>
    <t>18.67 ± 0.73</t>
  </si>
  <si>
    <t>Figure 1g</t>
  </si>
  <si>
    <t>Figure 1h</t>
  </si>
  <si>
    <t>Extended Data Figure 2</t>
  </si>
  <si>
    <t>Extended Data Figure 2c</t>
  </si>
  <si>
    <t>Extended Data Figure 2d</t>
  </si>
  <si>
    <t>Extended Data Figure 2e</t>
  </si>
  <si>
    <t>Extended Data Figure 2f</t>
  </si>
  <si>
    <t>Extended Data Figure 2h</t>
  </si>
  <si>
    <t>Extended Data Figure 2i</t>
  </si>
  <si>
    <t>Extended Data Figure 3a</t>
  </si>
  <si>
    <t>Extended Data Figure 3b</t>
  </si>
  <si>
    <t>Extended Data Figure 3g</t>
  </si>
  <si>
    <t>Extended Data Figure 5e</t>
  </si>
  <si>
    <t>Extended Data Figure 5f</t>
  </si>
  <si>
    <t>Extended Data Figure 5g</t>
  </si>
  <si>
    <t>Extended Data Figure 5h</t>
  </si>
  <si>
    <t>Extended Data Figure 7</t>
  </si>
  <si>
    <t>Extended Data Figure 7a</t>
  </si>
  <si>
    <t>Extended Data Figure 7b</t>
  </si>
  <si>
    <t>Extended Data Figure 7j</t>
  </si>
  <si>
    <t>Extended Data Figure 7k</t>
  </si>
  <si>
    <t>Extended Data Figure 8c</t>
  </si>
  <si>
    <t>Extended Data Figure 7f</t>
  </si>
  <si>
    <t>Extended Data Figure 7l</t>
  </si>
  <si>
    <t>Extended Data Figure 7o</t>
  </si>
  <si>
    <t>Extended Data Figure 7n</t>
  </si>
  <si>
    <t>Figure 3f</t>
  </si>
  <si>
    <t>Extended Data Figure 8d</t>
  </si>
  <si>
    <t>Fig. 4a_VP303</t>
  </si>
  <si>
    <t>Fig. 4a_ IG1839</t>
  </si>
  <si>
    <t>Extended Data Figure 8e</t>
  </si>
  <si>
    <t>Extended Data Figure 8f</t>
  </si>
  <si>
    <t>Extended Data Figure 8g</t>
  </si>
  <si>
    <t>Figure 4d</t>
  </si>
  <si>
    <t>Figure 4e</t>
  </si>
  <si>
    <t>Extended Data Figure 8j</t>
  </si>
  <si>
    <r>
      <rPr>
        <i/>
        <sz val="12"/>
        <rFont val="Calibri"/>
        <family val="2"/>
        <scheme val="minor"/>
      </rPr>
      <t xml:space="preserve">cat-4 </t>
    </r>
    <r>
      <rPr>
        <sz val="12"/>
        <rFont val="Calibri"/>
        <family val="2"/>
        <scheme val="minor"/>
      </rPr>
      <t>RNAi + Vehicle control (HCl)</t>
    </r>
  </si>
  <si>
    <t>Figure 4f</t>
  </si>
  <si>
    <r>
      <t xml:space="preserve">Supplementary Table 7. </t>
    </r>
    <r>
      <rPr>
        <sz val="16"/>
        <color theme="1"/>
        <rFont val="Arial"/>
        <family val="2"/>
      </rPr>
      <t>Statistical analysis and replicate data of lifespan experiments.</t>
    </r>
  </si>
  <si>
    <t>Vector RNAi + 0.5 mM tyrosine</t>
  </si>
  <si>
    <r>
      <rPr>
        <i/>
        <sz val="12"/>
        <rFont val="Calibri"/>
        <family val="2"/>
        <scheme val="minor"/>
      </rPr>
      <t>cat-4</t>
    </r>
    <r>
      <rPr>
        <sz val="12"/>
        <rFont val="Calibri"/>
        <family val="2"/>
        <scheme val="minor"/>
      </rPr>
      <t xml:space="preserve">  RNAi + 0.5 mM tyrosine</t>
    </r>
  </si>
  <si>
    <t>0.5 mM tyrosine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</si>
</sst>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4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name val="Calibri"/>
      <family val="2"/>
      <scheme val="minor"/>
    </font>
    <font>
      <b/>
      <sz val="1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8"/>
      <name val="Calibri"/>
      <family val="2"/>
      <scheme val="minor"/>
    </font>
    <font>
      <i/>
      <sz val="12"/>
      <name val="Calibri"/>
      <family val="2"/>
      <scheme val="minor"/>
    </font>
    <font>
      <b/>
      <sz val="14"/>
      <color theme="1"/>
      <name val="Arial"/>
      <family val="2"/>
    </font>
    <font>
      <sz val="12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rgb="FFFF0000"/>
      <name val="Arial"/>
      <family val="2"/>
    </font>
    <font>
      <b/>
      <sz val="12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Calibri (Body)"/>
    </font>
    <font>
      <i/>
      <sz val="12"/>
      <color theme="1"/>
      <name val="Calibri (Body)"/>
    </font>
    <font>
      <sz val="11"/>
      <name val="Arial"/>
      <family val="2"/>
    </font>
    <font>
      <sz val="12"/>
      <color rgb="FF000000"/>
      <name val="Calibri"/>
      <family val="2"/>
      <scheme val="minor"/>
    </font>
    <font>
      <b/>
      <sz val="11"/>
      <color rgb="FF000000"/>
      <name val="Arial"/>
      <family val="2"/>
    </font>
    <font>
      <b/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2"/>
      <name val="Calibri (Body)"/>
    </font>
    <font>
      <i/>
      <sz val="12"/>
      <name val="Calibri (Body)"/>
    </font>
    <font>
      <i/>
      <sz val="11"/>
      <name val="Helvetica"/>
      <family val="2"/>
    </font>
    <font>
      <b/>
      <sz val="16"/>
      <name val="Arial"/>
      <family val="2"/>
    </font>
    <font>
      <sz val="16"/>
      <name val="Calibri"/>
      <family val="2"/>
      <scheme val="minor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3">
    <xf numFmtId="0" fontId="0" fillId="0" borderId="0" xfId="0"/>
    <xf numFmtId="0" fontId="3" fillId="0" borderId="1" xfId="0" applyFont="1" applyBorder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9" fillId="0" borderId="0" xfId="0" applyFont="1"/>
    <xf numFmtId="0" fontId="14" fillId="0" borderId="0" xfId="0" applyFont="1"/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/>
    <xf numFmtId="1" fontId="16" fillId="0" borderId="0" xfId="0" applyNumberFormat="1" applyFont="1" applyAlignment="1">
      <alignment horizontal="center"/>
    </xf>
    <xf numFmtId="0" fontId="21" fillId="0" borderId="0" xfId="0" applyFont="1"/>
    <xf numFmtId="1" fontId="18" fillId="0" borderId="0" xfId="0" applyNumberFormat="1" applyFont="1" applyAlignment="1">
      <alignment horizontal="center"/>
    </xf>
    <xf numFmtId="0" fontId="22" fillId="0" borderId="0" xfId="0" applyFont="1"/>
    <xf numFmtId="0" fontId="9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2" xfId="0" applyFont="1" applyBorder="1" applyAlignment="1">
      <alignment horizontal="center"/>
    </xf>
    <xf numFmtId="0" fontId="23" fillId="0" borderId="0" xfId="0" applyFont="1" applyAlignment="1">
      <alignment horizontal="left"/>
    </xf>
    <xf numFmtId="1" fontId="9" fillId="0" borderId="0" xfId="0" applyNumberFormat="1" applyFont="1" applyAlignment="1">
      <alignment horizontal="center"/>
    </xf>
    <xf numFmtId="0" fontId="24" fillId="0" borderId="0" xfId="0" applyFont="1"/>
    <xf numFmtId="0" fontId="25" fillId="0" borderId="0" xfId="0" applyFont="1"/>
    <xf numFmtId="0" fontId="14" fillId="0" borderId="0" xfId="0" applyFont="1" applyAlignment="1">
      <alignment horizontal="center"/>
    </xf>
    <xf numFmtId="0" fontId="26" fillId="0" borderId="0" xfId="0" applyFont="1"/>
    <xf numFmtId="0" fontId="17" fillId="0" borderId="0" xfId="0" applyFont="1"/>
    <xf numFmtId="0" fontId="3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5" fontId="28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165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10" fillId="0" borderId="0" xfId="0" applyFont="1" applyAlignment="1">
      <alignment horizontal="center"/>
    </xf>
    <xf numFmtId="0" fontId="29" fillId="0" borderId="0" xfId="0" applyFont="1" applyAlignment="1">
      <alignment horizontal="left"/>
    </xf>
    <xf numFmtId="0" fontId="29" fillId="0" borderId="0" xfId="0" applyFont="1"/>
    <xf numFmtId="0" fontId="29" fillId="0" borderId="0" xfId="0" applyFont="1" applyAlignment="1">
      <alignment horizontal="center"/>
    </xf>
    <xf numFmtId="0" fontId="30" fillId="0" borderId="1" xfId="0" applyFont="1" applyBorder="1" applyAlignment="1">
      <alignment horizontal="left"/>
    </xf>
    <xf numFmtId="0" fontId="30" fillId="0" borderId="3" xfId="0" applyFont="1" applyBorder="1"/>
    <xf numFmtId="0" fontId="3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1" fillId="0" borderId="0" xfId="0" applyFont="1" applyAlignment="1">
      <alignment horizontal="left"/>
    </xf>
    <xf numFmtId="0" fontId="32" fillId="0" borderId="0" xfId="0" applyFont="1" applyAlignment="1">
      <alignment horizontal="center"/>
    </xf>
    <xf numFmtId="1" fontId="29" fillId="0" borderId="0" xfId="0" applyNumberFormat="1" applyFont="1" applyAlignment="1">
      <alignment horizontal="center"/>
    </xf>
    <xf numFmtId="0" fontId="33" fillId="0" borderId="0" xfId="0" applyFont="1"/>
    <xf numFmtId="0" fontId="34" fillId="0" borderId="0" xfId="0" applyFont="1"/>
    <xf numFmtId="0" fontId="35" fillId="0" borderId="0" xfId="0" applyFont="1"/>
    <xf numFmtId="0" fontId="10" fillId="0" borderId="3" xfId="0" applyFont="1" applyBorder="1"/>
    <xf numFmtId="0" fontId="10" fillId="0" borderId="4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37" fillId="0" borderId="0" xfId="0" applyFont="1"/>
    <xf numFmtId="0" fontId="38" fillId="0" borderId="0" xfId="0" applyFont="1" applyAlignment="1">
      <alignment horizontal="left" vertical="center"/>
    </xf>
    <xf numFmtId="0" fontId="39" fillId="0" borderId="0" xfId="0" applyFont="1"/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</cellXfs>
  <cellStyles count="1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AF866-DA3A-F44F-840C-835A20400AF1}">
  <dimension ref="A1:O45"/>
  <sheetViews>
    <sheetView tabSelected="1" workbookViewId="0"/>
  </sheetViews>
  <sheetFormatPr baseColWidth="10" defaultRowHeight="16"/>
  <cols>
    <col min="1" max="1" width="47.5" customWidth="1"/>
    <col min="2" max="2" width="12.6640625" customWidth="1"/>
    <col min="3" max="3" width="49.83203125" bestFit="1" customWidth="1"/>
    <col min="4" max="4" width="13.33203125" customWidth="1"/>
    <col min="5" max="5" width="20.5" bestFit="1" customWidth="1"/>
    <col min="6" max="6" width="22.1640625" bestFit="1" customWidth="1"/>
    <col min="7" max="7" width="29" bestFit="1" customWidth="1"/>
    <col min="8" max="8" width="26.1640625" bestFit="1" customWidth="1"/>
    <col min="9" max="9" width="27" bestFit="1" customWidth="1"/>
    <col min="10" max="10" width="28.5" customWidth="1"/>
  </cols>
  <sheetData>
    <row r="1" spans="1:15" ht="20">
      <c r="A1" s="17" t="s">
        <v>779</v>
      </c>
    </row>
    <row r="2" spans="1:15" s="6" customFormat="1" ht="21">
      <c r="A2" s="17"/>
      <c r="F2" s="7"/>
      <c r="G2" s="7"/>
      <c r="H2" s="7"/>
      <c r="I2" s="7"/>
      <c r="J2" s="7"/>
    </row>
    <row r="3" spans="1:15" ht="18">
      <c r="A3" s="20" t="s">
        <v>551</v>
      </c>
      <c r="F3" s="11"/>
      <c r="G3" s="11"/>
      <c r="H3" s="11"/>
      <c r="I3" s="11"/>
      <c r="J3" s="11"/>
    </row>
    <row r="4" spans="1:15" ht="18">
      <c r="A4" s="2"/>
      <c r="F4" s="11"/>
      <c r="G4" s="11"/>
      <c r="H4" s="11"/>
      <c r="I4" s="11"/>
      <c r="J4" s="11"/>
    </row>
    <row r="7" spans="1:15">
      <c r="A7" s="5" t="s">
        <v>5</v>
      </c>
      <c r="D7" s="11"/>
      <c r="E7" s="11"/>
      <c r="F7" s="11"/>
      <c r="G7" s="11"/>
      <c r="H7" s="11"/>
      <c r="I7" s="11"/>
      <c r="J7" s="11"/>
    </row>
    <row r="8" spans="1:15">
      <c r="A8" s="3" t="s">
        <v>741</v>
      </c>
      <c r="B8" s="1" t="s">
        <v>0</v>
      </c>
      <c r="C8" s="1" t="s">
        <v>1</v>
      </c>
      <c r="D8" s="8" t="s">
        <v>6</v>
      </c>
      <c r="E8" s="8" t="s">
        <v>2</v>
      </c>
      <c r="F8" s="8" t="s">
        <v>4</v>
      </c>
      <c r="G8" s="8" t="s">
        <v>8</v>
      </c>
      <c r="H8" s="16" t="s">
        <v>7</v>
      </c>
      <c r="I8" s="8" t="s">
        <v>9</v>
      </c>
      <c r="J8" s="9" t="s">
        <v>3</v>
      </c>
    </row>
    <row r="9" spans="1:15">
      <c r="A9" s="4"/>
      <c r="B9" t="s">
        <v>88</v>
      </c>
      <c r="D9" s="11" t="s">
        <v>36</v>
      </c>
      <c r="E9" s="21" t="s">
        <v>42</v>
      </c>
      <c r="F9" s="10">
        <v>8</v>
      </c>
      <c r="G9" s="10" t="s">
        <v>112</v>
      </c>
      <c r="H9" s="14"/>
      <c r="I9" s="11"/>
      <c r="J9" s="11" t="s">
        <v>69</v>
      </c>
      <c r="L9" s="12"/>
      <c r="M9" s="12"/>
      <c r="N9" s="12"/>
      <c r="O9" s="12"/>
    </row>
    <row r="10" spans="1:15">
      <c r="A10" s="4"/>
      <c r="B10" t="s">
        <v>88</v>
      </c>
      <c r="D10" s="11" t="s">
        <v>36</v>
      </c>
      <c r="E10" s="21" t="s">
        <v>45</v>
      </c>
      <c r="F10" s="10">
        <v>8</v>
      </c>
      <c r="G10" s="10" t="s">
        <v>113</v>
      </c>
      <c r="H10" s="15">
        <f>(8.8/8.84)*100-100</f>
        <v>-0.45248868778278961</v>
      </c>
      <c r="I10" s="11" t="s">
        <v>114</v>
      </c>
      <c r="J10" s="11" t="s">
        <v>38</v>
      </c>
      <c r="L10" s="13"/>
      <c r="M10" s="12"/>
      <c r="N10" s="12"/>
      <c r="O10" s="12"/>
    </row>
    <row r="11" spans="1:15">
      <c r="A11" s="4"/>
      <c r="D11" s="11"/>
      <c r="E11" s="21"/>
      <c r="F11" s="10"/>
      <c r="G11" s="10"/>
      <c r="I11" s="11"/>
      <c r="J11" s="11"/>
      <c r="L11" s="13"/>
      <c r="M11" s="12"/>
      <c r="N11" s="12"/>
      <c r="O11" s="12"/>
    </row>
    <row r="12" spans="1:15">
      <c r="A12" s="5"/>
      <c r="B12" t="s">
        <v>88</v>
      </c>
      <c r="D12" s="11" t="s">
        <v>31</v>
      </c>
      <c r="E12" s="21" t="s">
        <v>42</v>
      </c>
      <c r="F12" s="10">
        <v>12</v>
      </c>
      <c r="G12" s="10" t="s">
        <v>115</v>
      </c>
      <c r="I12" s="11"/>
      <c r="J12" s="11" t="s">
        <v>85</v>
      </c>
    </row>
    <row r="13" spans="1:15">
      <c r="B13" t="s">
        <v>88</v>
      </c>
      <c r="D13" s="11" t="s">
        <v>31</v>
      </c>
      <c r="E13" s="21" t="s">
        <v>45</v>
      </c>
      <c r="F13" s="10">
        <v>12</v>
      </c>
      <c r="G13" s="10" t="s">
        <v>116</v>
      </c>
      <c r="H13" s="15">
        <f>(12.49/13.01)*100-100</f>
        <v>-3.9969254419677185</v>
      </c>
      <c r="I13" s="11" t="s">
        <v>117</v>
      </c>
      <c r="J13" s="11" t="s">
        <v>38</v>
      </c>
    </row>
    <row r="15" spans="1:15">
      <c r="A15" s="5"/>
      <c r="B15" t="s">
        <v>88</v>
      </c>
      <c r="D15" s="11" t="s">
        <v>10</v>
      </c>
      <c r="E15" s="21" t="s">
        <v>42</v>
      </c>
      <c r="F15" s="10">
        <v>22</v>
      </c>
      <c r="G15" s="10" t="s">
        <v>118</v>
      </c>
      <c r="I15" s="11"/>
      <c r="J15" s="11" t="s">
        <v>38</v>
      </c>
    </row>
    <row r="16" spans="1:15">
      <c r="B16" t="s">
        <v>88</v>
      </c>
      <c r="D16" s="11" t="s">
        <v>10</v>
      </c>
      <c r="E16" s="21" t="s">
        <v>45</v>
      </c>
      <c r="F16" s="10">
        <v>18</v>
      </c>
      <c r="G16" s="10" t="s">
        <v>119</v>
      </c>
      <c r="H16" s="15">
        <f>(18.83/22.88)*100-100</f>
        <v>-17.701048951048961</v>
      </c>
      <c r="I16" s="11" t="s">
        <v>17</v>
      </c>
      <c r="J16" s="11" t="s">
        <v>39</v>
      </c>
    </row>
    <row r="19" spans="1:15" s="18" customFormat="1">
      <c r="A19" s="31" t="s">
        <v>120</v>
      </c>
      <c r="D19" s="14"/>
      <c r="E19" s="14"/>
      <c r="F19" s="14"/>
      <c r="G19" s="14"/>
      <c r="H19" s="14"/>
      <c r="I19" s="14"/>
      <c r="J19" s="14"/>
    </row>
    <row r="20" spans="1:15" s="18" customFormat="1">
      <c r="A20" s="3" t="s">
        <v>741</v>
      </c>
      <c r="B20" s="33" t="s">
        <v>0</v>
      </c>
      <c r="C20" s="33" t="s">
        <v>1</v>
      </c>
      <c r="D20" s="16" t="s">
        <v>6</v>
      </c>
      <c r="E20" s="16" t="s">
        <v>2</v>
      </c>
      <c r="F20" s="16" t="s">
        <v>4</v>
      </c>
      <c r="G20" s="16" t="s">
        <v>8</v>
      </c>
      <c r="H20" s="16" t="s">
        <v>7</v>
      </c>
      <c r="I20" s="16" t="s">
        <v>9</v>
      </c>
      <c r="J20" s="34" t="s">
        <v>3</v>
      </c>
    </row>
    <row r="21" spans="1:15" s="18" customFormat="1">
      <c r="A21" s="35"/>
      <c r="B21" s="18" t="s">
        <v>88</v>
      </c>
      <c r="D21" s="14" t="s">
        <v>36</v>
      </c>
      <c r="E21" s="39" t="s">
        <v>42</v>
      </c>
      <c r="F21" s="36">
        <v>7</v>
      </c>
      <c r="G21" s="36" t="s">
        <v>121</v>
      </c>
      <c r="H21" s="14"/>
      <c r="I21" s="14"/>
      <c r="J21" s="14" t="s">
        <v>38</v>
      </c>
      <c r="L21" s="37"/>
      <c r="M21" s="37"/>
      <c r="N21" s="37"/>
      <c r="O21" s="37"/>
    </row>
    <row r="22" spans="1:15" s="18" customFormat="1">
      <c r="A22" s="35"/>
      <c r="B22" s="18" t="s">
        <v>88</v>
      </c>
      <c r="D22" s="14" t="s">
        <v>36</v>
      </c>
      <c r="E22" s="39" t="s">
        <v>45</v>
      </c>
      <c r="F22" s="36">
        <v>7</v>
      </c>
      <c r="G22" s="36" t="s">
        <v>122</v>
      </c>
      <c r="H22" s="15">
        <f>(7.96/8.14)*100-100</f>
        <v>-2.2113022113022254</v>
      </c>
      <c r="I22" s="14" t="s">
        <v>123</v>
      </c>
      <c r="J22" s="14" t="s">
        <v>38</v>
      </c>
      <c r="L22" s="38"/>
      <c r="M22" s="37"/>
      <c r="N22" s="37"/>
      <c r="O22" s="37"/>
    </row>
    <row r="23" spans="1:15" s="18" customFormat="1">
      <c r="A23" s="35"/>
      <c r="D23" s="14"/>
      <c r="E23" s="39"/>
      <c r="F23" s="36"/>
      <c r="G23" s="36"/>
      <c r="I23" s="14"/>
      <c r="J23" s="14"/>
      <c r="L23" s="38"/>
      <c r="M23" s="37"/>
      <c r="N23" s="37"/>
      <c r="O23" s="37"/>
    </row>
    <row r="24" spans="1:15" s="18" customFormat="1">
      <c r="A24" s="31"/>
      <c r="B24" s="18" t="s">
        <v>88</v>
      </c>
      <c r="D24" s="14" t="s">
        <v>31</v>
      </c>
      <c r="E24" s="39" t="s">
        <v>42</v>
      </c>
      <c r="F24" s="36">
        <v>12</v>
      </c>
      <c r="G24" s="36" t="s">
        <v>124</v>
      </c>
      <c r="I24" s="14"/>
      <c r="J24" s="14" t="s">
        <v>125</v>
      </c>
    </row>
    <row r="25" spans="1:15" s="18" customFormat="1">
      <c r="B25" s="18" t="s">
        <v>88</v>
      </c>
      <c r="D25" s="14" t="s">
        <v>31</v>
      </c>
      <c r="E25" s="39" t="s">
        <v>45</v>
      </c>
      <c r="F25" s="36">
        <v>11</v>
      </c>
      <c r="G25" s="36" t="s">
        <v>126</v>
      </c>
      <c r="H25" s="15">
        <f>(11.93/12.35)*100-100</f>
        <v>-3.4008097165991842</v>
      </c>
      <c r="I25" s="14" t="s">
        <v>127</v>
      </c>
      <c r="J25" s="14" t="s">
        <v>72</v>
      </c>
    </row>
    <row r="26" spans="1:15" s="18" customFormat="1"/>
    <row r="27" spans="1:15" s="18" customFormat="1">
      <c r="A27" s="31"/>
      <c r="B27" s="18" t="s">
        <v>88</v>
      </c>
      <c r="D27" s="14" t="s">
        <v>10</v>
      </c>
      <c r="E27" s="39" t="s">
        <v>42</v>
      </c>
      <c r="F27" s="36">
        <v>19</v>
      </c>
      <c r="G27" s="36" t="s">
        <v>128</v>
      </c>
      <c r="I27" s="14"/>
      <c r="J27" s="14" t="s">
        <v>129</v>
      </c>
    </row>
    <row r="28" spans="1:15" s="18" customFormat="1">
      <c r="B28" s="18" t="s">
        <v>88</v>
      </c>
      <c r="D28" s="14" t="s">
        <v>10</v>
      </c>
      <c r="E28" s="39" t="s">
        <v>45</v>
      </c>
      <c r="F28" s="36">
        <v>15</v>
      </c>
      <c r="G28" s="36" t="s">
        <v>130</v>
      </c>
      <c r="H28" s="15">
        <f>(15.35/19.75)*100-100</f>
        <v>-22.278481012658219</v>
      </c>
      <c r="I28" s="14" t="s">
        <v>17</v>
      </c>
      <c r="J28" s="14" t="s">
        <v>131</v>
      </c>
    </row>
    <row r="29" spans="1:15" s="18" customFormat="1">
      <c r="D29" s="14"/>
      <c r="E29" s="39"/>
      <c r="F29" s="36"/>
      <c r="G29" s="36"/>
      <c r="H29" s="15"/>
      <c r="I29" s="14"/>
      <c r="J29" s="14"/>
    </row>
    <row r="30" spans="1:15">
      <c r="D30" s="11"/>
      <c r="E30" s="21"/>
      <c r="F30" s="11"/>
      <c r="G30" s="10"/>
      <c r="H30" s="15"/>
      <c r="I30" s="45"/>
      <c r="J30" s="11"/>
    </row>
    <row r="31" spans="1:15" s="23" customFormat="1">
      <c r="A31" s="31" t="s">
        <v>5</v>
      </c>
      <c r="B31" s="18"/>
      <c r="C31" s="18"/>
      <c r="D31" s="14"/>
      <c r="E31" s="14"/>
      <c r="F31" s="14"/>
      <c r="G31" s="24"/>
      <c r="H31" s="24"/>
      <c r="I31" s="24"/>
      <c r="J31" s="24"/>
    </row>
    <row r="32" spans="1:15" s="23" customFormat="1">
      <c r="A32" s="32" t="s">
        <v>742</v>
      </c>
      <c r="B32" s="33" t="s">
        <v>0</v>
      </c>
      <c r="C32" s="33" t="s">
        <v>1</v>
      </c>
      <c r="D32" s="16" t="s">
        <v>6</v>
      </c>
      <c r="E32" s="16" t="s">
        <v>2</v>
      </c>
      <c r="F32" s="16" t="s">
        <v>4</v>
      </c>
      <c r="G32" s="16" t="s">
        <v>8</v>
      </c>
      <c r="H32" s="16" t="s">
        <v>7</v>
      </c>
      <c r="I32" s="16" t="s">
        <v>9</v>
      </c>
      <c r="J32" s="34" t="s">
        <v>3</v>
      </c>
    </row>
    <row r="33" spans="1:15" s="23" customFormat="1">
      <c r="A33" s="35"/>
      <c r="B33" s="18" t="s">
        <v>88</v>
      </c>
      <c r="C33" s="18" t="s">
        <v>141</v>
      </c>
      <c r="D33" s="14" t="s">
        <v>10</v>
      </c>
      <c r="E33" s="39" t="s">
        <v>42</v>
      </c>
      <c r="F33" s="36">
        <v>28</v>
      </c>
      <c r="G33" s="36" t="s">
        <v>236</v>
      </c>
      <c r="H33" s="14"/>
      <c r="I33" s="14"/>
      <c r="J33" s="14" t="s">
        <v>125</v>
      </c>
      <c r="L33" s="28"/>
      <c r="M33" s="28"/>
      <c r="N33" s="28"/>
      <c r="O33" s="28"/>
    </row>
    <row r="34" spans="1:15" s="23" customFormat="1">
      <c r="A34" s="18"/>
      <c r="B34" s="18" t="s">
        <v>88</v>
      </c>
      <c r="C34" s="18" t="s">
        <v>141</v>
      </c>
      <c r="D34" s="14" t="s">
        <v>10</v>
      </c>
      <c r="E34" s="39" t="s">
        <v>230</v>
      </c>
      <c r="F34" s="36">
        <v>24</v>
      </c>
      <c r="G34" s="36" t="s">
        <v>237</v>
      </c>
      <c r="H34" s="15">
        <f>(24.01/27.86)*100-100</f>
        <v>-13.819095477386924</v>
      </c>
      <c r="I34" s="45">
        <v>5.0000000000000001E-4</v>
      </c>
      <c r="J34" s="14" t="s">
        <v>131</v>
      </c>
    </row>
    <row r="35" spans="1:15" s="23" customFormat="1"/>
    <row r="36" spans="1:15" s="23" customFormat="1">
      <c r="A36" s="25"/>
      <c r="B36" t="s">
        <v>88</v>
      </c>
      <c r="C36" t="s">
        <v>141</v>
      </c>
      <c r="D36" s="11" t="s">
        <v>233</v>
      </c>
      <c r="E36" s="21" t="s">
        <v>42</v>
      </c>
      <c r="F36" s="11">
        <v>18</v>
      </c>
      <c r="G36" s="10" t="s">
        <v>234</v>
      </c>
      <c r="H36" s="14"/>
      <c r="I36"/>
      <c r="J36" s="11" t="s">
        <v>191</v>
      </c>
      <c r="L36" s="28"/>
      <c r="M36" s="28"/>
      <c r="N36" s="28"/>
      <c r="O36" s="28"/>
    </row>
    <row r="37" spans="1:15" s="23" customFormat="1">
      <c r="B37" t="s">
        <v>88</v>
      </c>
      <c r="C37" t="s">
        <v>141</v>
      </c>
      <c r="D37" s="11" t="s">
        <v>233</v>
      </c>
      <c r="E37" s="21" t="s">
        <v>230</v>
      </c>
      <c r="F37" s="11">
        <v>18</v>
      </c>
      <c r="G37" s="10" t="s">
        <v>235</v>
      </c>
      <c r="H37" s="15">
        <f>(18.3/18.55)*100-100</f>
        <v>-1.347708894878707</v>
      </c>
      <c r="I37" s="11">
        <v>0.78610000000000002</v>
      </c>
      <c r="J37" s="11" t="s">
        <v>11</v>
      </c>
    </row>
    <row r="38" spans="1:15" s="23" customFormat="1"/>
    <row r="39" spans="1:15" s="23" customFormat="1">
      <c r="A39" s="31" t="s">
        <v>22</v>
      </c>
      <c r="D39" s="24"/>
      <c r="E39" s="24"/>
      <c r="F39" s="24"/>
      <c r="G39" s="24"/>
      <c r="H39" s="24"/>
      <c r="I39" s="24"/>
      <c r="J39" s="24"/>
    </row>
    <row r="40" spans="1:15" s="23" customFormat="1">
      <c r="A40" s="32" t="s">
        <v>742</v>
      </c>
      <c r="B40" s="33" t="s">
        <v>0</v>
      </c>
      <c r="C40" s="33" t="s">
        <v>1</v>
      </c>
      <c r="D40" s="16" t="s">
        <v>6</v>
      </c>
      <c r="E40" s="16" t="s">
        <v>2</v>
      </c>
      <c r="F40" s="16" t="s">
        <v>4</v>
      </c>
      <c r="G40" s="16" t="s">
        <v>8</v>
      </c>
      <c r="H40" s="16" t="s">
        <v>7</v>
      </c>
      <c r="I40" s="16" t="s">
        <v>9</v>
      </c>
      <c r="J40" s="34" t="s">
        <v>3</v>
      </c>
    </row>
    <row r="41" spans="1:15" s="23" customFormat="1">
      <c r="A41" s="35"/>
      <c r="B41" s="18" t="s">
        <v>88</v>
      </c>
      <c r="C41" s="18" t="s">
        <v>141</v>
      </c>
      <c r="D41" s="14" t="s">
        <v>10</v>
      </c>
      <c r="E41" s="39" t="s">
        <v>42</v>
      </c>
      <c r="F41" s="36">
        <v>32</v>
      </c>
      <c r="G41" s="36" t="s">
        <v>142</v>
      </c>
      <c r="H41" s="14"/>
      <c r="I41" s="14"/>
      <c r="J41" s="14" t="s">
        <v>49</v>
      </c>
      <c r="L41" s="28"/>
      <c r="M41" s="28"/>
      <c r="N41" s="28"/>
      <c r="O41" s="28"/>
    </row>
    <row r="42" spans="1:15" s="23" customFormat="1">
      <c r="A42" s="35"/>
      <c r="B42" s="18" t="s">
        <v>88</v>
      </c>
      <c r="C42" s="18" t="s">
        <v>141</v>
      </c>
      <c r="D42" s="14" t="s">
        <v>10</v>
      </c>
      <c r="E42" s="39" t="s">
        <v>230</v>
      </c>
      <c r="F42" s="36">
        <v>29</v>
      </c>
      <c r="G42" s="36" t="s">
        <v>231</v>
      </c>
      <c r="H42" s="15">
        <f>(27.75/29.74)*100-100</f>
        <v>-6.6913248150638793</v>
      </c>
      <c r="I42" s="14">
        <v>3.56E-2</v>
      </c>
      <c r="J42" s="14" t="s">
        <v>129</v>
      </c>
      <c r="L42" s="30"/>
      <c r="M42" s="28"/>
      <c r="N42" s="28"/>
      <c r="O42" s="28"/>
    </row>
    <row r="43" spans="1:15" s="23" customFormat="1">
      <c r="A43" s="18"/>
      <c r="B43" s="18"/>
      <c r="C43" s="18"/>
      <c r="D43" s="18"/>
      <c r="E43" s="18"/>
      <c r="F43" s="18"/>
      <c r="I43" s="18"/>
      <c r="J43" s="18"/>
    </row>
    <row r="44" spans="1:15" s="23" customFormat="1">
      <c r="A44" s="35"/>
      <c r="B44" s="18" t="s">
        <v>88</v>
      </c>
      <c r="C44" s="18" t="s">
        <v>141</v>
      </c>
      <c r="D44" s="14" t="s">
        <v>31</v>
      </c>
      <c r="E44" s="39" t="s">
        <v>42</v>
      </c>
      <c r="F44" s="47">
        <v>17.5</v>
      </c>
      <c r="G44" s="36" t="s">
        <v>147</v>
      </c>
      <c r="H44" s="24"/>
      <c r="I44" s="14"/>
      <c r="J44" s="14" t="s">
        <v>69</v>
      </c>
      <c r="L44" s="28"/>
      <c r="M44" s="28"/>
      <c r="N44" s="28"/>
      <c r="O44" s="28"/>
    </row>
    <row r="45" spans="1:15" s="23" customFormat="1">
      <c r="A45" s="35"/>
      <c r="B45" s="18" t="s">
        <v>88</v>
      </c>
      <c r="C45" s="18" t="s">
        <v>141</v>
      </c>
      <c r="D45" s="14" t="s">
        <v>31</v>
      </c>
      <c r="E45" s="39" t="s">
        <v>230</v>
      </c>
      <c r="F45" s="47">
        <v>18</v>
      </c>
      <c r="G45" s="10" t="s">
        <v>232</v>
      </c>
      <c r="H45" s="15">
        <f>(17.95/18.78)*100-100</f>
        <v>-4.4195953141640132</v>
      </c>
      <c r="I45" s="14">
        <v>0.1522</v>
      </c>
      <c r="J45" s="14" t="s">
        <v>72</v>
      </c>
      <c r="L45" s="30"/>
      <c r="M45" s="28"/>
      <c r="N45" s="28"/>
      <c r="O45" s="2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23D8D-A0D7-7E47-9DBF-79B47D686A20}">
  <dimension ref="A1:O211"/>
  <sheetViews>
    <sheetView zoomScale="115" zoomScaleNormal="115" workbookViewId="0">
      <selection activeCell="A45" sqref="A45"/>
    </sheetView>
  </sheetViews>
  <sheetFormatPr baseColWidth="10" defaultRowHeight="16"/>
  <cols>
    <col min="1" max="1" width="45.5" bestFit="1" customWidth="1"/>
    <col min="2" max="2" width="20.5" customWidth="1"/>
    <col min="3" max="3" width="80.33203125" bestFit="1" customWidth="1"/>
    <col min="4" max="4" width="25" customWidth="1"/>
    <col min="5" max="5" width="12.6640625" bestFit="1" customWidth="1"/>
    <col min="6" max="6" width="22.83203125" bestFit="1" customWidth="1"/>
    <col min="7" max="7" width="29" bestFit="1" customWidth="1"/>
    <col min="8" max="8" width="61.1640625" bestFit="1" customWidth="1"/>
    <col min="9" max="9" width="48.5" customWidth="1"/>
    <col min="10" max="10" width="23.1640625" bestFit="1" customWidth="1"/>
  </cols>
  <sheetData>
    <row r="1" spans="1:15" ht="20">
      <c r="A1" s="17" t="s">
        <v>779</v>
      </c>
    </row>
    <row r="2" spans="1:15" s="6" customFormat="1" ht="21">
      <c r="A2" s="17"/>
      <c r="F2" s="7"/>
      <c r="G2" s="7"/>
      <c r="H2" s="7"/>
      <c r="I2" s="7"/>
      <c r="J2" s="7"/>
    </row>
    <row r="3" spans="1:15" ht="18">
      <c r="A3" s="20" t="s">
        <v>556</v>
      </c>
      <c r="F3" s="11"/>
      <c r="G3" s="11"/>
      <c r="H3" s="11"/>
      <c r="I3" s="11"/>
      <c r="J3" s="11"/>
    </row>
    <row r="4" spans="1:15" ht="18">
      <c r="A4" s="2"/>
      <c r="F4" s="11"/>
      <c r="G4" s="11"/>
      <c r="H4" s="11"/>
      <c r="I4" s="11"/>
      <c r="J4" s="11"/>
    </row>
    <row r="6" spans="1:15" s="18" customFormat="1">
      <c r="A6" s="31" t="s">
        <v>5</v>
      </c>
      <c r="D6" s="14"/>
      <c r="E6" s="39"/>
      <c r="F6" s="36"/>
      <c r="G6" s="36"/>
      <c r="H6" s="15"/>
      <c r="I6" s="14"/>
      <c r="J6" s="14"/>
      <c r="L6" s="38"/>
      <c r="M6" s="37"/>
      <c r="N6" s="37"/>
      <c r="O6" s="37"/>
    </row>
    <row r="7" spans="1:15">
      <c r="A7" s="3" t="s">
        <v>557</v>
      </c>
      <c r="B7" s="1" t="s">
        <v>0</v>
      </c>
      <c r="C7" s="1" t="s">
        <v>1</v>
      </c>
      <c r="D7" s="8" t="s">
        <v>6</v>
      </c>
      <c r="E7" s="8" t="s">
        <v>2</v>
      </c>
      <c r="F7" s="8" t="s">
        <v>4</v>
      </c>
      <c r="G7" s="8" t="s">
        <v>8</v>
      </c>
      <c r="H7" s="8" t="s">
        <v>7</v>
      </c>
      <c r="I7" s="8" t="s">
        <v>9</v>
      </c>
      <c r="J7" s="9" t="s">
        <v>3</v>
      </c>
    </row>
    <row r="8" spans="1:15" s="18" customFormat="1">
      <c r="A8" s="35"/>
      <c r="B8" t="s">
        <v>40</v>
      </c>
      <c r="C8" s="40" t="s">
        <v>41</v>
      </c>
      <c r="D8" s="11" t="s">
        <v>10</v>
      </c>
      <c r="E8" s="21" t="s">
        <v>42</v>
      </c>
      <c r="F8" s="10">
        <v>28</v>
      </c>
      <c r="G8" s="10" t="s">
        <v>43</v>
      </c>
      <c r="H8" s="11"/>
      <c r="I8" s="11"/>
      <c r="J8" s="11" t="s">
        <v>44</v>
      </c>
      <c r="L8" s="38"/>
      <c r="M8" s="37"/>
      <c r="N8" s="37"/>
      <c r="O8" s="37"/>
    </row>
    <row r="9" spans="1:15" s="18" customFormat="1">
      <c r="A9" s="35"/>
      <c r="B9" t="s">
        <v>40</v>
      </c>
      <c r="C9" s="40" t="s">
        <v>41</v>
      </c>
      <c r="D9" s="11" t="s">
        <v>10</v>
      </c>
      <c r="E9" s="21" t="s">
        <v>45</v>
      </c>
      <c r="F9" s="10">
        <v>19</v>
      </c>
      <c r="G9" s="10" t="s">
        <v>46</v>
      </c>
      <c r="H9" s="22">
        <f>(21.05/26.6)*100-100</f>
        <v>-20.864661654135347</v>
      </c>
      <c r="I9" s="11" t="s">
        <v>17</v>
      </c>
      <c r="J9" s="11" t="s">
        <v>47</v>
      </c>
      <c r="L9" s="38"/>
      <c r="M9" s="37"/>
      <c r="N9" s="37"/>
      <c r="O9" s="37"/>
    </row>
    <row r="10" spans="1:15">
      <c r="A10" s="5"/>
      <c r="D10" s="11"/>
      <c r="E10" s="11"/>
      <c r="F10" s="11"/>
      <c r="G10" s="11"/>
      <c r="H10" s="11"/>
      <c r="I10" s="11"/>
      <c r="J10" s="11"/>
    </row>
    <row r="11" spans="1:15" s="18" customFormat="1">
      <c r="A11" s="31" t="s">
        <v>22</v>
      </c>
      <c r="D11" s="14"/>
      <c r="E11" s="39"/>
      <c r="F11" s="36"/>
      <c r="G11" s="36"/>
      <c r="H11" s="15"/>
      <c r="I11" s="14"/>
      <c r="J11" s="14"/>
      <c r="L11" s="38"/>
      <c r="M11" s="37"/>
      <c r="N11" s="37"/>
      <c r="O11" s="37"/>
    </row>
    <row r="12" spans="1:15">
      <c r="A12" s="3" t="s">
        <v>557</v>
      </c>
      <c r="B12" s="1" t="s">
        <v>0</v>
      </c>
      <c r="C12" s="1" t="s">
        <v>1</v>
      </c>
      <c r="D12" s="8" t="s">
        <v>6</v>
      </c>
      <c r="E12" s="8" t="s">
        <v>2</v>
      </c>
      <c r="F12" s="8" t="s">
        <v>4</v>
      </c>
      <c r="G12" s="8" t="s">
        <v>8</v>
      </c>
      <c r="H12" s="8" t="s">
        <v>7</v>
      </c>
      <c r="I12" s="8" t="s">
        <v>9</v>
      </c>
      <c r="J12" s="9" t="s">
        <v>3</v>
      </c>
    </row>
    <row r="13" spans="1:15" s="18" customFormat="1">
      <c r="A13" s="35"/>
      <c r="B13" t="s">
        <v>40</v>
      </c>
      <c r="C13" s="40" t="s">
        <v>41</v>
      </c>
      <c r="D13" s="11" t="s">
        <v>10</v>
      </c>
      <c r="E13" s="21" t="s">
        <v>42</v>
      </c>
      <c r="F13" s="10">
        <v>23</v>
      </c>
      <c r="G13" s="10" t="s">
        <v>48</v>
      </c>
      <c r="H13" s="11"/>
      <c r="I13" s="11"/>
      <c r="J13" s="11" t="s">
        <v>49</v>
      </c>
      <c r="L13" s="38"/>
      <c r="M13" s="37"/>
      <c r="N13" s="37"/>
      <c r="O13" s="37"/>
    </row>
    <row r="14" spans="1:15" s="18" customFormat="1">
      <c r="A14" s="35"/>
      <c r="B14" t="s">
        <v>40</v>
      </c>
      <c r="C14" s="40" t="s">
        <v>41</v>
      </c>
      <c r="D14" s="11" t="s">
        <v>10</v>
      </c>
      <c r="E14" s="21" t="s">
        <v>45</v>
      </c>
      <c r="F14" s="10">
        <v>19</v>
      </c>
      <c r="G14" s="10" t="s">
        <v>50</v>
      </c>
      <c r="H14" s="22">
        <f>(21.47/26.09)*100-100</f>
        <v>-17.707934074358008</v>
      </c>
      <c r="I14" s="11" t="s">
        <v>51</v>
      </c>
      <c r="J14" s="11" t="s">
        <v>44</v>
      </c>
      <c r="L14" s="38"/>
      <c r="M14" s="37"/>
      <c r="N14" s="37"/>
      <c r="O14" s="37"/>
    </row>
    <row r="15" spans="1:15" ht="18">
      <c r="A15" s="2"/>
      <c r="D15" s="11"/>
      <c r="E15" s="11"/>
      <c r="F15" s="11"/>
      <c r="G15" s="11"/>
      <c r="H15" s="11"/>
      <c r="I15" s="11"/>
      <c r="J15" s="11"/>
    </row>
    <row r="16" spans="1:15" s="18" customFormat="1">
      <c r="A16" s="31" t="s">
        <v>185</v>
      </c>
      <c r="D16" s="14"/>
      <c r="E16" s="39"/>
      <c r="F16" s="36"/>
      <c r="G16" s="36"/>
      <c r="H16" s="15"/>
      <c r="I16" s="14"/>
      <c r="J16" s="14"/>
      <c r="L16" s="38"/>
      <c r="M16" s="37"/>
      <c r="N16" s="37"/>
      <c r="O16" s="37"/>
    </row>
    <row r="17" spans="1:15" s="18" customFormat="1">
      <c r="A17" s="3" t="s">
        <v>557</v>
      </c>
      <c r="B17" s="33" t="s">
        <v>0</v>
      </c>
      <c r="C17" s="33" t="s">
        <v>1</v>
      </c>
      <c r="D17" s="16" t="s">
        <v>6</v>
      </c>
      <c r="E17" s="16" t="s">
        <v>2</v>
      </c>
      <c r="F17" s="16" t="s">
        <v>4</v>
      </c>
      <c r="G17" s="16" t="s">
        <v>8</v>
      </c>
      <c r="H17" s="16" t="s">
        <v>7</v>
      </c>
      <c r="I17" s="16" t="s">
        <v>9</v>
      </c>
      <c r="J17" s="34" t="s">
        <v>3</v>
      </c>
    </row>
    <row r="18" spans="1:15" s="18" customFormat="1">
      <c r="A18" s="35"/>
      <c r="B18" s="18" t="s">
        <v>40</v>
      </c>
      <c r="C18" s="64" t="s">
        <v>293</v>
      </c>
      <c r="D18" s="14" t="s">
        <v>10</v>
      </c>
      <c r="E18" s="39" t="s">
        <v>42</v>
      </c>
      <c r="F18" s="36">
        <v>24</v>
      </c>
      <c r="G18" s="36" t="s">
        <v>719</v>
      </c>
      <c r="H18" s="14"/>
      <c r="I18" s="14"/>
      <c r="J18" s="14" t="s">
        <v>170</v>
      </c>
      <c r="L18" s="38"/>
      <c r="M18" s="37"/>
      <c r="N18" s="37"/>
      <c r="O18" s="37"/>
    </row>
    <row r="19" spans="1:15" s="18" customFormat="1">
      <c r="A19" s="35"/>
      <c r="B19" s="18" t="s">
        <v>40</v>
      </c>
      <c r="C19" s="64" t="s">
        <v>293</v>
      </c>
      <c r="D19" s="14" t="s">
        <v>10</v>
      </c>
      <c r="E19" s="39" t="s">
        <v>45</v>
      </c>
      <c r="F19" s="36">
        <v>20</v>
      </c>
      <c r="G19" s="36" t="s">
        <v>292</v>
      </c>
      <c r="H19" s="15">
        <f>(20.61/25.29)*100-100</f>
        <v>-18.505338078291814</v>
      </c>
      <c r="I19" s="14" t="s">
        <v>294</v>
      </c>
      <c r="J19" s="14" t="s">
        <v>129</v>
      </c>
      <c r="L19" s="38"/>
      <c r="M19" s="37"/>
      <c r="N19" s="37"/>
      <c r="O19" s="37"/>
    </row>
    <row r="20" spans="1:15" s="18" customFormat="1">
      <c r="A20" s="35"/>
      <c r="C20" s="64"/>
      <c r="D20" s="14"/>
      <c r="E20" s="39"/>
      <c r="F20" s="36"/>
      <c r="G20" s="36"/>
      <c r="H20" s="15"/>
      <c r="I20" s="14"/>
      <c r="J20" s="14"/>
      <c r="L20" s="38"/>
      <c r="M20" s="37"/>
      <c r="N20" s="37"/>
      <c r="O20" s="37"/>
    </row>
    <row r="21" spans="1:15" s="18" customFormat="1">
      <c r="A21" s="35"/>
      <c r="C21" s="64"/>
      <c r="D21" s="14"/>
      <c r="E21" s="39"/>
      <c r="F21" s="36"/>
      <c r="G21" s="36"/>
      <c r="H21" s="15"/>
      <c r="I21" s="14"/>
      <c r="J21" s="14"/>
      <c r="L21" s="38"/>
      <c r="M21" s="37"/>
      <c r="N21" s="37"/>
      <c r="O21" s="37"/>
    </row>
    <row r="22" spans="1:15" s="18" customFormat="1">
      <c r="A22" s="31" t="s">
        <v>5</v>
      </c>
      <c r="D22" s="14"/>
      <c r="E22" s="39"/>
      <c r="F22" s="36"/>
      <c r="G22" s="36"/>
      <c r="H22" s="15"/>
      <c r="I22" s="14"/>
      <c r="J22" s="14"/>
      <c r="L22" s="38"/>
      <c r="M22" s="37"/>
      <c r="N22" s="37"/>
      <c r="O22" s="37"/>
    </row>
    <row r="23" spans="1:15" s="18" customFormat="1">
      <c r="A23" s="3" t="s">
        <v>558</v>
      </c>
      <c r="B23" s="33" t="s">
        <v>0</v>
      </c>
      <c r="C23" s="33" t="s">
        <v>1</v>
      </c>
      <c r="D23" s="16" t="s">
        <v>6</v>
      </c>
      <c r="E23" s="16" t="s">
        <v>2</v>
      </c>
      <c r="F23" s="16" t="s">
        <v>4</v>
      </c>
      <c r="G23" s="8" t="s">
        <v>8</v>
      </c>
      <c r="H23" s="8" t="s">
        <v>7</v>
      </c>
      <c r="I23" s="16" t="s">
        <v>9</v>
      </c>
      <c r="J23" s="34" t="s">
        <v>3</v>
      </c>
      <c r="L23" s="38"/>
      <c r="M23" s="37"/>
      <c r="N23" s="37"/>
      <c r="O23" s="37"/>
    </row>
    <row r="24" spans="1:15" s="18" customFormat="1">
      <c r="A24" s="35"/>
      <c r="B24" s="18" t="s">
        <v>497</v>
      </c>
      <c r="C24" s="19" t="s">
        <v>498</v>
      </c>
      <c r="D24" s="14" t="s">
        <v>10</v>
      </c>
      <c r="E24" s="39" t="s">
        <v>42</v>
      </c>
      <c r="F24" s="36">
        <v>24</v>
      </c>
      <c r="G24" s="10" t="s">
        <v>499</v>
      </c>
      <c r="H24" s="11"/>
      <c r="I24" s="14"/>
      <c r="J24" s="14" t="s">
        <v>78</v>
      </c>
      <c r="L24" s="38"/>
      <c r="M24" s="37"/>
      <c r="N24" s="37"/>
      <c r="O24" s="37"/>
    </row>
    <row r="25" spans="1:15" s="18" customFormat="1">
      <c r="A25" s="35"/>
      <c r="B25" s="18" t="s">
        <v>497</v>
      </c>
      <c r="C25" s="19" t="s">
        <v>498</v>
      </c>
      <c r="D25" s="14" t="s">
        <v>10</v>
      </c>
      <c r="E25" s="39" t="s">
        <v>45</v>
      </c>
      <c r="F25" s="36">
        <v>23</v>
      </c>
      <c r="G25" s="10" t="s">
        <v>500</v>
      </c>
      <c r="H25" s="22">
        <f>(23.93/24.47)*100-100</f>
        <v>-2.2067838169186729</v>
      </c>
      <c r="I25" s="14" t="s">
        <v>501</v>
      </c>
      <c r="J25" s="14" t="s">
        <v>358</v>
      </c>
      <c r="L25" s="38"/>
      <c r="M25" s="37"/>
      <c r="N25" s="37"/>
      <c r="O25" s="37"/>
    </row>
    <row r="26" spans="1:15" s="18" customFormat="1">
      <c r="A26" s="35"/>
      <c r="C26" s="19"/>
      <c r="D26" s="14"/>
      <c r="E26" s="39"/>
      <c r="F26" s="36"/>
      <c r="G26" s="10"/>
      <c r="H26" s="22"/>
      <c r="I26" s="14"/>
      <c r="J26" s="14"/>
      <c r="L26" s="38"/>
      <c r="M26" s="37"/>
      <c r="N26" s="37"/>
      <c r="O26" s="37"/>
    </row>
    <row r="27" spans="1:15" s="18" customFormat="1">
      <c r="A27" s="35"/>
      <c r="C27" s="19"/>
      <c r="D27" s="14"/>
      <c r="E27" s="39"/>
      <c r="F27" s="36"/>
      <c r="G27" s="10"/>
      <c r="H27" s="22"/>
      <c r="I27" s="14"/>
      <c r="J27" s="14"/>
      <c r="L27" s="38"/>
      <c r="M27" s="37"/>
      <c r="N27" s="37"/>
      <c r="O27" s="37"/>
    </row>
    <row r="28" spans="1:15" s="18" customFormat="1">
      <c r="A28" s="31" t="s">
        <v>22</v>
      </c>
      <c r="D28" s="14"/>
      <c r="E28" s="39"/>
      <c r="F28" s="36"/>
      <c r="G28" s="36"/>
      <c r="H28" s="15"/>
      <c r="I28" s="14"/>
      <c r="J28" s="14"/>
      <c r="L28" s="38"/>
      <c r="M28" s="37"/>
      <c r="N28" s="37"/>
      <c r="O28" s="37"/>
    </row>
    <row r="29" spans="1:15" s="18" customFormat="1">
      <c r="A29" s="3" t="s">
        <v>558</v>
      </c>
      <c r="B29" s="33" t="s">
        <v>0</v>
      </c>
      <c r="C29" s="33" t="s">
        <v>1</v>
      </c>
      <c r="D29" s="16" t="s">
        <v>6</v>
      </c>
      <c r="E29" s="16" t="s">
        <v>2</v>
      </c>
      <c r="F29" s="16" t="s">
        <v>4</v>
      </c>
      <c r="G29" s="16" t="s">
        <v>8</v>
      </c>
      <c r="H29" s="16" t="s">
        <v>7</v>
      </c>
      <c r="I29" s="16" t="s">
        <v>9</v>
      </c>
      <c r="J29" s="34" t="s">
        <v>3</v>
      </c>
      <c r="L29" s="38"/>
      <c r="M29" s="37"/>
      <c r="N29" s="37"/>
      <c r="O29" s="37"/>
    </row>
    <row r="30" spans="1:15" s="18" customFormat="1">
      <c r="A30" s="35"/>
      <c r="B30" s="18" t="s">
        <v>497</v>
      </c>
      <c r="C30" s="19" t="s">
        <v>498</v>
      </c>
      <c r="D30" s="14" t="s">
        <v>10</v>
      </c>
      <c r="E30" s="39" t="s">
        <v>42</v>
      </c>
      <c r="F30" s="36">
        <v>22</v>
      </c>
      <c r="G30" s="36" t="s">
        <v>502</v>
      </c>
      <c r="H30" s="14"/>
      <c r="I30" s="14"/>
      <c r="J30" s="14" t="s">
        <v>180</v>
      </c>
      <c r="L30" s="38"/>
      <c r="M30" s="37"/>
      <c r="N30" s="37"/>
      <c r="O30" s="37"/>
    </row>
    <row r="31" spans="1:15" s="18" customFormat="1">
      <c r="A31" s="35"/>
      <c r="B31" s="18" t="s">
        <v>497</v>
      </c>
      <c r="C31" s="19" t="s">
        <v>498</v>
      </c>
      <c r="D31" s="14" t="s">
        <v>10</v>
      </c>
      <c r="E31" s="39" t="s">
        <v>45</v>
      </c>
      <c r="F31" s="36">
        <v>26</v>
      </c>
      <c r="G31" s="36" t="s">
        <v>503</v>
      </c>
      <c r="H31" s="15">
        <f>(25.32/23.52)*100-100</f>
        <v>7.6530612244898037</v>
      </c>
      <c r="I31" s="14" t="s">
        <v>504</v>
      </c>
      <c r="J31" s="14" t="s">
        <v>30</v>
      </c>
      <c r="L31" s="38"/>
      <c r="M31" s="37"/>
      <c r="N31" s="37"/>
      <c r="O31" s="37"/>
    </row>
    <row r="32" spans="1:15" s="18" customFormat="1">
      <c r="A32" s="35"/>
      <c r="C32" s="19"/>
      <c r="D32" s="14"/>
      <c r="E32" s="39"/>
      <c r="F32" s="36"/>
      <c r="G32" s="36"/>
      <c r="H32" s="15"/>
      <c r="I32" s="14"/>
      <c r="J32" s="14"/>
      <c r="L32" s="38"/>
      <c r="M32" s="37"/>
      <c r="N32" s="37"/>
      <c r="O32" s="37"/>
    </row>
    <row r="33" spans="1:15" s="18" customFormat="1">
      <c r="A33" s="31" t="s">
        <v>5</v>
      </c>
      <c r="D33" s="14"/>
      <c r="E33" s="39"/>
      <c r="F33" s="36"/>
      <c r="G33" s="36"/>
      <c r="H33" s="15"/>
      <c r="I33" s="14"/>
      <c r="J33" s="14"/>
      <c r="L33" s="38"/>
      <c r="M33" s="37"/>
      <c r="N33" s="37"/>
      <c r="O33" s="37"/>
    </row>
    <row r="34" spans="1:15">
      <c r="A34" s="3" t="s">
        <v>559</v>
      </c>
      <c r="B34" s="1" t="s">
        <v>0</v>
      </c>
      <c r="C34" s="1" t="s">
        <v>1</v>
      </c>
      <c r="D34" s="8" t="s">
        <v>6</v>
      </c>
      <c r="E34" s="8" t="s">
        <v>2</v>
      </c>
      <c r="F34" s="8" t="s">
        <v>4</v>
      </c>
      <c r="G34" s="8" t="s">
        <v>8</v>
      </c>
      <c r="H34" s="8" t="s">
        <v>7</v>
      </c>
      <c r="I34" s="8" t="s">
        <v>9</v>
      </c>
      <c r="J34" s="9" t="s">
        <v>3</v>
      </c>
    </row>
    <row r="35" spans="1:15" s="18" customFormat="1">
      <c r="A35" s="35"/>
      <c r="B35" t="s">
        <v>73</v>
      </c>
      <c r="C35" s="41" t="s">
        <v>74</v>
      </c>
      <c r="D35" s="11" t="s">
        <v>10</v>
      </c>
      <c r="E35" s="21" t="s">
        <v>42</v>
      </c>
      <c r="F35" s="10">
        <v>27</v>
      </c>
      <c r="G35" s="10" t="s">
        <v>75</v>
      </c>
      <c r="H35" s="11"/>
      <c r="I35" s="11"/>
      <c r="J35" s="11" t="s">
        <v>19</v>
      </c>
      <c r="L35" s="38"/>
      <c r="M35" s="37"/>
      <c r="N35" s="37"/>
      <c r="O35" s="37"/>
    </row>
    <row r="36" spans="1:15" s="18" customFormat="1">
      <c r="A36" s="35"/>
      <c r="B36" t="s">
        <v>73</v>
      </c>
      <c r="C36" s="41" t="s">
        <v>74</v>
      </c>
      <c r="D36" s="11" t="s">
        <v>10</v>
      </c>
      <c r="E36" s="21" t="s">
        <v>45</v>
      </c>
      <c r="F36" s="10">
        <v>27</v>
      </c>
      <c r="G36" s="10" t="s">
        <v>76</v>
      </c>
      <c r="H36" s="22">
        <f>(26.97/25.78)*100-100</f>
        <v>4.6159813809154286</v>
      </c>
      <c r="I36" s="11" t="s">
        <v>77</v>
      </c>
      <c r="J36" s="11" t="s">
        <v>78</v>
      </c>
      <c r="L36" s="38"/>
      <c r="M36" s="37"/>
      <c r="N36" s="37"/>
      <c r="O36" s="37"/>
    </row>
    <row r="37" spans="1:15" s="18" customFormat="1">
      <c r="A37" s="35"/>
      <c r="B37"/>
      <c r="C37" s="41"/>
      <c r="D37" s="11"/>
      <c r="E37" s="21"/>
      <c r="F37" s="10"/>
      <c r="G37" s="10"/>
      <c r="H37" s="22"/>
      <c r="I37" s="11"/>
      <c r="J37" s="11"/>
      <c r="L37" s="38"/>
      <c r="M37" s="37"/>
      <c r="N37" s="37"/>
      <c r="O37" s="37"/>
    </row>
    <row r="38" spans="1:15" s="18" customFormat="1">
      <c r="A38" s="35"/>
      <c r="B38"/>
      <c r="C38" s="41"/>
      <c r="D38" s="11"/>
      <c r="E38" s="21"/>
      <c r="F38" s="10"/>
      <c r="G38" s="10"/>
      <c r="H38" s="22"/>
      <c r="I38" s="11"/>
      <c r="J38" s="11"/>
      <c r="L38" s="38"/>
      <c r="M38" s="37"/>
      <c r="N38" s="37"/>
      <c r="O38" s="37"/>
    </row>
    <row r="39" spans="1:15" s="18" customFormat="1">
      <c r="A39" s="31" t="s">
        <v>22</v>
      </c>
      <c r="D39" s="14"/>
      <c r="E39" s="39"/>
      <c r="F39" s="36"/>
      <c r="G39" s="36"/>
      <c r="H39" s="15"/>
      <c r="I39" s="14"/>
      <c r="J39" s="14"/>
      <c r="L39" s="38"/>
      <c r="M39" s="37"/>
      <c r="N39" s="37"/>
      <c r="O39" s="37"/>
    </row>
    <row r="40" spans="1:15">
      <c r="A40" s="3" t="s">
        <v>559</v>
      </c>
      <c r="B40" s="1" t="s">
        <v>0</v>
      </c>
      <c r="C40" s="1" t="s">
        <v>1</v>
      </c>
      <c r="D40" s="8" t="s">
        <v>6</v>
      </c>
      <c r="E40" s="8" t="s">
        <v>2</v>
      </c>
      <c r="F40" s="8" t="s">
        <v>4</v>
      </c>
      <c r="G40" s="8" t="s">
        <v>8</v>
      </c>
      <c r="H40" s="8" t="s">
        <v>7</v>
      </c>
      <c r="I40" s="8" t="s">
        <v>9</v>
      </c>
      <c r="J40" s="9" t="s">
        <v>3</v>
      </c>
    </row>
    <row r="41" spans="1:15" s="18" customFormat="1">
      <c r="A41" s="35"/>
      <c r="B41" t="s">
        <v>73</v>
      </c>
      <c r="C41" s="41" t="s">
        <v>74</v>
      </c>
      <c r="D41" s="11" t="s">
        <v>10</v>
      </c>
      <c r="E41" s="21" t="s">
        <v>42</v>
      </c>
      <c r="F41" s="10">
        <v>25</v>
      </c>
      <c r="G41" s="10" t="s">
        <v>79</v>
      </c>
      <c r="H41" s="11"/>
      <c r="I41" s="11"/>
      <c r="J41" s="11" t="s">
        <v>35</v>
      </c>
      <c r="L41" s="38"/>
      <c r="M41" s="37"/>
      <c r="N41" s="37"/>
      <c r="O41" s="37"/>
    </row>
    <row r="42" spans="1:15" s="18" customFormat="1">
      <c r="A42" s="35"/>
      <c r="B42" t="s">
        <v>73</v>
      </c>
      <c r="C42" s="41" t="s">
        <v>74</v>
      </c>
      <c r="D42" s="11" t="s">
        <v>10</v>
      </c>
      <c r="E42" s="21" t="s">
        <v>45</v>
      </c>
      <c r="F42" s="10">
        <v>27</v>
      </c>
      <c r="G42" s="10" t="s">
        <v>80</v>
      </c>
      <c r="H42" s="22">
        <f>(26.38/23.57)*100-100</f>
        <v>11.921934662706832</v>
      </c>
      <c r="I42" s="11" t="s">
        <v>81</v>
      </c>
      <c r="J42" s="11" t="s">
        <v>49</v>
      </c>
      <c r="L42" s="38"/>
      <c r="M42" s="37"/>
      <c r="N42" s="37"/>
      <c r="O42" s="37"/>
    </row>
    <row r="43" spans="1:15" s="18" customFormat="1">
      <c r="A43" s="35"/>
      <c r="B43"/>
      <c r="C43" s="41"/>
      <c r="D43" s="11"/>
      <c r="E43" s="21"/>
      <c r="F43" s="10"/>
      <c r="G43" s="10"/>
      <c r="H43" s="22"/>
      <c r="I43" s="11"/>
      <c r="J43" s="11"/>
      <c r="L43" s="38"/>
      <c r="M43" s="37"/>
      <c r="N43" s="37"/>
      <c r="O43" s="37"/>
    </row>
    <row r="44" spans="1:15" s="18" customFormat="1">
      <c r="A44" s="31" t="s">
        <v>185</v>
      </c>
      <c r="D44" s="14"/>
      <c r="E44" s="39"/>
      <c r="F44" s="36"/>
      <c r="G44" s="36"/>
      <c r="H44" s="15"/>
      <c r="I44" s="14"/>
      <c r="J44" s="14"/>
      <c r="L44" s="38"/>
      <c r="M44" s="37"/>
      <c r="N44" s="37"/>
      <c r="O44" s="37"/>
    </row>
    <row r="45" spans="1:15" s="18" customFormat="1">
      <c r="A45" s="3" t="s">
        <v>559</v>
      </c>
      <c r="B45" s="33" t="s">
        <v>0</v>
      </c>
      <c r="C45" s="33" t="s">
        <v>1</v>
      </c>
      <c r="D45" s="16" t="s">
        <v>6</v>
      </c>
      <c r="E45" s="16" t="s">
        <v>2</v>
      </c>
      <c r="F45" s="16" t="s">
        <v>4</v>
      </c>
      <c r="G45" s="16" t="s">
        <v>8</v>
      </c>
      <c r="H45" s="16" t="s">
        <v>7</v>
      </c>
      <c r="I45" s="16" t="s">
        <v>9</v>
      </c>
      <c r="J45" s="34" t="s">
        <v>3</v>
      </c>
    </row>
    <row r="46" spans="1:15" s="18" customFormat="1">
      <c r="A46" s="35"/>
      <c r="B46" s="18" t="s">
        <v>73</v>
      </c>
      <c r="C46" s="19" t="s">
        <v>74</v>
      </c>
      <c r="D46" s="14" t="s">
        <v>10</v>
      </c>
      <c r="E46" s="39" t="s">
        <v>42</v>
      </c>
      <c r="F46" s="36">
        <v>25</v>
      </c>
      <c r="G46" s="36" t="s">
        <v>295</v>
      </c>
      <c r="H46" s="14"/>
      <c r="I46" s="14"/>
      <c r="J46" s="14" t="s">
        <v>39</v>
      </c>
      <c r="L46" s="38"/>
      <c r="M46" s="37"/>
      <c r="N46" s="37"/>
      <c r="O46" s="37"/>
    </row>
    <row r="47" spans="1:15" s="18" customFormat="1">
      <c r="A47" s="35"/>
      <c r="B47" s="18" t="s">
        <v>73</v>
      </c>
      <c r="C47" s="19" t="s">
        <v>74</v>
      </c>
      <c r="D47" s="14" t="s">
        <v>10</v>
      </c>
      <c r="E47" s="39" t="s">
        <v>45</v>
      </c>
      <c r="F47" s="36">
        <v>28</v>
      </c>
      <c r="G47" s="36" t="s">
        <v>296</v>
      </c>
      <c r="H47" s="15">
        <f>(25.31/23.59)*100-100</f>
        <v>7.2912250953793887</v>
      </c>
      <c r="I47" s="14" t="s">
        <v>294</v>
      </c>
      <c r="J47" s="14" t="s">
        <v>85</v>
      </c>
      <c r="L47" s="38"/>
      <c r="M47" s="37"/>
      <c r="N47" s="37"/>
      <c r="O47" s="37"/>
    </row>
    <row r="48" spans="1:15" s="18" customFormat="1">
      <c r="A48" s="35"/>
      <c r="C48" s="64"/>
      <c r="D48" s="14"/>
      <c r="E48" s="39"/>
      <c r="F48" s="36"/>
      <c r="G48" s="36"/>
      <c r="H48" s="15"/>
      <c r="I48" s="14"/>
      <c r="J48" s="14"/>
      <c r="L48" s="38"/>
      <c r="M48" s="37"/>
      <c r="N48" s="37"/>
      <c r="O48" s="37"/>
    </row>
    <row r="49" spans="1:15" s="18" customFormat="1">
      <c r="A49" s="35"/>
      <c r="C49" s="64"/>
      <c r="D49" s="14"/>
      <c r="E49" s="39"/>
      <c r="F49" s="36"/>
      <c r="G49" s="36"/>
      <c r="H49" s="15"/>
      <c r="I49" s="14"/>
      <c r="J49" s="14"/>
      <c r="L49" s="38"/>
      <c r="M49" s="37"/>
      <c r="N49" s="37"/>
      <c r="O49" s="37"/>
    </row>
    <row r="50" spans="1:15" s="18" customFormat="1">
      <c r="A50" s="31" t="s">
        <v>5</v>
      </c>
      <c r="D50" s="14"/>
      <c r="E50" s="39"/>
      <c r="F50" s="36"/>
      <c r="G50" s="36"/>
      <c r="H50" s="15"/>
      <c r="I50" s="14"/>
      <c r="J50" s="14"/>
      <c r="L50" s="38"/>
      <c r="M50" s="37"/>
      <c r="N50" s="37"/>
      <c r="O50" s="37"/>
    </row>
    <row r="51" spans="1:15">
      <c r="A51" s="32" t="s">
        <v>560</v>
      </c>
      <c r="B51" s="1" t="s">
        <v>0</v>
      </c>
      <c r="C51" s="1" t="s">
        <v>1</v>
      </c>
      <c r="D51" s="8" t="s">
        <v>6</v>
      </c>
      <c r="E51" s="8" t="s">
        <v>2</v>
      </c>
      <c r="F51" s="8" t="s">
        <v>4</v>
      </c>
      <c r="G51" s="8" t="s">
        <v>8</v>
      </c>
      <c r="H51" s="8" t="s">
        <v>7</v>
      </c>
      <c r="I51" s="8" t="s">
        <v>9</v>
      </c>
      <c r="J51" s="9" t="s">
        <v>3</v>
      </c>
    </row>
    <row r="52" spans="1:15" s="18" customFormat="1">
      <c r="A52" s="35"/>
      <c r="B52" t="s">
        <v>82</v>
      </c>
      <c r="C52" s="41" t="s">
        <v>83</v>
      </c>
      <c r="D52" s="11" t="s">
        <v>10</v>
      </c>
      <c r="E52" s="21" t="s">
        <v>42</v>
      </c>
      <c r="F52" s="10">
        <v>33</v>
      </c>
      <c r="G52" s="10" t="s">
        <v>84</v>
      </c>
      <c r="H52" s="11"/>
      <c r="I52" s="11"/>
      <c r="J52" s="11" t="s">
        <v>85</v>
      </c>
      <c r="L52" s="38"/>
      <c r="M52" s="37"/>
      <c r="N52" s="37"/>
      <c r="O52" s="37"/>
    </row>
    <row r="53" spans="1:15" s="18" customFormat="1">
      <c r="A53" s="35"/>
      <c r="B53" t="s">
        <v>82</v>
      </c>
      <c r="C53" s="41" t="s">
        <v>83</v>
      </c>
      <c r="D53" s="11" t="s">
        <v>10</v>
      </c>
      <c r="E53" s="21" t="s">
        <v>45</v>
      </c>
      <c r="F53" s="10">
        <v>33</v>
      </c>
      <c r="G53" s="10" t="s">
        <v>86</v>
      </c>
      <c r="H53" s="22">
        <f>(31.61/31.98)*100-100</f>
        <v>-1.1569731081926307</v>
      </c>
      <c r="I53" s="11" t="s">
        <v>87</v>
      </c>
      <c r="J53" s="11" t="s">
        <v>47</v>
      </c>
      <c r="L53" s="38"/>
      <c r="M53" s="37"/>
      <c r="N53" s="37"/>
      <c r="O53" s="37"/>
    </row>
    <row r="54" spans="1:15" s="18" customFormat="1">
      <c r="A54" s="35"/>
      <c r="B54"/>
      <c r="C54" s="41"/>
      <c r="D54" s="11"/>
      <c r="E54" s="21"/>
      <c r="F54" s="10"/>
      <c r="G54" s="10"/>
      <c r="H54" s="22"/>
      <c r="I54" s="11"/>
      <c r="J54" s="11"/>
      <c r="L54" s="38"/>
      <c r="M54" s="37"/>
      <c r="N54" s="37"/>
      <c r="O54" s="37"/>
    </row>
    <row r="55" spans="1:15">
      <c r="A55" s="5" t="s">
        <v>22</v>
      </c>
      <c r="D55" s="11"/>
      <c r="E55" s="21"/>
      <c r="F55" s="10"/>
      <c r="G55" s="10"/>
      <c r="H55" s="22"/>
      <c r="I55" s="11"/>
      <c r="J55" s="11"/>
      <c r="L55" s="13"/>
      <c r="M55" s="12"/>
      <c r="N55" s="12"/>
      <c r="O55" s="12"/>
    </row>
    <row r="56" spans="1:15">
      <c r="A56" s="32" t="s">
        <v>560</v>
      </c>
      <c r="B56" s="1" t="s">
        <v>0</v>
      </c>
      <c r="C56" s="1" t="s">
        <v>1</v>
      </c>
      <c r="D56" s="8" t="s">
        <v>6</v>
      </c>
      <c r="E56" s="8" t="s">
        <v>2</v>
      </c>
      <c r="F56" s="8" t="s">
        <v>4</v>
      </c>
      <c r="G56" s="8" t="s">
        <v>8</v>
      </c>
      <c r="H56" s="8" t="s">
        <v>7</v>
      </c>
      <c r="I56" s="8" t="s">
        <v>9</v>
      </c>
      <c r="J56" s="9" t="s">
        <v>3</v>
      </c>
    </row>
    <row r="57" spans="1:15">
      <c r="A57" s="4"/>
      <c r="B57" t="s">
        <v>82</v>
      </c>
      <c r="C57" s="41" t="s">
        <v>83</v>
      </c>
      <c r="D57" s="11" t="s">
        <v>10</v>
      </c>
      <c r="E57" s="21" t="s">
        <v>42</v>
      </c>
      <c r="F57" s="10">
        <v>30</v>
      </c>
      <c r="G57" s="10" t="s">
        <v>373</v>
      </c>
      <c r="H57" s="11"/>
      <c r="I57" s="11"/>
      <c r="J57" s="11" t="s">
        <v>129</v>
      </c>
      <c r="L57" s="13"/>
      <c r="M57" s="12"/>
      <c r="N57" s="12"/>
      <c r="O57" s="12"/>
    </row>
    <row r="58" spans="1:15">
      <c r="A58" s="4"/>
      <c r="B58" t="s">
        <v>82</v>
      </c>
      <c r="C58" s="41" t="s">
        <v>83</v>
      </c>
      <c r="D58" s="11" t="s">
        <v>10</v>
      </c>
      <c r="E58" s="21" t="s">
        <v>45</v>
      </c>
      <c r="F58" s="10">
        <v>26</v>
      </c>
      <c r="G58" s="10" t="s">
        <v>374</v>
      </c>
      <c r="H58" s="22">
        <f>(26.66/29.04)*100-100</f>
        <v>-8.1955922865013804</v>
      </c>
      <c r="I58" s="11" t="s">
        <v>372</v>
      </c>
      <c r="J58" s="11" t="s">
        <v>67</v>
      </c>
      <c r="L58" s="13"/>
      <c r="M58" s="12"/>
      <c r="N58" s="12"/>
      <c r="O58" s="12"/>
    </row>
    <row r="59" spans="1:15" s="18" customFormat="1">
      <c r="A59" s="35"/>
      <c r="B59"/>
      <c r="C59" s="41"/>
      <c r="D59" s="11"/>
      <c r="E59" s="21"/>
      <c r="F59" s="10"/>
      <c r="G59" s="10"/>
      <c r="H59" s="22"/>
      <c r="I59" s="11"/>
      <c r="J59" s="11"/>
      <c r="L59" s="38"/>
      <c r="M59" s="37"/>
      <c r="N59" s="37"/>
      <c r="O59" s="37"/>
    </row>
    <row r="60" spans="1:15" s="18" customFormat="1">
      <c r="A60" s="31" t="s">
        <v>185</v>
      </c>
      <c r="D60" s="14"/>
      <c r="E60" s="39"/>
      <c r="F60" s="36"/>
      <c r="G60" s="36"/>
      <c r="H60" s="15"/>
      <c r="I60" s="14"/>
      <c r="J60" s="14"/>
      <c r="L60" s="38"/>
      <c r="M60" s="37"/>
      <c r="N60" s="37"/>
      <c r="O60" s="37"/>
    </row>
    <row r="61" spans="1:15" s="18" customFormat="1">
      <c r="A61" s="32" t="s">
        <v>560</v>
      </c>
      <c r="B61" s="33" t="s">
        <v>0</v>
      </c>
      <c r="C61" s="33" t="s">
        <v>1</v>
      </c>
      <c r="D61" s="16" t="s">
        <v>6</v>
      </c>
      <c r="E61" s="16" t="s">
        <v>2</v>
      </c>
      <c r="F61" s="16" t="s">
        <v>4</v>
      </c>
      <c r="G61" s="16" t="s">
        <v>8</v>
      </c>
      <c r="H61" s="16" t="s">
        <v>7</v>
      </c>
      <c r="I61" s="16" t="s">
        <v>9</v>
      </c>
      <c r="J61" s="34" t="s">
        <v>3</v>
      </c>
    </row>
    <row r="62" spans="1:15" s="18" customFormat="1">
      <c r="A62" s="35"/>
      <c r="B62" s="18" t="s">
        <v>82</v>
      </c>
      <c r="C62" s="19" t="s">
        <v>83</v>
      </c>
      <c r="D62" s="14" t="s">
        <v>10</v>
      </c>
      <c r="E62" s="39" t="s">
        <v>42</v>
      </c>
      <c r="F62" s="36">
        <v>26</v>
      </c>
      <c r="G62" s="36" t="s">
        <v>157</v>
      </c>
      <c r="H62" s="14"/>
      <c r="I62" s="14"/>
      <c r="J62" s="14" t="s">
        <v>78</v>
      </c>
      <c r="L62" s="38"/>
      <c r="M62" s="37"/>
      <c r="N62" s="37"/>
      <c r="O62" s="37"/>
    </row>
    <row r="63" spans="1:15" s="18" customFormat="1">
      <c r="A63" s="35"/>
      <c r="B63" s="18" t="s">
        <v>82</v>
      </c>
      <c r="C63" s="19" t="s">
        <v>83</v>
      </c>
      <c r="D63" s="14" t="s">
        <v>10</v>
      </c>
      <c r="E63" s="39" t="s">
        <v>45</v>
      </c>
      <c r="F63" s="36">
        <v>26</v>
      </c>
      <c r="G63" s="36" t="s">
        <v>158</v>
      </c>
      <c r="H63" s="15">
        <f>(25.92/25.49)*100-100</f>
        <v>1.686936053354259</v>
      </c>
      <c r="I63" s="14" t="s">
        <v>159</v>
      </c>
      <c r="J63" s="14" t="s">
        <v>19</v>
      </c>
      <c r="L63" s="38"/>
      <c r="M63" s="37"/>
      <c r="N63" s="37"/>
      <c r="O63" s="37"/>
    </row>
    <row r="64" spans="1:15" s="18" customFormat="1">
      <c r="A64" s="35"/>
      <c r="C64" s="64"/>
      <c r="D64" s="14"/>
      <c r="E64" s="39"/>
      <c r="F64" s="36"/>
      <c r="G64" s="36"/>
      <c r="H64" s="15"/>
      <c r="I64" s="14"/>
      <c r="J64" s="14"/>
      <c r="L64" s="38"/>
      <c r="M64" s="37"/>
      <c r="N64" s="37"/>
      <c r="O64" s="37"/>
    </row>
    <row r="65" spans="1:15" s="18" customFormat="1">
      <c r="A65" s="35"/>
      <c r="C65" s="64"/>
      <c r="D65" s="14"/>
      <c r="E65" s="39"/>
      <c r="F65" s="36"/>
      <c r="G65" s="36"/>
      <c r="H65" s="15"/>
      <c r="I65" s="14"/>
      <c r="J65" s="14"/>
      <c r="L65" s="38"/>
      <c r="M65" s="37"/>
      <c r="N65" s="37"/>
      <c r="O65" s="37"/>
    </row>
    <row r="66" spans="1:15" s="18" customFormat="1">
      <c r="A66" s="31" t="s">
        <v>5</v>
      </c>
      <c r="D66" s="14"/>
      <c r="E66" s="39"/>
      <c r="F66" s="36"/>
      <c r="G66" s="36"/>
      <c r="H66" s="15"/>
      <c r="I66" s="14"/>
      <c r="J66" s="14"/>
      <c r="L66" s="38"/>
      <c r="M66" s="37"/>
      <c r="N66" s="37"/>
      <c r="O66" s="37"/>
    </row>
    <row r="67" spans="1:15" s="18" customFormat="1">
      <c r="A67" s="32" t="s">
        <v>561</v>
      </c>
      <c r="B67" s="33" t="s">
        <v>0</v>
      </c>
      <c r="C67" s="33" t="s">
        <v>1</v>
      </c>
      <c r="D67" s="16" t="s">
        <v>6</v>
      </c>
      <c r="E67" s="16" t="s">
        <v>2</v>
      </c>
      <c r="F67" s="16" t="s">
        <v>4</v>
      </c>
      <c r="G67" s="8" t="s">
        <v>8</v>
      </c>
      <c r="H67" s="8" t="s">
        <v>7</v>
      </c>
      <c r="I67" s="16" t="s">
        <v>9</v>
      </c>
      <c r="J67" s="34" t="s">
        <v>3</v>
      </c>
      <c r="L67" s="38"/>
      <c r="M67" s="37"/>
      <c r="N67" s="37"/>
      <c r="O67" s="37"/>
    </row>
    <row r="68" spans="1:15" s="18" customFormat="1">
      <c r="A68" s="35"/>
      <c r="B68" s="18" t="s">
        <v>505</v>
      </c>
      <c r="C68" s="19" t="s">
        <v>506</v>
      </c>
      <c r="D68" s="14" t="s">
        <v>10</v>
      </c>
      <c r="E68" s="39" t="s">
        <v>42</v>
      </c>
      <c r="F68" s="36">
        <v>24</v>
      </c>
      <c r="G68" s="10" t="s">
        <v>507</v>
      </c>
      <c r="H68" s="11"/>
      <c r="I68" s="14"/>
      <c r="J68" s="14" t="s">
        <v>310</v>
      </c>
      <c r="L68" s="38"/>
      <c r="M68" s="37"/>
      <c r="N68" s="37"/>
      <c r="O68" s="37"/>
    </row>
    <row r="69" spans="1:15" s="18" customFormat="1">
      <c r="A69" s="35"/>
      <c r="B69" s="18" t="s">
        <v>505</v>
      </c>
      <c r="C69" s="19" t="s">
        <v>506</v>
      </c>
      <c r="D69" s="14" t="s">
        <v>10</v>
      </c>
      <c r="E69" s="39" t="s">
        <v>45</v>
      </c>
      <c r="F69" s="36">
        <v>23</v>
      </c>
      <c r="G69" s="10" t="s">
        <v>508</v>
      </c>
      <c r="H69" s="22">
        <f>(23.47/24.07)*100-100</f>
        <v>-2.4927295388450403</v>
      </c>
      <c r="I69" s="14" t="s">
        <v>509</v>
      </c>
      <c r="J69" s="14" t="s">
        <v>311</v>
      </c>
      <c r="L69" s="38"/>
      <c r="M69" s="37"/>
      <c r="N69" s="37"/>
      <c r="O69" s="37"/>
    </row>
    <row r="70" spans="1:15" s="18" customFormat="1">
      <c r="A70" s="35"/>
      <c r="C70" s="19"/>
      <c r="D70" s="14"/>
      <c r="E70" s="39"/>
      <c r="F70" s="36"/>
      <c r="G70" s="10"/>
      <c r="H70" s="22"/>
      <c r="I70" s="14"/>
      <c r="J70" s="14"/>
      <c r="L70" s="38"/>
      <c r="M70" s="37"/>
      <c r="N70" s="37"/>
      <c r="O70" s="37"/>
    </row>
    <row r="71" spans="1:15" s="18" customFormat="1">
      <c r="A71" s="35"/>
      <c r="C71" s="19"/>
      <c r="D71" s="14"/>
      <c r="E71" s="39"/>
      <c r="F71" s="36"/>
      <c r="G71" s="10"/>
      <c r="H71" s="22"/>
      <c r="I71" s="14"/>
      <c r="J71" s="14"/>
      <c r="L71" s="38"/>
      <c r="M71" s="37"/>
      <c r="N71" s="37"/>
      <c r="O71" s="37"/>
    </row>
    <row r="72" spans="1:15" s="18" customFormat="1">
      <c r="A72" s="31" t="s">
        <v>22</v>
      </c>
      <c r="D72" s="14"/>
      <c r="E72" s="39"/>
      <c r="F72" s="36"/>
      <c r="G72" s="36"/>
      <c r="H72" s="15"/>
      <c r="I72" s="14"/>
      <c r="J72" s="14"/>
      <c r="L72" s="38"/>
      <c r="M72" s="37"/>
      <c r="N72" s="37"/>
      <c r="O72" s="37"/>
    </row>
    <row r="73" spans="1:15" s="18" customFormat="1">
      <c r="A73" s="32" t="s">
        <v>561</v>
      </c>
      <c r="B73" s="33" t="s">
        <v>0</v>
      </c>
      <c r="C73" s="33" t="s">
        <v>1</v>
      </c>
      <c r="D73" s="16" t="s">
        <v>6</v>
      </c>
      <c r="E73" s="16" t="s">
        <v>2</v>
      </c>
      <c r="F73" s="16" t="s">
        <v>4</v>
      </c>
      <c r="G73" s="16" t="s">
        <v>8</v>
      </c>
      <c r="H73" s="16" t="s">
        <v>7</v>
      </c>
      <c r="I73" s="16" t="s">
        <v>9</v>
      </c>
      <c r="J73" s="34" t="s">
        <v>3</v>
      </c>
      <c r="L73" s="38"/>
      <c r="M73" s="37"/>
      <c r="N73" s="37"/>
      <c r="O73" s="37"/>
    </row>
    <row r="74" spans="1:15" s="18" customFormat="1">
      <c r="A74" s="35"/>
      <c r="B74" s="18" t="s">
        <v>505</v>
      </c>
      <c r="C74" s="19" t="s">
        <v>506</v>
      </c>
      <c r="D74" s="14" t="s">
        <v>10</v>
      </c>
      <c r="E74" s="39" t="s">
        <v>42</v>
      </c>
      <c r="F74" s="36">
        <v>22</v>
      </c>
      <c r="G74" s="36" t="s">
        <v>510</v>
      </c>
      <c r="H74" s="14"/>
      <c r="I74" s="14"/>
      <c r="J74" s="14" t="s">
        <v>461</v>
      </c>
      <c r="L74" s="38"/>
      <c r="M74" s="37"/>
      <c r="N74" s="37"/>
      <c r="O74" s="37"/>
    </row>
    <row r="75" spans="1:15">
      <c r="A75" s="35"/>
      <c r="B75" s="18" t="s">
        <v>505</v>
      </c>
      <c r="C75" s="19" t="s">
        <v>506</v>
      </c>
      <c r="D75" s="14" t="s">
        <v>10</v>
      </c>
      <c r="E75" s="39" t="s">
        <v>45</v>
      </c>
      <c r="F75" s="36">
        <v>27</v>
      </c>
      <c r="G75" s="36" t="s">
        <v>511</v>
      </c>
      <c r="H75" s="15">
        <f>(26.61/23.95)*100-100</f>
        <v>11.106471816283928</v>
      </c>
      <c r="I75" s="14" t="s">
        <v>512</v>
      </c>
      <c r="J75" s="14" t="s">
        <v>513</v>
      </c>
    </row>
    <row r="77" spans="1:15" s="18" customFormat="1">
      <c r="A77" s="31" t="s">
        <v>5</v>
      </c>
      <c r="D77" s="14"/>
      <c r="E77" s="39"/>
      <c r="F77" s="36"/>
      <c r="G77" s="36"/>
      <c r="H77" s="15"/>
      <c r="I77" s="14"/>
      <c r="J77" s="14"/>
      <c r="L77" s="38"/>
      <c r="M77" s="37"/>
      <c r="N77" s="37"/>
      <c r="O77" s="37"/>
    </row>
    <row r="78" spans="1:15" s="18" customFormat="1">
      <c r="A78" s="32" t="s">
        <v>562</v>
      </c>
      <c r="B78" s="33" t="s">
        <v>0</v>
      </c>
      <c r="C78" s="33" t="s">
        <v>1</v>
      </c>
      <c r="D78" s="16" t="s">
        <v>6</v>
      </c>
      <c r="E78" s="16" t="s">
        <v>2</v>
      </c>
      <c r="F78" s="16" t="s">
        <v>4</v>
      </c>
      <c r="G78" s="16" t="s">
        <v>8</v>
      </c>
      <c r="H78" s="16" t="s">
        <v>7</v>
      </c>
      <c r="I78" s="16" t="s">
        <v>9</v>
      </c>
      <c r="J78" s="34" t="s">
        <v>3</v>
      </c>
    </row>
    <row r="79" spans="1:15" s="18" customFormat="1">
      <c r="A79" s="35"/>
      <c r="B79" s="18" t="s">
        <v>62</v>
      </c>
      <c r="C79" s="19" t="s">
        <v>363</v>
      </c>
      <c r="D79" s="14" t="s">
        <v>10</v>
      </c>
      <c r="E79" s="39" t="s">
        <v>42</v>
      </c>
      <c r="F79" s="36">
        <v>20</v>
      </c>
      <c r="G79" s="36" t="s">
        <v>64</v>
      </c>
      <c r="H79" s="14"/>
      <c r="I79" s="14"/>
      <c r="J79" s="14" t="s">
        <v>38</v>
      </c>
      <c r="L79" s="38"/>
      <c r="M79" s="37"/>
      <c r="N79" s="37"/>
      <c r="O79" s="37"/>
    </row>
    <row r="80" spans="1:15" s="18" customFormat="1">
      <c r="A80" s="35"/>
      <c r="B80" s="18" t="s">
        <v>62</v>
      </c>
      <c r="C80" s="19" t="s">
        <v>363</v>
      </c>
      <c r="D80" s="14" t="s">
        <v>10</v>
      </c>
      <c r="E80" s="39" t="s">
        <v>45</v>
      </c>
      <c r="F80" s="36">
        <v>18</v>
      </c>
      <c r="G80" s="36" t="s">
        <v>65</v>
      </c>
      <c r="H80" s="15">
        <f>(19.34/19.8)*100-100</f>
        <v>-2.3232323232323324</v>
      </c>
      <c r="I80" s="14" t="s">
        <v>66</v>
      </c>
      <c r="J80" s="14" t="s">
        <v>67</v>
      </c>
      <c r="L80" s="38"/>
      <c r="M80" s="37"/>
      <c r="N80" s="37"/>
      <c r="O80" s="37"/>
    </row>
    <row r="81" spans="1:15" s="18" customFormat="1">
      <c r="A81" s="35"/>
      <c r="C81" s="19"/>
      <c r="D81" s="14"/>
      <c r="E81" s="39"/>
      <c r="F81" s="36"/>
      <c r="G81" s="36"/>
      <c r="H81" s="15"/>
      <c r="I81" s="14"/>
      <c r="J81" s="14"/>
      <c r="L81" s="38"/>
      <c r="M81" s="37"/>
      <c r="N81" s="37"/>
      <c r="O81" s="37"/>
    </row>
    <row r="82" spans="1:15" s="18" customFormat="1">
      <c r="A82" s="35"/>
      <c r="B82"/>
      <c r="C82" s="41"/>
      <c r="D82" s="11"/>
      <c r="E82" s="21"/>
      <c r="F82" s="10"/>
      <c r="G82" s="10"/>
      <c r="H82" s="22"/>
      <c r="I82" s="11"/>
      <c r="J82" s="11"/>
      <c r="L82" s="38"/>
      <c r="M82" s="37"/>
      <c r="N82" s="37"/>
      <c r="O82" s="37"/>
    </row>
    <row r="83" spans="1:15" s="18" customFormat="1">
      <c r="A83" s="31" t="s">
        <v>22</v>
      </c>
      <c r="D83" s="14"/>
      <c r="E83" s="39"/>
      <c r="F83" s="36"/>
      <c r="G83" s="36"/>
      <c r="H83" s="15"/>
      <c r="I83" s="14"/>
      <c r="J83" s="14"/>
      <c r="L83" s="38"/>
      <c r="M83" s="37"/>
      <c r="N83" s="37"/>
      <c r="O83" s="37"/>
    </row>
    <row r="84" spans="1:15" s="18" customFormat="1">
      <c r="A84" s="32" t="s">
        <v>562</v>
      </c>
      <c r="B84" s="33" t="s">
        <v>0</v>
      </c>
      <c r="C84" s="33" t="s">
        <v>1</v>
      </c>
      <c r="D84" s="16" t="s">
        <v>6</v>
      </c>
      <c r="E84" s="16" t="s">
        <v>2</v>
      </c>
      <c r="F84" s="16" t="s">
        <v>4</v>
      </c>
      <c r="G84" s="16" t="s">
        <v>8</v>
      </c>
      <c r="H84" s="16" t="s">
        <v>7</v>
      </c>
      <c r="I84" s="16" t="s">
        <v>9</v>
      </c>
      <c r="J84" s="34" t="s">
        <v>3</v>
      </c>
    </row>
    <row r="85" spans="1:15" s="18" customFormat="1">
      <c r="A85" s="35"/>
      <c r="B85" s="18" t="s">
        <v>62</v>
      </c>
      <c r="C85" s="19" t="s">
        <v>363</v>
      </c>
      <c r="D85" s="14" t="s">
        <v>10</v>
      </c>
      <c r="E85" s="39" t="s">
        <v>42</v>
      </c>
      <c r="F85" s="36">
        <v>22</v>
      </c>
      <c r="G85" s="36" t="s">
        <v>68</v>
      </c>
      <c r="H85" s="14"/>
      <c r="I85" s="14"/>
      <c r="J85" s="14" t="s">
        <v>69</v>
      </c>
      <c r="L85" s="38"/>
      <c r="M85" s="37"/>
      <c r="N85" s="37"/>
      <c r="O85" s="37"/>
    </row>
    <row r="86" spans="1:15" s="18" customFormat="1">
      <c r="A86" s="35"/>
      <c r="B86" s="18" t="s">
        <v>62</v>
      </c>
      <c r="C86" s="19" t="s">
        <v>363</v>
      </c>
      <c r="D86" s="14" t="s">
        <v>10</v>
      </c>
      <c r="E86" s="39" t="s">
        <v>45</v>
      </c>
      <c r="F86" s="36">
        <v>22</v>
      </c>
      <c r="G86" s="36" t="s">
        <v>70</v>
      </c>
      <c r="H86" s="15">
        <f>(22.39/22.56)*100-100</f>
        <v>-0.75354609929077299</v>
      </c>
      <c r="I86" s="14" t="s">
        <v>71</v>
      </c>
      <c r="J86" s="14" t="s">
        <v>72</v>
      </c>
      <c r="L86" s="38"/>
      <c r="M86" s="37"/>
      <c r="N86" s="37"/>
      <c r="O86" s="37"/>
    </row>
    <row r="87" spans="1:15" s="18" customFormat="1">
      <c r="A87" s="35"/>
      <c r="D87" s="14"/>
      <c r="E87" s="39"/>
      <c r="F87" s="36"/>
      <c r="G87" s="36"/>
      <c r="H87" s="15"/>
      <c r="I87" s="14"/>
      <c r="J87" s="14"/>
      <c r="L87" s="38"/>
      <c r="M87" s="37"/>
      <c r="N87" s="37"/>
      <c r="O87" s="37"/>
    </row>
    <row r="88" spans="1:15" s="18" customFormat="1">
      <c r="A88" s="31" t="s">
        <v>5</v>
      </c>
      <c r="D88" s="14"/>
      <c r="E88" s="39"/>
      <c r="F88" s="36"/>
      <c r="G88" s="36"/>
      <c r="H88" s="15"/>
      <c r="I88" s="14"/>
      <c r="J88" s="14"/>
      <c r="L88" s="38"/>
      <c r="M88" s="37"/>
      <c r="N88" s="37"/>
      <c r="O88" s="37"/>
    </row>
    <row r="89" spans="1:15">
      <c r="A89" s="3" t="s">
        <v>563</v>
      </c>
      <c r="B89" s="1" t="s">
        <v>0</v>
      </c>
      <c r="C89" s="1" t="s">
        <v>1</v>
      </c>
      <c r="D89" s="8" t="s">
        <v>6</v>
      </c>
      <c r="E89" s="8" t="s">
        <v>2</v>
      </c>
      <c r="F89" s="8" t="s">
        <v>4</v>
      </c>
      <c r="G89" s="8" t="s">
        <v>8</v>
      </c>
      <c r="H89" s="8" t="s">
        <v>7</v>
      </c>
      <c r="I89" s="8" t="s">
        <v>9</v>
      </c>
      <c r="J89" s="9" t="s">
        <v>3</v>
      </c>
    </row>
    <row r="90" spans="1:15" s="18" customFormat="1">
      <c r="A90" s="35"/>
      <c r="B90" t="s">
        <v>52</v>
      </c>
      <c r="C90" s="41" t="s">
        <v>53</v>
      </c>
      <c r="D90" s="11" t="s">
        <v>10</v>
      </c>
      <c r="E90" s="21" t="s">
        <v>42</v>
      </c>
      <c r="F90" s="10">
        <v>28</v>
      </c>
      <c r="G90" s="10" t="s">
        <v>54</v>
      </c>
      <c r="H90" s="11"/>
      <c r="I90" s="11"/>
      <c r="J90" s="11" t="s">
        <v>55</v>
      </c>
      <c r="L90" s="38"/>
      <c r="M90" s="37"/>
      <c r="N90" s="37"/>
      <c r="O90" s="37"/>
    </row>
    <row r="91" spans="1:15" s="18" customFormat="1">
      <c r="A91" s="35"/>
      <c r="B91" t="s">
        <v>52</v>
      </c>
      <c r="C91" s="41" t="s">
        <v>53</v>
      </c>
      <c r="D91" s="11" t="s">
        <v>10</v>
      </c>
      <c r="E91" s="21" t="s">
        <v>45</v>
      </c>
      <c r="F91" s="10">
        <v>27</v>
      </c>
      <c r="G91" s="10" t="s">
        <v>56</v>
      </c>
      <c r="H91" s="22">
        <f>(27.3/28.23)*100-100</f>
        <v>-3.2943676939426183</v>
      </c>
      <c r="I91" s="11" t="s">
        <v>57</v>
      </c>
      <c r="J91" s="11" t="s">
        <v>33</v>
      </c>
      <c r="L91" s="38"/>
      <c r="M91" s="37"/>
      <c r="N91" s="37"/>
      <c r="O91" s="37"/>
    </row>
    <row r="92" spans="1:15" s="18" customFormat="1">
      <c r="A92" s="35"/>
      <c r="B92"/>
      <c r="C92" s="41"/>
      <c r="D92" s="11"/>
      <c r="E92" s="21"/>
      <c r="F92" s="10"/>
      <c r="G92" s="10"/>
      <c r="H92" s="22"/>
      <c r="I92" s="11"/>
      <c r="J92" s="11"/>
      <c r="L92" s="38"/>
      <c r="M92" s="37"/>
      <c r="N92" s="37"/>
      <c r="O92" s="37"/>
    </row>
    <row r="93" spans="1:15" s="18" customFormat="1">
      <c r="A93" s="31" t="s">
        <v>22</v>
      </c>
      <c r="B93"/>
      <c r="C93" s="41"/>
      <c r="D93" s="11"/>
      <c r="E93" s="21"/>
      <c r="F93" s="10"/>
      <c r="G93" s="10"/>
      <c r="H93" s="22"/>
      <c r="I93" s="11"/>
      <c r="J93" s="11"/>
      <c r="L93" s="38"/>
      <c r="M93" s="37"/>
      <c r="N93" s="37"/>
      <c r="O93" s="37"/>
    </row>
    <row r="94" spans="1:15">
      <c r="A94" s="3" t="s">
        <v>563</v>
      </c>
      <c r="B94" s="1" t="s">
        <v>0</v>
      </c>
      <c r="C94" s="1" t="s">
        <v>1</v>
      </c>
      <c r="D94" s="8" t="s">
        <v>6</v>
      </c>
      <c r="E94" s="8" t="s">
        <v>2</v>
      </c>
      <c r="F94" s="8" t="s">
        <v>4</v>
      </c>
      <c r="G94" s="8" t="s">
        <v>8</v>
      </c>
      <c r="H94" s="8" t="s">
        <v>7</v>
      </c>
      <c r="I94" s="8" t="s">
        <v>9</v>
      </c>
      <c r="J94" s="9" t="s">
        <v>3</v>
      </c>
    </row>
    <row r="95" spans="1:15" s="18" customFormat="1">
      <c r="A95" s="35"/>
      <c r="B95" t="s">
        <v>52</v>
      </c>
      <c r="C95" s="41" t="s">
        <v>53</v>
      </c>
      <c r="D95" s="11" t="s">
        <v>10</v>
      </c>
      <c r="E95" s="21" t="s">
        <v>42</v>
      </c>
      <c r="F95" s="10">
        <v>17</v>
      </c>
      <c r="G95" s="10" t="s">
        <v>58</v>
      </c>
      <c r="H95" s="11"/>
      <c r="I95" s="11"/>
      <c r="J95" s="11" t="s">
        <v>47</v>
      </c>
      <c r="L95" s="38"/>
      <c r="M95" s="37"/>
      <c r="N95" s="37"/>
      <c r="O95" s="37"/>
    </row>
    <row r="96" spans="1:15" s="18" customFormat="1">
      <c r="A96" s="35"/>
      <c r="B96" t="s">
        <v>52</v>
      </c>
      <c r="C96" s="41" t="s">
        <v>53</v>
      </c>
      <c r="D96" s="11" t="s">
        <v>10</v>
      </c>
      <c r="E96" s="21" t="s">
        <v>45</v>
      </c>
      <c r="F96" s="10">
        <v>19</v>
      </c>
      <c r="G96" s="10" t="s">
        <v>59</v>
      </c>
      <c r="H96" s="22">
        <f>(20.09/18.59)*100-100</f>
        <v>8.0688542227003808</v>
      </c>
      <c r="I96" s="11" t="s">
        <v>60</v>
      </c>
      <c r="J96" s="11" t="s">
        <v>61</v>
      </c>
      <c r="L96" s="38"/>
      <c r="M96" s="37"/>
      <c r="N96" s="37"/>
      <c r="O96" s="37"/>
    </row>
    <row r="98" spans="1:15">
      <c r="A98" s="51" t="s">
        <v>5</v>
      </c>
      <c r="B98" s="52"/>
      <c r="C98" s="52"/>
      <c r="D98" s="53"/>
      <c r="E98" s="53"/>
      <c r="F98" s="53"/>
      <c r="G98" s="53"/>
      <c r="H98" s="53"/>
      <c r="I98" s="53"/>
      <c r="J98" s="53"/>
      <c r="K98" s="52"/>
      <c r="L98" s="52"/>
      <c r="M98" s="52"/>
      <c r="N98" s="52"/>
      <c r="O98" s="52"/>
    </row>
    <row r="99" spans="1:15">
      <c r="A99" s="54" t="s">
        <v>564</v>
      </c>
      <c r="B99" s="55" t="s">
        <v>0</v>
      </c>
      <c r="C99" s="55" t="s">
        <v>1</v>
      </c>
      <c r="D99" s="56" t="s">
        <v>6</v>
      </c>
      <c r="E99" s="56" t="s">
        <v>2</v>
      </c>
      <c r="F99" s="56" t="s">
        <v>4</v>
      </c>
      <c r="G99" s="56" t="s">
        <v>8</v>
      </c>
      <c r="H99" s="57" t="s">
        <v>7</v>
      </c>
      <c r="I99" s="56" t="s">
        <v>9</v>
      </c>
      <c r="J99" s="58" t="s">
        <v>3</v>
      </c>
      <c r="K99" s="52"/>
      <c r="L99" s="52"/>
      <c r="M99" s="52"/>
      <c r="N99" s="52"/>
      <c r="O99" s="52"/>
    </row>
    <row r="100" spans="1:15">
      <c r="A100" s="59"/>
      <c r="B100" s="52" t="s">
        <v>88</v>
      </c>
      <c r="C100" s="52"/>
      <c r="D100" s="53" t="s">
        <v>10</v>
      </c>
      <c r="E100" s="60" t="s">
        <v>42</v>
      </c>
      <c r="F100" s="61">
        <v>31</v>
      </c>
      <c r="G100" s="61" t="s">
        <v>238</v>
      </c>
      <c r="H100" s="14"/>
      <c r="I100" s="53"/>
      <c r="J100" s="53" t="s">
        <v>55</v>
      </c>
      <c r="K100" s="52"/>
      <c r="L100" s="62"/>
      <c r="M100" s="62"/>
      <c r="N100" s="62"/>
      <c r="O100" s="62"/>
    </row>
    <row r="101" spans="1:15">
      <c r="A101" s="59"/>
      <c r="B101" s="52" t="s">
        <v>88</v>
      </c>
      <c r="C101" s="52"/>
      <c r="D101" s="53" t="s">
        <v>10</v>
      </c>
      <c r="E101" s="60" t="s">
        <v>239</v>
      </c>
      <c r="F101" s="61">
        <v>25</v>
      </c>
      <c r="G101" s="61" t="s">
        <v>240</v>
      </c>
      <c r="H101" s="22">
        <f>(26.21/29.49)*100-100</f>
        <v>-11.122414377755163</v>
      </c>
      <c r="I101" s="53" t="s">
        <v>17</v>
      </c>
      <c r="J101" s="53" t="s">
        <v>170</v>
      </c>
      <c r="K101" s="52"/>
      <c r="L101" s="63"/>
      <c r="M101" s="62"/>
      <c r="N101" s="62"/>
      <c r="O101" s="62"/>
    </row>
    <row r="102" spans="1:15">
      <c r="A102" s="52"/>
      <c r="B102" s="52" t="s">
        <v>88</v>
      </c>
      <c r="C102" s="52"/>
      <c r="D102" s="53" t="s">
        <v>10</v>
      </c>
      <c r="E102" s="60" t="s">
        <v>241</v>
      </c>
      <c r="F102" s="61">
        <v>31</v>
      </c>
      <c r="G102" s="61" t="s">
        <v>242</v>
      </c>
      <c r="H102" s="22">
        <f>(29.6/29.49)*100-100</f>
        <v>0.37300779925399752</v>
      </c>
      <c r="I102" s="53" t="s">
        <v>243</v>
      </c>
      <c r="J102" s="53" t="s">
        <v>85</v>
      </c>
      <c r="K102" s="52"/>
      <c r="L102" s="52"/>
      <c r="M102" s="52"/>
      <c r="N102" s="52"/>
      <c r="O102" s="52"/>
    </row>
    <row r="103" spans="1:15">
      <c r="A103" s="52"/>
      <c r="B103" s="52" t="s">
        <v>88</v>
      </c>
      <c r="C103" s="52"/>
      <c r="D103" s="53" t="s">
        <v>10</v>
      </c>
      <c r="E103" s="60" t="s">
        <v>244</v>
      </c>
      <c r="F103" s="61">
        <v>24</v>
      </c>
      <c r="G103" s="61" t="s">
        <v>245</v>
      </c>
      <c r="H103" s="22">
        <f>(24.52/29.49)*100-100</f>
        <v>-16.853170566293656</v>
      </c>
      <c r="I103" s="53" t="s">
        <v>17</v>
      </c>
      <c r="J103" s="53" t="s">
        <v>67</v>
      </c>
      <c r="K103" s="52"/>
      <c r="L103" s="52"/>
      <c r="M103" s="52"/>
      <c r="N103" s="52"/>
      <c r="O103" s="52"/>
    </row>
    <row r="104" spans="1:15">
      <c r="A104" s="52"/>
      <c r="B104" s="52" t="s">
        <v>88</v>
      </c>
      <c r="C104" s="52"/>
      <c r="D104" s="53" t="s">
        <v>10</v>
      </c>
      <c r="E104" s="60" t="s">
        <v>246</v>
      </c>
      <c r="F104" s="61">
        <v>23</v>
      </c>
      <c r="G104" s="61" t="s">
        <v>247</v>
      </c>
      <c r="H104" s="22">
        <f>(23.19/29.49)*100-100</f>
        <v>-21.363173957273645</v>
      </c>
      <c r="I104" s="53" t="s">
        <v>17</v>
      </c>
      <c r="J104" s="53" t="s">
        <v>129</v>
      </c>
      <c r="K104" s="52"/>
      <c r="L104" s="52"/>
      <c r="M104" s="52"/>
      <c r="N104" s="52"/>
      <c r="O104" s="52"/>
    </row>
    <row r="107" spans="1:15" s="18" customFormat="1">
      <c r="A107" s="31" t="s">
        <v>22</v>
      </c>
      <c r="D107" s="14"/>
      <c r="E107" s="14"/>
      <c r="F107" s="14"/>
      <c r="G107" s="14"/>
      <c r="H107" s="14"/>
      <c r="I107" s="14"/>
      <c r="J107" s="14"/>
    </row>
    <row r="108" spans="1:15" s="18" customFormat="1">
      <c r="A108" s="32" t="s">
        <v>564</v>
      </c>
      <c r="B108" s="65" t="s">
        <v>0</v>
      </c>
      <c r="C108" s="65" t="s">
        <v>1</v>
      </c>
      <c r="D108" s="57" t="s">
        <v>6</v>
      </c>
      <c r="E108" s="57" t="s">
        <v>2</v>
      </c>
      <c r="F108" s="57" t="s">
        <v>4</v>
      </c>
      <c r="G108" s="57" t="s">
        <v>8</v>
      </c>
      <c r="H108" s="57" t="s">
        <v>7</v>
      </c>
      <c r="I108" s="57" t="s">
        <v>9</v>
      </c>
      <c r="J108" s="66" t="s">
        <v>3</v>
      </c>
    </row>
    <row r="109" spans="1:15" s="18" customFormat="1">
      <c r="A109" s="35"/>
      <c r="B109" s="18" t="s">
        <v>88</v>
      </c>
      <c r="D109" s="14" t="s">
        <v>10</v>
      </c>
      <c r="E109" s="39" t="s">
        <v>42</v>
      </c>
      <c r="F109" s="36">
        <v>26</v>
      </c>
      <c r="G109" s="36" t="s">
        <v>392</v>
      </c>
      <c r="H109" s="14"/>
      <c r="I109" s="14"/>
      <c r="J109" s="14" t="s">
        <v>125</v>
      </c>
      <c r="L109" s="37"/>
      <c r="M109" s="37"/>
      <c r="N109" s="37"/>
      <c r="O109" s="37"/>
    </row>
    <row r="110" spans="1:15" s="18" customFormat="1">
      <c r="A110" s="35"/>
      <c r="B110" s="18" t="s">
        <v>88</v>
      </c>
      <c r="D110" s="14" t="s">
        <v>10</v>
      </c>
      <c r="E110" s="39" t="s">
        <v>239</v>
      </c>
      <c r="F110" s="36">
        <v>25</v>
      </c>
      <c r="G110" s="36" t="s">
        <v>393</v>
      </c>
      <c r="H110" s="15">
        <f>(23.68/25.17)*100-100</f>
        <v>-5.9197457290425177</v>
      </c>
      <c r="I110" s="14" t="s">
        <v>391</v>
      </c>
      <c r="J110" s="14" t="s">
        <v>201</v>
      </c>
      <c r="L110" s="38"/>
      <c r="M110" s="37"/>
      <c r="N110" s="37"/>
      <c r="O110" s="37"/>
    </row>
    <row r="111" spans="1:15" s="18" customFormat="1">
      <c r="B111" s="18" t="s">
        <v>88</v>
      </c>
      <c r="D111" s="14" t="s">
        <v>10</v>
      </c>
      <c r="E111" s="39" t="s">
        <v>241</v>
      </c>
      <c r="F111" s="36">
        <v>29</v>
      </c>
      <c r="G111" s="36" t="s">
        <v>394</v>
      </c>
      <c r="H111" s="15">
        <f>(27.836/25.17)*100-100</f>
        <v>10.591974572904235</v>
      </c>
      <c r="I111" s="14" t="s">
        <v>17</v>
      </c>
      <c r="J111" s="14" t="s">
        <v>125</v>
      </c>
    </row>
    <row r="112" spans="1:15" s="18" customFormat="1">
      <c r="B112" s="18" t="s">
        <v>88</v>
      </c>
      <c r="D112" s="14" t="s">
        <v>10</v>
      </c>
      <c r="E112" s="39" t="s">
        <v>244</v>
      </c>
      <c r="F112" s="36">
        <v>25</v>
      </c>
      <c r="G112" s="36" t="s">
        <v>389</v>
      </c>
      <c r="H112" s="15">
        <f>(23.37/25.17)*100-100</f>
        <v>-7.1513706793802214</v>
      </c>
      <c r="I112" s="14" t="s">
        <v>387</v>
      </c>
      <c r="J112" s="14" t="s">
        <v>47</v>
      </c>
    </row>
    <row r="113" spans="1:10" s="18" customFormat="1">
      <c r="B113" s="18" t="s">
        <v>88</v>
      </c>
      <c r="D113" s="14" t="s">
        <v>10</v>
      </c>
      <c r="E113" s="39" t="s">
        <v>246</v>
      </c>
      <c r="F113" s="36">
        <v>25</v>
      </c>
      <c r="G113" s="36" t="s">
        <v>390</v>
      </c>
      <c r="H113" s="15">
        <f>(23.56/25.17)*100-100</f>
        <v>-6.3965037743345334</v>
      </c>
      <c r="I113" s="14" t="s">
        <v>388</v>
      </c>
      <c r="J113" s="14" t="s">
        <v>39</v>
      </c>
    </row>
    <row r="115" spans="1:10">
      <c r="A115" s="5" t="s">
        <v>5</v>
      </c>
      <c r="D115" s="11"/>
      <c r="E115" s="11"/>
      <c r="F115" s="11"/>
      <c r="G115" s="11"/>
      <c r="H115" s="11"/>
      <c r="I115" s="11"/>
      <c r="J115" s="11"/>
    </row>
    <row r="116" spans="1:10">
      <c r="A116" s="54" t="s">
        <v>565</v>
      </c>
      <c r="B116" s="1" t="s">
        <v>0</v>
      </c>
      <c r="C116" s="1" t="s">
        <v>1</v>
      </c>
      <c r="D116" s="8" t="s">
        <v>6</v>
      </c>
      <c r="E116" s="8" t="s">
        <v>2</v>
      </c>
      <c r="F116" s="8" t="s">
        <v>4</v>
      </c>
      <c r="G116" s="8" t="s">
        <v>8</v>
      </c>
      <c r="H116" s="16" t="s">
        <v>7</v>
      </c>
      <c r="I116" s="8" t="s">
        <v>9</v>
      </c>
      <c r="J116" s="9" t="s">
        <v>3</v>
      </c>
    </row>
    <row r="117" spans="1:10">
      <c r="A117" s="4"/>
      <c r="B117" t="s">
        <v>88</v>
      </c>
      <c r="D117" s="11" t="s">
        <v>31</v>
      </c>
      <c r="E117" s="21" t="s">
        <v>42</v>
      </c>
      <c r="F117" s="10">
        <v>19</v>
      </c>
      <c r="G117" s="10" t="s">
        <v>285</v>
      </c>
      <c r="H117" s="14"/>
      <c r="I117" s="11"/>
      <c r="J117" s="11" t="s">
        <v>67</v>
      </c>
    </row>
    <row r="118" spans="1:10">
      <c r="A118" s="4"/>
      <c r="B118" t="s">
        <v>88</v>
      </c>
      <c r="D118" s="11" t="s">
        <v>31</v>
      </c>
      <c r="E118" s="21" t="s">
        <v>239</v>
      </c>
      <c r="F118" s="10">
        <v>18</v>
      </c>
      <c r="G118" s="10" t="s">
        <v>286</v>
      </c>
      <c r="H118" s="15">
        <f>(18.55/19.03)*100-100</f>
        <v>-2.5223331581713069</v>
      </c>
      <c r="I118" s="11" t="s">
        <v>287</v>
      </c>
      <c r="J118" s="11" t="s">
        <v>72</v>
      </c>
    </row>
    <row r="119" spans="1:10">
      <c r="B119" t="s">
        <v>88</v>
      </c>
      <c r="D119" s="11" t="s">
        <v>31</v>
      </c>
      <c r="E119" s="21" t="s">
        <v>244</v>
      </c>
      <c r="F119" s="10">
        <v>20</v>
      </c>
      <c r="G119" s="10" t="s">
        <v>288</v>
      </c>
      <c r="H119" s="15">
        <f>(19.04/19.03)*100-100</f>
        <v>5.2548607461886832E-2</v>
      </c>
      <c r="I119" s="11" t="s">
        <v>289</v>
      </c>
      <c r="J119" s="11" t="s">
        <v>85</v>
      </c>
    </row>
    <row r="120" spans="1:10">
      <c r="B120" t="s">
        <v>88</v>
      </c>
      <c r="D120" s="11" t="s">
        <v>31</v>
      </c>
      <c r="E120" s="21" t="s">
        <v>246</v>
      </c>
      <c r="F120" s="10">
        <v>18</v>
      </c>
      <c r="G120" s="10" t="s">
        <v>290</v>
      </c>
      <c r="H120" s="15">
        <f>(18.15/19.03)*100-100</f>
        <v>-4.6242774566474054</v>
      </c>
      <c r="I120" s="11" t="s">
        <v>291</v>
      </c>
      <c r="J120" s="11" t="s">
        <v>191</v>
      </c>
    </row>
    <row r="123" spans="1:10">
      <c r="A123" s="5" t="s">
        <v>22</v>
      </c>
      <c r="D123" s="11"/>
      <c r="E123" s="11"/>
      <c r="F123" s="11"/>
      <c r="G123" s="14"/>
      <c r="H123" s="14"/>
      <c r="I123" s="11"/>
      <c r="J123" s="11"/>
    </row>
    <row r="124" spans="1:10">
      <c r="A124" s="54" t="s">
        <v>565</v>
      </c>
      <c r="B124" s="1" t="s">
        <v>0</v>
      </c>
      <c r="C124" s="1" t="s">
        <v>1</v>
      </c>
      <c r="D124" s="8" t="s">
        <v>6</v>
      </c>
      <c r="E124" s="8" t="s">
        <v>2</v>
      </c>
      <c r="F124" s="8" t="s">
        <v>4</v>
      </c>
      <c r="G124" s="16" t="s">
        <v>8</v>
      </c>
      <c r="H124" s="16" t="s">
        <v>7</v>
      </c>
      <c r="I124" s="8" t="s">
        <v>9</v>
      </c>
      <c r="J124" s="9" t="s">
        <v>3</v>
      </c>
    </row>
    <row r="125" spans="1:10">
      <c r="A125" s="4"/>
      <c r="B125" t="s">
        <v>88</v>
      </c>
      <c r="D125" s="11" t="s">
        <v>31</v>
      </c>
      <c r="E125" s="21" t="s">
        <v>42</v>
      </c>
      <c r="F125" s="10">
        <v>21</v>
      </c>
      <c r="G125" s="36" t="s">
        <v>381</v>
      </c>
      <c r="H125" s="14"/>
      <c r="I125" s="11"/>
      <c r="J125" s="11" t="s">
        <v>378</v>
      </c>
    </row>
    <row r="126" spans="1:10">
      <c r="A126" s="4"/>
      <c r="B126" t="s">
        <v>88</v>
      </c>
      <c r="D126" s="11" t="s">
        <v>31</v>
      </c>
      <c r="E126" s="21" t="s">
        <v>239</v>
      </c>
      <c r="F126" s="10">
        <v>21</v>
      </c>
      <c r="G126" s="36" t="s">
        <v>382</v>
      </c>
      <c r="H126" s="15">
        <f>(20.74/20.89)*100-100</f>
        <v>-0.71804691239827889</v>
      </c>
      <c r="I126" s="11" t="s">
        <v>375</v>
      </c>
      <c r="J126" s="11" t="s">
        <v>379</v>
      </c>
    </row>
    <row r="127" spans="1:10">
      <c r="B127" t="s">
        <v>88</v>
      </c>
      <c r="D127" s="11" t="s">
        <v>31</v>
      </c>
      <c r="E127" s="21" t="s">
        <v>244</v>
      </c>
      <c r="F127" s="10">
        <v>22</v>
      </c>
      <c r="G127" s="36" t="s">
        <v>383</v>
      </c>
      <c r="H127" s="15">
        <f>(21.08/20.89)*100-100</f>
        <v>0.90952608903779719</v>
      </c>
      <c r="I127" s="11" t="s">
        <v>376</v>
      </c>
      <c r="J127" s="11" t="s">
        <v>378</v>
      </c>
    </row>
    <row r="128" spans="1:10">
      <c r="B128" t="s">
        <v>88</v>
      </c>
      <c r="D128" s="11" t="s">
        <v>31</v>
      </c>
      <c r="E128" s="21" t="s">
        <v>246</v>
      </c>
      <c r="F128" s="10">
        <v>22</v>
      </c>
      <c r="G128" s="36" t="s">
        <v>384</v>
      </c>
      <c r="H128" s="15">
        <f>(21.66/20.89)*100-100</f>
        <v>3.6859741503111536</v>
      </c>
      <c r="I128" s="11" t="s">
        <v>377</v>
      </c>
      <c r="J128" s="11" t="s">
        <v>380</v>
      </c>
    </row>
    <row r="130" spans="1:15">
      <c r="A130" s="5"/>
      <c r="D130" s="11"/>
      <c r="E130" s="11"/>
      <c r="F130" s="11"/>
      <c r="G130" s="11"/>
      <c r="H130" s="11"/>
      <c r="I130" s="11"/>
      <c r="J130" s="11"/>
    </row>
    <row r="131" spans="1:15">
      <c r="A131" s="5" t="s">
        <v>5</v>
      </c>
      <c r="D131" s="11"/>
      <c r="E131" s="21"/>
      <c r="F131" s="10"/>
      <c r="G131" s="10"/>
      <c r="H131" s="22"/>
      <c r="I131" s="11"/>
      <c r="J131" s="11"/>
      <c r="L131" s="13"/>
      <c r="M131" s="12"/>
      <c r="N131" s="12"/>
      <c r="O131" s="12"/>
    </row>
    <row r="132" spans="1:15">
      <c r="A132" s="3" t="s">
        <v>566</v>
      </c>
      <c r="B132" s="1" t="s">
        <v>0</v>
      </c>
      <c r="C132" s="1" t="s">
        <v>1</v>
      </c>
      <c r="D132" s="8" t="s">
        <v>6</v>
      </c>
      <c r="E132" s="8" t="s">
        <v>2</v>
      </c>
      <c r="F132" s="8" t="s">
        <v>4</v>
      </c>
      <c r="G132" s="8" t="s">
        <v>8</v>
      </c>
      <c r="H132" s="8" t="s">
        <v>7</v>
      </c>
      <c r="I132" s="8" t="s">
        <v>9</v>
      </c>
      <c r="J132" s="9" t="s">
        <v>3</v>
      </c>
    </row>
    <row r="133" spans="1:15">
      <c r="A133" s="4"/>
      <c r="B133" t="s">
        <v>40</v>
      </c>
      <c r="C133" s="40" t="s">
        <v>41</v>
      </c>
      <c r="D133" s="11" t="s">
        <v>10</v>
      </c>
      <c r="E133" s="21" t="s">
        <v>42</v>
      </c>
      <c r="F133" s="10">
        <v>25</v>
      </c>
      <c r="G133" s="10" t="s">
        <v>298</v>
      </c>
      <c r="H133" s="11"/>
      <c r="I133" s="11"/>
      <c r="J133" s="11" t="s">
        <v>249</v>
      </c>
      <c r="L133" s="13"/>
      <c r="M133" s="12"/>
      <c r="N133" s="12"/>
      <c r="O133" s="12"/>
    </row>
    <row r="134" spans="1:15">
      <c r="A134" s="4"/>
      <c r="B134" t="s">
        <v>40</v>
      </c>
      <c r="C134" s="40" t="s">
        <v>41</v>
      </c>
      <c r="D134" s="11" t="s">
        <v>10</v>
      </c>
      <c r="E134" s="21" t="s">
        <v>230</v>
      </c>
      <c r="F134" s="10">
        <v>25</v>
      </c>
      <c r="G134" s="10" t="s">
        <v>299</v>
      </c>
      <c r="H134" s="22">
        <f>(25.26/26.38)*100-100</f>
        <v>-4.2456406368460762</v>
      </c>
      <c r="I134" s="11" t="s">
        <v>297</v>
      </c>
      <c r="J134" s="11" t="s">
        <v>249</v>
      </c>
      <c r="L134" s="13"/>
      <c r="M134" s="12"/>
      <c r="N134" s="12"/>
      <c r="O134" s="12"/>
    </row>
    <row r="135" spans="1:15">
      <c r="A135" s="4"/>
      <c r="C135" s="40"/>
      <c r="D135" s="11"/>
      <c r="E135" s="21"/>
      <c r="F135" s="10"/>
      <c r="G135" s="10"/>
      <c r="H135" s="22"/>
      <c r="I135" s="11"/>
      <c r="J135" s="11"/>
      <c r="L135" s="13"/>
      <c r="M135" s="12"/>
      <c r="N135" s="12"/>
      <c r="O135" s="12"/>
    </row>
    <row r="136" spans="1:15" s="18" customFormat="1">
      <c r="A136" s="31" t="s">
        <v>22</v>
      </c>
      <c r="D136" s="14"/>
      <c r="E136" s="39"/>
      <c r="F136" s="36"/>
      <c r="G136" s="36"/>
      <c r="H136" s="15"/>
      <c r="I136" s="14"/>
      <c r="J136" s="14"/>
      <c r="L136" s="38"/>
      <c r="M136" s="37"/>
      <c r="N136" s="37"/>
      <c r="O136" s="37"/>
    </row>
    <row r="137" spans="1:15">
      <c r="A137" s="3" t="s">
        <v>566</v>
      </c>
      <c r="B137" s="1" t="s">
        <v>0</v>
      </c>
      <c r="C137" s="1" t="s">
        <v>1</v>
      </c>
      <c r="D137" s="8" t="s">
        <v>6</v>
      </c>
      <c r="E137" s="8" t="s">
        <v>2</v>
      </c>
      <c r="F137" s="8" t="s">
        <v>4</v>
      </c>
      <c r="G137" s="8" t="s">
        <v>8</v>
      </c>
      <c r="H137" s="8" t="s">
        <v>7</v>
      </c>
      <c r="I137" s="8" t="s">
        <v>9</v>
      </c>
      <c r="J137" s="9" t="s">
        <v>3</v>
      </c>
    </row>
    <row r="138" spans="1:15" s="18" customFormat="1">
      <c r="A138" s="35"/>
      <c r="B138" t="s">
        <v>40</v>
      </c>
      <c r="C138" s="40" t="s">
        <v>41</v>
      </c>
      <c r="D138" s="11" t="s">
        <v>10</v>
      </c>
      <c r="E138" s="21" t="s">
        <v>42</v>
      </c>
      <c r="F138" s="10">
        <v>20</v>
      </c>
      <c r="G138" s="10" t="s">
        <v>248</v>
      </c>
      <c r="H138" s="11"/>
      <c r="I138" s="11"/>
      <c r="J138" s="11" t="s">
        <v>249</v>
      </c>
      <c r="L138" s="38"/>
      <c r="M138" s="37"/>
      <c r="N138" s="37"/>
      <c r="O138" s="37"/>
    </row>
    <row r="139" spans="1:15" s="18" customFormat="1">
      <c r="A139" s="35"/>
      <c r="B139" t="s">
        <v>40</v>
      </c>
      <c r="C139" s="40" t="s">
        <v>41</v>
      </c>
      <c r="D139" s="11" t="s">
        <v>10</v>
      </c>
      <c r="E139" s="21" t="s">
        <v>230</v>
      </c>
      <c r="F139" s="10">
        <v>20</v>
      </c>
      <c r="G139" s="10" t="s">
        <v>250</v>
      </c>
      <c r="H139" s="22">
        <f>(21.79/21.08)*100-100</f>
        <v>3.3681214421252434</v>
      </c>
      <c r="I139" s="11" t="s">
        <v>251</v>
      </c>
      <c r="J139" s="11" t="s">
        <v>252</v>
      </c>
      <c r="L139" s="38"/>
      <c r="M139" s="37"/>
      <c r="N139" s="37"/>
      <c r="O139" s="37"/>
    </row>
    <row r="140" spans="1:15" s="18" customFormat="1">
      <c r="A140" s="35"/>
      <c r="B140"/>
      <c r="C140" s="40"/>
      <c r="D140" s="11"/>
      <c r="E140" s="21"/>
      <c r="F140" s="10"/>
      <c r="G140" s="10"/>
      <c r="H140" s="22"/>
      <c r="I140" s="11"/>
      <c r="J140" s="11"/>
      <c r="L140" s="38"/>
      <c r="M140" s="37"/>
      <c r="N140" s="37"/>
      <c r="O140" s="37"/>
    </row>
    <row r="141" spans="1:15" s="18" customFormat="1">
      <c r="A141" s="31" t="s">
        <v>185</v>
      </c>
      <c r="D141" s="14"/>
      <c r="E141" s="39"/>
      <c r="F141" s="36"/>
      <c r="G141" s="36"/>
      <c r="H141" s="15"/>
      <c r="I141" s="14"/>
      <c r="J141" s="14"/>
      <c r="L141" s="38"/>
      <c r="M141" s="37"/>
      <c r="N141" s="37"/>
      <c r="O141" s="37"/>
    </row>
    <row r="142" spans="1:15" s="18" customFormat="1">
      <c r="A142" s="3" t="s">
        <v>566</v>
      </c>
      <c r="B142" s="33" t="s">
        <v>0</v>
      </c>
      <c r="C142" s="33" t="s">
        <v>1</v>
      </c>
      <c r="D142" s="16" t="s">
        <v>6</v>
      </c>
      <c r="E142" s="16" t="s">
        <v>2</v>
      </c>
      <c r="F142" s="16" t="s">
        <v>4</v>
      </c>
      <c r="G142" s="16" t="s">
        <v>8</v>
      </c>
      <c r="H142" s="16" t="s">
        <v>7</v>
      </c>
      <c r="I142" s="16" t="s">
        <v>9</v>
      </c>
      <c r="J142" s="34" t="s">
        <v>3</v>
      </c>
    </row>
    <row r="143" spans="1:15" s="18" customFormat="1">
      <c r="A143" s="35"/>
      <c r="B143" s="18" t="s">
        <v>40</v>
      </c>
      <c r="C143" s="64" t="s">
        <v>293</v>
      </c>
      <c r="D143" s="14" t="s">
        <v>10</v>
      </c>
      <c r="E143" s="39" t="s">
        <v>42</v>
      </c>
      <c r="F143" s="36">
        <v>22</v>
      </c>
      <c r="G143" s="36" t="s">
        <v>312</v>
      </c>
      <c r="H143" s="14"/>
      <c r="I143" s="14"/>
      <c r="J143" s="14" t="s">
        <v>310</v>
      </c>
      <c r="L143" s="38"/>
      <c r="M143" s="37"/>
      <c r="N143" s="37"/>
      <c r="O143" s="37"/>
    </row>
    <row r="144" spans="1:15" s="18" customFormat="1">
      <c r="A144" s="35"/>
      <c r="B144" s="18" t="s">
        <v>40</v>
      </c>
      <c r="C144" s="64" t="s">
        <v>293</v>
      </c>
      <c r="D144" s="14" t="s">
        <v>10</v>
      </c>
      <c r="E144" s="39" t="s">
        <v>230</v>
      </c>
      <c r="F144" s="36">
        <v>22</v>
      </c>
      <c r="G144" s="36" t="s">
        <v>313</v>
      </c>
      <c r="H144" s="15">
        <f>(24.51/24.03)*100-100</f>
        <v>1.9975031210986316</v>
      </c>
      <c r="I144" s="14" t="s">
        <v>309</v>
      </c>
      <c r="J144" s="14" t="s">
        <v>311</v>
      </c>
      <c r="L144" s="38"/>
      <c r="M144" s="37"/>
      <c r="N144" s="37"/>
      <c r="O144" s="37"/>
    </row>
    <row r="145" spans="1:15" s="18" customFormat="1">
      <c r="A145" s="35"/>
      <c r="C145" s="64"/>
      <c r="D145" s="14"/>
      <c r="E145" s="39"/>
      <c r="F145" s="36"/>
      <c r="G145" s="36"/>
      <c r="H145" s="15"/>
      <c r="I145" s="14"/>
      <c r="J145" s="14"/>
      <c r="L145" s="38"/>
      <c r="M145" s="37"/>
      <c r="N145" s="37"/>
      <c r="O145" s="37"/>
    </row>
    <row r="146" spans="1:15" s="18" customFormat="1">
      <c r="A146" s="31" t="s">
        <v>5</v>
      </c>
      <c r="D146" s="14"/>
      <c r="E146" s="39"/>
      <c r="F146" s="36"/>
      <c r="G146" s="36"/>
      <c r="H146" s="15"/>
      <c r="I146" s="14"/>
      <c r="J146" s="14"/>
      <c r="L146" s="38"/>
      <c r="M146" s="37"/>
      <c r="N146" s="37"/>
      <c r="O146" s="37"/>
    </row>
    <row r="147" spans="1:15" s="18" customFormat="1">
      <c r="A147" s="32" t="s">
        <v>567</v>
      </c>
      <c r="B147" s="33" t="s">
        <v>0</v>
      </c>
      <c r="C147" s="33" t="s">
        <v>1</v>
      </c>
      <c r="D147" s="16" t="s">
        <v>6</v>
      </c>
      <c r="E147" s="16" t="s">
        <v>2</v>
      </c>
      <c r="F147" s="16" t="s">
        <v>4</v>
      </c>
      <c r="G147" s="16" t="s">
        <v>8</v>
      </c>
      <c r="H147" s="16" t="s">
        <v>7</v>
      </c>
      <c r="I147" s="16" t="s">
        <v>9</v>
      </c>
      <c r="J147" s="34" t="s">
        <v>3</v>
      </c>
    </row>
    <row r="148" spans="1:15" s="18" customFormat="1">
      <c r="A148" s="35"/>
      <c r="B148" s="18" t="s">
        <v>505</v>
      </c>
      <c r="C148" s="19" t="s">
        <v>506</v>
      </c>
      <c r="D148" s="14" t="s">
        <v>10</v>
      </c>
      <c r="E148" s="39" t="s">
        <v>42</v>
      </c>
      <c r="F148" s="36">
        <v>21</v>
      </c>
      <c r="G148" s="36" t="s">
        <v>514</v>
      </c>
      <c r="H148" s="14"/>
      <c r="I148" s="14"/>
      <c r="J148" s="14" t="s">
        <v>151</v>
      </c>
      <c r="L148" s="38"/>
      <c r="M148" s="37"/>
      <c r="N148" s="37"/>
      <c r="O148" s="37"/>
    </row>
    <row r="149" spans="1:15" s="18" customFormat="1">
      <c r="A149" s="35"/>
      <c r="B149" s="18" t="s">
        <v>505</v>
      </c>
      <c r="C149" s="19" t="s">
        <v>506</v>
      </c>
      <c r="D149" s="14" t="s">
        <v>10</v>
      </c>
      <c r="E149" s="39" t="s">
        <v>230</v>
      </c>
      <c r="F149" s="36">
        <v>21</v>
      </c>
      <c r="G149" s="36" t="s">
        <v>515</v>
      </c>
      <c r="H149" s="15">
        <f>(21.48/20.72)*100-100</f>
        <v>3.6679536679536682</v>
      </c>
      <c r="I149" s="14" t="s">
        <v>516</v>
      </c>
      <c r="J149" s="14" t="s">
        <v>110</v>
      </c>
      <c r="L149" s="38"/>
      <c r="M149" s="37"/>
      <c r="N149" s="37"/>
      <c r="O149" s="37"/>
    </row>
    <row r="150" spans="1:15" s="18" customFormat="1">
      <c r="A150" s="35"/>
      <c r="C150" s="19"/>
      <c r="D150" s="14"/>
      <c r="E150" s="39"/>
      <c r="F150" s="36"/>
      <c r="G150" s="36"/>
      <c r="H150" s="15"/>
      <c r="I150" s="14"/>
      <c r="J150" s="14"/>
      <c r="L150" s="38"/>
      <c r="M150" s="37"/>
      <c r="N150" s="37"/>
      <c r="O150" s="37"/>
    </row>
    <row r="151" spans="1:15" s="18" customFormat="1">
      <c r="A151" s="35"/>
      <c r="C151" s="19"/>
      <c r="D151" s="14"/>
      <c r="E151" s="39"/>
      <c r="F151" s="36"/>
      <c r="G151" s="36"/>
      <c r="H151" s="15"/>
      <c r="I151" s="14"/>
      <c r="J151" s="14"/>
      <c r="L151" s="38"/>
      <c r="M151" s="37"/>
      <c r="N151" s="37"/>
      <c r="O151" s="37"/>
    </row>
    <row r="152" spans="1:15" s="18" customFormat="1">
      <c r="A152" s="31" t="s">
        <v>22</v>
      </c>
      <c r="D152" s="14"/>
      <c r="E152" s="39"/>
      <c r="F152" s="36"/>
      <c r="G152" s="36"/>
      <c r="H152" s="15"/>
      <c r="I152" s="14"/>
      <c r="J152" s="14"/>
      <c r="L152" s="38"/>
      <c r="M152" s="37"/>
      <c r="N152" s="37"/>
      <c r="O152" s="37"/>
    </row>
    <row r="153" spans="1:15" s="18" customFormat="1">
      <c r="A153" s="32" t="s">
        <v>567</v>
      </c>
      <c r="B153" s="33" t="s">
        <v>0</v>
      </c>
      <c r="C153" s="33" t="s">
        <v>1</v>
      </c>
      <c r="D153" s="16" t="s">
        <v>6</v>
      </c>
      <c r="E153" s="16" t="s">
        <v>2</v>
      </c>
      <c r="F153" s="16" t="s">
        <v>4</v>
      </c>
      <c r="G153" s="16" t="s">
        <v>8</v>
      </c>
      <c r="H153" s="16" t="s">
        <v>7</v>
      </c>
      <c r="I153" s="16" t="s">
        <v>9</v>
      </c>
      <c r="J153" s="34" t="s">
        <v>3</v>
      </c>
    </row>
    <row r="154" spans="1:15" s="18" customFormat="1">
      <c r="A154" s="35"/>
      <c r="B154" s="18" t="s">
        <v>505</v>
      </c>
      <c r="C154" s="19" t="s">
        <v>506</v>
      </c>
      <c r="D154" s="14" t="s">
        <v>10</v>
      </c>
      <c r="E154" s="39" t="s">
        <v>42</v>
      </c>
      <c r="F154" s="36">
        <v>24</v>
      </c>
      <c r="G154" s="36" t="s">
        <v>507</v>
      </c>
      <c r="H154" s="14"/>
      <c r="I154" s="14"/>
      <c r="J154" s="14" t="s">
        <v>417</v>
      </c>
      <c r="L154" s="38"/>
      <c r="M154" s="37"/>
      <c r="N154" s="37"/>
      <c r="O154" s="37"/>
    </row>
    <row r="155" spans="1:15" s="18" customFormat="1">
      <c r="A155" s="35"/>
      <c r="B155" s="18" t="s">
        <v>505</v>
      </c>
      <c r="C155" s="19" t="s">
        <v>506</v>
      </c>
      <c r="D155" s="14" t="s">
        <v>10</v>
      </c>
      <c r="E155" s="39" t="s">
        <v>230</v>
      </c>
      <c r="F155" s="36">
        <v>23</v>
      </c>
      <c r="G155" s="36" t="s">
        <v>517</v>
      </c>
      <c r="H155" s="15">
        <f>(22.36/24.07)*100-100</f>
        <v>-7.10427918570835</v>
      </c>
      <c r="I155" s="14" t="s">
        <v>518</v>
      </c>
      <c r="J155" s="14" t="s">
        <v>356</v>
      </c>
      <c r="L155" s="38"/>
      <c r="M155" s="37"/>
      <c r="N155" s="37"/>
      <c r="O155" s="37"/>
    </row>
    <row r="156" spans="1:15" s="18" customFormat="1"/>
    <row r="157" spans="1:15" s="18" customFormat="1">
      <c r="A157" s="31" t="s">
        <v>185</v>
      </c>
      <c r="D157" s="14"/>
      <c r="E157" s="39"/>
      <c r="F157" s="36"/>
      <c r="G157" s="36"/>
      <c r="H157" s="15"/>
      <c r="I157" s="14"/>
      <c r="J157" s="14"/>
      <c r="L157" s="38"/>
      <c r="M157" s="37"/>
      <c r="N157" s="37"/>
      <c r="O157" s="37"/>
    </row>
    <row r="158" spans="1:15" s="18" customFormat="1">
      <c r="A158" s="32" t="s">
        <v>567</v>
      </c>
      <c r="B158" s="33" t="s">
        <v>0</v>
      </c>
      <c r="C158" s="33" t="s">
        <v>1</v>
      </c>
      <c r="D158" s="16" t="s">
        <v>6</v>
      </c>
      <c r="E158" s="16" t="s">
        <v>2</v>
      </c>
      <c r="F158" s="16" t="s">
        <v>4</v>
      </c>
      <c r="G158" s="16" t="s">
        <v>8</v>
      </c>
      <c r="H158" s="16" t="s">
        <v>7</v>
      </c>
      <c r="I158" s="16" t="s">
        <v>9</v>
      </c>
      <c r="J158" s="34" t="s">
        <v>3</v>
      </c>
    </row>
    <row r="159" spans="1:15" s="18" customFormat="1">
      <c r="A159" s="35"/>
      <c r="B159" s="18" t="s">
        <v>505</v>
      </c>
      <c r="C159" s="19" t="s">
        <v>506</v>
      </c>
      <c r="D159" s="14" t="s">
        <v>10</v>
      </c>
      <c r="E159" s="39" t="s">
        <v>42</v>
      </c>
      <c r="F159" s="36">
        <v>21</v>
      </c>
      <c r="G159" s="36" t="s">
        <v>519</v>
      </c>
      <c r="H159" s="14"/>
      <c r="I159" s="14"/>
      <c r="J159" s="14" t="s">
        <v>490</v>
      </c>
      <c r="L159" s="38"/>
      <c r="M159" s="37"/>
      <c r="N159" s="37"/>
      <c r="O159" s="37"/>
    </row>
    <row r="160" spans="1:15" s="18" customFormat="1">
      <c r="A160" s="35"/>
      <c r="B160" s="18" t="s">
        <v>505</v>
      </c>
      <c r="C160" s="19" t="s">
        <v>506</v>
      </c>
      <c r="D160" s="14" t="s">
        <v>10</v>
      </c>
      <c r="E160" s="39" t="s">
        <v>230</v>
      </c>
      <c r="F160" s="36">
        <v>21</v>
      </c>
      <c r="G160" s="36" t="s">
        <v>520</v>
      </c>
      <c r="H160" s="15">
        <f>(21.46/21.58)*100-100</f>
        <v>-0.55607043558849512</v>
      </c>
      <c r="I160" s="14" t="s">
        <v>521</v>
      </c>
      <c r="J160" s="14" t="s">
        <v>222</v>
      </c>
      <c r="L160" s="38"/>
      <c r="M160" s="37"/>
      <c r="N160" s="37"/>
      <c r="O160" s="37"/>
    </row>
    <row r="161" spans="1:15" s="18" customFormat="1">
      <c r="A161" s="35"/>
      <c r="C161" s="64"/>
      <c r="D161" s="14"/>
      <c r="E161" s="39"/>
      <c r="F161" s="36"/>
      <c r="G161" s="36"/>
      <c r="H161" s="15"/>
      <c r="I161" s="14"/>
      <c r="J161" s="14"/>
      <c r="L161" s="38"/>
      <c r="M161" s="37"/>
      <c r="N161" s="37"/>
      <c r="O161" s="37"/>
    </row>
    <row r="162" spans="1:15" s="18" customFormat="1">
      <c r="A162" s="31" t="s">
        <v>5</v>
      </c>
      <c r="D162" s="14"/>
      <c r="E162" s="39"/>
      <c r="F162" s="36"/>
      <c r="G162" s="36"/>
      <c r="H162" s="15"/>
      <c r="I162" s="14"/>
      <c r="J162" s="14"/>
      <c r="L162" s="38"/>
      <c r="M162" s="37"/>
      <c r="N162" s="37"/>
      <c r="O162" s="37"/>
    </row>
    <row r="163" spans="1:15" s="18" customFormat="1">
      <c r="A163" s="32" t="s">
        <v>568</v>
      </c>
      <c r="B163" s="33" t="s">
        <v>0</v>
      </c>
      <c r="C163" s="33" t="s">
        <v>1</v>
      </c>
      <c r="D163" s="16" t="s">
        <v>6</v>
      </c>
      <c r="E163" s="16" t="s">
        <v>2</v>
      </c>
      <c r="F163" s="16" t="s">
        <v>4</v>
      </c>
      <c r="G163" s="16" t="s">
        <v>8</v>
      </c>
      <c r="H163" s="16" t="s">
        <v>7</v>
      </c>
      <c r="I163" s="16" t="s">
        <v>9</v>
      </c>
      <c r="J163" s="34" t="s">
        <v>3</v>
      </c>
    </row>
    <row r="164" spans="1:15" s="18" customFormat="1">
      <c r="A164" s="35"/>
      <c r="B164" s="18" t="s">
        <v>62</v>
      </c>
      <c r="C164" s="19" t="s">
        <v>63</v>
      </c>
      <c r="D164" s="14" t="s">
        <v>10</v>
      </c>
      <c r="E164" s="39" t="s">
        <v>42</v>
      </c>
      <c r="F164" s="36">
        <v>24</v>
      </c>
      <c r="G164" s="36" t="s">
        <v>301</v>
      </c>
      <c r="H164" s="14"/>
      <c r="I164" s="14"/>
      <c r="J164" s="14" t="s">
        <v>39</v>
      </c>
      <c r="L164" s="38"/>
      <c r="M164" s="37"/>
      <c r="N164" s="37"/>
      <c r="O164" s="37"/>
    </row>
    <row r="165" spans="1:15" s="18" customFormat="1">
      <c r="A165" s="35"/>
      <c r="B165" s="18" t="s">
        <v>62</v>
      </c>
      <c r="C165" s="19" t="s">
        <v>63</v>
      </c>
      <c r="D165" s="14" t="s">
        <v>10</v>
      </c>
      <c r="E165" s="39" t="s">
        <v>230</v>
      </c>
      <c r="F165" s="36">
        <v>24</v>
      </c>
      <c r="G165" s="36" t="s">
        <v>302</v>
      </c>
      <c r="H165" s="15">
        <f>(23.21/23.06)*100-100</f>
        <v>0.65047701647876011</v>
      </c>
      <c r="I165" s="14" t="s">
        <v>300</v>
      </c>
      <c r="J165" s="14" t="s">
        <v>129</v>
      </c>
      <c r="L165" s="38"/>
      <c r="M165" s="37"/>
      <c r="N165" s="37"/>
      <c r="O165" s="37"/>
    </row>
    <row r="166" spans="1:15" s="18" customFormat="1">
      <c r="A166" s="35"/>
      <c r="C166" s="19"/>
      <c r="D166" s="14"/>
      <c r="E166" s="39"/>
      <c r="F166" s="36"/>
      <c r="G166" s="36"/>
      <c r="H166" s="15"/>
      <c r="I166" s="14"/>
      <c r="J166" s="14"/>
      <c r="L166" s="38"/>
      <c r="M166" s="37"/>
      <c r="N166" s="37"/>
      <c r="O166" s="37"/>
    </row>
    <row r="167" spans="1:15" s="18" customFormat="1">
      <c r="A167" s="31" t="s">
        <v>22</v>
      </c>
      <c r="D167" s="14"/>
      <c r="E167" s="39"/>
      <c r="F167" s="36"/>
      <c r="G167" s="36"/>
      <c r="H167" s="15"/>
      <c r="I167" s="14"/>
      <c r="J167" s="14"/>
      <c r="L167" s="38"/>
      <c r="M167" s="37"/>
      <c r="N167" s="37"/>
      <c r="O167" s="37"/>
    </row>
    <row r="168" spans="1:15" s="18" customFormat="1">
      <c r="A168" s="32" t="s">
        <v>568</v>
      </c>
      <c r="B168" s="33" t="s">
        <v>0</v>
      </c>
      <c r="C168" s="33" t="s">
        <v>1</v>
      </c>
      <c r="D168" s="16" t="s">
        <v>6</v>
      </c>
      <c r="E168" s="16" t="s">
        <v>2</v>
      </c>
      <c r="F168" s="16" t="s">
        <v>4</v>
      </c>
      <c r="G168" s="16" t="s">
        <v>8</v>
      </c>
      <c r="H168" s="16" t="s">
        <v>7</v>
      </c>
      <c r="I168" s="16" t="s">
        <v>9</v>
      </c>
      <c r="J168" s="34" t="s">
        <v>3</v>
      </c>
    </row>
    <row r="169" spans="1:15" s="18" customFormat="1">
      <c r="A169" s="35"/>
      <c r="B169" s="18" t="s">
        <v>62</v>
      </c>
      <c r="C169" s="19" t="s">
        <v>63</v>
      </c>
      <c r="D169" s="14" t="s">
        <v>10</v>
      </c>
      <c r="E169" s="39" t="s">
        <v>42</v>
      </c>
      <c r="F169" s="36">
        <v>24</v>
      </c>
      <c r="G169" s="36" t="s">
        <v>261</v>
      </c>
      <c r="H169" s="14"/>
      <c r="I169" s="14"/>
      <c r="J169" s="14" t="s">
        <v>85</v>
      </c>
      <c r="L169" s="38"/>
      <c r="M169" s="37"/>
      <c r="N169" s="37"/>
      <c r="O169" s="37"/>
    </row>
    <row r="170" spans="1:15" s="18" customFormat="1">
      <c r="A170" s="35"/>
      <c r="B170" s="18" t="s">
        <v>62</v>
      </c>
      <c r="C170" s="19" t="s">
        <v>63</v>
      </c>
      <c r="D170" s="14" t="s">
        <v>10</v>
      </c>
      <c r="E170" s="21" t="s">
        <v>230</v>
      </c>
      <c r="F170" s="36">
        <v>24</v>
      </c>
      <c r="G170" s="36" t="s">
        <v>262</v>
      </c>
      <c r="H170" s="15">
        <f>(23.19/23.74)*100-100</f>
        <v>-2.3167649536646877</v>
      </c>
      <c r="I170" s="14" t="s">
        <v>263</v>
      </c>
      <c r="J170" s="14" t="s">
        <v>72</v>
      </c>
      <c r="L170" s="38"/>
      <c r="M170" s="37"/>
      <c r="N170" s="37"/>
      <c r="O170" s="37"/>
    </row>
    <row r="172" spans="1:15" s="18" customFormat="1">
      <c r="A172" s="31" t="s">
        <v>5</v>
      </c>
      <c r="D172" s="14"/>
      <c r="E172" s="39"/>
      <c r="F172" s="36"/>
      <c r="G172" s="36"/>
      <c r="H172" s="15"/>
      <c r="I172" s="14"/>
      <c r="J172" s="14"/>
      <c r="L172" s="38"/>
      <c r="M172" s="37"/>
      <c r="N172" s="37"/>
      <c r="O172" s="37"/>
    </row>
    <row r="173" spans="1:15">
      <c r="A173" s="3" t="s">
        <v>569</v>
      </c>
      <c r="B173" s="1" t="s">
        <v>0</v>
      </c>
      <c r="C173" s="1" t="s">
        <v>1</v>
      </c>
      <c r="D173" s="8" t="s">
        <v>6</v>
      </c>
      <c r="E173" s="8" t="s">
        <v>2</v>
      </c>
      <c r="F173" s="8" t="s">
        <v>4</v>
      </c>
      <c r="G173" s="8" t="s">
        <v>8</v>
      </c>
      <c r="H173" s="8" t="s">
        <v>7</v>
      </c>
      <c r="I173" s="8" t="s">
        <v>9</v>
      </c>
      <c r="J173" s="9" t="s">
        <v>3</v>
      </c>
    </row>
    <row r="174" spans="1:15" s="18" customFormat="1">
      <c r="A174" s="35"/>
      <c r="B174" t="s">
        <v>82</v>
      </c>
      <c r="C174" s="41" t="s">
        <v>83</v>
      </c>
      <c r="D174" s="11" t="s">
        <v>10</v>
      </c>
      <c r="E174" s="21" t="s">
        <v>42</v>
      </c>
      <c r="F174" s="10">
        <v>31</v>
      </c>
      <c r="G174" s="10" t="s">
        <v>253</v>
      </c>
      <c r="H174" s="11"/>
      <c r="I174" s="11"/>
      <c r="J174" s="11" t="s">
        <v>11</v>
      </c>
      <c r="L174" s="38"/>
      <c r="M174" s="37"/>
      <c r="N174" s="37"/>
      <c r="O174" s="37"/>
    </row>
    <row r="175" spans="1:15" s="18" customFormat="1">
      <c r="A175" s="35"/>
      <c r="B175" t="s">
        <v>82</v>
      </c>
      <c r="C175" s="41" t="s">
        <v>83</v>
      </c>
      <c r="D175" s="11" t="s">
        <v>10</v>
      </c>
      <c r="E175" s="21" t="s">
        <v>230</v>
      </c>
      <c r="F175" s="10">
        <v>26</v>
      </c>
      <c r="G175" s="10" t="s">
        <v>254</v>
      </c>
      <c r="H175" s="22">
        <f>(26.17/30.42)*100-100</f>
        <v>-13.971071663379348</v>
      </c>
      <c r="I175" s="11" t="s">
        <v>17</v>
      </c>
      <c r="J175" s="11" t="s">
        <v>39</v>
      </c>
      <c r="L175" s="38"/>
      <c r="M175" s="37"/>
      <c r="N175" s="37"/>
      <c r="O175" s="37"/>
    </row>
    <row r="177" spans="1:15" s="18" customFormat="1">
      <c r="A177" s="31" t="s">
        <v>22</v>
      </c>
      <c r="D177" s="14"/>
      <c r="E177" s="39"/>
      <c r="F177" s="36"/>
      <c r="G177" s="36"/>
      <c r="H177" s="15"/>
      <c r="I177" s="14"/>
      <c r="J177" s="14"/>
      <c r="L177" s="38"/>
      <c r="M177" s="37"/>
      <c r="N177" s="37"/>
      <c r="O177" s="37"/>
    </row>
    <row r="178" spans="1:15" s="18" customFormat="1">
      <c r="A178" s="32" t="s">
        <v>569</v>
      </c>
      <c r="B178" s="33" t="s">
        <v>0</v>
      </c>
      <c r="C178" s="33" t="s">
        <v>1</v>
      </c>
      <c r="D178" s="16" t="s">
        <v>6</v>
      </c>
      <c r="E178" s="16" t="s">
        <v>2</v>
      </c>
      <c r="F178" s="16" t="s">
        <v>4</v>
      </c>
      <c r="G178" s="16" t="s">
        <v>8</v>
      </c>
      <c r="H178" s="16" t="s">
        <v>7</v>
      </c>
      <c r="I178" s="16" t="s">
        <v>9</v>
      </c>
      <c r="J178" s="34" t="s">
        <v>3</v>
      </c>
    </row>
    <row r="179" spans="1:15" s="18" customFormat="1">
      <c r="A179" s="35"/>
      <c r="B179" s="18" t="s">
        <v>82</v>
      </c>
      <c r="C179" s="19" t="s">
        <v>83</v>
      </c>
      <c r="D179" s="14" t="s">
        <v>10</v>
      </c>
      <c r="E179" s="39" t="s">
        <v>42</v>
      </c>
      <c r="F179" s="36">
        <v>29</v>
      </c>
      <c r="G179" s="36" t="s">
        <v>303</v>
      </c>
      <c r="H179" s="14"/>
      <c r="I179" s="14"/>
      <c r="J179" s="14" t="s">
        <v>55</v>
      </c>
      <c r="L179" s="38"/>
      <c r="M179" s="37"/>
      <c r="N179" s="37"/>
      <c r="O179" s="37"/>
    </row>
    <row r="180" spans="1:15" s="18" customFormat="1">
      <c r="A180" s="35"/>
      <c r="B180" s="18" t="s">
        <v>82</v>
      </c>
      <c r="C180" s="19" t="s">
        <v>83</v>
      </c>
      <c r="D180" s="14" t="s">
        <v>10</v>
      </c>
      <c r="E180" s="39" t="s">
        <v>230</v>
      </c>
      <c r="F180" s="36">
        <v>24</v>
      </c>
      <c r="G180" s="36" t="s">
        <v>304</v>
      </c>
      <c r="H180" s="15">
        <f>(24.36/28.16)*100-100</f>
        <v>-13.494318181818187</v>
      </c>
      <c r="I180" s="14" t="s">
        <v>17</v>
      </c>
      <c r="J180" s="14" t="s">
        <v>131</v>
      </c>
      <c r="L180" s="38"/>
      <c r="M180" s="37"/>
      <c r="N180" s="37"/>
      <c r="O180" s="37"/>
    </row>
    <row r="181" spans="1:15" s="18" customFormat="1">
      <c r="A181" s="35"/>
      <c r="C181" s="19"/>
      <c r="D181" s="14"/>
      <c r="E181" s="39"/>
      <c r="F181" s="36"/>
      <c r="G181" s="36"/>
      <c r="H181" s="15"/>
      <c r="I181" s="14"/>
      <c r="J181" s="14"/>
      <c r="L181" s="38"/>
      <c r="M181" s="37"/>
      <c r="N181" s="37"/>
      <c r="O181" s="37"/>
    </row>
    <row r="182" spans="1:15" s="18" customFormat="1">
      <c r="A182" s="31" t="s">
        <v>5</v>
      </c>
      <c r="D182" s="14"/>
      <c r="E182" s="39"/>
      <c r="F182" s="36"/>
      <c r="G182" s="36"/>
      <c r="H182" s="15"/>
      <c r="I182" s="14"/>
      <c r="J182" s="14"/>
      <c r="L182" s="38"/>
      <c r="M182" s="37"/>
      <c r="N182" s="37"/>
      <c r="O182" s="37"/>
    </row>
    <row r="183" spans="1:15" s="18" customFormat="1">
      <c r="A183" s="32" t="s">
        <v>570</v>
      </c>
      <c r="B183" s="33" t="s">
        <v>0</v>
      </c>
      <c r="C183" s="33" t="s">
        <v>1</v>
      </c>
      <c r="D183" s="16" t="s">
        <v>6</v>
      </c>
      <c r="E183" s="16" t="s">
        <v>2</v>
      </c>
      <c r="F183" s="16" t="s">
        <v>4</v>
      </c>
      <c r="G183" s="16" t="s">
        <v>8</v>
      </c>
      <c r="H183" s="16" t="s">
        <v>7</v>
      </c>
      <c r="I183" s="16" t="s">
        <v>9</v>
      </c>
      <c r="J183" s="34" t="s">
        <v>3</v>
      </c>
    </row>
    <row r="184" spans="1:15" s="18" customFormat="1">
      <c r="A184" s="35"/>
      <c r="B184" s="18" t="s">
        <v>497</v>
      </c>
      <c r="C184" s="19" t="s">
        <v>498</v>
      </c>
      <c r="D184" s="14" t="s">
        <v>10</v>
      </c>
      <c r="E184" s="39" t="s">
        <v>42</v>
      </c>
      <c r="F184" s="36">
        <v>23</v>
      </c>
      <c r="G184" s="36" t="s">
        <v>522</v>
      </c>
      <c r="H184" s="14"/>
      <c r="I184" s="14"/>
      <c r="J184" s="14" t="s">
        <v>11</v>
      </c>
      <c r="L184" s="38"/>
      <c r="M184" s="37"/>
      <c r="N184" s="37"/>
      <c r="O184" s="37"/>
    </row>
    <row r="185" spans="1:15" s="18" customFormat="1">
      <c r="A185" s="35"/>
      <c r="B185" s="18" t="s">
        <v>497</v>
      </c>
      <c r="C185" s="19" t="s">
        <v>498</v>
      </c>
      <c r="D185" s="14" t="s">
        <v>10</v>
      </c>
      <c r="E185" s="39" t="s">
        <v>230</v>
      </c>
      <c r="F185" s="36">
        <v>20</v>
      </c>
      <c r="G185" s="36" t="s">
        <v>523</v>
      </c>
      <c r="H185" s="15">
        <f>(21.44/24.61)*100-100</f>
        <v>-12.880942706216985</v>
      </c>
      <c r="I185" s="14" t="s">
        <v>18</v>
      </c>
      <c r="J185" s="14" t="s">
        <v>191</v>
      </c>
      <c r="L185" s="38"/>
      <c r="M185" s="37"/>
      <c r="N185" s="37"/>
      <c r="O185" s="37"/>
    </row>
    <row r="186" spans="1:15" s="18" customFormat="1"/>
    <row r="187" spans="1:15" s="18" customFormat="1">
      <c r="A187" s="31" t="s">
        <v>22</v>
      </c>
      <c r="D187" s="14"/>
      <c r="E187" s="39"/>
      <c r="F187" s="36"/>
      <c r="G187" s="36"/>
      <c r="H187" s="15"/>
      <c r="I187" s="14"/>
      <c r="J187" s="14"/>
      <c r="L187" s="38"/>
      <c r="M187" s="37"/>
      <c r="N187" s="37"/>
      <c r="O187" s="37"/>
    </row>
    <row r="188" spans="1:15" s="18" customFormat="1">
      <c r="A188" s="32" t="s">
        <v>570</v>
      </c>
      <c r="B188" s="33" t="s">
        <v>0</v>
      </c>
      <c r="C188" s="33" t="s">
        <v>1</v>
      </c>
      <c r="D188" s="16" t="s">
        <v>6</v>
      </c>
      <c r="E188" s="16" t="s">
        <v>2</v>
      </c>
      <c r="F188" s="16" t="s">
        <v>4</v>
      </c>
      <c r="G188" s="16" t="s">
        <v>8</v>
      </c>
      <c r="H188" s="16" t="s">
        <v>7</v>
      </c>
      <c r="I188" s="16" t="s">
        <v>9</v>
      </c>
      <c r="J188" s="34" t="s">
        <v>3</v>
      </c>
    </row>
    <row r="189" spans="1:15" s="18" customFormat="1">
      <c r="A189" s="35"/>
      <c r="B189" s="18" t="s">
        <v>497</v>
      </c>
      <c r="C189" s="19" t="s">
        <v>498</v>
      </c>
      <c r="D189" s="14" t="s">
        <v>10</v>
      </c>
      <c r="E189" s="39" t="s">
        <v>42</v>
      </c>
      <c r="F189" s="36">
        <v>25</v>
      </c>
      <c r="G189" s="36" t="s">
        <v>524</v>
      </c>
      <c r="H189" s="14"/>
      <c r="I189" s="14"/>
      <c r="J189" s="14" t="s">
        <v>490</v>
      </c>
      <c r="L189" s="38"/>
      <c r="M189" s="37"/>
      <c r="N189" s="37"/>
      <c r="O189" s="37"/>
    </row>
    <row r="190" spans="1:15" s="18" customFormat="1">
      <c r="A190" s="35"/>
      <c r="B190" s="18" t="s">
        <v>497</v>
      </c>
      <c r="C190" s="19" t="s">
        <v>498</v>
      </c>
      <c r="D190" s="14" t="s">
        <v>10</v>
      </c>
      <c r="E190" s="39" t="s">
        <v>230</v>
      </c>
      <c r="F190" s="36">
        <v>25</v>
      </c>
      <c r="G190" s="36" t="s">
        <v>525</v>
      </c>
      <c r="H190" s="15">
        <f>(23.87/25.29)*100-100</f>
        <v>-5.6148675365757157</v>
      </c>
      <c r="I190" s="14" t="s">
        <v>526</v>
      </c>
      <c r="J190" s="14" t="s">
        <v>490</v>
      </c>
      <c r="L190" s="38"/>
      <c r="M190" s="37"/>
      <c r="N190" s="37"/>
      <c r="O190" s="37"/>
    </row>
    <row r="191" spans="1:15" s="18" customFormat="1">
      <c r="A191" s="35"/>
      <c r="C191" s="19"/>
      <c r="D191" s="14"/>
      <c r="E191" s="39"/>
      <c r="F191" s="36"/>
      <c r="G191" s="36"/>
      <c r="H191" s="15"/>
      <c r="I191" s="14"/>
      <c r="J191" s="14"/>
      <c r="L191" s="38"/>
      <c r="M191" s="37"/>
      <c r="N191" s="37"/>
      <c r="O191" s="37"/>
    </row>
    <row r="192" spans="1:15" s="18" customFormat="1">
      <c r="A192" s="31" t="s">
        <v>5</v>
      </c>
      <c r="D192" s="14"/>
      <c r="E192" s="39"/>
      <c r="F192" s="36"/>
      <c r="G192" s="36"/>
      <c r="H192" s="15"/>
      <c r="I192" s="14"/>
      <c r="J192" s="14"/>
      <c r="L192" s="38"/>
      <c r="M192" s="37"/>
      <c r="N192" s="37"/>
      <c r="O192" s="37"/>
    </row>
    <row r="193" spans="1:15" s="18" customFormat="1">
      <c r="A193" s="32" t="s">
        <v>571</v>
      </c>
      <c r="B193" s="33" t="s">
        <v>0</v>
      </c>
      <c r="C193" s="33" t="s">
        <v>1</v>
      </c>
      <c r="D193" s="16" t="s">
        <v>6</v>
      </c>
      <c r="E193" s="16" t="s">
        <v>2</v>
      </c>
      <c r="F193" s="16" t="s">
        <v>4</v>
      </c>
      <c r="G193" s="16" t="s">
        <v>8</v>
      </c>
      <c r="H193" s="16" t="s">
        <v>7</v>
      </c>
      <c r="I193" s="16" t="s">
        <v>9</v>
      </c>
      <c r="J193" s="34" t="s">
        <v>3</v>
      </c>
    </row>
    <row r="194" spans="1:15" s="18" customFormat="1">
      <c r="A194" s="35"/>
      <c r="B194" s="18" t="s">
        <v>73</v>
      </c>
      <c r="C194" s="19" t="s">
        <v>74</v>
      </c>
      <c r="D194" s="14" t="s">
        <v>10</v>
      </c>
      <c r="E194" s="39" t="s">
        <v>42</v>
      </c>
      <c r="F194" s="36">
        <v>29</v>
      </c>
      <c r="G194" s="36" t="s">
        <v>305</v>
      </c>
      <c r="H194" s="14"/>
      <c r="I194" s="14"/>
      <c r="J194" s="14" t="s">
        <v>201</v>
      </c>
      <c r="L194" s="38"/>
      <c r="M194" s="37"/>
      <c r="N194" s="37"/>
      <c r="O194" s="37"/>
    </row>
    <row r="195" spans="1:15" s="18" customFormat="1">
      <c r="A195" s="35"/>
      <c r="B195" s="18" t="s">
        <v>73</v>
      </c>
      <c r="C195" s="19" t="s">
        <v>74</v>
      </c>
      <c r="D195" s="14" t="s">
        <v>10</v>
      </c>
      <c r="E195" s="39" t="s">
        <v>230</v>
      </c>
      <c r="F195" s="36">
        <v>26</v>
      </c>
      <c r="G195" s="36" t="s">
        <v>306</v>
      </c>
      <c r="H195" s="15">
        <f>(24.46/27.09)*100-100</f>
        <v>-9.7083794758213315</v>
      </c>
      <c r="I195" s="14" t="s">
        <v>17</v>
      </c>
      <c r="J195" s="14" t="s">
        <v>191</v>
      </c>
      <c r="L195" s="38"/>
      <c r="M195" s="37"/>
      <c r="N195" s="37"/>
      <c r="O195" s="37"/>
    </row>
    <row r="196" spans="1:15" s="18" customFormat="1">
      <c r="A196" s="35"/>
      <c r="C196" s="19"/>
      <c r="D196" s="14"/>
      <c r="E196" s="39"/>
      <c r="F196" s="36"/>
      <c r="G196" s="36"/>
      <c r="H196" s="15"/>
      <c r="I196" s="14"/>
      <c r="J196" s="14"/>
      <c r="L196" s="38"/>
      <c r="M196" s="37"/>
      <c r="N196" s="37"/>
      <c r="O196" s="37"/>
    </row>
    <row r="197" spans="1:15" s="18" customFormat="1">
      <c r="A197" s="31" t="s">
        <v>22</v>
      </c>
      <c r="D197" s="14"/>
      <c r="E197" s="39"/>
      <c r="F197" s="36"/>
      <c r="G197" s="36"/>
      <c r="H197" s="15"/>
      <c r="I197" s="14"/>
      <c r="J197" s="14"/>
      <c r="L197" s="38"/>
      <c r="M197" s="37"/>
      <c r="N197" s="37"/>
      <c r="O197" s="37"/>
    </row>
    <row r="198" spans="1:15">
      <c r="A198" s="32" t="s">
        <v>571</v>
      </c>
      <c r="B198" s="1" t="s">
        <v>0</v>
      </c>
      <c r="C198" s="1" t="s">
        <v>1</v>
      </c>
      <c r="D198" s="8" t="s">
        <v>6</v>
      </c>
      <c r="E198" s="8" t="s">
        <v>2</v>
      </c>
      <c r="F198" s="8" t="s">
        <v>4</v>
      </c>
      <c r="G198" s="8" t="s">
        <v>8</v>
      </c>
      <c r="H198" s="8" t="s">
        <v>7</v>
      </c>
      <c r="I198" s="8" t="s">
        <v>9</v>
      </c>
      <c r="J198" s="9" t="s">
        <v>3</v>
      </c>
    </row>
    <row r="199" spans="1:15" s="18" customFormat="1">
      <c r="A199" s="35"/>
      <c r="B199" t="s">
        <v>73</v>
      </c>
      <c r="C199" s="41" t="s">
        <v>74</v>
      </c>
      <c r="D199" s="11" t="s">
        <v>10</v>
      </c>
      <c r="E199" s="21" t="s">
        <v>42</v>
      </c>
      <c r="F199" s="10">
        <v>25</v>
      </c>
      <c r="G199" s="10" t="s">
        <v>255</v>
      </c>
      <c r="H199" s="11"/>
      <c r="I199" s="11"/>
      <c r="J199" s="11" t="s">
        <v>78</v>
      </c>
      <c r="L199" s="38"/>
      <c r="M199" s="37"/>
      <c r="N199" s="37"/>
      <c r="O199" s="37"/>
    </row>
    <row r="200" spans="1:15" s="18" customFormat="1">
      <c r="A200" s="35"/>
      <c r="B200" t="s">
        <v>73</v>
      </c>
      <c r="C200" s="41" t="s">
        <v>74</v>
      </c>
      <c r="D200" s="11" t="s">
        <v>10</v>
      </c>
      <c r="E200" s="21" t="s">
        <v>230</v>
      </c>
      <c r="F200" s="10">
        <v>23</v>
      </c>
      <c r="G200" s="10" t="s">
        <v>256</v>
      </c>
      <c r="H200" s="22">
        <f>(23.28/24.74)*100-100</f>
        <v>-5.9013742926434816</v>
      </c>
      <c r="I200" s="11" t="s">
        <v>257</v>
      </c>
      <c r="J200" s="11" t="s">
        <v>258</v>
      </c>
      <c r="L200" s="38"/>
      <c r="M200" s="37"/>
      <c r="N200" s="37"/>
      <c r="O200" s="37"/>
    </row>
    <row r="201" spans="1:15" s="18" customFormat="1">
      <c r="A201" s="35"/>
      <c r="D201" s="14"/>
      <c r="E201" s="39"/>
      <c r="F201" s="36"/>
      <c r="G201" s="36"/>
      <c r="H201" s="15"/>
      <c r="I201" s="14"/>
      <c r="J201" s="14"/>
      <c r="L201" s="38"/>
      <c r="M201" s="37"/>
      <c r="N201" s="37"/>
      <c r="O201" s="37"/>
    </row>
    <row r="202" spans="1:15" s="18" customFormat="1">
      <c r="A202" s="31" t="s">
        <v>5</v>
      </c>
      <c r="D202" s="14"/>
      <c r="E202" s="39"/>
      <c r="F202" s="36"/>
      <c r="G202" s="36"/>
      <c r="H202" s="15"/>
      <c r="I202" s="14"/>
      <c r="J202" s="14"/>
      <c r="L202" s="38"/>
      <c r="M202" s="37"/>
      <c r="N202" s="37"/>
      <c r="O202" s="37"/>
    </row>
    <row r="203" spans="1:15">
      <c r="A203" s="3" t="s">
        <v>572</v>
      </c>
      <c r="B203" s="1" t="s">
        <v>0</v>
      </c>
      <c r="C203" s="1" t="s">
        <v>1</v>
      </c>
      <c r="D203" s="8" t="s">
        <v>6</v>
      </c>
      <c r="E203" s="8" t="s">
        <v>2</v>
      </c>
      <c r="F203" s="8" t="s">
        <v>4</v>
      </c>
      <c r="G203" s="8" t="s">
        <v>8</v>
      </c>
      <c r="H203" s="8" t="s">
        <v>7</v>
      </c>
      <c r="I203" s="8" t="s">
        <v>9</v>
      </c>
      <c r="J203" s="9" t="s">
        <v>3</v>
      </c>
    </row>
    <row r="204" spans="1:15" s="18" customFormat="1">
      <c r="A204" s="35"/>
      <c r="B204" t="s">
        <v>52</v>
      </c>
      <c r="C204" s="41" t="s">
        <v>53</v>
      </c>
      <c r="D204" s="11" t="s">
        <v>10</v>
      </c>
      <c r="E204" s="21" t="s">
        <v>42</v>
      </c>
      <c r="F204" s="10">
        <v>32</v>
      </c>
      <c r="G204" s="10" t="s">
        <v>259</v>
      </c>
      <c r="H204" s="11"/>
      <c r="I204" s="11"/>
      <c r="J204" s="11" t="s">
        <v>201</v>
      </c>
      <c r="L204" s="38"/>
      <c r="M204" s="37"/>
      <c r="N204" s="37"/>
      <c r="O204" s="37"/>
    </row>
    <row r="205" spans="1:15" s="18" customFormat="1">
      <c r="A205" s="35"/>
      <c r="B205" t="s">
        <v>52</v>
      </c>
      <c r="C205" s="41" t="s">
        <v>53</v>
      </c>
      <c r="D205" s="11" t="s">
        <v>10</v>
      </c>
      <c r="E205" s="21" t="s">
        <v>230</v>
      </c>
      <c r="F205" s="10">
        <v>29</v>
      </c>
      <c r="G205" s="10" t="s">
        <v>260</v>
      </c>
      <c r="H205" s="22">
        <f>(29.36/31.32)*100-100</f>
        <v>-6.2579821200510821</v>
      </c>
      <c r="I205" s="11" t="s">
        <v>18</v>
      </c>
      <c r="J205" s="11" t="s">
        <v>191</v>
      </c>
      <c r="L205" s="38"/>
      <c r="M205" s="37"/>
      <c r="N205" s="37"/>
      <c r="O205" s="37"/>
    </row>
    <row r="206" spans="1:15" s="18" customFormat="1">
      <c r="A206" s="35"/>
      <c r="B206"/>
      <c r="C206" s="41"/>
      <c r="D206" s="11"/>
      <c r="E206" s="21"/>
      <c r="F206" s="10"/>
      <c r="G206" s="10"/>
      <c r="H206" s="22"/>
      <c r="I206" s="11"/>
      <c r="J206" s="11"/>
      <c r="L206" s="38"/>
      <c r="M206" s="37"/>
      <c r="N206" s="37"/>
      <c r="O206" s="37"/>
    </row>
    <row r="208" spans="1:15" s="18" customFormat="1">
      <c r="A208" s="31" t="s">
        <v>22</v>
      </c>
      <c r="D208" s="14"/>
      <c r="E208" s="39"/>
      <c r="F208" s="36"/>
      <c r="G208" s="36"/>
      <c r="H208" s="15"/>
      <c r="I208" s="14"/>
      <c r="J208" s="14"/>
      <c r="L208" s="38"/>
      <c r="M208" s="37"/>
      <c r="N208" s="37"/>
      <c r="O208" s="37"/>
    </row>
    <row r="209" spans="1:15" s="18" customFormat="1">
      <c r="A209" s="3" t="s">
        <v>572</v>
      </c>
      <c r="B209" s="33" t="s">
        <v>0</v>
      </c>
      <c r="C209" s="33" t="s">
        <v>1</v>
      </c>
      <c r="D209" s="16" t="s">
        <v>6</v>
      </c>
      <c r="E209" s="16" t="s">
        <v>2</v>
      </c>
      <c r="F209" s="16" t="s">
        <v>4</v>
      </c>
      <c r="G209" s="16" t="s">
        <v>8</v>
      </c>
      <c r="H209" s="16" t="s">
        <v>7</v>
      </c>
      <c r="I209" s="16" t="s">
        <v>9</v>
      </c>
      <c r="J209" s="34" t="s">
        <v>3</v>
      </c>
    </row>
    <row r="210" spans="1:15" s="18" customFormat="1">
      <c r="A210" s="35"/>
      <c r="B210" s="18" t="s">
        <v>52</v>
      </c>
      <c r="C210" s="19" t="s">
        <v>53</v>
      </c>
      <c r="D210" s="14" t="s">
        <v>10</v>
      </c>
      <c r="E210" s="39" t="s">
        <v>42</v>
      </c>
      <c r="F210" s="36">
        <v>32</v>
      </c>
      <c r="G210" s="36" t="s">
        <v>307</v>
      </c>
      <c r="H210" s="14"/>
      <c r="I210" s="14"/>
      <c r="J210" s="14" t="s">
        <v>161</v>
      </c>
      <c r="L210" s="38"/>
      <c r="M210" s="37"/>
      <c r="N210" s="37"/>
      <c r="O210" s="37"/>
    </row>
    <row r="211" spans="1:15" s="18" customFormat="1">
      <c r="A211" s="35"/>
      <c r="B211" s="18" t="s">
        <v>52</v>
      </c>
      <c r="C211" s="19" t="s">
        <v>53</v>
      </c>
      <c r="D211" s="14" t="s">
        <v>10</v>
      </c>
      <c r="E211" s="39" t="s">
        <v>230</v>
      </c>
      <c r="F211" s="36">
        <v>21</v>
      </c>
      <c r="G211" s="36" t="s">
        <v>308</v>
      </c>
      <c r="H211" s="15">
        <f>(23.48/28.46)*100-100</f>
        <v>-17.498243148278277</v>
      </c>
      <c r="I211" s="14" t="s">
        <v>17</v>
      </c>
      <c r="J211" s="14" t="s">
        <v>201</v>
      </c>
      <c r="L211" s="38"/>
      <c r="M211" s="37"/>
      <c r="N211" s="37"/>
      <c r="O211" s="37"/>
    </row>
  </sheetData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0632D-DFA4-F64A-9859-15C86A6FA141}">
  <dimension ref="A1:O75"/>
  <sheetViews>
    <sheetView topLeftCell="A19" zoomScale="95" zoomScaleNormal="95" workbookViewId="0"/>
  </sheetViews>
  <sheetFormatPr baseColWidth="10" defaultRowHeight="16"/>
  <cols>
    <col min="1" max="1" width="47.5" customWidth="1"/>
    <col min="2" max="2" width="12.6640625" customWidth="1"/>
    <col min="3" max="3" width="78" bestFit="1" customWidth="1"/>
    <col min="4" max="4" width="13.33203125" customWidth="1"/>
    <col min="5" max="5" width="20.5" bestFit="1" customWidth="1"/>
    <col min="6" max="6" width="22.1640625" bestFit="1" customWidth="1"/>
    <col min="7" max="7" width="29" bestFit="1" customWidth="1"/>
    <col min="8" max="8" width="26.1640625" bestFit="1" customWidth="1"/>
    <col min="9" max="9" width="27" bestFit="1" customWidth="1"/>
    <col min="10" max="10" width="28.5" customWidth="1"/>
  </cols>
  <sheetData>
    <row r="1" spans="1:15" ht="20">
      <c r="A1" s="17" t="s">
        <v>779</v>
      </c>
    </row>
    <row r="2" spans="1:15" s="6" customFormat="1" ht="21">
      <c r="A2" s="17"/>
      <c r="F2" s="7"/>
      <c r="G2" s="7"/>
      <c r="H2" s="7"/>
      <c r="I2" s="7"/>
      <c r="J2" s="7"/>
    </row>
    <row r="3" spans="1:15" ht="18">
      <c r="A3" s="20" t="s">
        <v>605</v>
      </c>
      <c r="F3" s="11"/>
      <c r="G3" s="11"/>
      <c r="H3" s="11"/>
      <c r="I3" s="11"/>
      <c r="J3" s="11"/>
    </row>
    <row r="4" spans="1:15" ht="18">
      <c r="A4" s="2"/>
      <c r="F4" s="11"/>
      <c r="G4" s="11"/>
      <c r="H4" s="11"/>
      <c r="I4" s="11"/>
      <c r="J4" s="11"/>
    </row>
    <row r="7" spans="1:15" s="23" customFormat="1">
      <c r="A7" s="25"/>
      <c r="C7" s="26"/>
      <c r="D7" s="24"/>
      <c r="E7" s="24"/>
      <c r="F7" s="27"/>
      <c r="G7" s="27"/>
      <c r="H7" s="29"/>
      <c r="I7" s="24"/>
      <c r="J7" s="24"/>
      <c r="L7" s="30"/>
      <c r="M7" s="28"/>
      <c r="N7" s="28"/>
      <c r="O7" s="28"/>
    </row>
    <row r="8" spans="1:15" s="18" customFormat="1">
      <c r="A8" s="31" t="s">
        <v>5</v>
      </c>
      <c r="D8" s="14"/>
      <c r="E8" s="14"/>
      <c r="F8" s="14"/>
      <c r="G8" s="14"/>
      <c r="H8" s="14"/>
      <c r="I8" s="14"/>
      <c r="J8" s="14"/>
    </row>
    <row r="9" spans="1:15" s="18" customFormat="1">
      <c r="A9" s="32" t="s">
        <v>603</v>
      </c>
      <c r="B9" s="33" t="s">
        <v>0</v>
      </c>
      <c r="C9" s="33" t="s">
        <v>1</v>
      </c>
      <c r="D9" s="16" t="s">
        <v>6</v>
      </c>
      <c r="E9" s="16" t="s">
        <v>2</v>
      </c>
      <c r="F9" s="16" t="s">
        <v>4</v>
      </c>
      <c r="G9" s="16" t="s">
        <v>8</v>
      </c>
      <c r="H9" s="16" t="s">
        <v>7</v>
      </c>
      <c r="I9" s="16" t="s">
        <v>9</v>
      </c>
      <c r="J9" s="34" t="s">
        <v>3</v>
      </c>
    </row>
    <row r="10" spans="1:15" s="18" customFormat="1">
      <c r="A10" s="35"/>
      <c r="B10" s="18" t="s">
        <v>13</v>
      </c>
      <c r="C10" s="19" t="s">
        <v>14</v>
      </c>
      <c r="D10" s="14" t="s">
        <v>10</v>
      </c>
      <c r="E10" s="14" t="s">
        <v>12</v>
      </c>
      <c r="F10" s="36">
        <v>21</v>
      </c>
      <c r="G10" s="36" t="s">
        <v>25</v>
      </c>
      <c r="H10" s="14"/>
      <c r="I10" s="14"/>
      <c r="J10" s="14" t="s">
        <v>26</v>
      </c>
      <c r="L10" s="37"/>
      <c r="M10" s="37"/>
      <c r="N10" s="37"/>
      <c r="O10" s="37"/>
    </row>
    <row r="11" spans="1:15" s="18" customFormat="1">
      <c r="A11" s="35"/>
      <c r="B11" s="18" t="s">
        <v>27</v>
      </c>
      <c r="C11" s="19" t="s">
        <v>28</v>
      </c>
      <c r="D11" s="14" t="s">
        <v>10</v>
      </c>
      <c r="E11" s="14" t="s">
        <v>12</v>
      </c>
      <c r="F11" s="36">
        <v>31</v>
      </c>
      <c r="G11" s="36" t="s">
        <v>29</v>
      </c>
      <c r="H11" s="15">
        <f>(29.41/22.36)*100-100</f>
        <v>31.529516994633298</v>
      </c>
      <c r="I11" s="14" t="s">
        <v>17</v>
      </c>
      <c r="J11" s="14" t="s">
        <v>30</v>
      </c>
      <c r="L11" s="38"/>
      <c r="M11" s="37"/>
      <c r="N11" s="37"/>
      <c r="O11" s="37"/>
    </row>
    <row r="12" spans="1:15" s="18" customFormat="1">
      <c r="A12" s="35"/>
      <c r="C12" s="19"/>
      <c r="D12" s="14"/>
      <c r="E12" s="14"/>
      <c r="F12" s="36"/>
      <c r="G12" s="36"/>
      <c r="H12" s="15"/>
      <c r="I12" s="14"/>
      <c r="J12" s="14"/>
      <c r="L12" s="38"/>
      <c r="M12" s="37"/>
      <c r="N12" s="37"/>
      <c r="O12" s="37"/>
    </row>
    <row r="13" spans="1:15" s="18" customFormat="1">
      <c r="A13" s="35"/>
      <c r="B13" s="18" t="s">
        <v>13</v>
      </c>
      <c r="C13" s="19" t="s">
        <v>14</v>
      </c>
      <c r="D13" s="14" t="s">
        <v>31</v>
      </c>
      <c r="E13" s="14" t="s">
        <v>12</v>
      </c>
      <c r="F13" s="36">
        <v>15</v>
      </c>
      <c r="G13" s="36" t="s">
        <v>32</v>
      </c>
      <c r="H13" s="14"/>
      <c r="I13" s="14"/>
      <c r="J13" s="14" t="s">
        <v>33</v>
      </c>
      <c r="L13" s="37"/>
      <c r="M13" s="37"/>
      <c r="N13" s="37"/>
      <c r="O13" s="37"/>
    </row>
    <row r="14" spans="1:15" s="18" customFormat="1">
      <c r="A14" s="35"/>
      <c r="B14" s="18" t="s">
        <v>27</v>
      </c>
      <c r="C14" s="19" t="s">
        <v>28</v>
      </c>
      <c r="D14" s="14" t="s">
        <v>31</v>
      </c>
      <c r="E14" s="14" t="s">
        <v>12</v>
      </c>
      <c r="F14" s="36">
        <v>21</v>
      </c>
      <c r="G14" s="36" t="s">
        <v>34</v>
      </c>
      <c r="H14" s="15">
        <f>(21.05/15.44)*100-100</f>
        <v>36.334196891191738</v>
      </c>
      <c r="I14" s="14" t="s">
        <v>17</v>
      </c>
      <c r="J14" s="14" t="s">
        <v>35</v>
      </c>
      <c r="L14" s="38"/>
      <c r="M14" s="37"/>
      <c r="N14" s="37"/>
      <c r="O14" s="37"/>
    </row>
    <row r="15" spans="1:15" s="18" customFormat="1">
      <c r="A15" s="35"/>
      <c r="C15" s="19"/>
      <c r="D15" s="14"/>
      <c r="E15" s="14"/>
      <c r="F15" s="36"/>
      <c r="G15" s="36"/>
      <c r="H15" s="15"/>
      <c r="I15" s="14"/>
      <c r="J15" s="14"/>
      <c r="L15" s="38"/>
      <c r="M15" s="37"/>
      <c r="N15" s="37"/>
      <c r="O15" s="37"/>
    </row>
    <row r="16" spans="1:15" s="18" customFormat="1"/>
    <row r="17" spans="1:15" s="18" customFormat="1">
      <c r="A17" s="31" t="s">
        <v>22</v>
      </c>
      <c r="D17" s="14"/>
      <c r="E17" s="14"/>
      <c r="F17" s="14"/>
      <c r="G17" s="14"/>
      <c r="H17" s="14"/>
      <c r="I17" s="14"/>
      <c r="J17" s="14"/>
    </row>
    <row r="18" spans="1:15" s="18" customFormat="1">
      <c r="A18" s="32" t="s">
        <v>603</v>
      </c>
      <c r="B18" s="33" t="s">
        <v>0</v>
      </c>
      <c r="C18" s="33" t="s">
        <v>1</v>
      </c>
      <c r="D18" s="16" t="s">
        <v>6</v>
      </c>
      <c r="E18" s="16" t="s">
        <v>2</v>
      </c>
      <c r="F18" s="16" t="s">
        <v>4</v>
      </c>
      <c r="G18" s="16" t="s">
        <v>8</v>
      </c>
      <c r="H18" s="16" t="s">
        <v>7</v>
      </c>
      <c r="I18" s="16" t="s">
        <v>9</v>
      </c>
      <c r="J18" s="34" t="s">
        <v>3</v>
      </c>
    </row>
    <row r="19" spans="1:15" s="18" customFormat="1">
      <c r="A19" s="35"/>
      <c r="B19" s="18" t="s">
        <v>13</v>
      </c>
      <c r="C19" s="19" t="s">
        <v>14</v>
      </c>
      <c r="D19" s="14" t="s">
        <v>10</v>
      </c>
      <c r="E19" s="14" t="s">
        <v>12</v>
      </c>
      <c r="F19" s="36">
        <v>18</v>
      </c>
      <c r="G19" s="36" t="s">
        <v>106</v>
      </c>
      <c r="H19" s="14"/>
      <c r="I19" s="14"/>
      <c r="J19" s="14" t="s">
        <v>44</v>
      </c>
      <c r="L19" s="37"/>
      <c r="M19" s="37"/>
      <c r="N19" s="37"/>
      <c r="O19" s="37"/>
    </row>
    <row r="20" spans="1:15" s="18" customFormat="1">
      <c r="A20" s="35"/>
      <c r="B20" s="18" t="s">
        <v>27</v>
      </c>
      <c r="C20" s="19" t="s">
        <v>28</v>
      </c>
      <c r="D20" s="14" t="s">
        <v>10</v>
      </c>
      <c r="E20" s="14" t="s">
        <v>12</v>
      </c>
      <c r="F20" s="36">
        <v>23</v>
      </c>
      <c r="G20" s="36" t="s">
        <v>107</v>
      </c>
      <c r="H20" s="15">
        <f>(22.32/18.29)*100-100</f>
        <v>22.033898305084747</v>
      </c>
      <c r="I20" s="14" t="s">
        <v>17</v>
      </c>
      <c r="J20" s="14" t="s">
        <v>37</v>
      </c>
      <c r="L20" s="38"/>
      <c r="M20" s="37"/>
      <c r="N20" s="37"/>
      <c r="O20" s="37"/>
    </row>
    <row r="21" spans="1:15" s="18" customFormat="1">
      <c r="A21" s="35"/>
      <c r="C21" s="19"/>
      <c r="D21" s="14"/>
      <c r="E21" s="14"/>
      <c r="F21" s="36"/>
      <c r="G21" s="36"/>
      <c r="H21" s="15"/>
      <c r="I21" s="14"/>
      <c r="J21" s="14"/>
      <c r="L21" s="38"/>
      <c r="M21" s="37"/>
      <c r="N21" s="37"/>
      <c r="O21" s="37"/>
    </row>
    <row r="22" spans="1:15" s="18" customFormat="1">
      <c r="A22" s="35"/>
      <c r="B22" s="18" t="s">
        <v>13</v>
      </c>
      <c r="C22" s="19" t="s">
        <v>14</v>
      </c>
      <c r="D22" s="14" t="s">
        <v>31</v>
      </c>
      <c r="E22" s="14" t="s">
        <v>12</v>
      </c>
      <c r="F22" s="36">
        <v>13</v>
      </c>
      <c r="G22" s="36" t="s">
        <v>108</v>
      </c>
      <c r="H22" s="14"/>
      <c r="I22" s="14"/>
      <c r="J22" s="14" t="s">
        <v>61</v>
      </c>
      <c r="L22" s="37"/>
      <c r="M22" s="37"/>
      <c r="N22" s="37"/>
      <c r="O22" s="37"/>
    </row>
    <row r="23" spans="1:15" s="18" customFormat="1">
      <c r="A23" s="35"/>
      <c r="B23" s="18" t="s">
        <v>27</v>
      </c>
      <c r="C23" s="19" t="s">
        <v>28</v>
      </c>
      <c r="D23" s="14" t="s">
        <v>31</v>
      </c>
      <c r="E23" s="14" t="s">
        <v>12</v>
      </c>
      <c r="F23" s="36">
        <v>14</v>
      </c>
      <c r="G23" s="36" t="s">
        <v>109</v>
      </c>
      <c r="H23" s="15">
        <f>(15.93/13.44)*100-100</f>
        <v>18.526785714285722</v>
      </c>
      <c r="I23" s="14" t="s">
        <v>17</v>
      </c>
      <c r="J23" s="14" t="s">
        <v>110</v>
      </c>
      <c r="L23" s="38"/>
      <c r="M23" s="37"/>
      <c r="N23" s="37"/>
      <c r="O23" s="37"/>
    </row>
    <row r="24" spans="1:15" s="18" customFormat="1">
      <c r="A24" s="35"/>
      <c r="C24" s="19"/>
      <c r="D24" s="14"/>
      <c r="E24" s="14"/>
      <c r="F24" s="36"/>
      <c r="G24" s="36"/>
      <c r="H24" s="15"/>
      <c r="I24" s="14"/>
      <c r="J24" s="14"/>
      <c r="L24" s="38"/>
      <c r="M24" s="37"/>
      <c r="N24" s="37"/>
      <c r="O24" s="37"/>
    </row>
    <row r="25" spans="1:15" s="18" customFormat="1">
      <c r="A25" s="35"/>
      <c r="C25" s="19"/>
      <c r="D25" s="14"/>
      <c r="E25" s="14"/>
      <c r="F25" s="36"/>
      <c r="G25" s="36"/>
      <c r="H25" s="15"/>
      <c r="I25" s="14"/>
      <c r="J25" s="14"/>
      <c r="L25" s="38"/>
      <c r="M25" s="37"/>
      <c r="N25" s="37"/>
      <c r="O25" s="37"/>
    </row>
    <row r="26" spans="1:15" s="18" customFormat="1">
      <c r="A26" s="31" t="s">
        <v>5</v>
      </c>
      <c r="D26" s="14"/>
      <c r="E26" s="14"/>
      <c r="F26" s="14"/>
      <c r="G26" s="14"/>
      <c r="H26" s="14"/>
      <c r="I26" s="14"/>
      <c r="J26" s="14"/>
    </row>
    <row r="27" spans="1:15" s="18" customFormat="1">
      <c r="A27" s="32" t="s">
        <v>604</v>
      </c>
      <c r="B27" s="33" t="s">
        <v>0</v>
      </c>
      <c r="C27" s="33" t="s">
        <v>1</v>
      </c>
      <c r="D27" s="16" t="s">
        <v>6</v>
      </c>
      <c r="E27" s="16" t="s">
        <v>2</v>
      </c>
      <c r="F27" s="16" t="s">
        <v>4</v>
      </c>
      <c r="G27" s="16" t="s">
        <v>8</v>
      </c>
      <c r="H27" s="16" t="s">
        <v>7</v>
      </c>
      <c r="I27" s="16" t="s">
        <v>9</v>
      </c>
      <c r="J27" s="34" t="s">
        <v>3</v>
      </c>
    </row>
    <row r="28" spans="1:15" s="18" customFormat="1">
      <c r="A28" s="35"/>
      <c r="B28" s="18" t="s">
        <v>13</v>
      </c>
      <c r="C28" s="19" t="s">
        <v>14</v>
      </c>
      <c r="D28" s="14" t="s">
        <v>36</v>
      </c>
      <c r="E28" s="14" t="s">
        <v>12</v>
      </c>
      <c r="F28" s="36">
        <v>8</v>
      </c>
      <c r="G28" s="36" t="s">
        <v>395</v>
      </c>
      <c r="H28" s="14"/>
      <c r="I28" s="14"/>
      <c r="J28" s="14" t="s">
        <v>396</v>
      </c>
      <c r="L28" s="37"/>
      <c r="M28" s="37"/>
      <c r="N28" s="37"/>
      <c r="O28" s="37"/>
    </row>
    <row r="29" spans="1:15" s="18" customFormat="1">
      <c r="A29" s="35"/>
      <c r="B29" s="18" t="s">
        <v>27</v>
      </c>
      <c r="C29" s="19" t="s">
        <v>28</v>
      </c>
      <c r="D29" s="14" t="s">
        <v>36</v>
      </c>
      <c r="E29" s="14" t="s">
        <v>12</v>
      </c>
      <c r="F29" s="36">
        <v>11</v>
      </c>
      <c r="G29" s="36" t="s">
        <v>397</v>
      </c>
      <c r="H29" s="15">
        <f>(11.35/8.72)*100-100</f>
        <v>30.160550458715562</v>
      </c>
      <c r="I29" s="14" t="s">
        <v>17</v>
      </c>
      <c r="J29" s="14" t="s">
        <v>61</v>
      </c>
      <c r="L29" s="38"/>
      <c r="M29" s="37"/>
      <c r="N29" s="37"/>
      <c r="O29" s="37"/>
    </row>
    <row r="30" spans="1:15" s="18" customFormat="1">
      <c r="A30" s="35"/>
      <c r="C30" s="19"/>
      <c r="D30" s="14"/>
      <c r="E30" s="14"/>
      <c r="F30" s="36"/>
      <c r="G30" s="36"/>
      <c r="H30" s="15"/>
      <c r="I30" s="14"/>
      <c r="J30" s="14"/>
      <c r="L30" s="38"/>
      <c r="M30" s="37"/>
      <c r="N30" s="37"/>
      <c r="O30" s="37"/>
    </row>
    <row r="31" spans="1:15" s="18" customFormat="1">
      <c r="A31" s="31" t="s">
        <v>22</v>
      </c>
      <c r="D31" s="14"/>
      <c r="E31" s="14"/>
      <c r="F31" s="14"/>
      <c r="G31" s="14"/>
      <c r="H31" s="14"/>
      <c r="I31" s="14"/>
      <c r="J31" s="14"/>
      <c r="L31" s="38"/>
      <c r="M31" s="37"/>
      <c r="N31" s="37"/>
      <c r="O31" s="37"/>
    </row>
    <row r="32" spans="1:15" s="18" customFormat="1">
      <c r="A32" s="32" t="s">
        <v>604</v>
      </c>
      <c r="B32" s="33" t="s">
        <v>0</v>
      </c>
      <c r="C32" s="33" t="s">
        <v>1</v>
      </c>
      <c r="D32" s="16" t="s">
        <v>6</v>
      </c>
      <c r="E32" s="16" t="s">
        <v>2</v>
      </c>
      <c r="F32" s="16" t="s">
        <v>4</v>
      </c>
      <c r="G32" s="16" t="s">
        <v>8</v>
      </c>
      <c r="H32" s="16" t="s">
        <v>7</v>
      </c>
      <c r="I32" s="16" t="s">
        <v>9</v>
      </c>
      <c r="J32" s="34" t="s">
        <v>3</v>
      </c>
      <c r="L32" s="38"/>
      <c r="M32" s="37"/>
      <c r="N32" s="37"/>
      <c r="O32" s="37"/>
    </row>
    <row r="33" spans="1:15" s="18" customFormat="1">
      <c r="A33" s="35"/>
      <c r="B33" s="18" t="s">
        <v>13</v>
      </c>
      <c r="C33" s="19" t="s">
        <v>14</v>
      </c>
      <c r="D33" s="14" t="s">
        <v>36</v>
      </c>
      <c r="E33" s="14" t="s">
        <v>12</v>
      </c>
      <c r="F33" s="36">
        <v>11</v>
      </c>
      <c r="G33" s="36" t="s">
        <v>398</v>
      </c>
      <c r="H33" s="14"/>
      <c r="I33" s="14"/>
      <c r="J33" s="14" t="s">
        <v>35</v>
      </c>
      <c r="L33" s="38"/>
      <c r="M33" s="37"/>
      <c r="N33" s="37"/>
      <c r="O33" s="37"/>
    </row>
    <row r="34" spans="1:15" s="18" customFormat="1">
      <c r="A34" s="35"/>
      <c r="B34" s="18" t="s">
        <v>27</v>
      </c>
      <c r="C34" s="19" t="s">
        <v>28</v>
      </c>
      <c r="D34" s="14" t="s">
        <v>36</v>
      </c>
      <c r="E34" s="14" t="s">
        <v>12</v>
      </c>
      <c r="F34" s="36">
        <v>12</v>
      </c>
      <c r="G34" s="36" t="s">
        <v>399</v>
      </c>
      <c r="H34" s="15">
        <f>(12.51/11)*100-100</f>
        <v>13.72727272727272</v>
      </c>
      <c r="I34" s="14" t="s">
        <v>314</v>
      </c>
      <c r="J34" s="14" t="s">
        <v>11</v>
      </c>
    </row>
    <row r="35" spans="1:15" s="18" customFormat="1">
      <c r="A35" s="35"/>
      <c r="C35" s="19"/>
      <c r="D35" s="14"/>
      <c r="E35" s="14"/>
      <c r="F35" s="36"/>
      <c r="G35" s="36"/>
      <c r="H35" s="15"/>
      <c r="I35" s="14"/>
      <c r="J35" s="14"/>
    </row>
    <row r="36" spans="1:15" s="23" customFormat="1">
      <c r="A36" s="25"/>
      <c r="C36" s="26"/>
      <c r="D36" s="24"/>
      <c r="E36" s="67"/>
      <c r="F36" s="27"/>
      <c r="G36" s="27"/>
      <c r="H36" s="29"/>
      <c r="I36" s="24"/>
      <c r="J36" s="24"/>
    </row>
    <row r="37" spans="1:15" s="23" customFormat="1">
      <c r="A37" s="25"/>
      <c r="C37" s="26"/>
      <c r="D37" s="24"/>
      <c r="E37" s="67"/>
      <c r="F37" s="27"/>
      <c r="G37" s="27"/>
      <c r="H37" s="29"/>
      <c r="I37" s="24"/>
      <c r="J37" s="24"/>
    </row>
    <row r="38" spans="1:15" s="18" customFormat="1">
      <c r="A38" s="31" t="s">
        <v>5</v>
      </c>
      <c r="D38" s="14"/>
      <c r="E38" s="14"/>
      <c r="F38" s="14"/>
      <c r="G38" s="14"/>
      <c r="H38" s="14"/>
      <c r="I38" s="14"/>
      <c r="J38" s="14"/>
    </row>
    <row r="39" spans="1:15" s="18" customFormat="1">
      <c r="A39" s="32" t="s">
        <v>767</v>
      </c>
      <c r="B39" s="33" t="s">
        <v>0</v>
      </c>
      <c r="C39" s="33" t="s">
        <v>1</v>
      </c>
      <c r="D39" s="16" t="s">
        <v>6</v>
      </c>
      <c r="E39" s="16" t="s">
        <v>2</v>
      </c>
      <c r="F39" s="16" t="s">
        <v>4</v>
      </c>
      <c r="G39" s="16" t="s">
        <v>8</v>
      </c>
      <c r="H39" s="16" t="s">
        <v>7</v>
      </c>
      <c r="I39" s="16" t="s">
        <v>9</v>
      </c>
      <c r="J39" s="34" t="s">
        <v>3</v>
      </c>
    </row>
    <row r="40" spans="1:15" s="18" customFormat="1">
      <c r="A40" s="35"/>
      <c r="B40" s="18" t="s">
        <v>13</v>
      </c>
      <c r="C40" s="19" t="s">
        <v>14</v>
      </c>
      <c r="D40" s="14" t="s">
        <v>10</v>
      </c>
      <c r="E40" s="14" t="s">
        <v>12</v>
      </c>
      <c r="F40" s="36">
        <v>19</v>
      </c>
      <c r="G40" s="36" t="s">
        <v>160</v>
      </c>
      <c r="H40" s="14"/>
      <c r="I40" s="14"/>
      <c r="J40" s="14" t="s">
        <v>161</v>
      </c>
      <c r="L40" s="37"/>
      <c r="M40" s="37"/>
      <c r="N40" s="37"/>
      <c r="O40" s="37"/>
    </row>
    <row r="41" spans="1:15" s="18" customFormat="1">
      <c r="A41" s="35"/>
      <c r="B41" s="18" t="s">
        <v>162</v>
      </c>
      <c r="C41" s="19" t="s">
        <v>163</v>
      </c>
      <c r="D41" s="14" t="s">
        <v>10</v>
      </c>
      <c r="E41" s="14" t="s">
        <v>12</v>
      </c>
      <c r="F41" s="36">
        <v>25</v>
      </c>
      <c r="G41" s="36" t="s">
        <v>164</v>
      </c>
      <c r="H41" s="15">
        <f>(24.91/19.21)*100-100</f>
        <v>29.672045809474213</v>
      </c>
      <c r="I41" s="14" t="s">
        <v>17</v>
      </c>
      <c r="J41" s="14" t="s">
        <v>110</v>
      </c>
      <c r="L41" s="38"/>
      <c r="M41" s="37"/>
      <c r="N41" s="37"/>
      <c r="O41" s="37"/>
    </row>
    <row r="42" spans="1:15" s="18" customFormat="1">
      <c r="A42" s="35"/>
      <c r="B42" s="18" t="s">
        <v>165</v>
      </c>
      <c r="C42" s="19" t="s">
        <v>166</v>
      </c>
      <c r="D42" s="14" t="s">
        <v>10</v>
      </c>
      <c r="E42" s="14" t="s">
        <v>12</v>
      </c>
      <c r="F42" s="36">
        <v>28</v>
      </c>
      <c r="G42" s="36" t="s">
        <v>167</v>
      </c>
      <c r="H42" s="15">
        <f>(27.38/19.21)*100-100</f>
        <v>42.529932326913041</v>
      </c>
      <c r="I42" s="14" t="s">
        <v>17</v>
      </c>
      <c r="J42" s="14" t="s">
        <v>67</v>
      </c>
      <c r="L42" s="38"/>
      <c r="M42" s="37"/>
      <c r="N42" s="37"/>
      <c r="O42" s="37"/>
    </row>
    <row r="43" spans="1:15" s="18" customFormat="1">
      <c r="B43" s="18" t="s">
        <v>27</v>
      </c>
      <c r="C43" s="19" t="s">
        <v>28</v>
      </c>
      <c r="D43" s="14" t="s">
        <v>10</v>
      </c>
      <c r="E43" s="14" t="s">
        <v>12</v>
      </c>
      <c r="F43" s="36">
        <v>30</v>
      </c>
      <c r="G43" s="36" t="s">
        <v>168</v>
      </c>
      <c r="H43" s="15">
        <f>(29.23/19.21)*100-100</f>
        <v>52.160333159812581</v>
      </c>
      <c r="I43" s="14" t="s">
        <v>17</v>
      </c>
      <c r="J43" s="14" t="s">
        <v>110</v>
      </c>
    </row>
    <row r="44" spans="1:15" s="18" customFormat="1"/>
    <row r="45" spans="1:15" s="18" customFormat="1">
      <c r="A45" s="31" t="s">
        <v>22</v>
      </c>
      <c r="D45" s="14"/>
      <c r="E45" s="14"/>
      <c r="F45" s="14"/>
      <c r="G45" s="14"/>
      <c r="H45" s="14"/>
      <c r="I45" s="14"/>
      <c r="J45" s="14"/>
    </row>
    <row r="46" spans="1:15" s="18" customFormat="1">
      <c r="A46" s="32" t="s">
        <v>767</v>
      </c>
      <c r="B46" s="33" t="s">
        <v>0</v>
      </c>
      <c r="C46" s="33" t="s">
        <v>1</v>
      </c>
      <c r="D46" s="16" t="s">
        <v>6</v>
      </c>
      <c r="E46" s="16" t="s">
        <v>2</v>
      </c>
      <c r="F46" s="16" t="s">
        <v>4</v>
      </c>
      <c r="G46" s="16" t="s">
        <v>8</v>
      </c>
      <c r="H46" s="16" t="s">
        <v>7</v>
      </c>
      <c r="I46" s="16" t="s">
        <v>9</v>
      </c>
      <c r="J46" s="34" t="s">
        <v>3</v>
      </c>
    </row>
    <row r="47" spans="1:15" s="18" customFormat="1">
      <c r="A47" s="35"/>
      <c r="B47" s="18" t="s">
        <v>13</v>
      </c>
      <c r="C47" s="19" t="s">
        <v>14</v>
      </c>
      <c r="D47" s="14" t="s">
        <v>10</v>
      </c>
      <c r="E47" s="14" t="s">
        <v>12</v>
      </c>
      <c r="F47" s="36">
        <v>18</v>
      </c>
      <c r="G47" s="36" t="s">
        <v>169</v>
      </c>
      <c r="H47" s="14"/>
      <c r="I47" s="14"/>
      <c r="J47" s="14" t="s">
        <v>170</v>
      </c>
      <c r="L47" s="37"/>
      <c r="M47" s="37"/>
      <c r="N47" s="37"/>
      <c r="O47" s="37"/>
    </row>
    <row r="48" spans="1:15" s="18" customFormat="1">
      <c r="A48" s="35"/>
      <c r="B48" s="18" t="s">
        <v>162</v>
      </c>
      <c r="C48" s="19" t="s">
        <v>163</v>
      </c>
      <c r="D48" s="14" t="s">
        <v>10</v>
      </c>
      <c r="E48" s="14" t="s">
        <v>12</v>
      </c>
      <c r="F48" s="36">
        <v>26</v>
      </c>
      <c r="G48" s="36" t="s">
        <v>171</v>
      </c>
      <c r="H48" s="15">
        <f>(25.52/19.32)*100-100</f>
        <v>32.0910973084886</v>
      </c>
      <c r="I48" s="14" t="s">
        <v>17</v>
      </c>
      <c r="J48" s="14" t="s">
        <v>35</v>
      </c>
      <c r="L48" s="38"/>
      <c r="M48" s="37"/>
      <c r="N48" s="37"/>
      <c r="O48" s="37"/>
    </row>
    <row r="49" spans="1:15" s="18" customFormat="1">
      <c r="A49" s="35"/>
      <c r="B49" s="18" t="s">
        <v>165</v>
      </c>
      <c r="C49" s="19" t="s">
        <v>166</v>
      </c>
      <c r="D49" s="14" t="s">
        <v>10</v>
      </c>
      <c r="E49" s="14" t="s">
        <v>12</v>
      </c>
      <c r="F49" s="36">
        <v>26</v>
      </c>
      <c r="G49" s="36" t="s">
        <v>172</v>
      </c>
      <c r="H49" s="15">
        <f>(26.8/19.32)*100-100</f>
        <v>38.716356107660459</v>
      </c>
      <c r="I49" s="14" t="s">
        <v>17</v>
      </c>
      <c r="J49" s="14" t="s">
        <v>131</v>
      </c>
      <c r="L49" s="38"/>
      <c r="M49" s="37"/>
      <c r="N49" s="37"/>
      <c r="O49" s="37"/>
    </row>
    <row r="50" spans="1:15" s="18" customFormat="1">
      <c r="B50" s="18" t="s">
        <v>27</v>
      </c>
      <c r="C50" s="19" t="s">
        <v>28</v>
      </c>
      <c r="D50" s="14" t="s">
        <v>10</v>
      </c>
      <c r="E50" s="14" t="s">
        <v>12</v>
      </c>
      <c r="F50" s="36">
        <v>27</v>
      </c>
      <c r="G50" s="36" t="s">
        <v>173</v>
      </c>
      <c r="H50" s="15">
        <f>(27.94/19.32)*100-100</f>
        <v>44.616977225672883</v>
      </c>
      <c r="I50" s="14" t="s">
        <v>17</v>
      </c>
      <c r="J50" s="14" t="s">
        <v>55</v>
      </c>
    </row>
    <row r="51" spans="1:15" s="18" customFormat="1"/>
    <row r="52" spans="1:15" s="18" customFormat="1"/>
    <row r="53" spans="1:15" s="18" customFormat="1">
      <c r="A53" s="31" t="s">
        <v>5</v>
      </c>
      <c r="D53" s="14"/>
      <c r="E53" s="14"/>
      <c r="F53" s="14"/>
      <c r="G53" s="14"/>
      <c r="H53" s="14"/>
      <c r="I53" s="14"/>
      <c r="J53" s="14"/>
    </row>
    <row r="54" spans="1:15" s="18" customFormat="1">
      <c r="A54" s="32" t="s">
        <v>634</v>
      </c>
      <c r="B54" s="33" t="s">
        <v>0</v>
      </c>
      <c r="C54" s="33" t="s">
        <v>1</v>
      </c>
      <c r="D54" s="16" t="s">
        <v>6</v>
      </c>
      <c r="E54" s="16" t="s">
        <v>2</v>
      </c>
      <c r="F54" s="16" t="s">
        <v>4</v>
      </c>
      <c r="G54" s="16" t="s">
        <v>8</v>
      </c>
      <c r="H54" s="16" t="s">
        <v>7</v>
      </c>
      <c r="I54" s="16" t="s">
        <v>9</v>
      </c>
      <c r="J54" s="34" t="s">
        <v>3</v>
      </c>
    </row>
    <row r="55" spans="1:15" s="18" customFormat="1">
      <c r="A55" s="35"/>
      <c r="B55" s="18" t="s">
        <v>13</v>
      </c>
      <c r="C55" s="19" t="s">
        <v>14</v>
      </c>
      <c r="D55" s="14" t="s">
        <v>31</v>
      </c>
      <c r="E55" s="14" t="s">
        <v>12</v>
      </c>
      <c r="F55" s="36">
        <v>16</v>
      </c>
      <c r="G55" s="36" t="s">
        <v>174</v>
      </c>
      <c r="H55" s="14"/>
      <c r="I55" s="14"/>
      <c r="J55" s="14" t="s">
        <v>30</v>
      </c>
      <c r="L55" s="37"/>
      <c r="M55" s="37"/>
      <c r="N55" s="37"/>
      <c r="O55" s="37"/>
    </row>
    <row r="56" spans="1:15" s="18" customFormat="1">
      <c r="A56" s="35"/>
      <c r="B56" s="18" t="s">
        <v>162</v>
      </c>
      <c r="C56" s="19" t="s">
        <v>163</v>
      </c>
      <c r="D56" s="14" t="s">
        <v>31</v>
      </c>
      <c r="E56" s="14" t="s">
        <v>12</v>
      </c>
      <c r="F56" s="36">
        <v>16</v>
      </c>
      <c r="G56" s="36" t="s">
        <v>175</v>
      </c>
      <c r="H56" s="15">
        <f>(16.87/15.71)*100-100</f>
        <v>7.3838319541693238</v>
      </c>
      <c r="I56" s="14" t="s">
        <v>176</v>
      </c>
      <c r="J56" s="14" t="s">
        <v>26</v>
      </c>
      <c r="L56" s="38"/>
      <c r="M56" s="37"/>
      <c r="N56" s="37"/>
      <c r="O56" s="37"/>
    </row>
    <row r="57" spans="1:15" s="18" customFormat="1">
      <c r="A57" s="35"/>
      <c r="B57" s="18" t="s">
        <v>165</v>
      </c>
      <c r="C57" s="19" t="s">
        <v>166</v>
      </c>
      <c r="D57" s="14" t="s">
        <v>31</v>
      </c>
      <c r="E57" s="14" t="s">
        <v>12</v>
      </c>
      <c r="F57" s="36">
        <v>18</v>
      </c>
      <c r="G57" s="36" t="s">
        <v>177</v>
      </c>
      <c r="H57" s="15">
        <f>(17.6/15.71)*100-100</f>
        <v>12.03055378739657</v>
      </c>
      <c r="I57" s="14" t="s">
        <v>17</v>
      </c>
      <c r="J57" s="14" t="s">
        <v>85</v>
      </c>
      <c r="L57" s="38"/>
      <c r="M57" s="37"/>
      <c r="N57" s="37"/>
      <c r="O57" s="37"/>
    </row>
    <row r="58" spans="1:15" s="18" customFormat="1">
      <c r="B58" s="18" t="s">
        <v>27</v>
      </c>
      <c r="C58" s="19" t="s">
        <v>28</v>
      </c>
      <c r="D58" s="14" t="s">
        <v>31</v>
      </c>
      <c r="E58" s="14" t="s">
        <v>12</v>
      </c>
      <c r="F58" s="36">
        <v>19</v>
      </c>
      <c r="G58" s="36" t="s">
        <v>178</v>
      </c>
      <c r="H58" s="15">
        <f>(19.217/15.71)*100-100</f>
        <v>22.323360916613595</v>
      </c>
      <c r="I58" s="14" t="s">
        <v>17</v>
      </c>
      <c r="J58" s="14" t="s">
        <v>35</v>
      </c>
    </row>
    <row r="59" spans="1:15" s="18" customFormat="1"/>
    <row r="60" spans="1:15" s="18" customFormat="1"/>
    <row r="61" spans="1:15" s="18" customFormat="1">
      <c r="A61" s="31" t="s">
        <v>22</v>
      </c>
      <c r="D61" s="14"/>
      <c r="E61" s="14"/>
      <c r="F61" s="14"/>
      <c r="G61" s="14"/>
      <c r="H61" s="14"/>
      <c r="I61" s="14"/>
      <c r="J61" s="14"/>
    </row>
    <row r="62" spans="1:15" s="18" customFormat="1">
      <c r="A62" s="32" t="s">
        <v>634</v>
      </c>
      <c r="B62" s="33" t="s">
        <v>0</v>
      </c>
      <c r="C62" s="33" t="s">
        <v>1</v>
      </c>
      <c r="D62" s="16" t="s">
        <v>6</v>
      </c>
      <c r="E62" s="16" t="s">
        <v>2</v>
      </c>
      <c r="F62" s="16" t="s">
        <v>4</v>
      </c>
      <c r="G62" s="16" t="s">
        <v>8</v>
      </c>
      <c r="H62" s="16" t="s">
        <v>7</v>
      </c>
      <c r="I62" s="16" t="s">
        <v>9</v>
      </c>
      <c r="J62" s="34" t="s">
        <v>3</v>
      </c>
    </row>
    <row r="63" spans="1:15" s="18" customFormat="1">
      <c r="A63" s="35"/>
      <c r="B63" s="18" t="s">
        <v>13</v>
      </c>
      <c r="C63" s="19" t="s">
        <v>14</v>
      </c>
      <c r="D63" s="14" t="s">
        <v>31</v>
      </c>
      <c r="E63" s="14" t="s">
        <v>12</v>
      </c>
      <c r="F63" s="36">
        <v>15</v>
      </c>
      <c r="G63" s="36" t="s">
        <v>179</v>
      </c>
      <c r="H63" s="14"/>
      <c r="I63" s="14"/>
      <c r="J63" s="14" t="s">
        <v>180</v>
      </c>
      <c r="L63" s="37"/>
      <c r="M63" s="37"/>
      <c r="N63" s="37"/>
      <c r="O63" s="37"/>
    </row>
    <row r="64" spans="1:15" s="18" customFormat="1">
      <c r="A64" s="35"/>
      <c r="B64" s="18" t="s">
        <v>162</v>
      </c>
      <c r="C64" s="19" t="s">
        <v>163</v>
      </c>
      <c r="D64" s="14" t="s">
        <v>31</v>
      </c>
      <c r="E64" s="14" t="s">
        <v>12</v>
      </c>
      <c r="F64" s="36">
        <v>16</v>
      </c>
      <c r="G64" s="36" t="s">
        <v>181</v>
      </c>
      <c r="H64" s="15">
        <f>(16.67/15.24)*100-100</f>
        <v>9.3832020997375594</v>
      </c>
      <c r="I64" s="14" t="s">
        <v>182</v>
      </c>
      <c r="J64" s="14" t="s">
        <v>110</v>
      </c>
      <c r="L64" s="38"/>
      <c r="M64" s="37"/>
      <c r="N64" s="37"/>
      <c r="O64" s="37"/>
    </row>
    <row r="65" spans="1:15" s="18" customFormat="1">
      <c r="A65" s="35"/>
      <c r="B65" s="18" t="s">
        <v>165</v>
      </c>
      <c r="C65" s="19" t="s">
        <v>166</v>
      </c>
      <c r="D65" s="14" t="s">
        <v>31</v>
      </c>
      <c r="E65" s="14" t="s">
        <v>12</v>
      </c>
      <c r="F65" s="36">
        <v>19</v>
      </c>
      <c r="G65" s="36" t="s">
        <v>183</v>
      </c>
      <c r="H65" s="15">
        <f>(19.44/15.24)*100-100</f>
        <v>27.559055118110251</v>
      </c>
      <c r="I65" s="14" t="s">
        <v>17</v>
      </c>
      <c r="J65" s="14" t="s">
        <v>39</v>
      </c>
      <c r="L65" s="38"/>
      <c r="M65" s="37"/>
      <c r="N65" s="37"/>
      <c r="O65" s="37"/>
    </row>
    <row r="66" spans="1:15" s="18" customFormat="1">
      <c r="B66" s="18" t="s">
        <v>27</v>
      </c>
      <c r="C66" s="19" t="s">
        <v>28</v>
      </c>
      <c r="D66" s="14" t="s">
        <v>31</v>
      </c>
      <c r="E66" s="14" t="s">
        <v>12</v>
      </c>
      <c r="F66" s="36">
        <v>19</v>
      </c>
      <c r="G66" s="36" t="s">
        <v>184</v>
      </c>
      <c r="H66" s="15">
        <f>(20.05/15.24)*100-100</f>
        <v>31.561679790026233</v>
      </c>
      <c r="I66" s="14" t="s">
        <v>17</v>
      </c>
      <c r="J66" s="14" t="s">
        <v>26</v>
      </c>
    </row>
    <row r="67" spans="1:15" s="18" customFormat="1"/>
    <row r="68" spans="1:15" s="18" customFormat="1"/>
    <row r="69" spans="1:15" s="18" customFormat="1">
      <c r="A69" s="31" t="s">
        <v>185</v>
      </c>
      <c r="D69" s="14"/>
      <c r="E69" s="14"/>
      <c r="F69" s="14"/>
      <c r="G69" s="14"/>
      <c r="H69" s="14"/>
      <c r="I69" s="14"/>
      <c r="J69" s="14"/>
    </row>
    <row r="70" spans="1:15" s="18" customFormat="1">
      <c r="A70" s="32" t="s">
        <v>634</v>
      </c>
      <c r="B70" s="33" t="s">
        <v>0</v>
      </c>
      <c r="C70" s="33" t="s">
        <v>1</v>
      </c>
      <c r="D70" s="16" t="s">
        <v>6</v>
      </c>
      <c r="E70" s="16" t="s">
        <v>2</v>
      </c>
      <c r="F70" s="16" t="s">
        <v>4</v>
      </c>
      <c r="G70" s="16" t="s">
        <v>8</v>
      </c>
      <c r="H70" s="16" t="s">
        <v>7</v>
      </c>
      <c r="I70" s="16" t="s">
        <v>9</v>
      </c>
      <c r="J70" s="34" t="s">
        <v>3</v>
      </c>
    </row>
    <row r="71" spans="1:15" s="18" customFormat="1">
      <c r="A71" s="35"/>
      <c r="B71" s="18" t="s">
        <v>13</v>
      </c>
      <c r="C71" s="19" t="s">
        <v>14</v>
      </c>
      <c r="D71" s="14" t="s">
        <v>31</v>
      </c>
      <c r="E71" s="14" t="s">
        <v>12</v>
      </c>
      <c r="F71" s="36">
        <v>15</v>
      </c>
      <c r="G71" s="36" t="s">
        <v>186</v>
      </c>
      <c r="H71" s="14"/>
      <c r="I71" s="14"/>
      <c r="J71" s="14" t="s">
        <v>61</v>
      </c>
      <c r="L71" s="37"/>
      <c r="M71" s="37"/>
      <c r="N71" s="37"/>
      <c r="O71" s="37"/>
    </row>
    <row r="72" spans="1:15" s="18" customFormat="1">
      <c r="A72" s="35"/>
      <c r="B72" s="18" t="s">
        <v>162</v>
      </c>
      <c r="C72" s="19" t="s">
        <v>163</v>
      </c>
      <c r="D72" s="14" t="s">
        <v>31</v>
      </c>
      <c r="E72" s="14" t="s">
        <v>12</v>
      </c>
      <c r="F72" s="36">
        <v>16</v>
      </c>
      <c r="G72" s="36" t="s">
        <v>187</v>
      </c>
      <c r="H72" s="15">
        <f>(16.83/15.99)*100-100</f>
        <v>5.2532833020637781</v>
      </c>
      <c r="I72" s="14" t="s">
        <v>188</v>
      </c>
      <c r="J72" s="14" t="s">
        <v>19</v>
      </c>
      <c r="L72" s="38"/>
      <c r="M72" s="37"/>
      <c r="N72" s="37"/>
      <c r="O72" s="37"/>
    </row>
    <row r="73" spans="1:15" s="18" customFormat="1">
      <c r="A73" s="35"/>
      <c r="B73" s="18" t="s">
        <v>165</v>
      </c>
      <c r="C73" s="19" t="s">
        <v>166</v>
      </c>
      <c r="D73" s="14" t="s">
        <v>31</v>
      </c>
      <c r="E73" s="14" t="s">
        <v>12</v>
      </c>
      <c r="F73" s="36">
        <v>17</v>
      </c>
      <c r="G73" s="36" t="s">
        <v>189</v>
      </c>
      <c r="H73" s="15">
        <f>(17.59/15.99)*100-100</f>
        <v>10.006253908692941</v>
      </c>
      <c r="I73" s="14" t="s">
        <v>190</v>
      </c>
      <c r="J73" s="14" t="s">
        <v>191</v>
      </c>
      <c r="L73" s="38"/>
      <c r="M73" s="37"/>
      <c r="N73" s="37"/>
      <c r="O73" s="37"/>
    </row>
    <row r="74" spans="1:15" s="18" customFormat="1">
      <c r="B74" s="18" t="s">
        <v>27</v>
      </c>
      <c r="C74" s="19" t="s">
        <v>28</v>
      </c>
      <c r="D74" s="14" t="s">
        <v>31</v>
      </c>
      <c r="E74" s="14" t="s">
        <v>12</v>
      </c>
      <c r="F74" s="36">
        <v>17</v>
      </c>
      <c r="G74" s="36" t="s">
        <v>192</v>
      </c>
      <c r="H74" s="15">
        <f>(18.45/15.99)*100-100</f>
        <v>15.384615384615373</v>
      </c>
      <c r="I74" s="14" t="s">
        <v>17</v>
      </c>
      <c r="J74" s="14" t="s">
        <v>19</v>
      </c>
    </row>
    <row r="75" spans="1:15" s="23" customForma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9A920-FBDD-2848-99FF-C0934FB07B06}">
  <dimension ref="A1:O89"/>
  <sheetViews>
    <sheetView zoomScaleNormal="100" workbookViewId="0">
      <selection activeCell="E5" sqref="E5"/>
    </sheetView>
  </sheetViews>
  <sheetFormatPr baseColWidth="10" defaultRowHeight="16"/>
  <cols>
    <col min="1" max="1" width="28.83203125" customWidth="1"/>
    <col min="2" max="2" width="17.5" customWidth="1"/>
    <col min="3" max="3" width="69.1640625" bestFit="1" customWidth="1"/>
    <col min="4" max="4" width="12.33203125" bestFit="1" customWidth="1"/>
    <col min="5" max="5" width="30.33203125" bestFit="1" customWidth="1"/>
    <col min="6" max="6" width="22.1640625" bestFit="1" customWidth="1"/>
    <col min="7" max="7" width="29" bestFit="1" customWidth="1"/>
    <col min="8" max="8" width="26.1640625" bestFit="1" customWidth="1"/>
    <col min="9" max="9" width="27" bestFit="1" customWidth="1"/>
    <col min="10" max="10" width="23.1640625" bestFit="1" customWidth="1"/>
  </cols>
  <sheetData>
    <row r="1" spans="1:15" ht="20">
      <c r="A1" s="17" t="s">
        <v>779</v>
      </c>
    </row>
    <row r="2" spans="1:15" s="6" customFormat="1" ht="21">
      <c r="A2" s="17"/>
      <c r="F2" s="7"/>
      <c r="G2" s="7"/>
      <c r="H2" s="7"/>
      <c r="I2" s="7"/>
      <c r="J2" s="7"/>
    </row>
    <row r="3" spans="1:15" ht="18">
      <c r="A3" s="20" t="s">
        <v>607</v>
      </c>
      <c r="F3" s="11"/>
      <c r="G3" s="11"/>
      <c r="H3" s="11"/>
      <c r="I3" s="11"/>
      <c r="J3" s="11"/>
    </row>
    <row r="8" spans="1:15" s="18" customFormat="1">
      <c r="A8" s="31" t="s">
        <v>5</v>
      </c>
      <c r="D8" s="14"/>
      <c r="E8" s="14"/>
      <c r="F8" s="14"/>
      <c r="G8" s="14"/>
      <c r="H8" s="14"/>
      <c r="I8" s="14"/>
      <c r="J8" s="14"/>
    </row>
    <row r="9" spans="1:15" s="18" customFormat="1">
      <c r="A9" s="32" t="s">
        <v>769</v>
      </c>
      <c r="B9" s="33" t="s">
        <v>0</v>
      </c>
      <c r="C9" s="33" t="s">
        <v>1</v>
      </c>
      <c r="D9" s="16" t="s">
        <v>6</v>
      </c>
      <c r="E9" s="16" t="s">
        <v>2</v>
      </c>
      <c r="F9" s="16" t="s">
        <v>4</v>
      </c>
      <c r="G9" s="16" t="s">
        <v>8</v>
      </c>
      <c r="H9" s="16" t="s">
        <v>7</v>
      </c>
      <c r="I9" s="16" t="s">
        <v>9</v>
      </c>
      <c r="J9" s="34" t="s">
        <v>3</v>
      </c>
    </row>
    <row r="10" spans="1:15" s="18" customFormat="1">
      <c r="A10" s="35"/>
      <c r="B10" s="18" t="s">
        <v>73</v>
      </c>
      <c r="C10" s="19" t="s">
        <v>74</v>
      </c>
      <c r="D10" s="14" t="s">
        <v>10</v>
      </c>
      <c r="E10" s="39" t="s">
        <v>42</v>
      </c>
      <c r="F10" s="36">
        <v>28</v>
      </c>
      <c r="G10" s="36" t="s">
        <v>331</v>
      </c>
      <c r="H10" s="14"/>
      <c r="I10" s="14"/>
      <c r="J10" s="14" t="s">
        <v>180</v>
      </c>
      <c r="L10" s="37"/>
      <c r="M10" s="37"/>
      <c r="N10" s="37"/>
      <c r="O10" s="37"/>
    </row>
    <row r="11" spans="1:15" s="18" customFormat="1">
      <c r="B11" s="18" t="s">
        <v>73</v>
      </c>
      <c r="C11" s="19" t="s">
        <v>74</v>
      </c>
      <c r="D11" s="14" t="s">
        <v>10</v>
      </c>
      <c r="E11" s="39" t="s">
        <v>270</v>
      </c>
      <c r="F11" s="36">
        <v>25</v>
      </c>
      <c r="G11" s="36" t="s">
        <v>332</v>
      </c>
      <c r="H11" s="15">
        <f>(23.81/28.2)*100-100</f>
        <v>-15.567375886524829</v>
      </c>
      <c r="I11" s="14" t="s">
        <v>17</v>
      </c>
      <c r="J11" s="14" t="s">
        <v>191</v>
      </c>
    </row>
    <row r="12" spans="1:15" s="18" customFormat="1"/>
    <row r="13" spans="1:15" s="18" customFormat="1">
      <c r="A13" s="31" t="s">
        <v>22</v>
      </c>
      <c r="D13" s="14"/>
      <c r="E13" s="14"/>
      <c r="F13" s="14"/>
      <c r="G13" s="14"/>
      <c r="H13" s="14"/>
      <c r="I13" s="14"/>
      <c r="J13" s="14"/>
    </row>
    <row r="14" spans="1:15" s="18" customFormat="1">
      <c r="A14" s="32" t="s">
        <v>769</v>
      </c>
      <c r="B14" s="33" t="s">
        <v>0</v>
      </c>
      <c r="C14" s="33" t="s">
        <v>1</v>
      </c>
      <c r="D14" s="16" t="s">
        <v>6</v>
      </c>
      <c r="E14" s="16" t="s">
        <v>2</v>
      </c>
      <c r="F14" s="16" t="s">
        <v>4</v>
      </c>
      <c r="G14" s="16" t="s">
        <v>8</v>
      </c>
      <c r="H14" s="16" t="s">
        <v>7</v>
      </c>
      <c r="I14" s="16" t="s">
        <v>9</v>
      </c>
      <c r="J14" s="34" t="s">
        <v>3</v>
      </c>
    </row>
    <row r="15" spans="1:15" s="18" customFormat="1">
      <c r="A15" s="35"/>
      <c r="B15" s="18" t="s">
        <v>73</v>
      </c>
      <c r="C15" s="19" t="s">
        <v>74</v>
      </c>
      <c r="D15" s="14" t="s">
        <v>10</v>
      </c>
      <c r="E15" s="39" t="s">
        <v>42</v>
      </c>
      <c r="F15" s="36">
        <v>19</v>
      </c>
      <c r="G15" s="36" t="s">
        <v>456</v>
      </c>
      <c r="H15" s="14"/>
      <c r="I15" s="14"/>
      <c r="J15" s="14" t="s">
        <v>61</v>
      </c>
      <c r="L15" s="37"/>
      <c r="M15" s="37"/>
      <c r="N15" s="37"/>
      <c r="O15" s="37"/>
    </row>
    <row r="16" spans="1:15" s="18" customFormat="1">
      <c r="B16" s="18" t="s">
        <v>73</v>
      </c>
      <c r="C16" s="19" t="s">
        <v>74</v>
      </c>
      <c r="D16" s="14" t="s">
        <v>10</v>
      </c>
      <c r="E16" s="39" t="s">
        <v>270</v>
      </c>
      <c r="F16" s="36">
        <v>16</v>
      </c>
      <c r="G16" s="36" t="s">
        <v>457</v>
      </c>
      <c r="H16" s="15">
        <f>(16.78/18.04)*100-100</f>
        <v>-6.9844789356984336</v>
      </c>
      <c r="I16" s="14" t="s">
        <v>357</v>
      </c>
      <c r="J16" s="14" t="s">
        <v>49</v>
      </c>
    </row>
    <row r="17" spans="1:15" s="18" customFormat="1">
      <c r="C17" s="19"/>
      <c r="D17" s="14"/>
      <c r="E17" s="39"/>
      <c r="F17" s="36"/>
      <c r="G17" s="36"/>
      <c r="H17" s="15"/>
      <c r="I17" s="14"/>
      <c r="J17" s="14"/>
    </row>
    <row r="18" spans="1:15" s="18" customFormat="1">
      <c r="A18" s="31" t="s">
        <v>185</v>
      </c>
      <c r="D18" s="14"/>
      <c r="E18" s="14"/>
      <c r="F18" s="14"/>
      <c r="G18" s="14"/>
      <c r="H18" s="14"/>
      <c r="I18" s="14"/>
      <c r="J18" s="14"/>
    </row>
    <row r="19" spans="1:15" s="18" customFormat="1">
      <c r="A19" s="32" t="s">
        <v>769</v>
      </c>
      <c r="B19" s="33" t="s">
        <v>0</v>
      </c>
      <c r="C19" s="33" t="s">
        <v>1</v>
      </c>
      <c r="D19" s="16" t="s">
        <v>6</v>
      </c>
      <c r="E19" s="16" t="s">
        <v>2</v>
      </c>
      <c r="F19" s="16" t="s">
        <v>4</v>
      </c>
      <c r="G19" s="16" t="s">
        <v>8</v>
      </c>
      <c r="H19" s="16" t="s">
        <v>7</v>
      </c>
      <c r="I19" s="16" t="s">
        <v>9</v>
      </c>
      <c r="J19" s="34" t="s">
        <v>3</v>
      </c>
    </row>
    <row r="20" spans="1:15" s="18" customFormat="1">
      <c r="A20" s="35"/>
      <c r="B20" s="18" t="s">
        <v>73</v>
      </c>
      <c r="C20" s="19" t="s">
        <v>74</v>
      </c>
      <c r="D20" s="14" t="s">
        <v>10</v>
      </c>
      <c r="E20" s="39" t="s">
        <v>42</v>
      </c>
      <c r="F20" s="36">
        <v>27</v>
      </c>
      <c r="G20" s="36" t="s">
        <v>493</v>
      </c>
      <c r="H20" s="14"/>
      <c r="I20" s="14"/>
      <c r="J20" s="14" t="s">
        <v>39</v>
      </c>
      <c r="L20" s="37"/>
      <c r="M20" s="37"/>
      <c r="N20" s="37"/>
      <c r="O20" s="37"/>
    </row>
    <row r="21" spans="1:15" s="18" customFormat="1">
      <c r="B21" s="18" t="s">
        <v>73</v>
      </c>
      <c r="C21" s="19" t="s">
        <v>74</v>
      </c>
      <c r="D21" s="14" t="s">
        <v>10</v>
      </c>
      <c r="E21" s="39" t="s">
        <v>270</v>
      </c>
      <c r="F21" s="36">
        <v>25</v>
      </c>
      <c r="G21" s="36" t="s">
        <v>494</v>
      </c>
      <c r="H21" s="15">
        <f>(24.57/26.44)*100-100</f>
        <v>-7.0726172465960673</v>
      </c>
      <c r="I21" s="14" t="s">
        <v>17</v>
      </c>
      <c r="J21" s="14" t="s">
        <v>490</v>
      </c>
    </row>
    <row r="22" spans="1:15" s="18" customFormat="1">
      <c r="C22" s="19"/>
      <c r="D22" s="14"/>
      <c r="E22" s="39"/>
      <c r="F22" s="36"/>
      <c r="G22" s="36"/>
      <c r="H22" s="15"/>
      <c r="I22" s="14"/>
      <c r="J22" s="14"/>
    </row>
    <row r="23" spans="1:15" s="18" customFormat="1">
      <c r="A23" s="31" t="s">
        <v>491</v>
      </c>
      <c r="D23" s="14"/>
      <c r="E23" s="14"/>
      <c r="F23" s="14"/>
      <c r="G23" s="14"/>
      <c r="H23" s="14"/>
      <c r="I23" s="14"/>
      <c r="J23" s="14"/>
    </row>
    <row r="24" spans="1:15" s="18" customFormat="1">
      <c r="A24" s="32" t="s">
        <v>769</v>
      </c>
      <c r="B24" s="33" t="s">
        <v>0</v>
      </c>
      <c r="C24" s="33" t="s">
        <v>1</v>
      </c>
      <c r="D24" s="16" t="s">
        <v>6</v>
      </c>
      <c r="E24" s="16" t="s">
        <v>2</v>
      </c>
      <c r="F24" s="16" t="s">
        <v>4</v>
      </c>
      <c r="G24" s="16" t="s">
        <v>8</v>
      </c>
      <c r="H24" s="16" t="s">
        <v>7</v>
      </c>
      <c r="I24" s="16" t="s">
        <v>9</v>
      </c>
      <c r="J24" s="34" t="s">
        <v>3</v>
      </c>
    </row>
    <row r="25" spans="1:15" s="18" customFormat="1">
      <c r="A25" s="35"/>
      <c r="B25" s="18" t="s">
        <v>73</v>
      </c>
      <c r="C25" s="19" t="s">
        <v>74</v>
      </c>
      <c r="D25" s="14" t="s">
        <v>10</v>
      </c>
      <c r="E25" s="39" t="s">
        <v>42</v>
      </c>
      <c r="F25" s="36">
        <v>26</v>
      </c>
      <c r="G25" s="36" t="s">
        <v>495</v>
      </c>
      <c r="H25" s="14"/>
      <c r="I25" s="14"/>
      <c r="J25" s="14" t="s">
        <v>129</v>
      </c>
      <c r="L25" s="37"/>
      <c r="M25" s="37"/>
      <c r="N25" s="37"/>
      <c r="O25" s="37"/>
    </row>
    <row r="26" spans="1:15" s="18" customFormat="1">
      <c r="B26" s="18" t="s">
        <v>73</v>
      </c>
      <c r="C26" s="19" t="s">
        <v>74</v>
      </c>
      <c r="D26" s="14" t="s">
        <v>10</v>
      </c>
      <c r="E26" s="39" t="s">
        <v>270</v>
      </c>
      <c r="F26" s="36">
        <v>25</v>
      </c>
      <c r="G26" s="36" t="s">
        <v>496</v>
      </c>
      <c r="H26" s="15">
        <f>(24.03/25.59)*100-100</f>
        <v>-6.0961313012895602</v>
      </c>
      <c r="I26" s="14" t="s">
        <v>492</v>
      </c>
      <c r="J26" s="14" t="s">
        <v>490</v>
      </c>
    </row>
    <row r="27" spans="1:15" s="18" customFormat="1">
      <c r="C27" s="19"/>
      <c r="D27" s="14"/>
      <c r="E27" s="39"/>
      <c r="F27" s="36"/>
      <c r="G27" s="36"/>
      <c r="H27" s="15"/>
      <c r="I27" s="14"/>
      <c r="J27" s="14"/>
    </row>
    <row r="28" spans="1:15" s="18" customFormat="1">
      <c r="A28" s="31" t="s">
        <v>5</v>
      </c>
      <c r="D28" s="14"/>
      <c r="E28" s="39"/>
      <c r="F28" s="36"/>
      <c r="G28" s="36"/>
      <c r="H28" s="15"/>
      <c r="I28" s="14"/>
      <c r="J28" s="14"/>
      <c r="L28" s="38"/>
      <c r="M28" s="37"/>
      <c r="N28" s="37"/>
      <c r="O28" s="37"/>
    </row>
    <row r="29" spans="1:15" s="18" customFormat="1">
      <c r="A29" s="32" t="s">
        <v>770</v>
      </c>
      <c r="B29" s="33" t="s">
        <v>0</v>
      </c>
      <c r="C29" s="33" t="s">
        <v>1</v>
      </c>
      <c r="D29" s="16" t="s">
        <v>6</v>
      </c>
      <c r="E29" s="16" t="s">
        <v>2</v>
      </c>
      <c r="F29" s="16" t="s">
        <v>4</v>
      </c>
      <c r="G29" s="16" t="s">
        <v>8</v>
      </c>
      <c r="H29" s="16" t="s">
        <v>7</v>
      </c>
      <c r="I29" s="16" t="s">
        <v>9</v>
      </c>
      <c r="J29" s="34" t="s">
        <v>3</v>
      </c>
    </row>
    <row r="30" spans="1:15" s="18" customFormat="1">
      <c r="A30" s="35"/>
      <c r="B30" s="18" t="s">
        <v>497</v>
      </c>
      <c r="C30" s="19" t="s">
        <v>498</v>
      </c>
      <c r="D30" s="14" t="s">
        <v>10</v>
      </c>
      <c r="E30" s="39" t="s">
        <v>42</v>
      </c>
      <c r="F30" s="36">
        <v>25</v>
      </c>
      <c r="G30" s="36" t="s">
        <v>524</v>
      </c>
      <c r="H30" s="14"/>
      <c r="I30" s="14"/>
      <c r="J30" s="14" t="s">
        <v>490</v>
      </c>
      <c r="L30" s="38"/>
      <c r="M30" s="37"/>
      <c r="N30" s="37"/>
      <c r="O30" s="37"/>
    </row>
    <row r="31" spans="1:15" s="18" customFormat="1">
      <c r="A31" s="35"/>
      <c r="B31" s="18" t="s">
        <v>497</v>
      </c>
      <c r="C31" s="19" t="s">
        <v>498</v>
      </c>
      <c r="D31" s="14" t="s">
        <v>10</v>
      </c>
      <c r="E31" s="39" t="s">
        <v>270</v>
      </c>
      <c r="F31" s="36">
        <v>25</v>
      </c>
      <c r="G31" s="36" t="s">
        <v>527</v>
      </c>
      <c r="H31" s="15">
        <f>(23.3/25.29)*100-100</f>
        <v>-7.868722815342025</v>
      </c>
      <c r="I31" s="14" t="s">
        <v>528</v>
      </c>
      <c r="J31" s="14" t="s">
        <v>129</v>
      </c>
      <c r="L31" s="38"/>
      <c r="M31" s="37"/>
      <c r="N31" s="37"/>
      <c r="O31" s="37"/>
    </row>
    <row r="32" spans="1:15" s="18" customFormat="1">
      <c r="A32" s="35"/>
      <c r="C32" s="19"/>
      <c r="D32" s="14"/>
      <c r="E32" s="39"/>
      <c r="F32" s="36"/>
      <c r="G32" s="36"/>
      <c r="H32" s="15"/>
      <c r="I32" s="14"/>
      <c r="J32" s="14"/>
      <c r="L32" s="38"/>
      <c r="M32" s="37"/>
      <c r="N32" s="37"/>
      <c r="O32" s="37"/>
    </row>
    <row r="33" spans="1:15" s="18" customFormat="1">
      <c r="A33" s="35"/>
      <c r="C33" s="19"/>
      <c r="D33" s="14"/>
      <c r="E33" s="39"/>
      <c r="F33" s="36"/>
      <c r="G33" s="36"/>
      <c r="H33" s="15"/>
      <c r="I33" s="14"/>
      <c r="J33" s="14"/>
      <c r="L33" s="38"/>
      <c r="M33" s="37"/>
      <c r="N33" s="37"/>
      <c r="O33" s="37"/>
    </row>
    <row r="34" spans="1:15" s="18" customFormat="1">
      <c r="A34" s="31" t="s">
        <v>22</v>
      </c>
      <c r="D34" s="14"/>
      <c r="E34" s="39"/>
      <c r="F34" s="36"/>
      <c r="G34" s="36"/>
      <c r="H34" s="15"/>
      <c r="I34" s="14"/>
      <c r="J34" s="14"/>
      <c r="L34" s="38"/>
      <c r="M34" s="37"/>
      <c r="N34" s="37"/>
      <c r="O34" s="37"/>
    </row>
    <row r="35" spans="1:15" s="18" customFormat="1">
      <c r="A35" s="32" t="s">
        <v>770</v>
      </c>
      <c r="B35" s="33" t="s">
        <v>0</v>
      </c>
      <c r="C35" s="33" t="s">
        <v>1</v>
      </c>
      <c r="D35" s="16" t="s">
        <v>6</v>
      </c>
      <c r="E35" s="16" t="s">
        <v>2</v>
      </c>
      <c r="F35" s="16" t="s">
        <v>4</v>
      </c>
      <c r="G35" s="16" t="s">
        <v>8</v>
      </c>
      <c r="H35" s="16" t="s">
        <v>7</v>
      </c>
      <c r="I35" s="16" t="s">
        <v>9</v>
      </c>
      <c r="J35" s="34" t="s">
        <v>3</v>
      </c>
    </row>
    <row r="36" spans="1:15" s="18" customFormat="1">
      <c r="A36" s="35"/>
      <c r="B36" s="18" t="s">
        <v>497</v>
      </c>
      <c r="C36" s="19" t="s">
        <v>498</v>
      </c>
      <c r="D36" s="14" t="s">
        <v>10</v>
      </c>
      <c r="E36" s="39" t="s">
        <v>42</v>
      </c>
      <c r="F36" s="36">
        <v>25</v>
      </c>
      <c r="G36" s="36" t="s">
        <v>529</v>
      </c>
      <c r="H36" s="14"/>
      <c r="I36" s="14"/>
      <c r="J36" s="14" t="s">
        <v>170</v>
      </c>
      <c r="L36" s="38"/>
      <c r="M36" s="37"/>
      <c r="N36" s="37"/>
      <c r="O36" s="37"/>
    </row>
    <row r="37" spans="1:15" s="18" customFormat="1">
      <c r="A37" s="35"/>
      <c r="B37" s="18" t="s">
        <v>497</v>
      </c>
      <c r="C37" s="19" t="s">
        <v>498</v>
      </c>
      <c r="D37" s="14" t="s">
        <v>10</v>
      </c>
      <c r="E37" s="39" t="s">
        <v>270</v>
      </c>
      <c r="F37" s="36">
        <v>24</v>
      </c>
      <c r="G37" s="36" t="s">
        <v>530</v>
      </c>
      <c r="H37" s="15">
        <f>(23.08/25.06)*100-100</f>
        <v>-7.9010375099760637</v>
      </c>
      <c r="I37" s="14" t="s">
        <v>364</v>
      </c>
      <c r="J37" s="14" t="s">
        <v>170</v>
      </c>
      <c r="L37" s="38"/>
      <c r="M37" s="37"/>
      <c r="N37" s="37"/>
      <c r="O37" s="37"/>
    </row>
    <row r="38" spans="1:15" s="23" customFormat="1">
      <c r="C38" s="26"/>
      <c r="D38" s="24"/>
      <c r="E38" s="67"/>
      <c r="F38" s="27"/>
      <c r="G38" s="27"/>
      <c r="H38" s="29"/>
      <c r="I38" s="24"/>
      <c r="J38" s="24"/>
    </row>
    <row r="39" spans="1:15" s="23" customFormat="1"/>
    <row r="40" spans="1:15" s="23" customFormat="1">
      <c r="C40" s="26"/>
      <c r="D40" s="24"/>
      <c r="E40" s="67"/>
      <c r="F40" s="27"/>
      <c r="G40" s="27"/>
      <c r="H40" s="29"/>
      <c r="I40" s="24"/>
      <c r="J40" s="24"/>
    </row>
    <row r="41" spans="1:15" s="18" customFormat="1">
      <c r="A41" s="31" t="s">
        <v>5</v>
      </c>
      <c r="D41" s="14"/>
      <c r="E41" s="14"/>
      <c r="F41" s="14"/>
      <c r="G41" s="14"/>
      <c r="H41" s="14"/>
      <c r="I41" s="14"/>
      <c r="J41" s="14"/>
    </row>
    <row r="42" spans="1:15" s="18" customFormat="1">
      <c r="A42" s="32" t="s">
        <v>774</v>
      </c>
      <c r="B42" s="33" t="s">
        <v>0</v>
      </c>
      <c r="C42" s="33" t="s">
        <v>1</v>
      </c>
      <c r="D42" s="16" t="s">
        <v>6</v>
      </c>
      <c r="E42" s="16" t="s">
        <v>90</v>
      </c>
      <c r="F42" s="16" t="s">
        <v>4</v>
      </c>
      <c r="G42" s="16" t="s">
        <v>8</v>
      </c>
      <c r="H42" s="16" t="s">
        <v>7</v>
      </c>
      <c r="I42" s="16" t="s">
        <v>9</v>
      </c>
      <c r="J42" s="34" t="s">
        <v>3</v>
      </c>
    </row>
    <row r="43" spans="1:15" s="18" customFormat="1">
      <c r="A43" s="35"/>
      <c r="B43" s="18" t="s">
        <v>88</v>
      </c>
      <c r="C43" s="18" t="s">
        <v>89</v>
      </c>
      <c r="D43" s="14" t="s">
        <v>10</v>
      </c>
      <c r="E43" s="14" t="s">
        <v>342</v>
      </c>
      <c r="F43" s="36">
        <v>24</v>
      </c>
      <c r="G43" s="36" t="s">
        <v>386</v>
      </c>
      <c r="H43" s="14"/>
      <c r="I43" s="14"/>
      <c r="J43" s="14" t="s">
        <v>358</v>
      </c>
      <c r="L43" s="37"/>
      <c r="M43" s="37"/>
      <c r="N43" s="37"/>
      <c r="O43" s="37"/>
    </row>
    <row r="44" spans="1:15" s="18" customFormat="1">
      <c r="A44" s="35"/>
      <c r="B44" s="18" t="s">
        <v>88</v>
      </c>
      <c r="C44" s="18" t="s">
        <v>89</v>
      </c>
      <c r="D44" s="14" t="s">
        <v>10</v>
      </c>
      <c r="E44" s="14" t="s">
        <v>782</v>
      </c>
      <c r="F44" s="36">
        <v>26</v>
      </c>
      <c r="G44" s="36" t="s">
        <v>401</v>
      </c>
      <c r="H44" s="15">
        <f>(25.74/22.96)*100-100</f>
        <v>12.108013937282223</v>
      </c>
      <c r="I44" s="14" t="s">
        <v>400</v>
      </c>
      <c r="J44" s="14" t="s">
        <v>385</v>
      </c>
      <c r="L44" s="38"/>
      <c r="M44" s="37"/>
      <c r="N44" s="37"/>
      <c r="O44" s="37"/>
    </row>
    <row r="45" spans="1:15" s="18" customFormat="1">
      <c r="A45" s="35"/>
      <c r="B45" s="18" t="s">
        <v>88</v>
      </c>
      <c r="C45" s="18" t="s">
        <v>89</v>
      </c>
      <c r="D45" s="14" t="s">
        <v>10</v>
      </c>
      <c r="E45" s="14" t="s">
        <v>343</v>
      </c>
      <c r="F45" s="36">
        <v>27</v>
      </c>
      <c r="G45" s="36" t="s">
        <v>402</v>
      </c>
      <c r="H45" s="15">
        <f>(26.03/22.96)*100-100</f>
        <v>13.371080139372822</v>
      </c>
      <c r="I45" s="14" t="s">
        <v>81</v>
      </c>
      <c r="J45" s="14" t="s">
        <v>161</v>
      </c>
      <c r="L45" s="38"/>
      <c r="M45" s="37"/>
      <c r="N45" s="37"/>
      <c r="O45" s="37"/>
    </row>
    <row r="46" spans="1:15" s="18" customFormat="1">
      <c r="A46" s="35"/>
      <c r="D46" s="14"/>
      <c r="E46" s="14"/>
      <c r="F46" s="36"/>
      <c r="G46" s="36"/>
      <c r="H46" s="15"/>
      <c r="I46" s="14"/>
      <c r="J46" s="14"/>
      <c r="L46" s="38"/>
      <c r="M46" s="37"/>
      <c r="N46" s="37"/>
      <c r="O46" s="37"/>
    </row>
    <row r="47" spans="1:15" s="18" customFormat="1">
      <c r="D47" s="14"/>
    </row>
    <row r="48" spans="1:15" s="18" customFormat="1">
      <c r="A48" s="31" t="s">
        <v>22</v>
      </c>
      <c r="D48" s="14"/>
      <c r="E48" s="14"/>
      <c r="F48" s="14"/>
      <c r="G48" s="14"/>
      <c r="H48" s="14"/>
      <c r="I48" s="14"/>
      <c r="J48" s="14"/>
    </row>
    <row r="49" spans="1:15" s="18" customFormat="1">
      <c r="A49" s="32" t="s">
        <v>774</v>
      </c>
      <c r="B49" s="33" t="s">
        <v>0</v>
      </c>
      <c r="C49" s="33" t="s">
        <v>1</v>
      </c>
      <c r="D49" s="16" t="s">
        <v>6</v>
      </c>
      <c r="E49" s="16" t="s">
        <v>90</v>
      </c>
      <c r="F49" s="16" t="s">
        <v>4</v>
      </c>
      <c r="G49" s="16" t="s">
        <v>8</v>
      </c>
      <c r="H49" s="16" t="s">
        <v>7</v>
      </c>
      <c r="I49" s="16" t="s">
        <v>9</v>
      </c>
      <c r="J49" s="34" t="s">
        <v>3</v>
      </c>
    </row>
    <row r="50" spans="1:15" s="18" customFormat="1">
      <c r="A50" s="35"/>
      <c r="B50" s="18" t="s">
        <v>88</v>
      </c>
      <c r="C50" s="18" t="s">
        <v>89</v>
      </c>
      <c r="D50" s="14" t="s">
        <v>10</v>
      </c>
      <c r="E50" s="14" t="s">
        <v>342</v>
      </c>
      <c r="F50" s="36">
        <v>13</v>
      </c>
      <c r="G50" s="36" t="s">
        <v>348</v>
      </c>
      <c r="H50" s="14"/>
      <c r="I50" s="14"/>
      <c r="J50" s="14" t="s">
        <v>39</v>
      </c>
      <c r="L50" s="37"/>
      <c r="M50" s="37"/>
      <c r="N50" s="37"/>
      <c r="O50" s="37"/>
    </row>
    <row r="51" spans="1:15" s="18" customFormat="1">
      <c r="A51" s="35"/>
      <c r="B51" s="18" t="s">
        <v>88</v>
      </c>
      <c r="C51" s="18" t="s">
        <v>89</v>
      </c>
      <c r="D51" s="14" t="s">
        <v>10</v>
      </c>
      <c r="E51" s="14" t="s">
        <v>782</v>
      </c>
      <c r="F51" s="36">
        <v>18</v>
      </c>
      <c r="G51" s="36" t="s">
        <v>349</v>
      </c>
      <c r="H51" s="15">
        <f>(16.92/14.35)*100-100</f>
        <v>17.909407665505242</v>
      </c>
      <c r="I51" s="14" t="s">
        <v>344</v>
      </c>
      <c r="J51" s="14" t="s">
        <v>110</v>
      </c>
      <c r="L51" s="38"/>
      <c r="M51" s="37"/>
      <c r="N51" s="37"/>
      <c r="O51" s="37"/>
    </row>
    <row r="52" spans="1:15" s="18" customFormat="1">
      <c r="A52" s="35"/>
      <c r="B52" s="18" t="s">
        <v>88</v>
      </c>
      <c r="C52" s="18" t="s">
        <v>89</v>
      </c>
      <c r="D52" s="14" t="s">
        <v>10</v>
      </c>
      <c r="E52" s="14" t="s">
        <v>343</v>
      </c>
      <c r="F52" s="36">
        <v>17</v>
      </c>
      <c r="G52" s="36" t="s">
        <v>350</v>
      </c>
      <c r="H52" s="15">
        <f>(16.04/14.35)*100-100</f>
        <v>11.777003484320559</v>
      </c>
      <c r="I52" s="14" t="s">
        <v>345</v>
      </c>
      <c r="J52" s="14" t="s">
        <v>61</v>
      </c>
      <c r="L52" s="38"/>
      <c r="M52" s="37"/>
      <c r="N52" s="37"/>
      <c r="O52" s="37"/>
    </row>
    <row r="53" spans="1:15" s="18" customFormat="1"/>
    <row r="54" spans="1:15" s="18" customFormat="1">
      <c r="A54" s="31" t="s">
        <v>5</v>
      </c>
      <c r="D54" s="14"/>
      <c r="E54" s="14"/>
      <c r="F54" s="14"/>
      <c r="G54" s="14"/>
      <c r="H54" s="14"/>
      <c r="I54" s="14"/>
      <c r="J54" s="14"/>
    </row>
    <row r="55" spans="1:15" s="18" customFormat="1">
      <c r="A55" s="32" t="s">
        <v>775</v>
      </c>
      <c r="B55" s="33" t="s">
        <v>0</v>
      </c>
      <c r="C55" s="33" t="s">
        <v>1</v>
      </c>
      <c r="D55" s="16" t="s">
        <v>6</v>
      </c>
      <c r="E55" s="16" t="s">
        <v>90</v>
      </c>
      <c r="F55" s="16" t="s">
        <v>4</v>
      </c>
      <c r="G55" s="16" t="s">
        <v>8</v>
      </c>
      <c r="H55" s="16" t="s">
        <v>7</v>
      </c>
      <c r="I55" s="16" t="s">
        <v>9</v>
      </c>
      <c r="J55" s="34" t="s">
        <v>3</v>
      </c>
    </row>
    <row r="56" spans="1:15" s="18" customFormat="1">
      <c r="A56" s="35"/>
      <c r="B56" s="18" t="s">
        <v>88</v>
      </c>
      <c r="C56" s="18" t="s">
        <v>89</v>
      </c>
      <c r="D56" s="14" t="s">
        <v>31</v>
      </c>
      <c r="E56" s="14" t="s">
        <v>342</v>
      </c>
      <c r="F56" s="36">
        <v>17</v>
      </c>
      <c r="G56" s="36" t="s">
        <v>369</v>
      </c>
      <c r="H56" s="14"/>
      <c r="I56" s="14"/>
      <c r="J56" s="14" t="s">
        <v>11</v>
      </c>
      <c r="L56" s="37"/>
      <c r="M56" s="37"/>
      <c r="N56" s="37"/>
      <c r="O56" s="37"/>
    </row>
    <row r="57" spans="1:15" s="18" customFormat="1">
      <c r="A57" s="35"/>
      <c r="B57" s="18" t="s">
        <v>88</v>
      </c>
      <c r="C57" s="18" t="s">
        <v>89</v>
      </c>
      <c r="D57" s="14" t="s">
        <v>31</v>
      </c>
      <c r="E57" s="14" t="s">
        <v>782</v>
      </c>
      <c r="F57" s="36">
        <v>19</v>
      </c>
      <c r="G57" s="36" t="s">
        <v>370</v>
      </c>
      <c r="H57" s="15">
        <f>(19.48/16.23)*100-100</f>
        <v>20.024645717806536</v>
      </c>
      <c r="I57" s="14" t="s">
        <v>17</v>
      </c>
      <c r="J57" s="14" t="s">
        <v>151</v>
      </c>
      <c r="L57" s="38"/>
      <c r="M57" s="37"/>
      <c r="N57" s="37"/>
      <c r="O57" s="37"/>
    </row>
    <row r="58" spans="1:15" s="18" customFormat="1">
      <c r="A58" s="35"/>
      <c r="B58" s="18" t="s">
        <v>88</v>
      </c>
      <c r="C58" s="18" t="s">
        <v>89</v>
      </c>
      <c r="D58" s="14" t="s">
        <v>31</v>
      </c>
      <c r="E58" s="14" t="s">
        <v>343</v>
      </c>
      <c r="F58" s="36">
        <v>19</v>
      </c>
      <c r="G58" s="36" t="s">
        <v>371</v>
      </c>
      <c r="H58" s="15">
        <f>(18.92/16.23)*100-100</f>
        <v>16.574245224892195</v>
      </c>
      <c r="I58" s="14" t="s">
        <v>17</v>
      </c>
      <c r="J58" s="14" t="s">
        <v>30</v>
      </c>
      <c r="L58" s="38"/>
      <c r="M58" s="37"/>
      <c r="N58" s="37"/>
      <c r="O58" s="37"/>
    </row>
    <row r="59" spans="1:15" s="18" customFormat="1"/>
    <row r="60" spans="1:15" s="18" customFormat="1">
      <c r="A60" s="31" t="s">
        <v>22</v>
      </c>
      <c r="D60" s="14"/>
      <c r="E60" s="14"/>
      <c r="F60" s="14"/>
      <c r="G60" s="14"/>
      <c r="H60" s="14"/>
      <c r="I60" s="14"/>
      <c r="J60" s="14"/>
    </row>
    <row r="61" spans="1:15" s="18" customFormat="1">
      <c r="A61" s="32" t="s">
        <v>775</v>
      </c>
      <c r="B61" s="33" t="s">
        <v>0</v>
      </c>
      <c r="C61" s="33" t="s">
        <v>1</v>
      </c>
      <c r="D61" s="16" t="s">
        <v>6</v>
      </c>
      <c r="E61" s="16" t="s">
        <v>90</v>
      </c>
      <c r="F61" s="16" t="s">
        <v>4</v>
      </c>
      <c r="G61" s="16" t="s">
        <v>8</v>
      </c>
      <c r="H61" s="16" t="s">
        <v>7</v>
      </c>
      <c r="I61" s="16" t="s">
        <v>9</v>
      </c>
      <c r="J61" s="34" t="s">
        <v>3</v>
      </c>
    </row>
    <row r="62" spans="1:15" s="18" customFormat="1">
      <c r="A62" s="35"/>
      <c r="B62" s="18" t="s">
        <v>88</v>
      </c>
      <c r="C62" s="18" t="s">
        <v>89</v>
      </c>
      <c r="D62" s="14" t="s">
        <v>31</v>
      </c>
      <c r="E62" s="14" t="s">
        <v>342</v>
      </c>
      <c r="F62" s="36">
        <v>12</v>
      </c>
      <c r="G62" s="36" t="s">
        <v>351</v>
      </c>
      <c r="H62" s="14"/>
      <c r="I62" s="14"/>
      <c r="J62" s="14" t="s">
        <v>78</v>
      </c>
      <c r="L62" s="37"/>
      <c r="M62" s="37"/>
      <c r="N62" s="37"/>
      <c r="O62" s="37"/>
    </row>
    <row r="63" spans="1:15" s="18" customFormat="1">
      <c r="A63" s="35"/>
      <c r="B63" s="18" t="s">
        <v>88</v>
      </c>
      <c r="C63" s="18" t="s">
        <v>89</v>
      </c>
      <c r="D63" s="14" t="s">
        <v>31</v>
      </c>
      <c r="E63" s="14" t="s">
        <v>782</v>
      </c>
      <c r="F63" s="36">
        <v>13</v>
      </c>
      <c r="G63" s="36" t="s">
        <v>352</v>
      </c>
      <c r="H63" s="15">
        <f>(14.16/12.66)*100-100</f>
        <v>11.848341232227483</v>
      </c>
      <c r="I63" s="14" t="s">
        <v>346</v>
      </c>
      <c r="J63" s="14" t="s">
        <v>170</v>
      </c>
      <c r="L63" s="38"/>
      <c r="M63" s="37"/>
      <c r="N63" s="37"/>
      <c r="O63" s="37"/>
    </row>
    <row r="64" spans="1:15" s="18" customFormat="1">
      <c r="A64" s="35"/>
      <c r="B64" s="18" t="s">
        <v>88</v>
      </c>
      <c r="C64" s="18" t="s">
        <v>89</v>
      </c>
      <c r="D64" s="14" t="s">
        <v>31</v>
      </c>
      <c r="E64" s="14" t="s">
        <v>343</v>
      </c>
      <c r="F64" s="36">
        <v>13</v>
      </c>
      <c r="G64" s="36" t="s">
        <v>353</v>
      </c>
      <c r="H64" s="15">
        <f>(13.85/12.66)*100-100</f>
        <v>9.3996840442338083</v>
      </c>
      <c r="I64" s="14" t="s">
        <v>347</v>
      </c>
      <c r="J64" s="14" t="s">
        <v>61</v>
      </c>
      <c r="L64" s="38"/>
      <c r="M64" s="37"/>
      <c r="N64" s="37"/>
      <c r="O64" s="37"/>
    </row>
    <row r="65" spans="1:15" s="23" customFormat="1"/>
    <row r="66" spans="1:15" s="23" customFormat="1"/>
    <row r="67" spans="1:15" s="18" customFormat="1">
      <c r="A67" s="31" t="s">
        <v>5</v>
      </c>
      <c r="D67" s="14"/>
      <c r="E67" s="14"/>
      <c r="F67" s="14"/>
      <c r="G67" s="14"/>
      <c r="H67" s="14"/>
      <c r="I67" s="14"/>
      <c r="J67" s="14"/>
    </row>
    <row r="68" spans="1:15" s="18" customFormat="1">
      <c r="A68" s="32" t="s">
        <v>778</v>
      </c>
      <c r="B68" s="33" t="s">
        <v>0</v>
      </c>
      <c r="C68" s="33" t="s">
        <v>1</v>
      </c>
      <c r="D68" s="16" t="s">
        <v>6</v>
      </c>
      <c r="E68" s="16" t="s">
        <v>2</v>
      </c>
      <c r="F68" s="16" t="s">
        <v>4</v>
      </c>
      <c r="G68" s="16" t="s">
        <v>8</v>
      </c>
      <c r="H68" s="16" t="s">
        <v>7</v>
      </c>
      <c r="I68" s="16" t="s">
        <v>9</v>
      </c>
      <c r="J68" s="34" t="s">
        <v>3</v>
      </c>
    </row>
    <row r="69" spans="1:15" s="18" customFormat="1">
      <c r="A69" s="35"/>
      <c r="B69" s="18" t="s">
        <v>88</v>
      </c>
      <c r="D69" s="14" t="s">
        <v>10</v>
      </c>
      <c r="E69" s="39" t="s">
        <v>42</v>
      </c>
      <c r="F69" s="36">
        <v>30</v>
      </c>
      <c r="G69" s="36" t="s">
        <v>694</v>
      </c>
      <c r="I69" s="14"/>
      <c r="J69" s="14" t="s">
        <v>226</v>
      </c>
      <c r="L69" s="37"/>
      <c r="M69" s="37"/>
      <c r="N69" s="37"/>
      <c r="O69" s="37"/>
    </row>
    <row r="70" spans="1:15" s="18" customFormat="1">
      <c r="A70" s="35"/>
      <c r="B70" s="18" t="s">
        <v>88</v>
      </c>
      <c r="D70" s="14" t="s">
        <v>10</v>
      </c>
      <c r="E70" s="39" t="s">
        <v>691</v>
      </c>
      <c r="F70" s="36">
        <v>23</v>
      </c>
      <c r="G70" s="36" t="s">
        <v>695</v>
      </c>
      <c r="H70" s="15">
        <f>(24.29/28.5)*100-100</f>
        <v>-14.771929824561397</v>
      </c>
      <c r="I70" s="14" t="s">
        <v>17</v>
      </c>
      <c r="J70" s="14" t="s">
        <v>85</v>
      </c>
      <c r="L70" s="38"/>
      <c r="M70" s="37"/>
      <c r="N70" s="37"/>
      <c r="O70" s="37"/>
    </row>
    <row r="71" spans="1:15" s="18" customFormat="1">
      <c r="A71" s="35"/>
      <c r="D71" s="14"/>
      <c r="E71" s="39"/>
      <c r="F71" s="36"/>
      <c r="G71" s="36"/>
      <c r="I71" s="14"/>
      <c r="J71" s="14"/>
      <c r="L71" s="38"/>
      <c r="M71" s="37"/>
      <c r="N71" s="37"/>
      <c r="O71" s="37"/>
    </row>
    <row r="72" spans="1:15" s="18" customFormat="1">
      <c r="A72" s="31"/>
      <c r="B72" s="18" t="s">
        <v>88</v>
      </c>
      <c r="D72" s="14" t="s">
        <v>31</v>
      </c>
      <c r="E72" s="39" t="s">
        <v>42</v>
      </c>
      <c r="F72" s="36">
        <v>19</v>
      </c>
      <c r="G72" s="36" t="s">
        <v>696</v>
      </c>
      <c r="I72" s="14"/>
      <c r="J72" s="14" t="s">
        <v>222</v>
      </c>
    </row>
    <row r="73" spans="1:15" s="18" customFormat="1">
      <c r="B73" s="18" t="s">
        <v>88</v>
      </c>
      <c r="D73" s="14" t="s">
        <v>31</v>
      </c>
      <c r="E73" s="39" t="s">
        <v>691</v>
      </c>
      <c r="F73" s="36">
        <v>17</v>
      </c>
      <c r="G73" s="36" t="s">
        <v>697</v>
      </c>
      <c r="H73" s="15">
        <f>(17.6/18.84)*100-100</f>
        <v>-6.5817409766454205</v>
      </c>
      <c r="I73" s="14" t="s">
        <v>692</v>
      </c>
      <c r="J73" s="14" t="s">
        <v>226</v>
      </c>
    </row>
    <row r="74" spans="1:15" s="18" customFormat="1"/>
    <row r="75" spans="1:15" s="18" customFormat="1">
      <c r="A75" s="31"/>
      <c r="B75" s="18" t="s">
        <v>88</v>
      </c>
      <c r="D75" s="14" t="s">
        <v>36</v>
      </c>
      <c r="E75" s="39" t="s">
        <v>42</v>
      </c>
      <c r="F75" s="36">
        <v>14</v>
      </c>
      <c r="G75" s="36" t="s">
        <v>698</v>
      </c>
      <c r="H75" s="14"/>
      <c r="I75" s="14"/>
      <c r="J75" s="14" t="s">
        <v>226</v>
      </c>
    </row>
    <row r="76" spans="1:15" s="18" customFormat="1">
      <c r="B76" s="18" t="s">
        <v>88</v>
      </c>
      <c r="D76" s="14" t="s">
        <v>36</v>
      </c>
      <c r="E76" s="39" t="s">
        <v>691</v>
      </c>
      <c r="F76" s="36">
        <v>13</v>
      </c>
      <c r="G76" s="36" t="s">
        <v>699</v>
      </c>
      <c r="H76" s="15">
        <f>(12.34/13.45)*100-100</f>
        <v>-8.2527881040892197</v>
      </c>
      <c r="I76" s="14" t="s">
        <v>693</v>
      </c>
      <c r="J76" s="14" t="s">
        <v>326</v>
      </c>
    </row>
    <row r="80" spans="1:15" s="18" customFormat="1">
      <c r="A80" s="31" t="s">
        <v>22</v>
      </c>
      <c r="D80" s="14"/>
      <c r="E80" s="14"/>
      <c r="F80" s="14"/>
      <c r="G80" s="14"/>
      <c r="H80" s="14"/>
      <c r="I80" s="14"/>
      <c r="J80" s="14"/>
    </row>
    <row r="81" spans="1:15" s="18" customFormat="1">
      <c r="A81" s="32" t="s">
        <v>778</v>
      </c>
      <c r="B81" s="33" t="s">
        <v>0</v>
      </c>
      <c r="C81" s="33" t="s">
        <v>1</v>
      </c>
      <c r="D81" s="16" t="s">
        <v>6</v>
      </c>
      <c r="E81" s="16" t="s">
        <v>2</v>
      </c>
      <c r="F81" s="16" t="s">
        <v>4</v>
      </c>
      <c r="G81" s="16" t="s">
        <v>8</v>
      </c>
      <c r="H81" s="16" t="s">
        <v>7</v>
      </c>
      <c r="I81" s="16" t="s">
        <v>9</v>
      </c>
      <c r="J81" s="34" t="s">
        <v>3</v>
      </c>
    </row>
    <row r="82" spans="1:15" s="18" customFormat="1">
      <c r="A82" s="35"/>
      <c r="B82" s="18" t="s">
        <v>88</v>
      </c>
      <c r="D82" s="14" t="s">
        <v>10</v>
      </c>
      <c r="E82" s="39" t="s">
        <v>42</v>
      </c>
      <c r="F82" s="36">
        <v>30</v>
      </c>
      <c r="G82" s="36" t="s">
        <v>706</v>
      </c>
      <c r="I82" s="14"/>
      <c r="J82" s="14" t="s">
        <v>201</v>
      </c>
      <c r="L82" s="37"/>
      <c r="M82" s="37"/>
      <c r="N82" s="37"/>
      <c r="O82" s="37"/>
    </row>
    <row r="83" spans="1:15" s="18" customFormat="1">
      <c r="A83" s="35"/>
      <c r="B83" s="18" t="s">
        <v>88</v>
      </c>
      <c r="D83" s="14" t="s">
        <v>10</v>
      </c>
      <c r="E83" s="39" t="s">
        <v>691</v>
      </c>
      <c r="F83" s="36">
        <v>27</v>
      </c>
      <c r="G83" s="36" t="s">
        <v>707</v>
      </c>
      <c r="H83" s="15">
        <f>(26.08/29.24)*100-100</f>
        <v>-10.807113543091646</v>
      </c>
      <c r="I83" s="14" t="s">
        <v>17</v>
      </c>
      <c r="J83" s="14" t="s">
        <v>201</v>
      </c>
      <c r="L83" s="38"/>
      <c r="M83" s="37"/>
      <c r="N83" s="37"/>
      <c r="O83" s="37"/>
    </row>
    <row r="84" spans="1:15" s="18" customFormat="1">
      <c r="A84" s="35"/>
      <c r="D84" s="14"/>
      <c r="E84" s="39"/>
      <c r="F84" s="36"/>
      <c r="G84" s="36"/>
      <c r="I84" s="14"/>
      <c r="J84" s="14"/>
      <c r="L84" s="38"/>
      <c r="M84" s="37"/>
      <c r="N84" s="37"/>
      <c r="O84" s="37"/>
    </row>
    <row r="85" spans="1:15" s="18" customFormat="1">
      <c r="A85" s="31"/>
      <c r="B85" s="18" t="s">
        <v>88</v>
      </c>
      <c r="D85" s="14" t="s">
        <v>31</v>
      </c>
      <c r="E85" s="39" t="s">
        <v>42</v>
      </c>
      <c r="F85" s="36">
        <v>21</v>
      </c>
      <c r="G85" s="36" t="s">
        <v>702</v>
      </c>
      <c r="I85" s="14"/>
      <c r="J85" s="14" t="s">
        <v>490</v>
      </c>
    </row>
    <row r="86" spans="1:15" s="18" customFormat="1">
      <c r="B86" s="18" t="s">
        <v>88</v>
      </c>
      <c r="D86" s="14" t="s">
        <v>31</v>
      </c>
      <c r="E86" s="39" t="s">
        <v>691</v>
      </c>
      <c r="F86" s="36">
        <v>19</v>
      </c>
      <c r="G86" s="36" t="s">
        <v>703</v>
      </c>
      <c r="H86" s="15">
        <f>(19.24/20.29)*100-100</f>
        <v>-5.1749630359783225</v>
      </c>
      <c r="I86" s="14" t="s">
        <v>700</v>
      </c>
      <c r="J86" s="14" t="s">
        <v>490</v>
      </c>
    </row>
    <row r="87" spans="1:15" s="18" customFormat="1"/>
    <row r="88" spans="1:15" s="18" customFormat="1">
      <c r="A88" s="31"/>
      <c r="B88" s="18" t="s">
        <v>88</v>
      </c>
      <c r="D88" s="14" t="s">
        <v>36</v>
      </c>
      <c r="E88" s="39" t="s">
        <v>42</v>
      </c>
      <c r="F88" s="36">
        <v>14</v>
      </c>
      <c r="G88" s="36" t="s">
        <v>704</v>
      </c>
      <c r="H88" s="14"/>
      <c r="I88" s="14"/>
      <c r="J88" s="14">
        <v>9296</v>
      </c>
    </row>
    <row r="89" spans="1:15" s="18" customFormat="1">
      <c r="B89" s="18" t="s">
        <v>88</v>
      </c>
      <c r="D89" s="14" t="s">
        <v>36</v>
      </c>
      <c r="E89" s="39" t="s">
        <v>691</v>
      </c>
      <c r="F89" s="36">
        <v>14</v>
      </c>
      <c r="G89" s="36" t="s">
        <v>705</v>
      </c>
      <c r="H89" s="15">
        <f>(13.37/14.32)*100-100</f>
        <v>-6.634078212290504</v>
      </c>
      <c r="I89" s="14" t="s">
        <v>701</v>
      </c>
      <c r="J89" s="14" t="s">
        <v>326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F18CA-0401-9A4E-A0DB-24E2556BA2D8}">
  <dimension ref="A1:J106"/>
  <sheetViews>
    <sheetView zoomScale="92" zoomScaleNormal="92" workbookViewId="0">
      <selection activeCell="J75" sqref="J75"/>
    </sheetView>
  </sheetViews>
  <sheetFormatPr baseColWidth="10" defaultRowHeight="16"/>
  <cols>
    <col min="1" max="1" width="45.5" bestFit="1" customWidth="1"/>
    <col min="2" max="2" width="20.5" customWidth="1"/>
    <col min="3" max="3" width="96" bestFit="1" customWidth="1"/>
    <col min="4" max="4" width="25" customWidth="1"/>
    <col min="5" max="6" width="22.83203125" bestFit="1" customWidth="1"/>
    <col min="7" max="7" width="29" bestFit="1" customWidth="1"/>
    <col min="8" max="8" width="61.1640625" bestFit="1" customWidth="1"/>
    <col min="9" max="9" width="48.5" customWidth="1"/>
    <col min="10" max="10" width="23.1640625" bestFit="1" customWidth="1"/>
  </cols>
  <sheetData>
    <row r="1" spans="1:10" ht="20">
      <c r="A1" s="17" t="s">
        <v>779</v>
      </c>
    </row>
    <row r="2" spans="1:10" s="6" customFormat="1" ht="21">
      <c r="A2" s="17"/>
      <c r="F2" s="7"/>
      <c r="G2" s="7"/>
      <c r="H2" s="7"/>
      <c r="I2" s="7"/>
      <c r="J2" s="7"/>
    </row>
    <row r="3" spans="1:10" ht="18">
      <c r="A3" s="2"/>
      <c r="F3" s="11"/>
      <c r="G3" s="11"/>
      <c r="H3" s="11"/>
      <c r="I3" s="11"/>
      <c r="J3" s="11"/>
    </row>
    <row r="4" spans="1:10" ht="18">
      <c r="A4" s="20" t="s">
        <v>743</v>
      </c>
      <c r="E4" s="41"/>
      <c r="F4" s="10"/>
      <c r="G4" s="10"/>
      <c r="H4" s="42"/>
      <c r="I4" s="11"/>
      <c r="J4" s="11"/>
    </row>
    <row r="9" spans="1:10">
      <c r="A9" s="5" t="s">
        <v>5</v>
      </c>
      <c r="D9" s="11"/>
      <c r="E9" s="11"/>
      <c r="F9" s="11"/>
      <c r="G9" s="11"/>
      <c r="H9" s="11"/>
      <c r="I9" s="11"/>
      <c r="J9" s="11"/>
    </row>
    <row r="10" spans="1:10">
      <c r="A10" s="3" t="s">
        <v>744</v>
      </c>
      <c r="B10" s="1" t="s">
        <v>0</v>
      </c>
      <c r="C10" s="1" t="s">
        <v>1</v>
      </c>
      <c r="D10" s="8" t="s">
        <v>6</v>
      </c>
      <c r="E10" s="8" t="s">
        <v>2</v>
      </c>
      <c r="F10" s="8" t="s">
        <v>4</v>
      </c>
      <c r="G10" s="8" t="s">
        <v>8</v>
      </c>
      <c r="H10" s="16" t="s">
        <v>7</v>
      </c>
      <c r="I10" s="8" t="s">
        <v>9</v>
      </c>
      <c r="J10" s="9" t="s">
        <v>3</v>
      </c>
    </row>
    <row r="11" spans="1:10">
      <c r="A11" s="4"/>
      <c r="B11" t="s">
        <v>88</v>
      </c>
      <c r="C11" t="s">
        <v>141</v>
      </c>
      <c r="D11" s="11" t="s">
        <v>10</v>
      </c>
      <c r="E11" s="11" t="s">
        <v>12</v>
      </c>
      <c r="F11" s="10">
        <v>20</v>
      </c>
      <c r="G11" s="10" t="s">
        <v>275</v>
      </c>
      <c r="H11" s="14"/>
      <c r="I11" s="11"/>
      <c r="J11" s="11" t="s">
        <v>38</v>
      </c>
    </row>
    <row r="12" spans="1:10">
      <c r="A12" s="4"/>
      <c r="B12" t="s">
        <v>217</v>
      </c>
      <c r="C12" s="41" t="s">
        <v>218</v>
      </c>
      <c r="D12" s="11" t="s">
        <v>10</v>
      </c>
      <c r="E12" s="11" t="s">
        <v>12</v>
      </c>
      <c r="F12" s="10">
        <v>17</v>
      </c>
      <c r="G12" s="10" t="s">
        <v>276</v>
      </c>
      <c r="H12" s="15">
        <f>(16.99/21.38)*100-100</f>
        <v>-20.533208606174</v>
      </c>
      <c r="I12" s="11" t="s">
        <v>17</v>
      </c>
      <c r="J12" s="11" t="s">
        <v>19</v>
      </c>
    </row>
    <row r="13" spans="1:10">
      <c r="A13" s="4"/>
      <c r="C13" s="41"/>
      <c r="D13" s="11"/>
      <c r="E13" s="11"/>
      <c r="F13" s="10"/>
      <c r="G13" s="10"/>
      <c r="H13" s="15"/>
      <c r="I13" s="11"/>
      <c r="J13" s="11"/>
    </row>
    <row r="14" spans="1:10">
      <c r="A14" s="4"/>
      <c r="B14" t="s">
        <v>88</v>
      </c>
      <c r="C14" t="s">
        <v>141</v>
      </c>
      <c r="D14" s="11" t="s">
        <v>31</v>
      </c>
      <c r="E14" s="11" t="s">
        <v>12</v>
      </c>
      <c r="F14" s="10">
        <v>16</v>
      </c>
      <c r="G14" s="10" t="s">
        <v>220</v>
      </c>
      <c r="H14" s="14"/>
      <c r="I14" s="11"/>
      <c r="J14" s="11" t="s">
        <v>129</v>
      </c>
    </row>
    <row r="15" spans="1:10">
      <c r="A15" s="4"/>
      <c r="B15" t="s">
        <v>217</v>
      </c>
      <c r="C15" s="41" t="s">
        <v>218</v>
      </c>
      <c r="D15" s="11" t="s">
        <v>31</v>
      </c>
      <c r="E15" s="11" t="s">
        <v>12</v>
      </c>
      <c r="F15" s="10">
        <v>13</v>
      </c>
      <c r="G15" s="10" t="s">
        <v>221</v>
      </c>
      <c r="H15" s="15">
        <f>(12.64/15.78)*100-100</f>
        <v>-19.898605830164769</v>
      </c>
      <c r="I15" s="11" t="s">
        <v>17</v>
      </c>
      <c r="J15" s="11" t="s">
        <v>47</v>
      </c>
    </row>
    <row r="16" spans="1:10">
      <c r="A16" s="4"/>
      <c r="C16" s="41"/>
      <c r="D16" s="11"/>
      <c r="E16" s="11"/>
      <c r="F16" s="10"/>
      <c r="G16" s="10"/>
      <c r="H16" s="15"/>
      <c r="I16" s="11"/>
      <c r="J16" s="11"/>
    </row>
    <row r="19" spans="1:10">
      <c r="A19" s="5" t="s">
        <v>22</v>
      </c>
      <c r="D19" s="11"/>
      <c r="E19" s="11"/>
      <c r="F19" s="11"/>
      <c r="G19" s="11"/>
      <c r="H19" s="11"/>
      <c r="I19" s="11"/>
      <c r="J19" s="11"/>
    </row>
    <row r="20" spans="1:10">
      <c r="A20" s="3" t="s">
        <v>744</v>
      </c>
      <c r="B20" s="1" t="s">
        <v>0</v>
      </c>
      <c r="C20" s="1" t="s">
        <v>1</v>
      </c>
      <c r="D20" s="8" t="s">
        <v>6</v>
      </c>
      <c r="E20" s="8" t="s">
        <v>2</v>
      </c>
      <c r="F20" s="8" t="s">
        <v>4</v>
      </c>
      <c r="G20" s="8" t="s">
        <v>8</v>
      </c>
      <c r="H20" s="16" t="s">
        <v>7</v>
      </c>
      <c r="I20" s="8" t="s">
        <v>9</v>
      </c>
      <c r="J20" s="9" t="s">
        <v>3</v>
      </c>
    </row>
    <row r="21" spans="1:10">
      <c r="B21" t="s">
        <v>88</v>
      </c>
      <c r="C21" t="s">
        <v>141</v>
      </c>
      <c r="D21" s="11" t="s">
        <v>10</v>
      </c>
      <c r="E21" s="11" t="s">
        <v>12</v>
      </c>
      <c r="F21" s="10">
        <v>20</v>
      </c>
      <c r="G21" s="10" t="s">
        <v>277</v>
      </c>
      <c r="H21" s="15"/>
      <c r="I21" s="11"/>
      <c r="J21" s="11" t="s">
        <v>125</v>
      </c>
    </row>
    <row r="22" spans="1:10">
      <c r="B22" t="s">
        <v>217</v>
      </c>
      <c r="C22" s="41" t="s">
        <v>218</v>
      </c>
      <c r="D22" s="11" t="s">
        <v>10</v>
      </c>
      <c r="E22" s="11" t="s">
        <v>12</v>
      </c>
      <c r="F22" s="10">
        <v>19</v>
      </c>
      <c r="G22" s="10" t="s">
        <v>278</v>
      </c>
      <c r="H22" s="15">
        <f>(18.42/21.22)*100-100</f>
        <v>-13.195098963242216</v>
      </c>
      <c r="I22" s="11" t="s">
        <v>17</v>
      </c>
      <c r="J22" s="11" t="s">
        <v>110</v>
      </c>
    </row>
    <row r="24" spans="1:10">
      <c r="B24" t="s">
        <v>88</v>
      </c>
      <c r="C24" t="s">
        <v>141</v>
      </c>
      <c r="D24" s="11" t="s">
        <v>31</v>
      </c>
      <c r="E24" s="11" t="s">
        <v>12</v>
      </c>
      <c r="F24" s="10">
        <v>14</v>
      </c>
      <c r="G24" s="10" t="s">
        <v>216</v>
      </c>
      <c r="H24" s="15"/>
      <c r="I24" s="11"/>
      <c r="J24" s="11" t="s">
        <v>11</v>
      </c>
    </row>
    <row r="25" spans="1:10">
      <c r="B25" t="s">
        <v>217</v>
      </c>
      <c r="C25" s="41" t="s">
        <v>218</v>
      </c>
      <c r="D25" s="11" t="s">
        <v>31</v>
      </c>
      <c r="E25" s="11" t="s">
        <v>12</v>
      </c>
      <c r="F25" s="10">
        <v>13</v>
      </c>
      <c r="G25" s="10" t="s">
        <v>219</v>
      </c>
      <c r="H25" s="15">
        <f>(13.15/15.11)*100-100</f>
        <v>-12.971542025148906</v>
      </c>
      <c r="I25" s="11" t="s">
        <v>17</v>
      </c>
      <c r="J25" s="11" t="s">
        <v>55</v>
      </c>
    </row>
    <row r="26" spans="1:10">
      <c r="C26" s="41"/>
      <c r="D26" s="11"/>
      <c r="E26" s="11"/>
      <c r="F26" s="10"/>
      <c r="G26" s="10"/>
      <c r="H26" s="15"/>
      <c r="I26" s="11"/>
      <c r="J26" s="11"/>
    </row>
    <row r="27" spans="1:10">
      <c r="C27" s="41"/>
      <c r="D27" s="11"/>
      <c r="E27" s="11"/>
      <c r="F27" s="10"/>
      <c r="G27" s="10"/>
      <c r="H27" s="15"/>
      <c r="I27" s="11"/>
      <c r="J27" s="11"/>
    </row>
    <row r="28" spans="1:10" s="18" customFormat="1">
      <c r="A28" s="31" t="s">
        <v>5</v>
      </c>
      <c r="D28" s="14"/>
      <c r="E28" s="14"/>
      <c r="F28" s="14"/>
      <c r="G28" s="14"/>
      <c r="H28" s="14"/>
      <c r="I28" s="14"/>
      <c r="J28" s="14"/>
    </row>
    <row r="29" spans="1:10" s="18" customFormat="1">
      <c r="A29" s="32" t="s">
        <v>745</v>
      </c>
      <c r="B29" s="33" t="s">
        <v>0</v>
      </c>
      <c r="C29" s="33" t="s">
        <v>1</v>
      </c>
      <c r="D29" s="16" t="s">
        <v>6</v>
      </c>
      <c r="E29" s="16" t="s">
        <v>2</v>
      </c>
      <c r="F29" s="16" t="s">
        <v>4</v>
      </c>
      <c r="G29" s="16" t="s">
        <v>8</v>
      </c>
      <c r="H29" s="16" t="s">
        <v>7</v>
      </c>
      <c r="I29" s="16" t="s">
        <v>9</v>
      </c>
      <c r="J29" s="34" t="s">
        <v>3</v>
      </c>
    </row>
    <row r="30" spans="1:10" s="18" customFormat="1">
      <c r="A30" s="35"/>
      <c r="B30" s="18" t="s">
        <v>88</v>
      </c>
      <c r="C30" s="18" t="s">
        <v>141</v>
      </c>
      <c r="D30" s="14" t="s">
        <v>10</v>
      </c>
      <c r="E30" s="14" t="s">
        <v>12</v>
      </c>
      <c r="F30" s="36">
        <v>22</v>
      </c>
      <c r="G30" s="36" t="s">
        <v>608</v>
      </c>
      <c r="H30" s="15"/>
      <c r="I30" s="14"/>
      <c r="J30" s="14" t="s">
        <v>201</v>
      </c>
    </row>
    <row r="31" spans="1:10" s="18" customFormat="1">
      <c r="A31" s="35"/>
      <c r="B31" s="18" t="s">
        <v>579</v>
      </c>
      <c r="C31" s="19" t="s">
        <v>580</v>
      </c>
      <c r="D31" s="14" t="s">
        <v>10</v>
      </c>
      <c r="E31" s="14" t="s">
        <v>12</v>
      </c>
      <c r="F31" s="36">
        <v>19</v>
      </c>
      <c r="G31" s="36" t="s">
        <v>609</v>
      </c>
      <c r="H31" s="15">
        <f>(19.15/21.85)*100-100</f>
        <v>-12.356979405034338</v>
      </c>
      <c r="I31" s="14" t="s">
        <v>17</v>
      </c>
      <c r="J31" s="14" t="s">
        <v>201</v>
      </c>
    </row>
    <row r="32" spans="1:10" s="18" customFormat="1">
      <c r="A32" s="35"/>
      <c r="C32" s="19"/>
      <c r="D32" s="14"/>
      <c r="E32" s="14"/>
      <c r="F32" s="36"/>
    </row>
    <row r="33" spans="1:10" s="18" customFormat="1">
      <c r="A33" s="35"/>
      <c r="B33" s="18" t="s">
        <v>88</v>
      </c>
      <c r="C33" s="18" t="s">
        <v>141</v>
      </c>
      <c r="D33" s="14" t="s">
        <v>31</v>
      </c>
      <c r="E33" s="14" t="s">
        <v>12</v>
      </c>
      <c r="F33" s="36">
        <v>15</v>
      </c>
      <c r="G33" s="36" t="s">
        <v>610</v>
      </c>
      <c r="H33" s="15"/>
      <c r="I33" s="14"/>
      <c r="J33" s="14" t="s">
        <v>191</v>
      </c>
    </row>
    <row r="34" spans="1:10" s="18" customFormat="1">
      <c r="A34" s="35"/>
      <c r="B34" s="18" t="s">
        <v>579</v>
      </c>
      <c r="C34" s="19" t="s">
        <v>580</v>
      </c>
      <c r="D34" s="14" t="s">
        <v>31</v>
      </c>
      <c r="E34" s="14" t="s">
        <v>12</v>
      </c>
      <c r="F34" s="36">
        <v>13</v>
      </c>
      <c r="G34" s="36" t="s">
        <v>611</v>
      </c>
      <c r="H34" s="15">
        <f>(13.72/16.15)*100-100</f>
        <v>-15.046439628482972</v>
      </c>
      <c r="I34" s="14" t="s">
        <v>17</v>
      </c>
      <c r="J34" s="14" t="s">
        <v>226</v>
      </c>
    </row>
    <row r="35" spans="1:10" s="23" customFormat="1">
      <c r="A35" s="25"/>
      <c r="C35" s="26"/>
      <c r="D35" s="24"/>
      <c r="E35" s="24"/>
      <c r="F35" s="27"/>
      <c r="G35" s="27"/>
      <c r="H35" s="29"/>
      <c r="I35" s="24"/>
      <c r="J35" s="24"/>
    </row>
    <row r="36" spans="1:10" s="23" customFormat="1"/>
    <row r="37" spans="1:10" s="23" customFormat="1"/>
    <row r="38" spans="1:10" s="18" customFormat="1">
      <c r="A38" s="31" t="s">
        <v>22</v>
      </c>
      <c r="D38" s="14"/>
      <c r="E38" s="14"/>
      <c r="F38" s="14"/>
      <c r="G38" s="14"/>
      <c r="H38" s="14"/>
      <c r="I38" s="14"/>
      <c r="J38" s="14"/>
    </row>
    <row r="39" spans="1:10" s="18" customFormat="1">
      <c r="A39" s="32" t="s">
        <v>745</v>
      </c>
      <c r="B39" s="33" t="s">
        <v>0</v>
      </c>
      <c r="C39" s="33" t="s">
        <v>1</v>
      </c>
      <c r="D39" s="16" t="s">
        <v>6</v>
      </c>
      <c r="E39" s="16" t="s">
        <v>2</v>
      </c>
      <c r="F39" s="16" t="s">
        <v>4</v>
      </c>
      <c r="G39" s="16" t="s">
        <v>8</v>
      </c>
      <c r="H39" s="16" t="s">
        <v>7</v>
      </c>
      <c r="I39" s="16" t="s">
        <v>9</v>
      </c>
      <c r="J39" s="34" t="s">
        <v>3</v>
      </c>
    </row>
    <row r="40" spans="1:10" s="18" customFormat="1">
      <c r="B40" s="18" t="s">
        <v>88</v>
      </c>
      <c r="C40" s="18" t="s">
        <v>141</v>
      </c>
      <c r="D40" s="14" t="s">
        <v>10</v>
      </c>
      <c r="E40" s="14" t="s">
        <v>12</v>
      </c>
      <c r="F40" s="36">
        <v>19</v>
      </c>
      <c r="G40" s="36" t="s">
        <v>582</v>
      </c>
      <c r="H40" s="15"/>
      <c r="I40" s="14"/>
      <c r="J40" s="14" t="s">
        <v>11</v>
      </c>
    </row>
    <row r="41" spans="1:10" s="18" customFormat="1">
      <c r="B41" s="18" t="s">
        <v>579</v>
      </c>
      <c r="C41" s="19" t="s">
        <v>580</v>
      </c>
      <c r="D41" s="14" t="s">
        <v>10</v>
      </c>
      <c r="E41" s="14" t="s">
        <v>12</v>
      </c>
      <c r="F41" s="36">
        <v>19</v>
      </c>
      <c r="G41" s="36" t="s">
        <v>583</v>
      </c>
      <c r="H41" s="15">
        <f>(18.72/20)*100-100</f>
        <v>-6.4000000000000057</v>
      </c>
      <c r="I41" s="14" t="s">
        <v>581</v>
      </c>
      <c r="J41" s="14" t="s">
        <v>201</v>
      </c>
    </row>
    <row r="42" spans="1:10" s="18" customFormat="1"/>
    <row r="43" spans="1:10" s="18" customFormat="1">
      <c r="B43" s="18" t="s">
        <v>88</v>
      </c>
      <c r="C43" s="18" t="s">
        <v>141</v>
      </c>
      <c r="D43" s="14" t="s">
        <v>31</v>
      </c>
      <c r="E43" s="14" t="s">
        <v>12</v>
      </c>
      <c r="F43" s="36">
        <v>14</v>
      </c>
      <c r="G43" s="36" t="s">
        <v>584</v>
      </c>
      <c r="H43" s="15"/>
      <c r="I43" s="14"/>
      <c r="J43" s="14" t="s">
        <v>125</v>
      </c>
    </row>
    <row r="44" spans="1:10" s="18" customFormat="1">
      <c r="B44" s="18" t="s">
        <v>579</v>
      </c>
      <c r="C44" s="19" t="s">
        <v>580</v>
      </c>
      <c r="D44" s="14" t="s">
        <v>31</v>
      </c>
      <c r="E44" s="14" t="s">
        <v>12</v>
      </c>
      <c r="F44" s="36">
        <v>13</v>
      </c>
      <c r="G44" s="36" t="s">
        <v>585</v>
      </c>
      <c r="H44" s="15">
        <f>(12.85/14.39)*100-100</f>
        <v>-10.701876302988182</v>
      </c>
      <c r="I44" s="14" t="s">
        <v>18</v>
      </c>
      <c r="J44" s="14" t="s">
        <v>125</v>
      </c>
    </row>
    <row r="45" spans="1:10" s="18" customFormat="1">
      <c r="C45" s="19"/>
      <c r="D45" s="14"/>
      <c r="E45" s="14"/>
      <c r="F45" s="36"/>
      <c r="G45" s="36"/>
      <c r="H45" s="15"/>
      <c r="I45" s="14"/>
      <c r="J45" s="14"/>
    </row>
    <row r="46" spans="1:10" s="18" customFormat="1">
      <c r="C46" s="19"/>
      <c r="D46" s="14"/>
      <c r="E46" s="14"/>
      <c r="F46" s="36"/>
      <c r="G46" s="36"/>
      <c r="H46" s="15"/>
      <c r="I46" s="14"/>
      <c r="J46" s="14"/>
    </row>
    <row r="47" spans="1:10">
      <c r="A47" s="5" t="s">
        <v>5</v>
      </c>
      <c r="D47" s="11"/>
      <c r="E47" s="11"/>
      <c r="F47" s="11"/>
      <c r="G47" s="11"/>
      <c r="H47" s="11"/>
      <c r="I47" s="11"/>
      <c r="J47" s="11"/>
    </row>
    <row r="48" spans="1:10">
      <c r="A48" s="3" t="s">
        <v>746</v>
      </c>
      <c r="B48" s="1" t="s">
        <v>0</v>
      </c>
      <c r="C48" s="1" t="s">
        <v>1</v>
      </c>
      <c r="D48" s="8" t="s">
        <v>6</v>
      </c>
      <c r="E48" s="8" t="s">
        <v>2</v>
      </c>
      <c r="F48" s="8" t="s">
        <v>4</v>
      </c>
      <c r="G48" s="8" t="s">
        <v>8</v>
      </c>
      <c r="H48" s="8" t="s">
        <v>7</v>
      </c>
      <c r="I48" s="8" t="s">
        <v>9</v>
      </c>
      <c r="J48" s="9" t="s">
        <v>3</v>
      </c>
    </row>
    <row r="49" spans="1:10">
      <c r="A49" s="4"/>
      <c r="B49" t="s">
        <v>88</v>
      </c>
      <c r="C49" t="s">
        <v>716</v>
      </c>
      <c r="D49" s="11" t="s">
        <v>31</v>
      </c>
      <c r="E49" s="11" t="s">
        <v>12</v>
      </c>
      <c r="F49" s="10">
        <v>14</v>
      </c>
      <c r="G49" s="10" t="s">
        <v>216</v>
      </c>
      <c r="H49" s="11"/>
      <c r="I49" s="11"/>
      <c r="J49" s="11" t="s">
        <v>11</v>
      </c>
    </row>
    <row r="50" spans="1:10">
      <c r="A50" s="4"/>
      <c r="B50" t="s">
        <v>575</v>
      </c>
      <c r="C50" s="41" t="s">
        <v>576</v>
      </c>
      <c r="D50" s="11" t="s">
        <v>31</v>
      </c>
      <c r="E50" s="11" t="s">
        <v>12</v>
      </c>
      <c r="F50" s="10">
        <v>13</v>
      </c>
      <c r="G50" s="10" t="s">
        <v>577</v>
      </c>
      <c r="H50" s="22">
        <f>(13.16/15.11)*100-100</f>
        <v>-12.905360688285896</v>
      </c>
      <c r="I50" s="11" t="s">
        <v>17</v>
      </c>
      <c r="J50" s="11" t="s">
        <v>38</v>
      </c>
    </row>
    <row r="51" spans="1:10" s="23" customFormat="1">
      <c r="A51" s="4"/>
      <c r="B51"/>
      <c r="C51" s="41"/>
      <c r="D51" s="11"/>
      <c r="E51" s="11"/>
      <c r="F51" s="27"/>
      <c r="G51" s="27"/>
      <c r="H51" s="29"/>
      <c r="I51" s="24"/>
      <c r="J51" s="24"/>
    </row>
    <row r="52" spans="1:10" s="23" customFormat="1">
      <c r="A52"/>
      <c r="B52"/>
      <c r="C52"/>
      <c r="D52"/>
      <c r="E52"/>
    </row>
    <row r="53" spans="1:10" s="23" customFormat="1">
      <c r="A53"/>
      <c r="B53"/>
      <c r="C53"/>
      <c r="D53"/>
      <c r="E53"/>
    </row>
    <row r="54" spans="1:10">
      <c r="A54" s="5" t="s">
        <v>22</v>
      </c>
      <c r="D54" s="11"/>
      <c r="E54" s="11"/>
      <c r="F54" s="11"/>
      <c r="G54" s="11"/>
      <c r="H54" s="11"/>
      <c r="I54" s="11"/>
      <c r="J54" s="11"/>
    </row>
    <row r="55" spans="1:10">
      <c r="A55" s="3" t="s">
        <v>746</v>
      </c>
      <c r="B55" s="1" t="s">
        <v>0</v>
      </c>
      <c r="C55" s="1" t="s">
        <v>1</v>
      </c>
      <c r="D55" s="8" t="s">
        <v>6</v>
      </c>
      <c r="E55" s="8" t="s">
        <v>2</v>
      </c>
      <c r="F55" s="8" t="s">
        <v>4</v>
      </c>
      <c r="G55" s="8" t="s">
        <v>8</v>
      </c>
      <c r="H55" s="8" t="s">
        <v>7</v>
      </c>
      <c r="I55" s="8" t="s">
        <v>9</v>
      </c>
      <c r="J55" s="9" t="s">
        <v>3</v>
      </c>
    </row>
    <row r="56" spans="1:10">
      <c r="B56" t="s">
        <v>88</v>
      </c>
      <c r="C56" t="s">
        <v>717</v>
      </c>
      <c r="D56" s="11" t="s">
        <v>31</v>
      </c>
      <c r="E56" s="11" t="s">
        <v>12</v>
      </c>
      <c r="F56" s="10">
        <v>16</v>
      </c>
      <c r="G56" s="10" t="s">
        <v>220</v>
      </c>
      <c r="H56" s="22"/>
      <c r="I56" s="11"/>
      <c r="J56" s="11" t="s">
        <v>129</v>
      </c>
    </row>
    <row r="57" spans="1:10">
      <c r="B57" t="s">
        <v>575</v>
      </c>
      <c r="C57" s="41" t="s">
        <v>576</v>
      </c>
      <c r="D57" s="11" t="s">
        <v>31</v>
      </c>
      <c r="E57" s="11" t="s">
        <v>12</v>
      </c>
      <c r="F57" s="10">
        <v>12</v>
      </c>
      <c r="G57" s="10" t="s">
        <v>578</v>
      </c>
      <c r="H57" s="22">
        <f>(12.26/15.78)*100-100</f>
        <v>-22.306717363751588</v>
      </c>
      <c r="I57" s="11" t="s">
        <v>17</v>
      </c>
      <c r="J57" s="11" t="s">
        <v>131</v>
      </c>
    </row>
    <row r="58" spans="1:10">
      <c r="C58" s="41"/>
      <c r="D58" s="11"/>
      <c r="E58" s="11"/>
      <c r="F58" s="10"/>
      <c r="G58" s="10"/>
      <c r="H58" s="15"/>
      <c r="I58" s="11"/>
      <c r="J58" s="11"/>
    </row>
    <row r="60" spans="1:10">
      <c r="A60" s="5" t="s">
        <v>5</v>
      </c>
      <c r="D60" s="11"/>
      <c r="E60" s="11"/>
      <c r="F60" s="11"/>
      <c r="G60" s="11"/>
      <c r="H60" s="11"/>
      <c r="I60" s="11"/>
      <c r="J60" s="11"/>
    </row>
    <row r="61" spans="1:10">
      <c r="A61" s="3" t="s">
        <v>747</v>
      </c>
      <c r="B61" s="1" t="s">
        <v>0</v>
      </c>
      <c r="C61" s="1" t="s">
        <v>1</v>
      </c>
      <c r="D61" s="8" t="s">
        <v>6</v>
      </c>
      <c r="E61" s="8" t="s">
        <v>279</v>
      </c>
      <c r="F61" s="8" t="s">
        <v>4</v>
      </c>
      <c r="G61" s="8" t="s">
        <v>8</v>
      </c>
      <c r="H61" s="16" t="s">
        <v>7</v>
      </c>
      <c r="I61" s="8" t="s">
        <v>9</v>
      </c>
      <c r="J61" s="9" t="s">
        <v>3</v>
      </c>
    </row>
    <row r="62" spans="1:10">
      <c r="A62" s="5"/>
      <c r="B62" t="s">
        <v>88</v>
      </c>
      <c r="D62" s="11" t="s">
        <v>10</v>
      </c>
      <c r="E62" s="21" t="s">
        <v>42</v>
      </c>
      <c r="F62" s="10">
        <v>27</v>
      </c>
      <c r="G62" s="10" t="s">
        <v>365</v>
      </c>
      <c r="I62" s="11"/>
      <c r="J62" s="11" t="s">
        <v>358</v>
      </c>
    </row>
    <row r="63" spans="1:10">
      <c r="B63" t="s">
        <v>88</v>
      </c>
      <c r="D63" s="11" t="s">
        <v>10</v>
      </c>
      <c r="E63" s="21" t="s">
        <v>45</v>
      </c>
      <c r="F63" s="10">
        <v>21</v>
      </c>
      <c r="G63" s="10" t="s">
        <v>366</v>
      </c>
      <c r="H63" s="15">
        <f>(22.28/27.16)*100-100</f>
        <v>-17.967599410898373</v>
      </c>
      <c r="I63" s="11" t="s">
        <v>18</v>
      </c>
      <c r="J63" s="11" t="s">
        <v>356</v>
      </c>
    </row>
    <row r="65" spans="1:10">
      <c r="B65" t="s">
        <v>88</v>
      </c>
      <c r="D65" s="11" t="s">
        <v>31</v>
      </c>
      <c r="E65" s="21" t="s">
        <v>42</v>
      </c>
      <c r="F65" s="10">
        <v>19</v>
      </c>
      <c r="G65" s="10" t="s">
        <v>367</v>
      </c>
      <c r="I65" s="11"/>
      <c r="J65" s="11" t="s">
        <v>38</v>
      </c>
    </row>
    <row r="66" spans="1:10">
      <c r="B66" t="s">
        <v>88</v>
      </c>
      <c r="D66" s="11" t="s">
        <v>31</v>
      </c>
      <c r="E66" s="21" t="s">
        <v>45</v>
      </c>
      <c r="F66" s="10">
        <v>16</v>
      </c>
      <c r="G66" s="10" t="s">
        <v>368</v>
      </c>
      <c r="H66" s="15">
        <f>(16.66/18.66)*100-100</f>
        <v>-10.718113612004288</v>
      </c>
      <c r="I66" s="11" t="s">
        <v>364</v>
      </c>
      <c r="J66" s="11" t="s">
        <v>69</v>
      </c>
    </row>
    <row r="69" spans="1:10">
      <c r="A69" s="5" t="s">
        <v>22</v>
      </c>
      <c r="D69" s="11"/>
      <c r="E69" s="11"/>
      <c r="F69" s="11"/>
      <c r="G69" s="11"/>
      <c r="H69" s="11"/>
      <c r="I69" s="11"/>
      <c r="J69" s="11"/>
    </row>
    <row r="70" spans="1:10">
      <c r="A70" s="3" t="s">
        <v>747</v>
      </c>
      <c r="B70" s="1" t="s">
        <v>0</v>
      </c>
      <c r="C70" s="1" t="s">
        <v>1</v>
      </c>
      <c r="D70" s="8" t="s">
        <v>6</v>
      </c>
      <c r="E70" s="8" t="s">
        <v>279</v>
      </c>
      <c r="F70" s="8" t="s">
        <v>4</v>
      </c>
      <c r="G70" s="8" t="s">
        <v>8</v>
      </c>
      <c r="H70" s="16" t="s">
        <v>7</v>
      </c>
      <c r="I70" s="8" t="s">
        <v>9</v>
      </c>
      <c r="J70" s="9" t="s">
        <v>3</v>
      </c>
    </row>
    <row r="71" spans="1:10">
      <c r="A71" s="5"/>
      <c r="B71" t="s">
        <v>88</v>
      </c>
      <c r="D71" s="11" t="s">
        <v>10</v>
      </c>
      <c r="E71" s="21" t="s">
        <v>42</v>
      </c>
      <c r="F71" s="10">
        <v>34</v>
      </c>
      <c r="G71" s="10" t="s">
        <v>281</v>
      </c>
      <c r="I71" s="11"/>
      <c r="J71" s="11" t="s">
        <v>61</v>
      </c>
    </row>
    <row r="72" spans="1:10">
      <c r="B72" t="s">
        <v>88</v>
      </c>
      <c r="D72" s="11" t="s">
        <v>10</v>
      </c>
      <c r="E72" s="21" t="s">
        <v>45</v>
      </c>
      <c r="F72" s="10">
        <v>29</v>
      </c>
      <c r="G72" s="10" t="s">
        <v>282</v>
      </c>
      <c r="H72" s="15">
        <f>(27.52/32.98)*100-100</f>
        <v>-16.555488174651302</v>
      </c>
      <c r="I72" s="11" t="s">
        <v>190</v>
      </c>
      <c r="J72" s="11" t="s">
        <v>417</v>
      </c>
    </row>
    <row r="74" spans="1:10">
      <c r="A74" s="5"/>
      <c r="B74" t="s">
        <v>88</v>
      </c>
      <c r="D74" s="11" t="s">
        <v>31</v>
      </c>
      <c r="E74" s="21" t="s">
        <v>42</v>
      </c>
      <c r="F74" s="10">
        <v>20</v>
      </c>
      <c r="G74" s="10" t="s">
        <v>283</v>
      </c>
      <c r="I74" s="11"/>
      <c r="J74" s="11" t="s">
        <v>131</v>
      </c>
    </row>
    <row r="75" spans="1:10">
      <c r="B75" t="s">
        <v>88</v>
      </c>
      <c r="D75" s="11" t="s">
        <v>31</v>
      </c>
      <c r="E75" s="21" t="s">
        <v>45</v>
      </c>
      <c r="F75" s="10">
        <v>16</v>
      </c>
      <c r="G75" s="10" t="s">
        <v>284</v>
      </c>
      <c r="H75" s="15">
        <f>(17.3/20.14)*100-100</f>
        <v>-14.101290963257199</v>
      </c>
      <c r="I75" s="11" t="s">
        <v>280</v>
      </c>
      <c r="J75" s="11" t="s">
        <v>161</v>
      </c>
    </row>
    <row r="76" spans="1:10">
      <c r="D76" s="11"/>
      <c r="E76" s="21"/>
      <c r="F76" s="10"/>
      <c r="G76" s="10"/>
      <c r="H76" s="15"/>
      <c r="I76" s="11"/>
      <c r="J76" s="11"/>
    </row>
    <row r="77" spans="1:10">
      <c r="D77" s="11"/>
      <c r="E77" s="21"/>
      <c r="F77" s="10"/>
      <c r="G77" s="10"/>
      <c r="H77" s="15"/>
      <c r="I77" s="11"/>
      <c r="J77" s="11"/>
    </row>
    <row r="78" spans="1:10">
      <c r="A78" s="5" t="s">
        <v>5</v>
      </c>
      <c r="D78" s="11"/>
      <c r="E78" s="11"/>
      <c r="F78" s="11"/>
      <c r="G78" s="11"/>
      <c r="H78" s="11"/>
      <c r="I78" s="11"/>
      <c r="J78" s="11"/>
    </row>
    <row r="79" spans="1:10">
      <c r="A79" s="3" t="s">
        <v>748</v>
      </c>
      <c r="B79" s="1" t="s">
        <v>0</v>
      </c>
      <c r="C79" s="1" t="s">
        <v>1</v>
      </c>
      <c r="D79" s="8" t="s">
        <v>6</v>
      </c>
      <c r="E79" s="8" t="s">
        <v>90</v>
      </c>
      <c r="F79" s="8" t="s">
        <v>4</v>
      </c>
      <c r="G79" s="8" t="s">
        <v>8</v>
      </c>
      <c r="H79" s="8" t="s">
        <v>7</v>
      </c>
      <c r="I79" s="8" t="s">
        <v>9</v>
      </c>
      <c r="J79" s="9" t="s">
        <v>3</v>
      </c>
    </row>
    <row r="80" spans="1:10">
      <c r="A80" s="4"/>
      <c r="B80" t="s">
        <v>660</v>
      </c>
      <c r="C80" s="41" t="s">
        <v>661</v>
      </c>
      <c r="D80" s="11" t="s">
        <v>31</v>
      </c>
      <c r="E80" s="11" t="s">
        <v>711</v>
      </c>
      <c r="F80" s="10">
        <v>15</v>
      </c>
      <c r="G80" s="10" t="s">
        <v>712</v>
      </c>
      <c r="H80" s="11"/>
      <c r="I80" s="11"/>
      <c r="J80" s="11" t="s">
        <v>226</v>
      </c>
    </row>
    <row r="81" spans="1:10">
      <c r="A81" s="4"/>
      <c r="B81" t="s">
        <v>662</v>
      </c>
      <c r="C81" s="41" t="s">
        <v>663</v>
      </c>
      <c r="D81" s="11" t="s">
        <v>31</v>
      </c>
      <c r="E81" s="11" t="s">
        <v>711</v>
      </c>
      <c r="F81" s="10">
        <v>12</v>
      </c>
      <c r="G81" s="10" t="s">
        <v>713</v>
      </c>
      <c r="H81" s="22">
        <f>(12.18/15.2)*100-100</f>
        <v>-19.868421052631575</v>
      </c>
      <c r="I81" s="11" t="s">
        <v>17</v>
      </c>
      <c r="J81" s="11" t="s">
        <v>490</v>
      </c>
    </row>
    <row r="82" spans="1:10">
      <c r="D82" s="11"/>
      <c r="E82" s="21"/>
      <c r="F82" s="10"/>
      <c r="G82" s="10"/>
      <c r="H82" s="15"/>
      <c r="I82" s="11"/>
      <c r="J82" s="11"/>
    </row>
    <row r="83" spans="1:10">
      <c r="D83" s="11"/>
      <c r="E83" s="21"/>
      <c r="F83" s="10"/>
      <c r="G83" s="10"/>
      <c r="H83" s="15"/>
      <c r="I83" s="11"/>
      <c r="J83" s="11"/>
    </row>
    <row r="84" spans="1:10" s="18" customFormat="1">
      <c r="A84" s="31" t="s">
        <v>22</v>
      </c>
      <c r="D84" s="14"/>
      <c r="E84" s="14"/>
      <c r="F84" s="14"/>
      <c r="G84" s="14"/>
      <c r="H84" s="14"/>
      <c r="I84" s="14"/>
      <c r="J84" s="14"/>
    </row>
    <row r="85" spans="1:10" s="18" customFormat="1">
      <c r="A85" s="32" t="s">
        <v>748</v>
      </c>
      <c r="B85" s="33" t="s">
        <v>0</v>
      </c>
      <c r="C85" s="33" t="s">
        <v>1</v>
      </c>
      <c r="D85" s="16" t="s">
        <v>6</v>
      </c>
      <c r="E85" s="16" t="s">
        <v>90</v>
      </c>
      <c r="F85" s="16" t="s">
        <v>4</v>
      </c>
      <c r="G85" s="16" t="s">
        <v>8</v>
      </c>
      <c r="H85" s="16" t="s">
        <v>7</v>
      </c>
      <c r="I85" s="16" t="s">
        <v>9</v>
      </c>
      <c r="J85" s="34" t="s">
        <v>3</v>
      </c>
    </row>
    <row r="86" spans="1:10" s="18" customFormat="1">
      <c r="A86" s="35"/>
      <c r="B86" s="18" t="s">
        <v>660</v>
      </c>
      <c r="C86" s="19" t="s">
        <v>661</v>
      </c>
      <c r="D86" s="14" t="s">
        <v>31</v>
      </c>
      <c r="E86" s="14" t="s">
        <v>711</v>
      </c>
      <c r="F86" s="36">
        <v>16</v>
      </c>
      <c r="G86" s="36" t="s">
        <v>714</v>
      </c>
      <c r="H86" s="14"/>
      <c r="I86" s="14"/>
      <c r="J86" s="14" t="s">
        <v>191</v>
      </c>
    </row>
    <row r="87" spans="1:10" s="18" customFormat="1">
      <c r="A87" s="35"/>
      <c r="B87" s="18" t="s">
        <v>662</v>
      </c>
      <c r="C87" s="19" t="s">
        <v>663</v>
      </c>
      <c r="D87" s="14" t="s">
        <v>31</v>
      </c>
      <c r="E87" s="14" t="s">
        <v>711</v>
      </c>
      <c r="F87" s="36">
        <v>12</v>
      </c>
      <c r="G87" s="36" t="s">
        <v>715</v>
      </c>
      <c r="H87" s="15">
        <f>(11.38/16.88)*100-100</f>
        <v>-32.582938388625578</v>
      </c>
      <c r="I87" s="14" t="s">
        <v>17</v>
      </c>
      <c r="J87" s="14" t="s">
        <v>226</v>
      </c>
    </row>
    <row r="91" spans="1:10" s="18" customFormat="1">
      <c r="A91" s="31" t="s">
        <v>5</v>
      </c>
      <c r="D91" s="14"/>
      <c r="E91" s="14"/>
      <c r="F91" s="14"/>
      <c r="G91" s="14"/>
      <c r="H91" s="14"/>
      <c r="I91" s="14"/>
      <c r="J91" s="14"/>
    </row>
    <row r="92" spans="1:10" s="18" customFormat="1">
      <c r="A92" s="32" t="s">
        <v>749</v>
      </c>
      <c r="B92" s="33" t="s">
        <v>0</v>
      </c>
      <c r="C92" s="33" t="s">
        <v>1</v>
      </c>
      <c r="D92" s="16" t="s">
        <v>6</v>
      </c>
      <c r="E92" s="16" t="s">
        <v>90</v>
      </c>
      <c r="F92" s="16" t="s">
        <v>4</v>
      </c>
      <c r="G92" s="16" t="s">
        <v>8</v>
      </c>
      <c r="H92" s="16" t="s">
        <v>7</v>
      </c>
      <c r="I92" s="16" t="s">
        <v>9</v>
      </c>
      <c r="J92" s="34" t="s">
        <v>3</v>
      </c>
    </row>
    <row r="93" spans="1:10" s="18" customFormat="1">
      <c r="A93" s="35"/>
      <c r="B93" s="18" t="s">
        <v>660</v>
      </c>
      <c r="C93" s="19" t="s">
        <v>661</v>
      </c>
      <c r="D93" s="14" t="s">
        <v>10</v>
      </c>
      <c r="E93" s="14" t="s">
        <v>675</v>
      </c>
      <c r="F93" s="36" t="s">
        <v>664</v>
      </c>
      <c r="G93" s="36" t="s">
        <v>666</v>
      </c>
      <c r="H93" s="14"/>
      <c r="I93" s="14"/>
      <c r="J93" s="14" t="s">
        <v>226</v>
      </c>
    </row>
    <row r="94" spans="1:10" s="18" customFormat="1">
      <c r="A94" s="35"/>
      <c r="B94" s="18" t="s">
        <v>662</v>
      </c>
      <c r="C94" s="19" t="s">
        <v>663</v>
      </c>
      <c r="D94" s="14" t="s">
        <v>10</v>
      </c>
      <c r="E94" s="14" t="s">
        <v>675</v>
      </c>
      <c r="F94" s="36">
        <v>18</v>
      </c>
      <c r="G94" s="36" t="s">
        <v>667</v>
      </c>
      <c r="H94" s="15">
        <f>(17.46/20.29)*100-100</f>
        <v>-13.947757516017731</v>
      </c>
      <c r="I94" s="14" t="s">
        <v>17</v>
      </c>
      <c r="J94" s="14" t="s">
        <v>490</v>
      </c>
    </row>
    <row r="95" spans="1:10" s="18" customFormat="1">
      <c r="A95" s="35"/>
      <c r="C95" s="19"/>
      <c r="D95" s="14"/>
      <c r="E95" s="14"/>
      <c r="F95" s="36"/>
      <c r="G95" s="36"/>
      <c r="H95" s="15"/>
      <c r="I95" s="14"/>
      <c r="J95" s="14"/>
    </row>
    <row r="96" spans="1:10" s="18" customFormat="1">
      <c r="A96" s="35"/>
      <c r="B96" s="18" t="s">
        <v>660</v>
      </c>
      <c r="C96" s="19" t="s">
        <v>661</v>
      </c>
      <c r="D96" s="14" t="s">
        <v>31</v>
      </c>
      <c r="E96" s="14" t="s">
        <v>675</v>
      </c>
      <c r="F96" s="36">
        <v>14</v>
      </c>
      <c r="G96" s="36" t="s">
        <v>668</v>
      </c>
      <c r="H96" s="14"/>
      <c r="I96" s="14"/>
      <c r="J96" s="14" t="s">
        <v>131</v>
      </c>
    </row>
    <row r="97" spans="1:10" s="18" customFormat="1">
      <c r="A97" s="35"/>
      <c r="B97" s="18" t="s">
        <v>662</v>
      </c>
      <c r="C97" s="19" t="s">
        <v>663</v>
      </c>
      <c r="D97" s="14" t="s">
        <v>31</v>
      </c>
      <c r="E97" s="14" t="s">
        <v>675</v>
      </c>
      <c r="F97" s="36">
        <v>14</v>
      </c>
      <c r="G97" s="36" t="s">
        <v>669</v>
      </c>
      <c r="H97" s="15">
        <f>(14.65/14.66)*100-100</f>
        <v>-6.8212824010913664E-2</v>
      </c>
      <c r="I97" s="14" t="s">
        <v>665</v>
      </c>
      <c r="J97" s="14" t="s">
        <v>38</v>
      </c>
    </row>
    <row r="100" spans="1:10">
      <c r="A100" s="5" t="s">
        <v>22</v>
      </c>
      <c r="D100" s="11"/>
      <c r="E100" s="11"/>
      <c r="F100" s="11"/>
      <c r="G100" s="11"/>
      <c r="H100" s="11"/>
      <c r="I100" s="11"/>
      <c r="J100" s="11"/>
    </row>
    <row r="101" spans="1:10">
      <c r="A101" s="3" t="s">
        <v>749</v>
      </c>
      <c r="B101" s="1" t="s">
        <v>0</v>
      </c>
      <c r="C101" s="1" t="s">
        <v>1</v>
      </c>
      <c r="D101" s="8" t="s">
        <v>6</v>
      </c>
      <c r="E101" s="8" t="s">
        <v>90</v>
      </c>
      <c r="F101" s="8" t="s">
        <v>4</v>
      </c>
      <c r="G101" s="8" t="s">
        <v>8</v>
      </c>
      <c r="H101" s="8" t="s">
        <v>7</v>
      </c>
      <c r="I101" s="8" t="s">
        <v>9</v>
      </c>
      <c r="J101" s="9" t="s">
        <v>3</v>
      </c>
    </row>
    <row r="102" spans="1:10">
      <c r="A102" s="4"/>
      <c r="B102" t="s">
        <v>660</v>
      </c>
      <c r="C102" s="41" t="s">
        <v>661</v>
      </c>
      <c r="D102" s="11" t="s">
        <v>10</v>
      </c>
      <c r="E102" s="11" t="s">
        <v>675</v>
      </c>
      <c r="F102" s="10">
        <v>20</v>
      </c>
      <c r="G102" s="10" t="s">
        <v>671</v>
      </c>
      <c r="H102" s="11"/>
      <c r="I102" s="11"/>
      <c r="J102" s="11" t="s">
        <v>191</v>
      </c>
    </row>
    <row r="103" spans="1:10">
      <c r="A103" s="4"/>
      <c r="B103" t="s">
        <v>662</v>
      </c>
      <c r="C103" s="41" t="s">
        <v>663</v>
      </c>
      <c r="D103" s="11" t="s">
        <v>10</v>
      </c>
      <c r="E103" s="11" t="s">
        <v>675</v>
      </c>
      <c r="F103" s="10">
        <v>18</v>
      </c>
      <c r="G103" s="10" t="s">
        <v>672</v>
      </c>
      <c r="H103" s="22">
        <f>(17.99/20.57)*100-100</f>
        <v>-12.542537676227525</v>
      </c>
      <c r="I103" s="11" t="s">
        <v>17</v>
      </c>
      <c r="J103" s="11" t="s">
        <v>326</v>
      </c>
    </row>
    <row r="104" spans="1:10">
      <c r="A104" s="4"/>
      <c r="C104" s="41"/>
      <c r="D104" s="11"/>
      <c r="E104" s="11"/>
      <c r="F104" s="10"/>
      <c r="G104" s="10"/>
      <c r="H104" s="22"/>
      <c r="I104" s="11"/>
      <c r="J104" s="11"/>
    </row>
    <row r="105" spans="1:10">
      <c r="A105" s="4"/>
      <c r="B105" t="s">
        <v>660</v>
      </c>
      <c r="C105" s="41" t="s">
        <v>661</v>
      </c>
      <c r="D105" s="11" t="s">
        <v>31</v>
      </c>
      <c r="E105" s="11" t="s">
        <v>675</v>
      </c>
      <c r="F105" s="10">
        <v>14</v>
      </c>
      <c r="G105" s="10" t="s">
        <v>673</v>
      </c>
      <c r="H105" s="11"/>
      <c r="I105" s="11"/>
      <c r="J105" s="11" t="s">
        <v>131</v>
      </c>
    </row>
    <row r="106" spans="1:10">
      <c r="A106" s="4"/>
      <c r="B106" t="s">
        <v>662</v>
      </c>
      <c r="C106" s="41" t="s">
        <v>663</v>
      </c>
      <c r="D106" s="11" t="s">
        <v>31</v>
      </c>
      <c r="E106" s="11" t="s">
        <v>675</v>
      </c>
      <c r="F106" s="10">
        <v>15</v>
      </c>
      <c r="G106" s="10" t="s">
        <v>674</v>
      </c>
      <c r="H106" s="22">
        <f>(15.53/16.07)*100-100</f>
        <v>-3.3602986932171746</v>
      </c>
      <c r="I106" s="11" t="s">
        <v>670</v>
      </c>
      <c r="J106" s="11" t="s">
        <v>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2ED89-FA90-4E44-984B-A7F6E429DFE3}">
  <dimension ref="A1:J94"/>
  <sheetViews>
    <sheetView workbookViewId="0"/>
  </sheetViews>
  <sheetFormatPr baseColWidth="10" defaultRowHeight="16"/>
  <cols>
    <col min="1" max="1" width="47.5" customWidth="1"/>
    <col min="2" max="2" width="12.6640625" customWidth="1"/>
    <col min="3" max="3" width="49.83203125" bestFit="1" customWidth="1"/>
    <col min="4" max="4" width="13.33203125" customWidth="1"/>
    <col min="5" max="5" width="20.5" bestFit="1" customWidth="1"/>
    <col min="6" max="6" width="22.1640625" bestFit="1" customWidth="1"/>
    <col min="7" max="7" width="29" bestFit="1" customWidth="1"/>
    <col min="8" max="8" width="26.1640625" bestFit="1" customWidth="1"/>
    <col min="9" max="9" width="27" bestFit="1" customWidth="1"/>
    <col min="10" max="10" width="28.5" customWidth="1"/>
  </cols>
  <sheetData>
    <row r="1" spans="1:10" ht="20">
      <c r="A1" s="17" t="s">
        <v>779</v>
      </c>
    </row>
    <row r="2" spans="1:10" s="6" customFormat="1" ht="21">
      <c r="A2" s="17"/>
      <c r="F2" s="7"/>
      <c r="G2" s="7"/>
      <c r="H2" s="7"/>
      <c r="I2" s="7"/>
      <c r="J2" s="7"/>
    </row>
    <row r="3" spans="1:10" ht="18">
      <c r="A3" s="20" t="s">
        <v>550</v>
      </c>
      <c r="F3" s="11"/>
      <c r="G3" s="11"/>
      <c r="H3" s="11"/>
      <c r="I3" s="11"/>
      <c r="J3" s="11"/>
    </row>
    <row r="4" spans="1:10" ht="18">
      <c r="A4" s="2"/>
      <c r="F4" s="11"/>
      <c r="G4" s="11"/>
      <c r="H4" s="11"/>
      <c r="I4" s="11"/>
      <c r="J4" s="11"/>
    </row>
    <row r="7" spans="1:10" s="18" customFormat="1">
      <c r="D7" s="14"/>
      <c r="E7" s="39"/>
      <c r="F7" s="36"/>
      <c r="G7" s="36"/>
      <c r="H7" s="15"/>
      <c r="I7" s="14"/>
      <c r="J7" s="14"/>
    </row>
    <row r="8" spans="1:10">
      <c r="A8" s="5" t="s">
        <v>5</v>
      </c>
      <c r="D8" s="11"/>
      <c r="E8" s="11"/>
      <c r="F8" s="11"/>
      <c r="G8" s="11"/>
      <c r="H8" s="11"/>
      <c r="I8" s="11"/>
      <c r="J8" s="11"/>
    </row>
    <row r="9" spans="1:10">
      <c r="A9" s="3" t="s">
        <v>750</v>
      </c>
      <c r="B9" s="1" t="s">
        <v>0</v>
      </c>
      <c r="C9" s="1" t="s">
        <v>1</v>
      </c>
      <c r="D9" s="8" t="s">
        <v>6</v>
      </c>
      <c r="E9" s="8" t="s">
        <v>2</v>
      </c>
      <c r="F9" s="8" t="s">
        <v>4</v>
      </c>
      <c r="G9" s="8" t="s">
        <v>8</v>
      </c>
      <c r="H9" s="16" t="s">
        <v>7</v>
      </c>
      <c r="I9" s="8" t="s">
        <v>9</v>
      </c>
      <c r="J9" s="9" t="s">
        <v>3</v>
      </c>
    </row>
    <row r="10" spans="1:10">
      <c r="A10" s="5"/>
      <c r="B10" t="s">
        <v>132</v>
      </c>
      <c r="C10" s="41" t="s">
        <v>133</v>
      </c>
      <c r="D10" s="11" t="s">
        <v>31</v>
      </c>
      <c r="E10" s="21" t="s">
        <v>42</v>
      </c>
      <c r="F10" s="10">
        <v>41</v>
      </c>
      <c r="G10" s="10" t="s">
        <v>134</v>
      </c>
      <c r="I10" s="11"/>
      <c r="J10" s="11" t="s">
        <v>69</v>
      </c>
    </row>
    <row r="11" spans="1:10">
      <c r="B11" t="s">
        <v>132</v>
      </c>
      <c r="C11" s="41" t="s">
        <v>133</v>
      </c>
      <c r="D11" s="11" t="s">
        <v>31</v>
      </c>
      <c r="E11" s="21" t="s">
        <v>45</v>
      </c>
      <c r="F11" s="10">
        <v>41</v>
      </c>
      <c r="G11" s="10" t="s">
        <v>135</v>
      </c>
      <c r="H11" s="15">
        <f>(37.21/38.62)*100-100</f>
        <v>-3.6509580528223609</v>
      </c>
      <c r="I11" s="11" t="s">
        <v>136</v>
      </c>
      <c r="J11" s="11" t="s">
        <v>72</v>
      </c>
    </row>
    <row r="12" spans="1:10">
      <c r="A12" s="5" t="s">
        <v>22</v>
      </c>
    </row>
    <row r="13" spans="1:10">
      <c r="A13" s="3" t="s">
        <v>750</v>
      </c>
      <c r="B13" s="1" t="s">
        <v>0</v>
      </c>
      <c r="C13" s="1" t="s">
        <v>1</v>
      </c>
      <c r="D13" s="8" t="s">
        <v>6</v>
      </c>
      <c r="E13" s="8" t="s">
        <v>2</v>
      </c>
      <c r="F13" s="8" t="s">
        <v>4</v>
      </c>
      <c r="G13" s="8" t="s">
        <v>8</v>
      </c>
      <c r="H13" s="16" t="s">
        <v>7</v>
      </c>
      <c r="I13" s="8" t="s">
        <v>9</v>
      </c>
      <c r="J13" s="9" t="s">
        <v>3</v>
      </c>
    </row>
    <row r="14" spans="1:10">
      <c r="A14" s="5"/>
      <c r="B14" t="s">
        <v>132</v>
      </c>
      <c r="C14" s="41" t="s">
        <v>133</v>
      </c>
      <c r="D14" s="11" t="s">
        <v>31</v>
      </c>
      <c r="E14" s="21" t="s">
        <v>42</v>
      </c>
      <c r="F14" s="10">
        <v>41</v>
      </c>
      <c r="G14" s="10" t="s">
        <v>150</v>
      </c>
      <c r="I14" s="11"/>
      <c r="J14" s="11" t="s">
        <v>151</v>
      </c>
    </row>
    <row r="15" spans="1:10">
      <c r="B15" t="s">
        <v>132</v>
      </c>
      <c r="C15" s="41" t="s">
        <v>133</v>
      </c>
      <c r="D15" s="11" t="s">
        <v>31</v>
      </c>
      <c r="E15" s="21" t="s">
        <v>45</v>
      </c>
      <c r="F15" s="10">
        <v>43</v>
      </c>
      <c r="G15" s="10" t="s">
        <v>152</v>
      </c>
      <c r="H15" s="15">
        <f>(40.57/39.41)*100-100</f>
        <v>2.9434153768079341</v>
      </c>
      <c r="I15" s="11" t="s">
        <v>153</v>
      </c>
      <c r="J15" s="11" t="s">
        <v>154</v>
      </c>
    </row>
    <row r="16" spans="1:10">
      <c r="C16" s="41"/>
      <c r="D16" s="11"/>
      <c r="E16" s="21"/>
      <c r="F16" s="10"/>
      <c r="G16" s="10"/>
      <c r="H16" s="15"/>
      <c r="I16" s="11"/>
      <c r="J16" s="11"/>
    </row>
    <row r="17" spans="1:10">
      <c r="C17" s="41"/>
      <c r="D17" s="11"/>
      <c r="E17" s="21"/>
      <c r="F17" s="10"/>
      <c r="G17" s="10"/>
      <c r="H17" s="15"/>
      <c r="I17" s="11"/>
      <c r="J17" s="11"/>
    </row>
    <row r="18" spans="1:10">
      <c r="A18" s="5" t="s">
        <v>5</v>
      </c>
      <c r="D18" s="11"/>
      <c r="E18" s="11"/>
      <c r="F18" s="11"/>
      <c r="G18" s="11"/>
      <c r="H18" s="11"/>
      <c r="I18" s="11"/>
      <c r="J18" s="11"/>
    </row>
    <row r="19" spans="1:10">
      <c r="A19" s="3" t="s">
        <v>751</v>
      </c>
      <c r="B19" s="1" t="s">
        <v>0</v>
      </c>
      <c r="C19" s="1" t="s">
        <v>1</v>
      </c>
      <c r="D19" s="8" t="s">
        <v>6</v>
      </c>
      <c r="E19" s="8" t="s">
        <v>2</v>
      </c>
      <c r="F19" s="8" t="s">
        <v>4</v>
      </c>
      <c r="G19" s="8" t="s">
        <v>8</v>
      </c>
      <c r="H19" s="16" t="s">
        <v>7</v>
      </c>
      <c r="I19" s="8" t="s">
        <v>9</v>
      </c>
      <c r="J19" s="9" t="s">
        <v>3</v>
      </c>
    </row>
    <row r="20" spans="1:10">
      <c r="A20" s="5"/>
      <c r="B20" t="s">
        <v>132</v>
      </c>
      <c r="C20" s="41" t="s">
        <v>133</v>
      </c>
      <c r="D20" s="11" t="s">
        <v>10</v>
      </c>
      <c r="E20" s="21" t="s">
        <v>42</v>
      </c>
      <c r="F20" s="10" t="s">
        <v>137</v>
      </c>
      <c r="G20" s="10" t="s">
        <v>138</v>
      </c>
      <c r="I20" s="11"/>
      <c r="J20" s="11" t="s">
        <v>61</v>
      </c>
    </row>
    <row r="21" spans="1:10">
      <c r="B21" t="s">
        <v>132</v>
      </c>
      <c r="C21" s="41" t="s">
        <v>133</v>
      </c>
      <c r="D21" s="11" t="s">
        <v>10</v>
      </c>
      <c r="E21" s="21" t="s">
        <v>45</v>
      </c>
      <c r="F21" s="10">
        <v>24</v>
      </c>
      <c r="G21" s="10" t="s">
        <v>139</v>
      </c>
      <c r="H21" s="15">
        <f>(30.69/38.43)*100-100</f>
        <v>-20.140515222482435</v>
      </c>
      <c r="I21" s="11" t="s">
        <v>140</v>
      </c>
      <c r="J21" s="11" t="s">
        <v>44</v>
      </c>
    </row>
    <row r="23" spans="1:10">
      <c r="A23" s="5" t="s">
        <v>22</v>
      </c>
    </row>
    <row r="24" spans="1:10">
      <c r="A24" s="3" t="s">
        <v>751</v>
      </c>
      <c r="B24" s="1" t="s">
        <v>0</v>
      </c>
      <c r="C24" s="1" t="s">
        <v>1</v>
      </c>
      <c r="D24" s="8" t="s">
        <v>6</v>
      </c>
      <c r="E24" s="8" t="s">
        <v>2</v>
      </c>
      <c r="F24" s="8" t="s">
        <v>4</v>
      </c>
      <c r="G24" s="8" t="s">
        <v>8</v>
      </c>
      <c r="H24" s="16" t="s">
        <v>7</v>
      </c>
      <c r="I24" s="8" t="s">
        <v>9</v>
      </c>
      <c r="J24" s="9" t="s">
        <v>3</v>
      </c>
    </row>
    <row r="25" spans="1:10">
      <c r="A25" s="5"/>
      <c r="B25" t="s">
        <v>132</v>
      </c>
      <c r="C25" s="41" t="s">
        <v>133</v>
      </c>
      <c r="D25" s="11" t="s">
        <v>10</v>
      </c>
      <c r="E25" s="21" t="s">
        <v>42</v>
      </c>
      <c r="F25" s="10">
        <v>31</v>
      </c>
      <c r="G25" s="10" t="s">
        <v>155</v>
      </c>
      <c r="I25" s="11"/>
      <c r="J25" s="11" t="s">
        <v>110</v>
      </c>
    </row>
    <row r="26" spans="1:10">
      <c r="B26" t="s">
        <v>132</v>
      </c>
      <c r="C26" s="41" t="s">
        <v>133</v>
      </c>
      <c r="D26" s="11" t="s">
        <v>10</v>
      </c>
      <c r="E26" s="21" t="s">
        <v>45</v>
      </c>
      <c r="F26" s="10">
        <v>25</v>
      </c>
      <c r="G26" s="10" t="s">
        <v>156</v>
      </c>
      <c r="H26" s="15">
        <f>(25.09/32.02)*100-100</f>
        <v>-21.642723297938787</v>
      </c>
      <c r="I26" s="11" t="s">
        <v>17</v>
      </c>
      <c r="J26" s="11" t="s">
        <v>125</v>
      </c>
    </row>
    <row r="27" spans="1:10">
      <c r="C27" s="41"/>
      <c r="D27" s="11"/>
      <c r="E27" s="21"/>
      <c r="F27" s="10"/>
      <c r="G27" s="10"/>
      <c r="H27" s="15"/>
      <c r="I27" s="11"/>
      <c r="J27" s="11"/>
    </row>
    <row r="28" spans="1:10">
      <c r="C28" s="41"/>
      <c r="D28" s="11"/>
      <c r="E28" s="21"/>
      <c r="F28" s="10"/>
      <c r="G28" s="10"/>
      <c r="H28" s="15"/>
      <c r="I28" s="11"/>
      <c r="J28" s="11"/>
    </row>
    <row r="29" spans="1:10">
      <c r="C29" s="41"/>
      <c r="D29" s="11"/>
      <c r="E29" s="21"/>
      <c r="F29" s="10"/>
      <c r="G29" s="10"/>
      <c r="H29" s="15"/>
      <c r="I29" s="11"/>
      <c r="J29" s="11"/>
    </row>
    <row r="30" spans="1:10">
      <c r="A30" s="5" t="s">
        <v>5</v>
      </c>
      <c r="D30" s="11"/>
      <c r="E30" s="11"/>
      <c r="F30" s="11"/>
      <c r="G30" s="11"/>
      <c r="H30" s="11"/>
      <c r="I30" s="11"/>
      <c r="J30" s="11"/>
    </row>
    <row r="31" spans="1:10">
      <c r="A31" s="3" t="s">
        <v>574</v>
      </c>
      <c r="B31" s="1" t="s">
        <v>0</v>
      </c>
      <c r="C31" s="1" t="s">
        <v>1</v>
      </c>
      <c r="D31" s="8" t="s">
        <v>6</v>
      </c>
      <c r="E31" s="8" t="s">
        <v>2</v>
      </c>
      <c r="F31" s="8" t="s">
        <v>4</v>
      </c>
      <c r="G31" s="8" t="s">
        <v>8</v>
      </c>
      <c r="H31" s="8" t="s">
        <v>7</v>
      </c>
      <c r="I31" s="8" t="s">
        <v>9</v>
      </c>
      <c r="J31" s="9" t="s">
        <v>3</v>
      </c>
    </row>
    <row r="32" spans="1:10">
      <c r="A32" s="5"/>
      <c r="B32" t="s">
        <v>648</v>
      </c>
      <c r="C32" s="41" t="s">
        <v>645</v>
      </c>
      <c r="D32" s="11" t="s">
        <v>31</v>
      </c>
      <c r="E32" s="21" t="s">
        <v>42</v>
      </c>
      <c r="F32" s="10">
        <v>24</v>
      </c>
      <c r="G32" s="10" t="s">
        <v>646</v>
      </c>
      <c r="I32" s="11"/>
      <c r="J32" s="11" t="s">
        <v>131</v>
      </c>
    </row>
    <row r="33" spans="1:10">
      <c r="B33" t="s">
        <v>648</v>
      </c>
      <c r="C33" s="41" t="s">
        <v>645</v>
      </c>
      <c r="D33" s="11" t="s">
        <v>31</v>
      </c>
      <c r="E33" s="21" t="s">
        <v>45</v>
      </c>
      <c r="F33" s="10">
        <v>18</v>
      </c>
      <c r="G33" s="10" t="s">
        <v>647</v>
      </c>
      <c r="H33" s="22">
        <f>(19.56/23.77)*100-100</f>
        <v>-17.711400925536395</v>
      </c>
      <c r="I33" s="11" t="s">
        <v>17</v>
      </c>
      <c r="J33" s="11" t="s">
        <v>258</v>
      </c>
    </row>
    <row r="34" spans="1:10" s="23" customFormat="1"/>
    <row r="35" spans="1:10">
      <c r="A35" s="5" t="s">
        <v>22</v>
      </c>
      <c r="D35" s="11"/>
      <c r="E35" s="11"/>
      <c r="F35" s="11"/>
      <c r="G35" s="11"/>
      <c r="H35" s="11"/>
      <c r="I35" s="11"/>
      <c r="J35" s="11"/>
    </row>
    <row r="36" spans="1:10">
      <c r="A36" s="3" t="s">
        <v>574</v>
      </c>
      <c r="B36" s="1" t="s">
        <v>0</v>
      </c>
      <c r="C36" s="1" t="s">
        <v>1</v>
      </c>
      <c r="D36" s="8" t="s">
        <v>6</v>
      </c>
      <c r="E36" s="8" t="s">
        <v>2</v>
      </c>
      <c r="F36" s="8" t="s">
        <v>4</v>
      </c>
      <c r="G36" s="8" t="s">
        <v>8</v>
      </c>
      <c r="H36" s="8" t="s">
        <v>7</v>
      </c>
      <c r="I36" s="8" t="s">
        <v>9</v>
      </c>
      <c r="J36" s="9" t="s">
        <v>3</v>
      </c>
    </row>
    <row r="37" spans="1:10">
      <c r="A37" s="5"/>
      <c r="B37" t="s">
        <v>648</v>
      </c>
      <c r="C37" s="41" t="s">
        <v>645</v>
      </c>
      <c r="D37" s="11" t="s">
        <v>31</v>
      </c>
      <c r="E37" s="21" t="s">
        <v>42</v>
      </c>
      <c r="F37" s="10">
        <v>23</v>
      </c>
      <c r="G37" s="10" t="s">
        <v>656</v>
      </c>
      <c r="I37" s="11"/>
      <c r="J37" s="11" t="s">
        <v>44</v>
      </c>
    </row>
    <row r="38" spans="1:10">
      <c r="B38" t="s">
        <v>648</v>
      </c>
      <c r="C38" s="41" t="s">
        <v>645</v>
      </c>
      <c r="D38" s="11" t="s">
        <v>31</v>
      </c>
      <c r="E38" s="21" t="s">
        <v>45</v>
      </c>
      <c r="F38" s="10">
        <v>18</v>
      </c>
      <c r="G38" s="10" t="s">
        <v>657</v>
      </c>
      <c r="H38" s="22">
        <f>(18.51/22.06)*100-100</f>
        <v>-16.092475067996361</v>
      </c>
      <c r="I38" s="11" t="s">
        <v>655</v>
      </c>
      <c r="J38" s="11" t="s">
        <v>151</v>
      </c>
    </row>
    <row r="39" spans="1:10" s="23" customFormat="1"/>
    <row r="40" spans="1:10" s="23" customFormat="1"/>
    <row r="41" spans="1:10">
      <c r="A41" s="5" t="s">
        <v>5</v>
      </c>
      <c r="D41" s="11"/>
      <c r="E41" s="11"/>
      <c r="F41" s="11"/>
      <c r="G41" s="11"/>
      <c r="H41" s="11"/>
      <c r="I41" s="11"/>
      <c r="J41" s="11"/>
    </row>
    <row r="42" spans="1:10">
      <c r="A42" s="3" t="s">
        <v>573</v>
      </c>
      <c r="B42" s="1" t="s">
        <v>0</v>
      </c>
      <c r="C42" s="1" t="s">
        <v>1</v>
      </c>
      <c r="D42" s="8" t="s">
        <v>6</v>
      </c>
      <c r="E42" s="8" t="s">
        <v>2</v>
      </c>
      <c r="F42" s="8" t="s">
        <v>4</v>
      </c>
      <c r="G42" s="8" t="s">
        <v>8</v>
      </c>
      <c r="H42" s="8" t="s">
        <v>7</v>
      </c>
      <c r="I42" s="8" t="s">
        <v>9</v>
      </c>
      <c r="J42" s="9" t="s">
        <v>3</v>
      </c>
    </row>
    <row r="43" spans="1:10">
      <c r="A43" s="5"/>
      <c r="B43" t="s">
        <v>648</v>
      </c>
      <c r="C43" s="41" t="s">
        <v>645</v>
      </c>
      <c r="D43" s="11" t="s">
        <v>10</v>
      </c>
      <c r="E43" s="21" t="s">
        <v>42</v>
      </c>
      <c r="F43" s="10">
        <v>34</v>
      </c>
      <c r="G43" s="10" t="s">
        <v>649</v>
      </c>
      <c r="I43" s="11"/>
      <c r="J43" s="11" t="s">
        <v>222</v>
      </c>
    </row>
    <row r="44" spans="1:10">
      <c r="B44" t="s">
        <v>648</v>
      </c>
      <c r="C44" s="41" t="s">
        <v>645</v>
      </c>
      <c r="D44" s="11" t="s">
        <v>10</v>
      </c>
      <c r="E44" s="21" t="s">
        <v>45</v>
      </c>
      <c r="F44" s="10">
        <v>25</v>
      </c>
      <c r="G44" s="10" t="s">
        <v>650</v>
      </c>
      <c r="H44" s="22">
        <f>(24.83/32.36)*100-100</f>
        <v>-23.269468479604456</v>
      </c>
      <c r="I44" s="11" t="s">
        <v>17</v>
      </c>
      <c r="J44" s="11" t="s">
        <v>191</v>
      </c>
    </row>
    <row r="45" spans="1:10" s="23" customFormat="1"/>
    <row r="46" spans="1:10" s="18" customFormat="1">
      <c r="A46" s="31" t="s">
        <v>22</v>
      </c>
      <c r="D46" s="14"/>
      <c r="E46" s="14"/>
      <c r="F46" s="14"/>
      <c r="G46" s="14"/>
      <c r="H46" s="14"/>
      <c r="I46" s="14"/>
      <c r="J46" s="14"/>
    </row>
    <row r="47" spans="1:10" s="18" customFormat="1">
      <c r="A47" s="32" t="s">
        <v>573</v>
      </c>
      <c r="B47" s="33" t="s">
        <v>0</v>
      </c>
      <c r="C47" s="33" t="s">
        <v>1</v>
      </c>
      <c r="D47" s="16" t="s">
        <v>6</v>
      </c>
      <c r="E47" s="16" t="s">
        <v>2</v>
      </c>
      <c r="F47" s="16" t="s">
        <v>4</v>
      </c>
      <c r="G47" s="16" t="s">
        <v>8</v>
      </c>
      <c r="H47" s="16" t="s">
        <v>7</v>
      </c>
      <c r="I47" s="16" t="s">
        <v>9</v>
      </c>
      <c r="J47" s="34" t="s">
        <v>3</v>
      </c>
    </row>
    <row r="48" spans="1:10" s="18" customFormat="1">
      <c r="A48" s="31"/>
      <c r="B48" s="18" t="s">
        <v>648</v>
      </c>
      <c r="C48" s="19" t="s">
        <v>645</v>
      </c>
      <c r="D48" s="14" t="s">
        <v>10</v>
      </c>
      <c r="E48" s="39" t="s">
        <v>42</v>
      </c>
      <c r="F48" s="36">
        <v>26</v>
      </c>
      <c r="G48" s="36" t="s">
        <v>734</v>
      </c>
      <c r="I48" s="14"/>
      <c r="J48" s="14" t="s">
        <v>61</v>
      </c>
    </row>
    <row r="49" spans="1:10" s="18" customFormat="1">
      <c r="B49" s="18" t="s">
        <v>648</v>
      </c>
      <c r="C49" s="19" t="s">
        <v>645</v>
      </c>
      <c r="D49" s="14" t="s">
        <v>10</v>
      </c>
      <c r="E49" s="39" t="s">
        <v>45</v>
      </c>
      <c r="F49" s="36">
        <v>21</v>
      </c>
      <c r="G49" s="36" t="s">
        <v>735</v>
      </c>
      <c r="H49" s="15">
        <f>(23.62/27.67)*100-100</f>
        <v>-14.636790748102641</v>
      </c>
      <c r="I49" s="14" t="s">
        <v>528</v>
      </c>
      <c r="J49" s="14" t="s">
        <v>19</v>
      </c>
    </row>
    <row r="50" spans="1:10" s="23" customFormat="1"/>
    <row r="51" spans="1:10">
      <c r="A51" s="5" t="s">
        <v>5</v>
      </c>
      <c r="D51" s="11"/>
      <c r="E51" s="11"/>
      <c r="F51" s="11"/>
      <c r="G51" s="11"/>
      <c r="H51" s="11"/>
      <c r="I51" s="11"/>
      <c r="J51" s="11"/>
    </row>
    <row r="52" spans="1:10">
      <c r="A52" s="3" t="s">
        <v>658</v>
      </c>
      <c r="B52" s="1" t="s">
        <v>0</v>
      </c>
      <c r="C52" s="1" t="s">
        <v>1</v>
      </c>
      <c r="D52" s="8" t="s">
        <v>6</v>
      </c>
      <c r="E52" s="8" t="s">
        <v>2</v>
      </c>
      <c r="F52" s="8" t="s">
        <v>4</v>
      </c>
      <c r="G52" s="8" t="s">
        <v>8</v>
      </c>
      <c r="H52" s="8" t="s">
        <v>7</v>
      </c>
      <c r="I52" s="8" t="s">
        <v>9</v>
      </c>
      <c r="J52" s="9" t="s">
        <v>3</v>
      </c>
    </row>
    <row r="53" spans="1:10">
      <c r="A53" s="5"/>
      <c r="B53" t="s">
        <v>635</v>
      </c>
      <c r="C53" s="41" t="s">
        <v>636</v>
      </c>
      <c r="D53" s="11" t="s">
        <v>31</v>
      </c>
      <c r="E53" s="21" t="s">
        <v>42</v>
      </c>
      <c r="F53" s="10">
        <v>28</v>
      </c>
      <c r="G53" s="10" t="s">
        <v>651</v>
      </c>
      <c r="I53" s="11"/>
      <c r="J53" s="11" t="s">
        <v>490</v>
      </c>
    </row>
    <row r="54" spans="1:10">
      <c r="B54" t="s">
        <v>635</v>
      </c>
      <c r="C54" s="41" t="s">
        <v>636</v>
      </c>
      <c r="D54" s="11" t="s">
        <v>31</v>
      </c>
      <c r="E54" s="21" t="s">
        <v>45</v>
      </c>
      <c r="F54" s="10">
        <v>26</v>
      </c>
      <c r="G54" s="10" t="s">
        <v>652</v>
      </c>
      <c r="H54" s="22">
        <f>(25.1/27.92)*100-100</f>
        <v>-10.100286532951287</v>
      </c>
      <c r="I54" s="11" t="s">
        <v>17</v>
      </c>
      <c r="J54" s="11" t="s">
        <v>38</v>
      </c>
    </row>
    <row r="56" spans="1:10">
      <c r="A56" s="5" t="s">
        <v>22</v>
      </c>
      <c r="D56" s="11"/>
      <c r="E56" s="11"/>
      <c r="F56" s="11"/>
      <c r="G56" s="11"/>
      <c r="H56" s="11"/>
      <c r="I56" s="11"/>
      <c r="J56" s="11"/>
    </row>
    <row r="57" spans="1:10">
      <c r="A57" s="3" t="s">
        <v>658</v>
      </c>
      <c r="B57" s="1" t="s">
        <v>0</v>
      </c>
      <c r="C57" s="1" t="s">
        <v>1</v>
      </c>
      <c r="D57" s="8" t="s">
        <v>6</v>
      </c>
      <c r="E57" s="8" t="s">
        <v>2</v>
      </c>
      <c r="F57" s="8" t="s">
        <v>4</v>
      </c>
      <c r="G57" s="8" t="s">
        <v>8</v>
      </c>
      <c r="H57" s="8" t="s">
        <v>7</v>
      </c>
      <c r="I57" s="8" t="s">
        <v>9</v>
      </c>
      <c r="J57" s="9" t="s">
        <v>3</v>
      </c>
    </row>
    <row r="58" spans="1:10">
      <c r="A58" s="5"/>
      <c r="B58" t="s">
        <v>635</v>
      </c>
      <c r="C58" s="41" t="s">
        <v>636</v>
      </c>
      <c r="D58" s="11" t="s">
        <v>31</v>
      </c>
      <c r="E58" s="21" t="s">
        <v>42</v>
      </c>
      <c r="F58" s="10">
        <v>25</v>
      </c>
      <c r="G58" s="10" t="s">
        <v>638</v>
      </c>
      <c r="I58" s="11"/>
      <c r="J58" s="11" t="s">
        <v>67</v>
      </c>
    </row>
    <row r="59" spans="1:10">
      <c r="B59" t="s">
        <v>635</v>
      </c>
      <c r="C59" s="41" t="s">
        <v>636</v>
      </c>
      <c r="D59" s="11" t="s">
        <v>31</v>
      </c>
      <c r="E59" s="21" t="s">
        <v>45</v>
      </c>
      <c r="F59" s="10">
        <v>21</v>
      </c>
      <c r="G59" s="10" t="s">
        <v>639</v>
      </c>
      <c r="H59" s="22">
        <f>(21.09/23.75)*100-100</f>
        <v>-11.200000000000003</v>
      </c>
      <c r="I59" s="11" t="s">
        <v>637</v>
      </c>
      <c r="J59" s="11" t="s">
        <v>85</v>
      </c>
    </row>
    <row r="60" spans="1:10" s="23" customFormat="1"/>
    <row r="61" spans="1:10" s="23" customFormat="1"/>
    <row r="62" spans="1:10">
      <c r="A62" s="5" t="s">
        <v>5</v>
      </c>
      <c r="D62" s="11"/>
      <c r="E62" s="11"/>
      <c r="F62" s="11"/>
      <c r="G62" s="11"/>
      <c r="H62" s="11"/>
      <c r="I62" s="11"/>
      <c r="J62" s="11"/>
    </row>
    <row r="63" spans="1:10">
      <c r="A63" s="3" t="s">
        <v>659</v>
      </c>
      <c r="B63" s="1" t="s">
        <v>0</v>
      </c>
      <c r="C63" s="1" t="s">
        <v>1</v>
      </c>
      <c r="D63" s="8" t="s">
        <v>6</v>
      </c>
      <c r="E63" s="8" t="s">
        <v>2</v>
      </c>
      <c r="F63" s="8" t="s">
        <v>4</v>
      </c>
      <c r="G63" s="8" t="s">
        <v>8</v>
      </c>
      <c r="H63" s="8" t="s">
        <v>7</v>
      </c>
      <c r="I63" s="8" t="s">
        <v>9</v>
      </c>
      <c r="J63" s="9" t="s">
        <v>3</v>
      </c>
    </row>
    <row r="64" spans="1:10">
      <c r="A64" s="5"/>
      <c r="B64" t="s">
        <v>635</v>
      </c>
      <c r="C64" s="41" t="s">
        <v>636</v>
      </c>
      <c r="D64" s="11" t="s">
        <v>10</v>
      </c>
      <c r="E64" s="21" t="s">
        <v>42</v>
      </c>
      <c r="F64" s="10">
        <v>41</v>
      </c>
      <c r="G64" s="10" t="s">
        <v>653</v>
      </c>
      <c r="I64" s="11"/>
      <c r="J64" s="11" t="s">
        <v>326</v>
      </c>
    </row>
    <row r="65" spans="1:10">
      <c r="B65" t="s">
        <v>635</v>
      </c>
      <c r="C65" s="41" t="s">
        <v>636</v>
      </c>
      <c r="D65" s="11" t="s">
        <v>10</v>
      </c>
      <c r="E65" s="21" t="s">
        <v>45</v>
      </c>
      <c r="F65" s="10">
        <v>33</v>
      </c>
      <c r="G65" s="10" t="s">
        <v>654</v>
      </c>
      <c r="H65" s="22">
        <f>(32.66/40.84)*100-100</f>
        <v>-20.029382957884451</v>
      </c>
      <c r="I65" s="11" t="s">
        <v>17</v>
      </c>
      <c r="J65" s="11" t="s">
        <v>490</v>
      </c>
    </row>
    <row r="68" spans="1:10">
      <c r="A68" s="5" t="s">
        <v>22</v>
      </c>
      <c r="D68" s="11"/>
      <c r="E68" s="11"/>
      <c r="F68" s="11"/>
      <c r="G68" s="11"/>
      <c r="H68" s="11"/>
      <c r="I68" s="11"/>
      <c r="J68" s="11"/>
    </row>
    <row r="69" spans="1:10">
      <c r="A69" s="3" t="s">
        <v>659</v>
      </c>
      <c r="B69" s="1" t="s">
        <v>0</v>
      </c>
      <c r="C69" s="1" t="s">
        <v>1</v>
      </c>
      <c r="D69" s="8" t="s">
        <v>6</v>
      </c>
      <c r="E69" s="8" t="s">
        <v>2</v>
      </c>
      <c r="F69" s="8" t="s">
        <v>4</v>
      </c>
      <c r="G69" s="8" t="s">
        <v>8</v>
      </c>
      <c r="H69" s="8" t="s">
        <v>7</v>
      </c>
      <c r="I69" s="8" t="s">
        <v>9</v>
      </c>
      <c r="J69" s="9" t="s">
        <v>3</v>
      </c>
    </row>
    <row r="70" spans="1:10">
      <c r="A70" s="5"/>
      <c r="B70" t="s">
        <v>635</v>
      </c>
      <c r="C70" s="41" t="s">
        <v>636</v>
      </c>
      <c r="D70" s="11" t="s">
        <v>10</v>
      </c>
      <c r="E70" s="21" t="s">
        <v>42</v>
      </c>
      <c r="F70" s="10">
        <v>31</v>
      </c>
      <c r="G70" s="10" t="s">
        <v>641</v>
      </c>
      <c r="I70" s="11"/>
      <c r="J70" s="11" t="s">
        <v>125</v>
      </c>
    </row>
    <row r="71" spans="1:10">
      <c r="B71" t="s">
        <v>635</v>
      </c>
      <c r="C71" s="41" t="s">
        <v>636</v>
      </c>
      <c r="D71" s="11" t="s">
        <v>10</v>
      </c>
      <c r="E71" s="21" t="s">
        <v>45</v>
      </c>
      <c r="F71" s="10">
        <v>27</v>
      </c>
      <c r="G71" s="10" t="s">
        <v>642</v>
      </c>
      <c r="H71" s="22">
        <f>(28.17/30.51)*100-100</f>
        <v>-7.669616519174042</v>
      </c>
      <c r="I71" s="11" t="s">
        <v>640</v>
      </c>
      <c r="J71" s="11" t="s">
        <v>222</v>
      </c>
    </row>
    <row r="72" spans="1:10" s="23" customFormat="1"/>
    <row r="74" spans="1:10">
      <c r="A74" s="5" t="s">
        <v>5</v>
      </c>
      <c r="D74" s="11"/>
      <c r="E74" s="11"/>
      <c r="F74" s="11"/>
      <c r="G74" s="11"/>
      <c r="H74" s="11"/>
      <c r="I74" s="11"/>
      <c r="J74" s="11"/>
    </row>
    <row r="75" spans="1:10">
      <c r="A75" s="3" t="s">
        <v>752</v>
      </c>
      <c r="B75" s="1" t="s">
        <v>0</v>
      </c>
      <c r="C75" s="1" t="s">
        <v>1</v>
      </c>
      <c r="D75" s="8" t="s">
        <v>6</v>
      </c>
      <c r="E75" s="8" t="s">
        <v>2</v>
      </c>
      <c r="F75" s="8" t="s">
        <v>4</v>
      </c>
      <c r="G75" s="8" t="s">
        <v>8</v>
      </c>
      <c r="H75" s="16" t="s">
        <v>7</v>
      </c>
      <c r="I75" s="8" t="s">
        <v>9</v>
      </c>
      <c r="J75" s="9" t="s">
        <v>3</v>
      </c>
    </row>
    <row r="76" spans="1:10">
      <c r="A76" s="5"/>
      <c r="B76" t="s">
        <v>593</v>
      </c>
      <c r="C76" s="41" t="s">
        <v>594</v>
      </c>
      <c r="D76" s="11" t="s">
        <v>31</v>
      </c>
      <c r="E76" s="21" t="s">
        <v>42</v>
      </c>
      <c r="F76" s="10">
        <v>20</v>
      </c>
      <c r="G76" s="10" t="s">
        <v>595</v>
      </c>
      <c r="I76" s="11"/>
      <c r="J76" s="11" t="s">
        <v>131</v>
      </c>
    </row>
    <row r="77" spans="1:10">
      <c r="B77" t="s">
        <v>593</v>
      </c>
      <c r="C77" s="41" t="s">
        <v>594</v>
      </c>
      <c r="D77" s="11" t="s">
        <v>31</v>
      </c>
      <c r="E77" s="21" t="s">
        <v>45</v>
      </c>
      <c r="F77" s="10">
        <v>18</v>
      </c>
      <c r="G77" s="10" t="s">
        <v>596</v>
      </c>
      <c r="H77" s="15">
        <f>(18.18/20.28)*100-100</f>
        <v>-10.355029585798832</v>
      </c>
      <c r="I77" s="11" t="s">
        <v>294</v>
      </c>
      <c r="J77" s="11" t="s">
        <v>131</v>
      </c>
    </row>
    <row r="79" spans="1:10" s="18" customFormat="1">
      <c r="A79" s="31" t="s">
        <v>22</v>
      </c>
      <c r="D79" s="14"/>
      <c r="E79" s="14"/>
      <c r="F79" s="14"/>
      <c r="G79" s="14"/>
      <c r="H79" s="14"/>
      <c r="I79" s="14"/>
      <c r="J79" s="14"/>
    </row>
    <row r="80" spans="1:10" s="18" customFormat="1">
      <c r="A80" s="3" t="s">
        <v>752</v>
      </c>
      <c r="B80" s="33" t="s">
        <v>0</v>
      </c>
      <c r="C80" s="33" t="s">
        <v>1</v>
      </c>
      <c r="D80" s="16" t="s">
        <v>6</v>
      </c>
      <c r="E80" s="16" t="s">
        <v>2</v>
      </c>
      <c r="F80" s="16" t="s">
        <v>4</v>
      </c>
      <c r="G80" s="16" t="s">
        <v>8</v>
      </c>
      <c r="H80" s="16" t="s">
        <v>7</v>
      </c>
      <c r="I80" s="16" t="s">
        <v>9</v>
      </c>
      <c r="J80" s="34" t="s">
        <v>3</v>
      </c>
    </row>
    <row r="81" spans="1:10" s="18" customFormat="1">
      <c r="A81" s="31"/>
      <c r="B81" s="18" t="s">
        <v>593</v>
      </c>
      <c r="C81" s="19" t="s">
        <v>594</v>
      </c>
      <c r="D81" s="14" t="s">
        <v>31</v>
      </c>
      <c r="E81" s="39" t="s">
        <v>42</v>
      </c>
      <c r="F81" s="36">
        <v>19</v>
      </c>
      <c r="G81" s="36" t="s">
        <v>597</v>
      </c>
      <c r="I81" s="14"/>
      <c r="J81" s="14" t="s">
        <v>72</v>
      </c>
    </row>
    <row r="82" spans="1:10" s="18" customFormat="1">
      <c r="B82" s="18" t="s">
        <v>593</v>
      </c>
      <c r="C82" s="19" t="s">
        <v>594</v>
      </c>
      <c r="D82" s="14" t="s">
        <v>31</v>
      </c>
      <c r="E82" s="39" t="s">
        <v>45</v>
      </c>
      <c r="F82" s="36">
        <v>17</v>
      </c>
      <c r="G82" s="36" t="s">
        <v>598</v>
      </c>
      <c r="H82" s="15">
        <f>(17.32/19.59)*100-100</f>
        <v>-11.587544665645737</v>
      </c>
      <c r="I82" s="14" t="s">
        <v>18</v>
      </c>
      <c r="J82" s="14" t="s">
        <v>125</v>
      </c>
    </row>
    <row r="85" spans="1:10">
      <c r="A85" s="5" t="s">
        <v>5</v>
      </c>
      <c r="D85" s="11"/>
      <c r="E85" s="11"/>
      <c r="F85" s="11"/>
      <c r="G85" s="11"/>
      <c r="H85" s="11"/>
      <c r="I85" s="11"/>
      <c r="J85" s="11"/>
    </row>
    <row r="86" spans="1:10">
      <c r="A86" s="3" t="s">
        <v>710</v>
      </c>
      <c r="B86" s="1" t="s">
        <v>0</v>
      </c>
      <c r="C86" s="1" t="s">
        <v>1</v>
      </c>
      <c r="D86" s="8" t="s">
        <v>6</v>
      </c>
      <c r="E86" s="8" t="s">
        <v>2</v>
      </c>
      <c r="F86" s="8" t="s">
        <v>4</v>
      </c>
      <c r="G86" s="8" t="s">
        <v>8</v>
      </c>
      <c r="H86" s="16" t="s">
        <v>7</v>
      </c>
      <c r="I86" s="8" t="s">
        <v>9</v>
      </c>
      <c r="J86" s="9" t="s">
        <v>3</v>
      </c>
    </row>
    <row r="87" spans="1:10">
      <c r="A87" s="5"/>
      <c r="B87" t="s">
        <v>593</v>
      </c>
      <c r="C87" s="41" t="s">
        <v>594</v>
      </c>
      <c r="D87" s="11" t="s">
        <v>10</v>
      </c>
      <c r="E87" s="21" t="s">
        <v>42</v>
      </c>
      <c r="F87" s="10">
        <v>29</v>
      </c>
      <c r="G87" s="10" t="s">
        <v>599</v>
      </c>
      <c r="I87" s="11"/>
      <c r="J87" s="11" t="s">
        <v>38</v>
      </c>
    </row>
    <row r="88" spans="1:10">
      <c r="B88" t="s">
        <v>593</v>
      </c>
      <c r="C88" s="41" t="s">
        <v>594</v>
      </c>
      <c r="D88" s="11" t="s">
        <v>10</v>
      </c>
      <c r="E88" s="21" t="s">
        <v>45</v>
      </c>
      <c r="F88" s="10">
        <v>26</v>
      </c>
      <c r="G88" s="10" t="s">
        <v>600</v>
      </c>
      <c r="H88" s="15">
        <f>(25.13/28.38)*100-100</f>
        <v>-11.45172656800564</v>
      </c>
      <c r="I88" s="11" t="s">
        <v>17</v>
      </c>
      <c r="J88" s="11" t="s">
        <v>85</v>
      </c>
    </row>
    <row r="91" spans="1:10" s="18" customFormat="1">
      <c r="A91" s="31" t="s">
        <v>22</v>
      </c>
      <c r="D91" s="14"/>
      <c r="E91" s="14"/>
      <c r="F91" s="14"/>
      <c r="G91" s="14"/>
      <c r="H91" s="14"/>
      <c r="I91" s="14"/>
      <c r="J91" s="14"/>
    </row>
    <row r="92" spans="1:10" s="18" customFormat="1">
      <c r="A92" s="3" t="s">
        <v>710</v>
      </c>
      <c r="B92" s="33" t="s">
        <v>0</v>
      </c>
      <c r="C92" s="33" t="s">
        <v>1</v>
      </c>
      <c r="D92" s="16" t="s">
        <v>6</v>
      </c>
      <c r="E92" s="16" t="s">
        <v>2</v>
      </c>
      <c r="F92" s="16" t="s">
        <v>4</v>
      </c>
      <c r="G92" s="16" t="s">
        <v>8</v>
      </c>
      <c r="H92" s="16" t="s">
        <v>7</v>
      </c>
      <c r="I92" s="16" t="s">
        <v>9</v>
      </c>
      <c r="J92" s="34" t="s">
        <v>3</v>
      </c>
    </row>
    <row r="93" spans="1:10" s="18" customFormat="1">
      <c r="A93" s="31"/>
      <c r="B93" s="18" t="s">
        <v>593</v>
      </c>
      <c r="C93" s="19" t="s">
        <v>594</v>
      </c>
      <c r="D93" s="14" t="s">
        <v>10</v>
      </c>
      <c r="E93" s="39" t="s">
        <v>42</v>
      </c>
      <c r="F93" s="36">
        <v>29</v>
      </c>
      <c r="G93" s="36" t="s">
        <v>601</v>
      </c>
      <c r="I93" s="14"/>
      <c r="J93" s="14" t="s">
        <v>72</v>
      </c>
    </row>
    <row r="94" spans="1:10" s="18" customFormat="1">
      <c r="B94" s="18" t="s">
        <v>593</v>
      </c>
      <c r="C94" s="19" t="s">
        <v>594</v>
      </c>
      <c r="D94" s="14" t="s">
        <v>10</v>
      </c>
      <c r="E94" s="39" t="s">
        <v>45</v>
      </c>
      <c r="F94" s="36">
        <v>27</v>
      </c>
      <c r="G94" s="36" t="s">
        <v>602</v>
      </c>
      <c r="H94" s="15">
        <f>(26.34/29.34)*100-100</f>
        <v>-10.22494887525562</v>
      </c>
      <c r="I94" s="14" t="s">
        <v>17</v>
      </c>
      <c r="J94" s="14" t="s">
        <v>222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874CD-9F5A-474D-A0D7-4ECC7398A417}">
  <dimension ref="A1:O77"/>
  <sheetViews>
    <sheetView topLeftCell="A15" workbookViewId="0">
      <selection activeCell="A39" sqref="A39:XFD39"/>
    </sheetView>
  </sheetViews>
  <sheetFormatPr baseColWidth="10" defaultRowHeight="16"/>
  <cols>
    <col min="1" max="1" width="28.83203125" bestFit="1" customWidth="1"/>
    <col min="2" max="2" width="13.1640625" customWidth="1"/>
    <col min="3" max="3" width="54.6640625" bestFit="1" customWidth="1"/>
    <col min="4" max="4" width="16.5" customWidth="1"/>
    <col min="5" max="5" width="21.1640625" customWidth="1"/>
    <col min="6" max="6" width="22.1640625" bestFit="1" customWidth="1"/>
    <col min="7" max="7" width="29" bestFit="1" customWidth="1"/>
    <col min="8" max="8" width="26.1640625" bestFit="1" customWidth="1"/>
    <col min="9" max="9" width="27" bestFit="1" customWidth="1"/>
    <col min="10" max="10" width="23.1640625" bestFit="1" customWidth="1"/>
  </cols>
  <sheetData>
    <row r="1" spans="1:15" ht="20">
      <c r="A1" s="17" t="s">
        <v>779</v>
      </c>
    </row>
    <row r="4" spans="1:15" ht="18">
      <c r="A4" s="20" t="s">
        <v>552</v>
      </c>
      <c r="E4" s="41"/>
      <c r="F4" s="10"/>
      <c r="G4" s="10"/>
      <c r="H4" s="42"/>
      <c r="I4" s="11"/>
      <c r="J4" s="11"/>
    </row>
    <row r="8" spans="1:15">
      <c r="A8" s="5" t="s">
        <v>5</v>
      </c>
      <c r="D8" s="11"/>
      <c r="E8" s="11"/>
      <c r="F8" s="11"/>
      <c r="G8" s="11"/>
      <c r="H8" s="11"/>
      <c r="I8" s="11"/>
      <c r="J8" s="11"/>
    </row>
    <row r="9" spans="1:15">
      <c r="A9" s="3" t="s">
        <v>553</v>
      </c>
      <c r="B9" s="1" t="s">
        <v>0</v>
      </c>
      <c r="C9" s="1" t="s">
        <v>1</v>
      </c>
      <c r="D9" s="8" t="s">
        <v>6</v>
      </c>
      <c r="E9" s="8" t="s">
        <v>2</v>
      </c>
      <c r="F9" s="8" t="s">
        <v>4</v>
      </c>
      <c r="G9" s="8" t="s">
        <v>8</v>
      </c>
      <c r="H9" s="16" t="s">
        <v>7</v>
      </c>
      <c r="I9" s="8" t="s">
        <v>9</v>
      </c>
      <c r="J9" s="9" t="s">
        <v>3</v>
      </c>
    </row>
    <row r="10" spans="1:15" s="18" customFormat="1">
      <c r="A10" s="35"/>
      <c r="B10" s="18" t="s">
        <v>88</v>
      </c>
      <c r="C10" s="18" t="s">
        <v>141</v>
      </c>
      <c r="D10" s="14" t="s">
        <v>10</v>
      </c>
      <c r="E10" s="39" t="s">
        <v>42</v>
      </c>
      <c r="F10" s="36">
        <v>28</v>
      </c>
      <c r="G10" s="36" t="s">
        <v>196</v>
      </c>
      <c r="H10" s="14"/>
      <c r="I10" s="14"/>
      <c r="J10" s="14" t="s">
        <v>72</v>
      </c>
      <c r="L10" s="37"/>
      <c r="M10" s="37"/>
      <c r="N10" s="37"/>
      <c r="O10" s="37"/>
    </row>
    <row r="11" spans="1:15" s="18" customFormat="1">
      <c r="A11" s="35"/>
      <c r="B11" s="18" t="s">
        <v>88</v>
      </c>
      <c r="C11" s="18" t="s">
        <v>141</v>
      </c>
      <c r="D11" s="14" t="s">
        <v>10</v>
      </c>
      <c r="E11" s="39" t="s">
        <v>197</v>
      </c>
      <c r="F11" s="36">
        <v>27</v>
      </c>
      <c r="G11" s="36" t="s">
        <v>198</v>
      </c>
      <c r="H11" s="15">
        <f>(26.28/27.95)*100-100</f>
        <v>-5.9749552772808414</v>
      </c>
      <c r="I11" s="45">
        <v>6.8999999999999999E-3</v>
      </c>
      <c r="J11" s="14" t="s">
        <v>125</v>
      </c>
      <c r="L11" s="37"/>
      <c r="M11" s="37"/>
      <c r="N11" s="37"/>
      <c r="O11" s="37"/>
    </row>
    <row r="12" spans="1:15" s="18" customFormat="1">
      <c r="B12" s="18" t="s">
        <v>88</v>
      </c>
      <c r="C12" s="18" t="s">
        <v>141</v>
      </c>
      <c r="D12" s="14" t="s">
        <v>10</v>
      </c>
      <c r="E12" s="39" t="s">
        <v>208</v>
      </c>
      <c r="F12" s="36">
        <v>27</v>
      </c>
      <c r="G12" s="36" t="s">
        <v>209</v>
      </c>
      <c r="H12" s="15">
        <f>(26.49/27.95)*100-100</f>
        <v>-5.2236135957066239</v>
      </c>
      <c r="I12" s="45">
        <v>6.3399999999999998E-2</v>
      </c>
      <c r="J12" s="14" t="s">
        <v>129</v>
      </c>
    </row>
    <row r="13" spans="1:15" s="18" customFormat="1">
      <c r="D13" s="14"/>
      <c r="E13" s="39"/>
      <c r="F13" s="36"/>
      <c r="G13" s="36"/>
      <c r="H13" s="15"/>
      <c r="I13" s="45"/>
      <c r="J13" s="14"/>
    </row>
    <row r="14" spans="1:15" s="18" customFormat="1">
      <c r="A14" s="35"/>
      <c r="B14" s="18" t="s">
        <v>88</v>
      </c>
      <c r="C14" s="18" t="s">
        <v>141</v>
      </c>
      <c r="D14" s="14" t="s">
        <v>31</v>
      </c>
      <c r="E14" s="39" t="s">
        <v>42</v>
      </c>
      <c r="F14" s="36">
        <v>18</v>
      </c>
      <c r="G14" s="36" t="s">
        <v>199</v>
      </c>
      <c r="H14" s="14"/>
      <c r="I14" s="14"/>
      <c r="J14" s="14" t="s">
        <v>85</v>
      </c>
      <c r="L14" s="37"/>
      <c r="M14" s="37"/>
      <c r="N14" s="37"/>
      <c r="O14" s="37"/>
    </row>
    <row r="15" spans="1:15" s="18" customFormat="1">
      <c r="A15" s="35"/>
      <c r="B15" t="s">
        <v>88</v>
      </c>
      <c r="C15" t="s">
        <v>141</v>
      </c>
      <c r="D15" s="11" t="s">
        <v>31</v>
      </c>
      <c r="E15" s="21" t="s">
        <v>197</v>
      </c>
      <c r="F15" s="11">
        <v>18</v>
      </c>
      <c r="G15" s="10" t="s">
        <v>200</v>
      </c>
      <c r="H15" s="15">
        <f>(18.33/17.87)*100-100</f>
        <v>2.5741466144375948</v>
      </c>
      <c r="I15" s="44">
        <v>0.54900000000000004</v>
      </c>
      <c r="J15" s="11" t="s">
        <v>201</v>
      </c>
      <c r="L15" s="37"/>
      <c r="M15" s="37"/>
      <c r="N15" s="37"/>
      <c r="O15" s="37"/>
    </row>
    <row r="16" spans="1:15" s="18" customFormat="1">
      <c r="B16" s="18" t="s">
        <v>88</v>
      </c>
      <c r="C16" s="18" t="s">
        <v>141</v>
      </c>
      <c r="D16" s="14" t="s">
        <v>31</v>
      </c>
      <c r="E16" s="39" t="s">
        <v>208</v>
      </c>
      <c r="F16" s="14">
        <v>18</v>
      </c>
      <c r="G16" s="36" t="s">
        <v>210</v>
      </c>
      <c r="H16" s="15">
        <f>(18.37/17.87)*100-100</f>
        <v>2.7979854504756503</v>
      </c>
      <c r="I16" s="44">
        <v>0.45739999999999997</v>
      </c>
      <c r="J16" s="14" t="s">
        <v>191</v>
      </c>
    </row>
    <row r="17" spans="1:15" s="18" customFormat="1">
      <c r="D17" s="14"/>
      <c r="E17" s="39"/>
      <c r="F17" s="14"/>
      <c r="G17" s="36"/>
      <c r="H17" s="15"/>
      <c r="I17" s="44"/>
      <c r="J17" s="14"/>
    </row>
    <row r="19" spans="1:15">
      <c r="A19" s="5" t="s">
        <v>22</v>
      </c>
      <c r="D19" s="11"/>
      <c r="E19" s="11"/>
      <c r="F19" s="11"/>
      <c r="G19" s="11"/>
      <c r="H19" s="11"/>
      <c r="I19" s="11"/>
      <c r="J19" s="11"/>
    </row>
    <row r="20" spans="1:15">
      <c r="A20" s="3" t="s">
        <v>553</v>
      </c>
      <c r="B20" s="1" t="s">
        <v>0</v>
      </c>
      <c r="C20" s="1" t="s">
        <v>1</v>
      </c>
      <c r="D20" s="8" t="s">
        <v>6</v>
      </c>
      <c r="E20" s="8" t="s">
        <v>2</v>
      </c>
      <c r="F20" s="8" t="s">
        <v>4</v>
      </c>
      <c r="G20" s="8" t="s">
        <v>8</v>
      </c>
      <c r="H20" s="16" t="s">
        <v>7</v>
      </c>
      <c r="I20" s="8" t="s">
        <v>9</v>
      </c>
      <c r="J20" s="9" t="s">
        <v>3</v>
      </c>
    </row>
    <row r="21" spans="1:15">
      <c r="A21" s="4"/>
      <c r="B21" t="s">
        <v>88</v>
      </c>
      <c r="C21" t="s">
        <v>141</v>
      </c>
      <c r="D21" s="11" t="s">
        <v>10</v>
      </c>
      <c r="E21" s="21" t="s">
        <v>42</v>
      </c>
      <c r="F21" s="10">
        <v>32</v>
      </c>
      <c r="G21" s="10" t="s">
        <v>142</v>
      </c>
      <c r="H21" s="14"/>
      <c r="I21" s="11"/>
      <c r="J21" s="11" t="s">
        <v>49</v>
      </c>
      <c r="L21" s="12"/>
      <c r="M21" s="12"/>
      <c r="N21" s="12"/>
      <c r="O21" s="12"/>
    </row>
    <row r="22" spans="1:15">
      <c r="A22" s="4"/>
      <c r="B22" t="s">
        <v>88</v>
      </c>
      <c r="C22" t="s">
        <v>141</v>
      </c>
      <c r="D22" s="11" t="s">
        <v>10</v>
      </c>
      <c r="E22" s="21" t="s">
        <v>197</v>
      </c>
      <c r="F22" s="10">
        <v>29</v>
      </c>
      <c r="G22" s="10" t="s">
        <v>202</v>
      </c>
      <c r="H22" s="15">
        <f>(27.69/29.74)*100-100</f>
        <v>-6.8930733019502242</v>
      </c>
      <c r="I22" s="11">
        <v>1.5699999999999999E-2</v>
      </c>
      <c r="J22" s="11" t="s">
        <v>39</v>
      </c>
      <c r="L22" s="12"/>
      <c r="M22" s="12"/>
      <c r="N22" s="12"/>
      <c r="O22" s="12"/>
    </row>
    <row r="23" spans="1:15">
      <c r="B23" t="s">
        <v>88</v>
      </c>
      <c r="C23" t="s">
        <v>141</v>
      </c>
      <c r="D23" s="11" t="s">
        <v>10</v>
      </c>
      <c r="E23" s="21" t="s">
        <v>208</v>
      </c>
      <c r="F23" s="10">
        <v>26</v>
      </c>
      <c r="G23" s="10" t="s">
        <v>211</v>
      </c>
      <c r="H23" s="15">
        <f>(27.58/29.74)*100-100</f>
        <v>-7.262945527908542</v>
      </c>
      <c r="I23" s="11" t="s">
        <v>212</v>
      </c>
      <c r="J23" s="11" t="s">
        <v>85</v>
      </c>
    </row>
    <row r="25" spans="1:15">
      <c r="A25" s="4"/>
      <c r="B25" t="s">
        <v>88</v>
      </c>
      <c r="C25" t="s">
        <v>141</v>
      </c>
      <c r="D25" s="11" t="s">
        <v>31</v>
      </c>
      <c r="E25" s="21" t="s">
        <v>42</v>
      </c>
      <c r="F25" s="43">
        <v>17.5</v>
      </c>
      <c r="G25" s="10" t="s">
        <v>147</v>
      </c>
      <c r="H25" s="14"/>
      <c r="I25" s="11"/>
      <c r="J25" s="11" t="s">
        <v>69</v>
      </c>
      <c r="L25" s="12"/>
      <c r="M25" s="12"/>
      <c r="N25" s="12"/>
      <c r="O25" s="12"/>
    </row>
    <row r="26" spans="1:15">
      <c r="A26" s="4"/>
      <c r="B26" t="s">
        <v>88</v>
      </c>
      <c r="C26" t="s">
        <v>141</v>
      </c>
      <c r="D26" s="11" t="s">
        <v>31</v>
      </c>
      <c r="E26" s="21" t="s">
        <v>197</v>
      </c>
      <c r="F26" s="43">
        <v>17</v>
      </c>
      <c r="G26" s="10" t="s">
        <v>203</v>
      </c>
      <c r="H26" s="15">
        <f>(18.1/18.78)*100-100</f>
        <v>-3.6208732694355632</v>
      </c>
      <c r="I26" s="11">
        <v>0.22550000000000001</v>
      </c>
      <c r="J26" s="11" t="s">
        <v>61</v>
      </c>
      <c r="L26" s="12"/>
      <c r="M26" s="12"/>
      <c r="N26" s="12"/>
      <c r="O26" s="12"/>
    </row>
    <row r="27" spans="1:15">
      <c r="B27" t="s">
        <v>88</v>
      </c>
      <c r="C27" t="s">
        <v>141</v>
      </c>
      <c r="D27" s="11" t="s">
        <v>31</v>
      </c>
      <c r="E27" s="21" t="s">
        <v>208</v>
      </c>
      <c r="F27" s="43">
        <v>17</v>
      </c>
      <c r="G27" s="10" t="s">
        <v>213</v>
      </c>
      <c r="H27" s="15">
        <f>(17.87/18.78)*100-100</f>
        <v>-4.8455804046858333</v>
      </c>
      <c r="I27" s="11">
        <v>6.1400000000000003E-2</v>
      </c>
      <c r="J27" s="11" t="s">
        <v>85</v>
      </c>
    </row>
    <row r="29" spans="1:15">
      <c r="A29" s="5" t="s">
        <v>185</v>
      </c>
      <c r="D29" s="11"/>
      <c r="E29" s="11"/>
      <c r="F29" s="11"/>
      <c r="G29" s="11"/>
      <c r="H29" s="11"/>
      <c r="I29" s="11"/>
      <c r="J29" s="11"/>
    </row>
    <row r="30" spans="1:15">
      <c r="A30" s="3" t="s">
        <v>553</v>
      </c>
      <c r="B30" s="1" t="s">
        <v>0</v>
      </c>
      <c r="C30" s="1" t="s">
        <v>1</v>
      </c>
      <c r="D30" s="8" t="s">
        <v>6</v>
      </c>
      <c r="E30" s="8" t="s">
        <v>2</v>
      </c>
      <c r="F30" s="8" t="s">
        <v>4</v>
      </c>
      <c r="G30" s="8" t="s">
        <v>8</v>
      </c>
      <c r="H30" s="16" t="s">
        <v>7</v>
      </c>
      <c r="I30" s="8" t="s">
        <v>9</v>
      </c>
      <c r="J30" s="9" t="s">
        <v>3</v>
      </c>
    </row>
    <row r="31" spans="1:15" s="18" customFormat="1">
      <c r="A31" s="35"/>
      <c r="B31" s="18" t="s">
        <v>88</v>
      </c>
      <c r="C31" s="18" t="s">
        <v>141</v>
      </c>
      <c r="D31" s="14" t="s">
        <v>10</v>
      </c>
      <c r="E31" s="39" t="s">
        <v>42</v>
      </c>
      <c r="F31" s="36">
        <v>27</v>
      </c>
      <c r="G31" s="36" t="s">
        <v>204</v>
      </c>
      <c r="H31" s="14"/>
      <c r="I31" s="14"/>
      <c r="J31" s="14" t="s">
        <v>125</v>
      </c>
      <c r="L31" s="37"/>
      <c r="M31" s="37"/>
      <c r="N31" s="37"/>
      <c r="O31" s="37"/>
    </row>
    <row r="32" spans="1:15" s="18" customFormat="1">
      <c r="A32" s="35"/>
      <c r="B32" s="18" t="s">
        <v>88</v>
      </c>
      <c r="C32" s="18" t="s">
        <v>141</v>
      </c>
      <c r="D32" s="14" t="s">
        <v>10</v>
      </c>
      <c r="E32" s="39" t="s">
        <v>197</v>
      </c>
      <c r="F32" s="36">
        <v>26</v>
      </c>
      <c r="G32" s="36" t="s">
        <v>205</v>
      </c>
      <c r="H32" s="15">
        <f>(26.17/27.29)*100-100</f>
        <v>-4.1040674239648069</v>
      </c>
      <c r="I32" s="46">
        <v>2.87E-2</v>
      </c>
      <c r="J32" s="36" t="s">
        <v>39</v>
      </c>
      <c r="L32" s="37"/>
      <c r="M32" s="37"/>
      <c r="N32" s="37"/>
      <c r="O32" s="37"/>
    </row>
    <row r="33" spans="1:15" s="18" customFormat="1">
      <c r="B33" s="18" t="s">
        <v>88</v>
      </c>
      <c r="C33" s="18" t="s">
        <v>141</v>
      </c>
      <c r="D33" s="14" t="s">
        <v>10</v>
      </c>
      <c r="E33" s="39" t="s">
        <v>208</v>
      </c>
      <c r="F33" s="36">
        <v>27</v>
      </c>
      <c r="G33" s="36" t="s">
        <v>214</v>
      </c>
      <c r="H33" s="15">
        <f>(27.05/27.29)*100-100</f>
        <v>-0.87944301942101788</v>
      </c>
      <c r="I33" s="46">
        <v>0.36180000000000001</v>
      </c>
      <c r="J33" s="36" t="s">
        <v>69</v>
      </c>
    </row>
    <row r="35" spans="1:15">
      <c r="A35" s="4"/>
      <c r="B35" t="s">
        <v>88</v>
      </c>
      <c r="C35" t="s">
        <v>141</v>
      </c>
      <c r="D35" s="11" t="s">
        <v>31</v>
      </c>
      <c r="E35" s="21" t="s">
        <v>42</v>
      </c>
      <c r="F35" s="10">
        <v>19</v>
      </c>
      <c r="G35" s="10" t="s">
        <v>206</v>
      </c>
      <c r="H35" s="14"/>
      <c r="I35" s="11"/>
      <c r="J35" s="11" t="s">
        <v>55</v>
      </c>
      <c r="L35" s="12"/>
      <c r="M35" s="12"/>
      <c r="N35" s="12"/>
      <c r="O35" s="12"/>
    </row>
    <row r="36" spans="1:15">
      <c r="A36" s="4"/>
      <c r="B36" t="s">
        <v>88</v>
      </c>
      <c r="C36" t="s">
        <v>141</v>
      </c>
      <c r="D36" s="11" t="s">
        <v>31</v>
      </c>
      <c r="E36" s="21" t="s">
        <v>197</v>
      </c>
      <c r="F36" s="11">
        <v>18</v>
      </c>
      <c r="G36" s="10" t="s">
        <v>207</v>
      </c>
      <c r="H36" s="15">
        <f>(18.77/19.09)*100-100</f>
        <v>-1.6762702985856492</v>
      </c>
      <c r="I36" s="45">
        <v>0.82789999999999997</v>
      </c>
      <c r="J36" s="11" t="s">
        <v>125</v>
      </c>
      <c r="L36" s="12"/>
      <c r="M36" s="12"/>
      <c r="N36" s="12"/>
      <c r="O36" s="12"/>
    </row>
    <row r="37" spans="1:15">
      <c r="B37" t="s">
        <v>88</v>
      </c>
      <c r="C37" t="s">
        <v>141</v>
      </c>
      <c r="D37" s="11" t="s">
        <v>31</v>
      </c>
      <c r="E37" s="21" t="s">
        <v>208</v>
      </c>
      <c r="F37" s="11">
        <v>18</v>
      </c>
      <c r="G37" s="10" t="s">
        <v>215</v>
      </c>
      <c r="H37" s="15">
        <f>(19.41/19.09)*100-100</f>
        <v>1.6762702985856635</v>
      </c>
      <c r="I37" s="45">
        <v>0.57769999999999999</v>
      </c>
      <c r="J37" s="11" t="s">
        <v>72</v>
      </c>
    </row>
    <row r="38" spans="1:15">
      <c r="D38" s="11"/>
      <c r="E38" s="21"/>
      <c r="F38" s="11"/>
      <c r="G38" s="10"/>
      <c r="H38" s="15"/>
      <c r="I38" s="45"/>
      <c r="J38" s="11"/>
    </row>
    <row r="41" spans="1:15">
      <c r="A41" s="5" t="s">
        <v>5</v>
      </c>
      <c r="D41" s="11"/>
      <c r="E41" s="11"/>
      <c r="F41" s="11"/>
      <c r="G41" s="11"/>
      <c r="H41" s="11"/>
      <c r="I41" s="11"/>
      <c r="J41" s="11"/>
    </row>
    <row r="42" spans="1:15">
      <c r="A42" s="3" t="s">
        <v>554</v>
      </c>
      <c r="B42" s="1" t="s">
        <v>0</v>
      </c>
      <c r="C42" s="1" t="s">
        <v>1</v>
      </c>
      <c r="D42" s="8" t="s">
        <v>6</v>
      </c>
      <c r="E42" s="8" t="s">
        <v>2</v>
      </c>
      <c r="F42" s="8" t="s">
        <v>4</v>
      </c>
      <c r="G42" s="8" t="s">
        <v>8</v>
      </c>
      <c r="H42" s="16" t="s">
        <v>7</v>
      </c>
      <c r="I42" s="8" t="s">
        <v>9</v>
      </c>
      <c r="J42" s="9" t="s">
        <v>3</v>
      </c>
    </row>
    <row r="43" spans="1:15">
      <c r="A43" s="48"/>
      <c r="B43" s="18" t="s">
        <v>88</v>
      </c>
      <c r="C43" s="18" t="s">
        <v>718</v>
      </c>
      <c r="D43" s="14" t="s">
        <v>10</v>
      </c>
      <c r="E43" s="39" t="s">
        <v>42</v>
      </c>
      <c r="F43" s="36">
        <v>32</v>
      </c>
      <c r="G43" s="36" t="s">
        <v>142</v>
      </c>
      <c r="H43" s="14"/>
      <c r="I43" s="14"/>
      <c r="J43" s="14" t="s">
        <v>49</v>
      </c>
    </row>
    <row r="44" spans="1:15">
      <c r="A44" s="48"/>
      <c r="B44" s="18" t="s">
        <v>88</v>
      </c>
      <c r="C44" s="18" t="s">
        <v>141</v>
      </c>
      <c r="D44" s="14" t="s">
        <v>10</v>
      </c>
      <c r="E44" s="39" t="s">
        <v>143</v>
      </c>
      <c r="F44" s="36">
        <v>30</v>
      </c>
      <c r="G44" s="36" t="s">
        <v>144</v>
      </c>
      <c r="H44" s="15">
        <f>(28.94/29.74)*100-100</f>
        <v>-2.6899798251512976</v>
      </c>
      <c r="I44" s="14">
        <v>0.15690000000000001</v>
      </c>
      <c r="J44" s="14" t="s">
        <v>69</v>
      </c>
    </row>
    <row r="45" spans="1:15">
      <c r="A45" s="48"/>
      <c r="B45" s="18" t="s">
        <v>88</v>
      </c>
      <c r="C45" s="18" t="s">
        <v>141</v>
      </c>
      <c r="D45" s="14" t="s">
        <v>10</v>
      </c>
      <c r="E45" s="39" t="s">
        <v>145</v>
      </c>
      <c r="F45" s="36">
        <v>32</v>
      </c>
      <c r="G45" s="36" t="s">
        <v>146</v>
      </c>
      <c r="H45" s="15">
        <f>(29.16/29.74)*100-100</f>
        <v>-1.9502353732347046</v>
      </c>
      <c r="I45" s="14">
        <v>0.16750000000000001</v>
      </c>
      <c r="J45" s="14" t="s">
        <v>11</v>
      </c>
    </row>
    <row r="46" spans="1:15">
      <c r="A46" s="48"/>
      <c r="B46" s="49"/>
      <c r="C46" s="49"/>
      <c r="D46" s="42"/>
      <c r="E46" s="42"/>
      <c r="F46" s="42"/>
      <c r="G46" s="42"/>
      <c r="H46" s="50"/>
      <c r="I46" s="42"/>
      <c r="J46" s="42"/>
    </row>
    <row r="47" spans="1:15">
      <c r="A47" s="4"/>
      <c r="B47" t="s">
        <v>88</v>
      </c>
      <c r="C47" t="s">
        <v>718</v>
      </c>
      <c r="D47" s="11" t="s">
        <v>31</v>
      </c>
      <c r="E47" s="21" t="s">
        <v>42</v>
      </c>
      <c r="F47" s="43">
        <v>17.5</v>
      </c>
      <c r="G47" s="10" t="s">
        <v>147</v>
      </c>
      <c r="H47" s="14"/>
      <c r="I47" s="11"/>
      <c r="J47" s="11" t="s">
        <v>69</v>
      </c>
      <c r="L47" s="12"/>
      <c r="M47" s="12"/>
      <c r="N47" s="12"/>
      <c r="O47" s="12"/>
    </row>
    <row r="48" spans="1:15">
      <c r="B48" t="s">
        <v>88</v>
      </c>
      <c r="C48" t="s">
        <v>141</v>
      </c>
      <c r="D48" s="11" t="s">
        <v>31</v>
      </c>
      <c r="E48" s="21" t="s">
        <v>143</v>
      </c>
      <c r="F48" s="43">
        <v>17.5</v>
      </c>
      <c r="G48" s="10" t="s">
        <v>148</v>
      </c>
      <c r="H48" s="15">
        <f>(18.15/18.78)*100-100</f>
        <v>-3.3546325878594416</v>
      </c>
      <c r="I48" s="11">
        <v>0.24460000000000001</v>
      </c>
      <c r="J48" s="11" t="s">
        <v>61</v>
      </c>
    </row>
    <row r="49" spans="1:15">
      <c r="B49" t="s">
        <v>88</v>
      </c>
      <c r="C49" t="s">
        <v>141</v>
      </c>
      <c r="D49" s="11" t="s">
        <v>31</v>
      </c>
      <c r="E49" s="21" t="s">
        <v>145</v>
      </c>
      <c r="F49" s="43">
        <v>17</v>
      </c>
      <c r="G49" s="10" t="s">
        <v>149</v>
      </c>
      <c r="H49" s="15">
        <f>(17.69/18.78)*100-100</f>
        <v>-5.8040468583599534</v>
      </c>
      <c r="I49" s="11">
        <v>5.6399999999999999E-2</v>
      </c>
      <c r="J49" s="11" t="s">
        <v>39</v>
      </c>
    </row>
    <row r="50" spans="1:15">
      <c r="D50" s="11"/>
      <c r="E50" s="21"/>
      <c r="F50" s="43"/>
      <c r="G50" s="10"/>
      <c r="H50" s="15"/>
      <c r="I50" s="11"/>
      <c r="J50" s="11"/>
    </row>
    <row r="52" spans="1:15">
      <c r="A52" s="5" t="s">
        <v>22</v>
      </c>
      <c r="D52" s="11"/>
      <c r="E52" s="11"/>
      <c r="F52" s="11"/>
      <c r="G52" s="11"/>
      <c r="H52" s="11"/>
      <c r="I52" s="11"/>
      <c r="J52" s="11"/>
    </row>
    <row r="53" spans="1:15">
      <c r="A53" s="3" t="s">
        <v>554</v>
      </c>
      <c r="B53" s="1" t="s">
        <v>0</v>
      </c>
      <c r="C53" s="1" t="s">
        <v>1</v>
      </c>
      <c r="D53" s="8" t="s">
        <v>6</v>
      </c>
      <c r="E53" s="8" t="s">
        <v>2</v>
      </c>
      <c r="F53" s="8" t="s">
        <v>4</v>
      </c>
      <c r="G53" s="8" t="s">
        <v>8</v>
      </c>
      <c r="H53" s="16" t="s">
        <v>7</v>
      </c>
      <c r="I53" s="8" t="s">
        <v>9</v>
      </c>
      <c r="J53" s="9" t="s">
        <v>3</v>
      </c>
    </row>
    <row r="54" spans="1:15">
      <c r="A54" s="48"/>
      <c r="B54" s="18" t="s">
        <v>88</v>
      </c>
      <c r="C54" s="18" t="s">
        <v>141</v>
      </c>
      <c r="D54" s="14" t="s">
        <v>10</v>
      </c>
      <c r="E54" s="39" t="s">
        <v>42</v>
      </c>
      <c r="F54" s="36">
        <v>21</v>
      </c>
      <c r="G54" s="36" t="s">
        <v>223</v>
      </c>
      <c r="H54" s="14"/>
      <c r="I54" s="14"/>
      <c r="J54" s="14" t="s">
        <v>11</v>
      </c>
    </row>
    <row r="55" spans="1:15">
      <c r="A55" s="48"/>
      <c r="B55" s="18" t="s">
        <v>88</v>
      </c>
      <c r="C55" s="18" t="s">
        <v>141</v>
      </c>
      <c r="D55" s="14" t="s">
        <v>10</v>
      </c>
      <c r="E55" s="39" t="s">
        <v>143</v>
      </c>
      <c r="F55" s="36">
        <v>22</v>
      </c>
      <c r="G55" s="36" t="s">
        <v>224</v>
      </c>
      <c r="H55" s="15">
        <f>(21.39/22.09)*100-100</f>
        <v>-3.168854685377994</v>
      </c>
      <c r="I55" s="14">
        <v>0.63390000000000002</v>
      </c>
      <c r="J55" s="14" t="s">
        <v>222</v>
      </c>
    </row>
    <row r="56" spans="1:15">
      <c r="A56" s="48"/>
      <c r="B56" s="18" t="s">
        <v>88</v>
      </c>
      <c r="C56" s="18" t="s">
        <v>141</v>
      </c>
      <c r="D56" s="14" t="s">
        <v>10</v>
      </c>
      <c r="E56" s="39" t="s">
        <v>145</v>
      </c>
      <c r="F56" s="36">
        <v>21</v>
      </c>
      <c r="G56" s="36" t="s">
        <v>225</v>
      </c>
      <c r="H56" s="15">
        <f>(21.45/22.09)*100-100</f>
        <v>-2.897238569488465</v>
      </c>
      <c r="I56" s="14">
        <v>0.1958</v>
      </c>
      <c r="J56" s="14" t="s">
        <v>201</v>
      </c>
    </row>
    <row r="57" spans="1:15">
      <c r="A57" s="48"/>
      <c r="B57" s="49"/>
      <c r="C57" s="49"/>
      <c r="D57" s="42"/>
      <c r="E57" s="42"/>
      <c r="F57" s="42"/>
      <c r="G57" s="42"/>
      <c r="H57" s="50"/>
      <c r="I57" s="42"/>
      <c r="J57" s="42"/>
    </row>
    <row r="58" spans="1:15">
      <c r="A58" s="4"/>
      <c r="B58" t="s">
        <v>88</v>
      </c>
      <c r="C58" t="s">
        <v>141</v>
      </c>
      <c r="D58" s="11" t="s">
        <v>31</v>
      </c>
      <c r="E58" s="21" t="s">
        <v>42</v>
      </c>
      <c r="F58" s="43">
        <v>15</v>
      </c>
      <c r="G58" s="10" t="s">
        <v>227</v>
      </c>
      <c r="H58" s="14"/>
      <c r="I58" s="11"/>
      <c r="J58" s="11" t="s">
        <v>226</v>
      </c>
      <c r="L58" s="12"/>
      <c r="M58" s="12"/>
      <c r="N58" s="12"/>
      <c r="O58" s="12"/>
    </row>
    <row r="59" spans="1:15">
      <c r="B59" t="s">
        <v>88</v>
      </c>
      <c r="C59" t="s">
        <v>141</v>
      </c>
      <c r="D59" s="11" t="s">
        <v>31</v>
      </c>
      <c r="E59" s="21" t="s">
        <v>143</v>
      </c>
      <c r="F59" s="43">
        <v>15</v>
      </c>
      <c r="G59" s="10" t="s">
        <v>228</v>
      </c>
      <c r="H59" s="15">
        <f>(15/15.19)*100-100</f>
        <v>-1.2508229098090737</v>
      </c>
      <c r="I59" s="11">
        <v>0.89129999999999998</v>
      </c>
      <c r="J59" s="11" t="s">
        <v>38</v>
      </c>
    </row>
    <row r="60" spans="1:15">
      <c r="B60" t="s">
        <v>88</v>
      </c>
      <c r="C60" t="s">
        <v>141</v>
      </c>
      <c r="D60" s="11" t="s">
        <v>31</v>
      </c>
      <c r="E60" s="21" t="s">
        <v>145</v>
      </c>
      <c r="F60" s="43">
        <v>14</v>
      </c>
      <c r="G60" s="10" t="s">
        <v>229</v>
      </c>
      <c r="H60" s="15">
        <f>(14.21/15.19)*100-100</f>
        <v>-6.4516129032257936</v>
      </c>
      <c r="I60" s="11">
        <v>9.01E-2</v>
      </c>
      <c r="J60" s="11" t="s">
        <v>222</v>
      </c>
    </row>
    <row r="63" spans="1:15" s="18" customFormat="1">
      <c r="A63" s="31" t="s">
        <v>5</v>
      </c>
      <c r="D63" s="14"/>
      <c r="E63" s="14"/>
      <c r="F63" s="14"/>
      <c r="G63" s="14"/>
      <c r="H63" s="14"/>
      <c r="I63" s="14"/>
      <c r="J63" s="14"/>
    </row>
    <row r="64" spans="1:15" s="18" customFormat="1">
      <c r="A64" s="32" t="s">
        <v>643</v>
      </c>
      <c r="B64" s="33" t="s">
        <v>0</v>
      </c>
      <c r="C64" s="33" t="s">
        <v>1</v>
      </c>
      <c r="D64" s="16" t="s">
        <v>6</v>
      </c>
      <c r="E64" s="16" t="s">
        <v>2</v>
      </c>
      <c r="F64" s="16" t="s">
        <v>4</v>
      </c>
      <c r="G64" s="16" t="s">
        <v>8</v>
      </c>
      <c r="H64" s="16" t="s">
        <v>7</v>
      </c>
      <c r="I64" s="16" t="s">
        <v>9</v>
      </c>
      <c r="J64" s="34" t="s">
        <v>3</v>
      </c>
    </row>
    <row r="65" spans="1:10" s="18" customFormat="1">
      <c r="A65" s="35"/>
      <c r="B65" s="18" t="s">
        <v>586</v>
      </c>
      <c r="C65" s="18" t="s">
        <v>679</v>
      </c>
      <c r="D65" s="14" t="s">
        <v>10</v>
      </c>
      <c r="E65" s="14" t="s">
        <v>12</v>
      </c>
      <c r="F65" s="36">
        <v>19</v>
      </c>
      <c r="G65" s="36" t="s">
        <v>582</v>
      </c>
      <c r="H65" s="14"/>
      <c r="I65" s="14"/>
      <c r="J65" s="14" t="s">
        <v>11</v>
      </c>
    </row>
    <row r="66" spans="1:10" s="18" customFormat="1">
      <c r="A66" s="35"/>
      <c r="B66" s="18" t="s">
        <v>587</v>
      </c>
      <c r="C66" s="19" t="s">
        <v>588</v>
      </c>
      <c r="D66" s="14" t="s">
        <v>10</v>
      </c>
      <c r="E66" s="14" t="s">
        <v>12</v>
      </c>
      <c r="F66" s="36">
        <v>19</v>
      </c>
      <c r="G66" s="36" t="s">
        <v>709</v>
      </c>
      <c r="H66" s="15">
        <f>(18.6/20)*100-100</f>
        <v>-7</v>
      </c>
      <c r="I66" s="14" t="s">
        <v>708</v>
      </c>
      <c r="J66" s="14" t="s">
        <v>61</v>
      </c>
    </row>
    <row r="68" spans="1:10" s="18" customFormat="1">
      <c r="A68" s="31" t="s">
        <v>5</v>
      </c>
      <c r="D68" s="14"/>
      <c r="E68" s="14"/>
      <c r="F68" s="14"/>
      <c r="G68" s="14"/>
      <c r="H68" s="14"/>
      <c r="I68" s="14"/>
      <c r="J68" s="14"/>
    </row>
    <row r="69" spans="1:10" s="18" customFormat="1">
      <c r="A69" s="32" t="s">
        <v>644</v>
      </c>
      <c r="B69" s="33" t="s">
        <v>0</v>
      </c>
      <c r="C69" s="33" t="s">
        <v>1</v>
      </c>
      <c r="D69" s="16" t="s">
        <v>6</v>
      </c>
      <c r="E69" s="16" t="s">
        <v>2</v>
      </c>
      <c r="F69" s="16" t="s">
        <v>4</v>
      </c>
      <c r="G69" s="16" t="s">
        <v>8</v>
      </c>
      <c r="H69" s="16" t="s">
        <v>7</v>
      </c>
      <c r="I69" s="16" t="s">
        <v>9</v>
      </c>
      <c r="J69" s="34" t="s">
        <v>3</v>
      </c>
    </row>
    <row r="70" spans="1:10" s="18" customFormat="1">
      <c r="B70" s="18" t="s">
        <v>88</v>
      </c>
      <c r="C70" s="18" t="s">
        <v>141</v>
      </c>
      <c r="D70" s="14" t="s">
        <v>10</v>
      </c>
      <c r="E70" s="14" t="s">
        <v>12</v>
      </c>
      <c r="F70" s="36">
        <v>21</v>
      </c>
      <c r="G70" s="36" t="s">
        <v>613</v>
      </c>
      <c r="H70" s="14"/>
      <c r="I70" s="14"/>
      <c r="J70" s="14" t="s">
        <v>39</v>
      </c>
    </row>
    <row r="71" spans="1:10" s="18" customFormat="1">
      <c r="B71" s="18" t="s">
        <v>589</v>
      </c>
      <c r="C71" s="19" t="s">
        <v>590</v>
      </c>
      <c r="D71" s="14" t="s">
        <v>10</v>
      </c>
      <c r="E71" s="14" t="s">
        <v>12</v>
      </c>
      <c r="F71" s="36">
        <v>21</v>
      </c>
      <c r="G71" s="36" t="s">
        <v>614</v>
      </c>
      <c r="H71" s="15">
        <f>(21.5/21.12)*100-100</f>
        <v>1.7992424242424079</v>
      </c>
      <c r="I71" s="14" t="s">
        <v>612</v>
      </c>
      <c r="J71" s="14" t="s">
        <v>222</v>
      </c>
    </row>
    <row r="72" spans="1:10" s="23" customFormat="1">
      <c r="C72" s="26"/>
    </row>
    <row r="74" spans="1:10" s="18" customFormat="1">
      <c r="A74" s="31" t="s">
        <v>22</v>
      </c>
      <c r="D74" s="14"/>
      <c r="E74" s="14"/>
      <c r="F74" s="14"/>
      <c r="G74" s="14"/>
      <c r="H74" s="14"/>
      <c r="I74" s="14"/>
      <c r="J74" s="14"/>
    </row>
    <row r="75" spans="1:10" s="18" customFormat="1">
      <c r="A75" s="3" t="s">
        <v>644</v>
      </c>
      <c r="B75" s="33" t="s">
        <v>0</v>
      </c>
      <c r="C75" s="33" t="s">
        <v>1</v>
      </c>
      <c r="D75" s="16" t="s">
        <v>6</v>
      </c>
      <c r="E75" s="16" t="s">
        <v>2</v>
      </c>
      <c r="F75" s="16" t="s">
        <v>4</v>
      </c>
      <c r="G75" s="16" t="s">
        <v>8</v>
      </c>
      <c r="H75" s="16" t="s">
        <v>7</v>
      </c>
      <c r="I75" s="16" t="s">
        <v>9</v>
      </c>
      <c r="J75" s="34" t="s">
        <v>3</v>
      </c>
    </row>
    <row r="76" spans="1:10" s="18" customFormat="1">
      <c r="A76" s="35"/>
      <c r="B76" s="18" t="s">
        <v>88</v>
      </c>
      <c r="C76" s="18" t="s">
        <v>680</v>
      </c>
      <c r="D76" s="14" t="s">
        <v>10</v>
      </c>
      <c r="E76" s="14" t="s">
        <v>12</v>
      </c>
      <c r="F76" s="36">
        <v>20</v>
      </c>
      <c r="G76" s="36" t="s">
        <v>275</v>
      </c>
      <c r="H76" s="14"/>
      <c r="I76" s="14"/>
      <c r="J76" s="14" t="s">
        <v>38</v>
      </c>
    </row>
    <row r="77" spans="1:10" s="18" customFormat="1">
      <c r="A77" s="35"/>
      <c r="B77" s="18" t="s">
        <v>589</v>
      </c>
      <c r="C77" s="19" t="s">
        <v>590</v>
      </c>
      <c r="D77" s="14" t="s">
        <v>10</v>
      </c>
      <c r="E77" s="14" t="s">
        <v>12</v>
      </c>
      <c r="F77" s="36">
        <v>20</v>
      </c>
      <c r="G77" s="36" t="s">
        <v>591</v>
      </c>
      <c r="H77" s="15">
        <f>(20.23/21.38)*100-100</f>
        <v>-5.3788587464920425</v>
      </c>
      <c r="I77" s="14" t="s">
        <v>592</v>
      </c>
      <c r="J77" s="14" t="s">
        <v>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E357B-41C0-5E45-ACE0-11292D1A4044}">
  <dimension ref="A1:O56"/>
  <sheetViews>
    <sheetView topLeftCell="A17" workbookViewId="0"/>
  </sheetViews>
  <sheetFormatPr baseColWidth="10" defaultRowHeight="16"/>
  <cols>
    <col min="1" max="1" width="27.5" customWidth="1"/>
    <col min="2" max="2" width="34.33203125" bestFit="1" customWidth="1"/>
    <col min="3" max="3" width="96" bestFit="1" customWidth="1"/>
    <col min="4" max="4" width="12.33203125" bestFit="1" customWidth="1"/>
    <col min="5" max="5" width="29.1640625" customWidth="1"/>
    <col min="6" max="6" width="22.1640625" bestFit="1" customWidth="1"/>
    <col min="7" max="7" width="29" bestFit="1" customWidth="1"/>
    <col min="8" max="8" width="26.1640625" bestFit="1" customWidth="1"/>
    <col min="9" max="9" width="27" bestFit="1" customWidth="1"/>
    <col min="10" max="10" width="23.1640625" bestFit="1" customWidth="1"/>
  </cols>
  <sheetData>
    <row r="1" spans="1:10" ht="20">
      <c r="A1" s="17" t="s">
        <v>779</v>
      </c>
    </row>
    <row r="4" spans="1:10" ht="18">
      <c r="A4" s="20" t="s">
        <v>555</v>
      </c>
      <c r="E4" s="41"/>
      <c r="F4" s="10"/>
      <c r="G4" s="10"/>
      <c r="H4" s="42"/>
      <c r="I4" s="11"/>
      <c r="J4" s="11"/>
    </row>
    <row r="9" spans="1:10">
      <c r="A9" s="5" t="s">
        <v>5</v>
      </c>
      <c r="D9" s="11"/>
      <c r="E9" s="11"/>
      <c r="F9" s="11"/>
      <c r="G9" s="11"/>
      <c r="H9" s="11"/>
      <c r="I9" s="11"/>
      <c r="J9" s="11"/>
    </row>
    <row r="10" spans="1:10">
      <c r="A10" s="3" t="s">
        <v>753</v>
      </c>
      <c r="B10" s="1" t="s">
        <v>0</v>
      </c>
      <c r="C10" s="1" t="s">
        <v>1</v>
      </c>
      <c r="D10" s="8" t="s">
        <v>6</v>
      </c>
      <c r="E10" s="8" t="s">
        <v>90</v>
      </c>
      <c r="F10" s="8" t="s">
        <v>4</v>
      </c>
      <c r="G10" s="8" t="s">
        <v>8</v>
      </c>
      <c r="H10" s="8" t="s">
        <v>7</v>
      </c>
      <c r="I10" s="8" t="s">
        <v>9</v>
      </c>
      <c r="J10" s="9" t="s">
        <v>3</v>
      </c>
    </row>
    <row r="11" spans="1:10">
      <c r="A11" s="4"/>
      <c r="B11" t="s">
        <v>683</v>
      </c>
      <c r="C11" s="41" t="s">
        <v>661</v>
      </c>
      <c r="D11" s="11" t="s">
        <v>10</v>
      </c>
      <c r="E11" s="11" t="s">
        <v>675</v>
      </c>
      <c r="F11" s="10">
        <v>20</v>
      </c>
      <c r="G11" s="10" t="s">
        <v>681</v>
      </c>
      <c r="H11" s="11"/>
      <c r="I11" s="11"/>
      <c r="J11" s="11" t="s">
        <v>191</v>
      </c>
    </row>
    <row r="12" spans="1:10">
      <c r="B12" t="s">
        <v>676</v>
      </c>
      <c r="C12" s="41" t="s">
        <v>677</v>
      </c>
      <c r="D12" s="11" t="s">
        <v>10</v>
      </c>
      <c r="E12" s="11" t="s">
        <v>675</v>
      </c>
      <c r="F12" s="10">
        <v>18</v>
      </c>
      <c r="G12" s="10" t="s">
        <v>682</v>
      </c>
      <c r="H12" s="22">
        <f>(17.98/20.57)*100-100</f>
        <v>-12.591152163344674</v>
      </c>
      <c r="I12" s="11" t="s">
        <v>17</v>
      </c>
      <c r="J12" s="11" t="s">
        <v>490</v>
      </c>
    </row>
    <row r="13" spans="1:10">
      <c r="A13" s="4"/>
      <c r="B13" t="s">
        <v>684</v>
      </c>
      <c r="C13" s="41" t="s">
        <v>663</v>
      </c>
      <c r="D13" s="11" t="s">
        <v>10</v>
      </c>
      <c r="E13" s="11" t="s">
        <v>675</v>
      </c>
      <c r="F13" s="10">
        <v>18</v>
      </c>
      <c r="G13" s="10" t="s">
        <v>672</v>
      </c>
      <c r="H13" s="22">
        <f>(17.99/20.57)*100-100</f>
        <v>-12.542537676227525</v>
      </c>
      <c r="I13" s="11" t="s">
        <v>17</v>
      </c>
      <c r="J13" s="11" t="s">
        <v>326</v>
      </c>
    </row>
    <row r="15" spans="1:10" s="18" customFormat="1">
      <c r="A15" s="31" t="s">
        <v>22</v>
      </c>
      <c r="D15" s="14"/>
      <c r="E15" s="14"/>
      <c r="F15" s="14"/>
      <c r="G15" s="14"/>
      <c r="H15" s="14"/>
      <c r="I15" s="14"/>
      <c r="J15" s="14"/>
    </row>
    <row r="16" spans="1:10" s="18" customFormat="1">
      <c r="A16" s="3" t="s">
        <v>753</v>
      </c>
      <c r="B16" s="33" t="s">
        <v>0</v>
      </c>
      <c r="C16" s="33" t="s">
        <v>1</v>
      </c>
      <c r="D16" s="16" t="s">
        <v>6</v>
      </c>
      <c r="E16" s="16" t="s">
        <v>90</v>
      </c>
      <c r="F16" s="16" t="s">
        <v>4</v>
      </c>
      <c r="G16" s="16" t="s">
        <v>8</v>
      </c>
      <c r="H16" s="16" t="s">
        <v>7</v>
      </c>
      <c r="I16" s="16" t="s">
        <v>9</v>
      </c>
      <c r="J16" s="34" t="s">
        <v>3</v>
      </c>
    </row>
    <row r="17" spans="1:10" s="18" customFormat="1">
      <c r="A17" s="35"/>
      <c r="B17" s="18" t="s">
        <v>683</v>
      </c>
      <c r="C17" s="19" t="s">
        <v>661</v>
      </c>
      <c r="D17" s="14" t="s">
        <v>10</v>
      </c>
      <c r="E17" s="14" t="s">
        <v>675</v>
      </c>
      <c r="F17" s="36" t="s">
        <v>664</v>
      </c>
      <c r="G17" s="36" t="s">
        <v>666</v>
      </c>
      <c r="H17" s="14"/>
      <c r="I17" s="14"/>
      <c r="J17" s="14" t="s">
        <v>226</v>
      </c>
    </row>
    <row r="18" spans="1:10" s="18" customFormat="1">
      <c r="B18" s="18" t="s">
        <v>676</v>
      </c>
      <c r="C18" s="19" t="s">
        <v>677</v>
      </c>
      <c r="D18" s="14" t="s">
        <v>10</v>
      </c>
      <c r="E18" s="14" t="s">
        <v>675</v>
      </c>
      <c r="F18" s="36" t="s">
        <v>685</v>
      </c>
      <c r="G18" s="36" t="s">
        <v>686</v>
      </c>
      <c r="H18" s="15">
        <f>(17.39/20.29)*100-100</f>
        <v>-14.292755051749623</v>
      </c>
      <c r="I18" s="14" t="s">
        <v>17</v>
      </c>
      <c r="J18" s="14" t="s">
        <v>226</v>
      </c>
    </row>
    <row r="19" spans="1:10" s="18" customFormat="1">
      <c r="A19" s="35"/>
      <c r="B19" s="18" t="s">
        <v>684</v>
      </c>
      <c r="C19" s="19" t="s">
        <v>663</v>
      </c>
      <c r="D19" s="14" t="s">
        <v>10</v>
      </c>
      <c r="E19" s="14" t="s">
        <v>675</v>
      </c>
      <c r="F19" s="36">
        <v>18</v>
      </c>
      <c r="G19" s="36" t="s">
        <v>667</v>
      </c>
      <c r="H19" s="15">
        <f>(17.46/20.29)*100-100</f>
        <v>-13.947757516017731</v>
      </c>
      <c r="I19" s="14" t="s">
        <v>17</v>
      </c>
      <c r="J19" s="14" t="s">
        <v>490</v>
      </c>
    </row>
    <row r="20" spans="1:10" s="18" customFormat="1">
      <c r="A20" s="35"/>
      <c r="C20" s="19"/>
      <c r="D20" s="14"/>
      <c r="E20" s="14"/>
      <c r="F20" s="36"/>
      <c r="G20" s="36"/>
      <c r="H20" s="15"/>
      <c r="I20" s="14"/>
      <c r="J20" s="14"/>
    </row>
    <row r="23" spans="1:10" s="18" customFormat="1">
      <c r="A23" s="31" t="s">
        <v>5</v>
      </c>
      <c r="D23" s="14"/>
      <c r="E23" s="14"/>
      <c r="F23" s="14"/>
      <c r="G23" s="14"/>
      <c r="H23" s="14"/>
      <c r="I23" s="14"/>
      <c r="J23" s="14"/>
    </row>
    <row r="24" spans="1:10" s="18" customFormat="1">
      <c r="A24" s="32" t="s">
        <v>754</v>
      </c>
      <c r="B24" s="33" t="s">
        <v>0</v>
      </c>
      <c r="C24" s="33" t="s">
        <v>1</v>
      </c>
      <c r="D24" s="16" t="s">
        <v>6</v>
      </c>
      <c r="E24" s="16" t="s">
        <v>90</v>
      </c>
      <c r="F24" s="16" t="s">
        <v>4</v>
      </c>
      <c r="G24" s="16" t="s">
        <v>8</v>
      </c>
      <c r="H24" s="16" t="s">
        <v>7</v>
      </c>
      <c r="I24" s="16" t="s">
        <v>9</v>
      </c>
      <c r="J24" s="34" t="s">
        <v>3</v>
      </c>
    </row>
    <row r="25" spans="1:10" s="18" customFormat="1">
      <c r="A25" s="35"/>
      <c r="B25" s="18" t="s">
        <v>683</v>
      </c>
      <c r="C25" s="19" t="s">
        <v>661</v>
      </c>
      <c r="D25" s="14" t="s">
        <v>31</v>
      </c>
      <c r="E25" s="14" t="s">
        <v>675</v>
      </c>
      <c r="F25" s="36">
        <v>14</v>
      </c>
      <c r="G25" s="36" t="s">
        <v>673</v>
      </c>
      <c r="H25" s="14"/>
      <c r="I25" s="14"/>
      <c r="J25" s="14" t="s">
        <v>131</v>
      </c>
    </row>
    <row r="26" spans="1:10" s="18" customFormat="1">
      <c r="B26" s="18" t="s">
        <v>676</v>
      </c>
      <c r="C26" s="19" t="s">
        <v>677</v>
      </c>
      <c r="D26" s="14" t="s">
        <v>31</v>
      </c>
      <c r="E26" s="14" t="s">
        <v>675</v>
      </c>
      <c r="F26" s="36">
        <v>16</v>
      </c>
      <c r="G26" s="36" t="s">
        <v>687</v>
      </c>
      <c r="H26" s="15">
        <f>(16.52/16.07)*100-100</f>
        <v>2.8002489110143074</v>
      </c>
      <c r="I26" s="14" t="s">
        <v>688</v>
      </c>
      <c r="J26" s="14" t="s">
        <v>38</v>
      </c>
    </row>
    <row r="27" spans="1:10" s="23" customFormat="1"/>
    <row r="28" spans="1:10" s="23" customFormat="1"/>
    <row r="29" spans="1:10" s="18" customFormat="1">
      <c r="A29" s="31" t="s">
        <v>22</v>
      </c>
      <c r="D29" s="14"/>
      <c r="E29" s="14"/>
      <c r="F29" s="14"/>
      <c r="G29" s="14"/>
      <c r="H29" s="14"/>
      <c r="I29" s="14"/>
      <c r="J29" s="14"/>
    </row>
    <row r="30" spans="1:10" s="18" customFormat="1">
      <c r="A30" s="32" t="s">
        <v>754</v>
      </c>
      <c r="B30" s="33" t="s">
        <v>0</v>
      </c>
      <c r="C30" s="33" t="s">
        <v>1</v>
      </c>
      <c r="D30" s="16" t="s">
        <v>6</v>
      </c>
      <c r="E30" s="16" t="s">
        <v>90</v>
      </c>
      <c r="F30" s="16" t="s">
        <v>4</v>
      </c>
      <c r="G30" s="16" t="s">
        <v>8</v>
      </c>
      <c r="H30" s="16" t="s">
        <v>7</v>
      </c>
      <c r="I30" s="16" t="s">
        <v>9</v>
      </c>
      <c r="J30" s="34" t="s">
        <v>3</v>
      </c>
    </row>
    <row r="31" spans="1:10" s="18" customFormat="1">
      <c r="A31" s="35"/>
      <c r="B31" s="18" t="s">
        <v>683</v>
      </c>
      <c r="C31" s="19" t="s">
        <v>661</v>
      </c>
      <c r="D31" s="14" t="s">
        <v>31</v>
      </c>
      <c r="E31" s="14" t="s">
        <v>675</v>
      </c>
      <c r="F31" s="36">
        <v>14</v>
      </c>
      <c r="G31" s="36" t="s">
        <v>668</v>
      </c>
      <c r="H31" s="14"/>
      <c r="I31" s="14"/>
      <c r="J31" s="14" t="s">
        <v>131</v>
      </c>
    </row>
    <row r="32" spans="1:10" s="18" customFormat="1">
      <c r="B32" s="18" t="s">
        <v>676</v>
      </c>
      <c r="C32" s="19" t="s">
        <v>677</v>
      </c>
      <c r="D32" s="14" t="s">
        <v>31</v>
      </c>
      <c r="E32" s="14" t="s">
        <v>675</v>
      </c>
      <c r="F32" s="36">
        <v>15</v>
      </c>
      <c r="G32" s="36" t="s">
        <v>690</v>
      </c>
      <c r="H32" s="15">
        <f>(15.16/14.66)*100-100</f>
        <v>3.4106412005457116</v>
      </c>
      <c r="I32" s="14" t="s">
        <v>689</v>
      </c>
      <c r="J32" s="14" t="s">
        <v>226</v>
      </c>
    </row>
    <row r="35" spans="1:15" s="18" customFormat="1">
      <c r="A35" s="31" t="s">
        <v>5</v>
      </c>
      <c r="D35" s="14"/>
      <c r="E35" s="14"/>
      <c r="F35" s="14"/>
      <c r="G35" s="14"/>
      <c r="H35" s="14"/>
      <c r="I35" s="14"/>
      <c r="J35" s="14"/>
    </row>
    <row r="36" spans="1:15" s="18" customFormat="1">
      <c r="A36" s="32" t="s">
        <v>755</v>
      </c>
      <c r="B36" s="33" t="s">
        <v>0</v>
      </c>
      <c r="C36" s="33" t="s">
        <v>1</v>
      </c>
      <c r="D36" s="16" t="s">
        <v>6</v>
      </c>
      <c r="E36" s="16" t="s">
        <v>2</v>
      </c>
      <c r="F36" s="16" t="s">
        <v>4</v>
      </c>
      <c r="G36" s="16" t="s">
        <v>8</v>
      </c>
      <c r="H36" s="16" t="s">
        <v>7</v>
      </c>
      <c r="I36" s="16" t="s">
        <v>9</v>
      </c>
      <c r="J36" s="34" t="s">
        <v>3</v>
      </c>
    </row>
    <row r="37" spans="1:15" s="18" customFormat="1">
      <c r="A37" s="35"/>
      <c r="B37" s="18" t="s">
        <v>82</v>
      </c>
      <c r="C37" s="19" t="s">
        <v>83</v>
      </c>
      <c r="D37" s="14" t="s">
        <v>10</v>
      </c>
      <c r="E37" s="39" t="s">
        <v>42</v>
      </c>
      <c r="F37" s="36">
        <v>31</v>
      </c>
      <c r="G37" s="36" t="s">
        <v>729</v>
      </c>
      <c r="H37" s="14"/>
      <c r="I37" s="14"/>
      <c r="J37" s="14" t="s">
        <v>38</v>
      </c>
      <c r="L37" s="37"/>
      <c r="M37" s="37"/>
      <c r="N37" s="37"/>
      <c r="O37" s="37"/>
    </row>
    <row r="38" spans="1:15" s="18" customFormat="1">
      <c r="B38" s="18" t="s">
        <v>82</v>
      </c>
      <c r="C38" s="19" t="s">
        <v>83</v>
      </c>
      <c r="D38" s="14" t="s">
        <v>10</v>
      </c>
      <c r="E38" s="39" t="s">
        <v>230</v>
      </c>
      <c r="F38" s="36">
        <v>26</v>
      </c>
      <c r="G38" s="36" t="s">
        <v>726</v>
      </c>
      <c r="H38" s="15">
        <f>(25.5/29.83)*100-100</f>
        <v>-14.515588333892055</v>
      </c>
      <c r="I38" s="14" t="s">
        <v>17</v>
      </c>
      <c r="J38" s="14" t="s">
        <v>191</v>
      </c>
    </row>
    <row r="39" spans="1:15" s="18" customFormat="1">
      <c r="A39" s="35"/>
      <c r="B39" s="18" t="s">
        <v>720</v>
      </c>
      <c r="C39" s="19" t="s">
        <v>721</v>
      </c>
      <c r="D39" s="14" t="s">
        <v>10</v>
      </c>
      <c r="E39" s="39" t="s">
        <v>42</v>
      </c>
      <c r="F39" s="36">
        <v>26</v>
      </c>
      <c r="G39" s="36" t="s">
        <v>727</v>
      </c>
      <c r="H39" s="15">
        <f>(26.47/29.83)*100-100</f>
        <v>-11.26382836071069</v>
      </c>
      <c r="I39" s="14" t="s">
        <v>724</v>
      </c>
      <c r="J39" s="14" t="s">
        <v>69</v>
      </c>
      <c r="L39" s="37"/>
      <c r="M39" s="37"/>
      <c r="N39" s="37"/>
      <c r="O39" s="37"/>
    </row>
    <row r="40" spans="1:15" s="18" customFormat="1">
      <c r="B40" s="18" t="s">
        <v>720</v>
      </c>
      <c r="C40" s="19" t="s">
        <v>721</v>
      </c>
      <c r="D40" s="14" t="s">
        <v>10</v>
      </c>
      <c r="E40" s="39" t="s">
        <v>230</v>
      </c>
      <c r="F40" s="36">
        <v>25</v>
      </c>
      <c r="G40" s="36" t="s">
        <v>728</v>
      </c>
      <c r="H40" s="15">
        <f>(25.62/29.83)*100-100</f>
        <v>-14.113308749580952</v>
      </c>
      <c r="I40" s="14" t="s">
        <v>725</v>
      </c>
      <c r="J40" s="14" t="s">
        <v>49</v>
      </c>
    </row>
    <row r="43" spans="1:15" s="23" customFormat="1">
      <c r="A43" s="31" t="s">
        <v>5</v>
      </c>
      <c r="D43" s="24"/>
      <c r="E43" s="24"/>
      <c r="F43" s="24"/>
      <c r="G43" s="24"/>
      <c r="H43" s="24"/>
      <c r="I43" s="24"/>
      <c r="J43" s="24"/>
    </row>
    <row r="44" spans="1:15" s="18" customFormat="1">
      <c r="A44" s="32" t="s">
        <v>756</v>
      </c>
      <c r="B44" s="33" t="s">
        <v>0</v>
      </c>
      <c r="C44" s="33" t="s">
        <v>1</v>
      </c>
      <c r="D44" s="16" t="s">
        <v>6</v>
      </c>
      <c r="E44" s="16" t="s">
        <v>2</v>
      </c>
      <c r="F44" s="16" t="s">
        <v>4</v>
      </c>
      <c r="G44" s="16" t="s">
        <v>8</v>
      </c>
      <c r="H44" s="16" t="s">
        <v>7</v>
      </c>
      <c r="I44" s="16" t="s">
        <v>9</v>
      </c>
      <c r="J44" s="34" t="s">
        <v>3</v>
      </c>
    </row>
    <row r="45" spans="1:15" s="18" customFormat="1">
      <c r="A45" s="35"/>
      <c r="B45" s="18" t="s">
        <v>40</v>
      </c>
      <c r="C45" s="64" t="s">
        <v>293</v>
      </c>
      <c r="D45" s="14" t="s">
        <v>10</v>
      </c>
      <c r="E45" s="39" t="s">
        <v>42</v>
      </c>
      <c r="F45" s="36">
        <v>25</v>
      </c>
      <c r="G45" s="36" t="s">
        <v>730</v>
      </c>
      <c r="H45" s="14"/>
      <c r="I45" s="14"/>
      <c r="J45" s="14" t="s">
        <v>72</v>
      </c>
      <c r="L45" s="37"/>
      <c r="M45" s="37"/>
      <c r="N45" s="37"/>
      <c r="O45" s="37"/>
    </row>
    <row r="46" spans="1:15" s="18" customFormat="1">
      <c r="B46" s="18" t="s">
        <v>40</v>
      </c>
      <c r="C46" s="64" t="s">
        <v>293</v>
      </c>
      <c r="D46" s="14" t="s">
        <v>10</v>
      </c>
      <c r="E46" s="39" t="s">
        <v>45</v>
      </c>
      <c r="F46" s="36">
        <v>18</v>
      </c>
      <c r="G46" s="36" t="s">
        <v>731</v>
      </c>
      <c r="H46" s="15">
        <f>(19.78/23.25)*100-100</f>
        <v>-14.924731182795696</v>
      </c>
      <c r="I46" s="14" t="s">
        <v>538</v>
      </c>
      <c r="J46" s="14" t="s">
        <v>131</v>
      </c>
    </row>
    <row r="47" spans="1:15" s="18" customFormat="1">
      <c r="A47" s="35"/>
      <c r="B47" s="18" t="s">
        <v>722</v>
      </c>
      <c r="C47" s="19" t="s">
        <v>723</v>
      </c>
      <c r="D47" s="14" t="s">
        <v>10</v>
      </c>
      <c r="E47" s="39" t="s">
        <v>42</v>
      </c>
      <c r="F47" s="36">
        <v>18</v>
      </c>
      <c r="G47" s="36" t="s">
        <v>732</v>
      </c>
      <c r="H47" s="15">
        <f>(19.89/23.25)*100-100</f>
        <v>-14.451612903225808</v>
      </c>
      <c r="I47" s="14" t="s">
        <v>17</v>
      </c>
      <c r="J47" s="14" t="s">
        <v>191</v>
      </c>
      <c r="L47" s="37"/>
      <c r="M47" s="37"/>
      <c r="N47" s="37"/>
      <c r="O47" s="37"/>
    </row>
    <row r="48" spans="1:15" s="18" customFormat="1">
      <c r="B48" s="18" t="s">
        <v>722</v>
      </c>
      <c r="C48" s="19" t="s">
        <v>723</v>
      </c>
      <c r="D48" s="14" t="s">
        <v>10</v>
      </c>
      <c r="E48" s="39" t="s">
        <v>45</v>
      </c>
      <c r="F48" s="36">
        <v>19</v>
      </c>
      <c r="G48" s="36" t="s">
        <v>733</v>
      </c>
      <c r="H48" s="15">
        <f>(20.05/23.25)*100-100</f>
        <v>-13.763440860215042</v>
      </c>
      <c r="I48" s="14" t="s">
        <v>190</v>
      </c>
      <c r="J48" s="14" t="s">
        <v>131</v>
      </c>
    </row>
    <row r="49" spans="1:15" s="23" customFormat="1">
      <c r="C49" s="26"/>
      <c r="D49" s="24"/>
      <c r="E49" s="67"/>
      <c r="F49" s="24"/>
      <c r="G49" s="27"/>
      <c r="H49" s="29"/>
      <c r="I49" s="24"/>
      <c r="J49" s="24"/>
    </row>
    <row r="51" spans="1:15" s="18" customFormat="1">
      <c r="A51" s="31" t="s">
        <v>22</v>
      </c>
      <c r="D51" s="14"/>
      <c r="E51" s="14"/>
      <c r="F51" s="14"/>
      <c r="G51" s="14"/>
      <c r="H51" s="14"/>
      <c r="I51" s="14"/>
      <c r="J51" s="14"/>
    </row>
    <row r="52" spans="1:15" s="18" customFormat="1">
      <c r="A52" s="32" t="s">
        <v>756</v>
      </c>
      <c r="B52" s="33" t="s">
        <v>0</v>
      </c>
      <c r="C52" s="33" t="s">
        <v>1</v>
      </c>
      <c r="D52" s="16" t="s">
        <v>6</v>
      </c>
      <c r="E52" s="16" t="s">
        <v>2</v>
      </c>
      <c r="F52" s="16" t="s">
        <v>4</v>
      </c>
      <c r="G52" s="16" t="s">
        <v>8</v>
      </c>
      <c r="H52" s="16" t="s">
        <v>7</v>
      </c>
      <c r="I52" s="16" t="s">
        <v>9</v>
      </c>
      <c r="J52" s="34" t="s">
        <v>3</v>
      </c>
    </row>
    <row r="53" spans="1:15" s="18" customFormat="1">
      <c r="A53" s="35"/>
      <c r="B53" s="18" t="s">
        <v>40</v>
      </c>
      <c r="C53" s="64" t="s">
        <v>293</v>
      </c>
      <c r="D53" s="14" t="s">
        <v>10</v>
      </c>
      <c r="E53" s="39" t="s">
        <v>42</v>
      </c>
      <c r="F53" s="36">
        <v>26</v>
      </c>
      <c r="G53" s="36" t="s">
        <v>737</v>
      </c>
      <c r="H53" s="14"/>
      <c r="I53" s="14"/>
      <c r="J53" s="14" t="s">
        <v>222</v>
      </c>
      <c r="L53" s="37"/>
      <c r="M53" s="37"/>
      <c r="N53" s="37"/>
      <c r="O53" s="37"/>
    </row>
    <row r="54" spans="1:15" s="18" customFormat="1">
      <c r="B54" s="18" t="s">
        <v>40</v>
      </c>
      <c r="C54" s="64" t="s">
        <v>293</v>
      </c>
      <c r="D54" s="14" t="s">
        <v>10</v>
      </c>
      <c r="E54" s="39" t="s">
        <v>45</v>
      </c>
      <c r="F54" s="36">
        <v>22</v>
      </c>
      <c r="G54" s="36" t="s">
        <v>738</v>
      </c>
      <c r="H54" s="15">
        <f>(22.71/25.36)*100-100</f>
        <v>-10.449526813880112</v>
      </c>
      <c r="I54" s="14" t="s">
        <v>736</v>
      </c>
      <c r="J54" s="14" t="s">
        <v>201</v>
      </c>
    </row>
    <row r="55" spans="1:15" s="18" customFormat="1">
      <c r="A55" s="35"/>
      <c r="B55" s="18" t="s">
        <v>722</v>
      </c>
      <c r="C55" s="19" t="s">
        <v>723</v>
      </c>
      <c r="D55" s="14" t="s">
        <v>10</v>
      </c>
      <c r="E55" s="39" t="s">
        <v>42</v>
      </c>
      <c r="F55" s="36">
        <v>17</v>
      </c>
      <c r="G55" s="36" t="s">
        <v>739</v>
      </c>
      <c r="H55" s="15">
        <f>(18.9/25.36)*100-100</f>
        <v>-25.47318611987383</v>
      </c>
      <c r="I55" s="14" t="s">
        <v>17</v>
      </c>
      <c r="J55" s="14" t="s">
        <v>201</v>
      </c>
      <c r="L55" s="37"/>
      <c r="M55" s="37"/>
      <c r="N55" s="37"/>
      <c r="O55" s="37"/>
    </row>
    <row r="56" spans="1:15" s="18" customFormat="1">
      <c r="B56" s="18" t="s">
        <v>722</v>
      </c>
      <c r="C56" s="19" t="s">
        <v>723</v>
      </c>
      <c r="D56" s="14" t="s">
        <v>10</v>
      </c>
      <c r="E56" s="39" t="s">
        <v>45</v>
      </c>
      <c r="F56" s="36">
        <v>16</v>
      </c>
      <c r="G56" s="36" t="s">
        <v>740</v>
      </c>
      <c r="H56" s="15">
        <f>(18.67/25.36)*100-100</f>
        <v>-26.380126182965284</v>
      </c>
      <c r="I56" s="14" t="s">
        <v>17</v>
      </c>
      <c r="J56" s="14" t="s">
        <v>222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A6892-7C19-D942-B552-EE9FE94526CC}">
  <dimension ref="A1:O117"/>
  <sheetViews>
    <sheetView workbookViewId="0">
      <selection activeCell="J67" sqref="J67"/>
    </sheetView>
  </sheetViews>
  <sheetFormatPr baseColWidth="10" defaultRowHeight="16"/>
  <cols>
    <col min="1" max="1" width="28.83203125" bestFit="1" customWidth="1"/>
    <col min="2" max="2" width="13.1640625" customWidth="1"/>
    <col min="3" max="3" width="64.83203125" bestFit="1" customWidth="1"/>
    <col min="4" max="4" width="16.5" customWidth="1"/>
    <col min="5" max="5" width="21.1640625" customWidth="1"/>
    <col min="6" max="6" width="22.1640625" bestFit="1" customWidth="1"/>
    <col min="7" max="7" width="29" bestFit="1" customWidth="1"/>
    <col min="8" max="8" width="26.1640625" bestFit="1" customWidth="1"/>
    <col min="9" max="9" width="27" bestFit="1" customWidth="1"/>
    <col min="10" max="10" width="23.1640625" bestFit="1" customWidth="1"/>
  </cols>
  <sheetData>
    <row r="1" spans="1:15" ht="20">
      <c r="A1" s="17" t="s">
        <v>779</v>
      </c>
    </row>
    <row r="4" spans="1:15" ht="18">
      <c r="A4" s="20" t="s">
        <v>757</v>
      </c>
      <c r="E4" s="41"/>
      <c r="F4" s="10"/>
      <c r="G4" s="10"/>
      <c r="H4" s="42"/>
      <c r="I4" s="11"/>
      <c r="J4" s="11"/>
    </row>
    <row r="7" spans="1:15" s="18" customFormat="1">
      <c r="A7" s="31" t="s">
        <v>5</v>
      </c>
      <c r="D7" s="14"/>
      <c r="E7" s="39"/>
      <c r="F7" s="36"/>
      <c r="G7" s="36"/>
      <c r="H7" s="15"/>
      <c r="I7" s="14"/>
      <c r="J7" s="14"/>
      <c r="L7" s="38"/>
      <c r="M7" s="37"/>
      <c r="N7" s="37"/>
      <c r="O7" s="37"/>
    </row>
    <row r="8" spans="1:15">
      <c r="A8" s="32" t="s">
        <v>758</v>
      </c>
      <c r="B8" s="1" t="s">
        <v>0</v>
      </c>
      <c r="C8" s="1" t="s">
        <v>1</v>
      </c>
      <c r="D8" s="8" t="s">
        <v>6</v>
      </c>
      <c r="E8" s="8" t="s">
        <v>90</v>
      </c>
      <c r="F8" s="8" t="s">
        <v>4</v>
      </c>
      <c r="G8" s="8" t="s">
        <v>8</v>
      </c>
      <c r="H8" s="8" t="s">
        <v>7</v>
      </c>
      <c r="I8" s="8" t="s">
        <v>9</v>
      </c>
      <c r="J8" s="9" t="s">
        <v>3</v>
      </c>
    </row>
    <row r="9" spans="1:15" s="18" customFormat="1">
      <c r="A9" s="35"/>
      <c r="B9" t="s">
        <v>88</v>
      </c>
      <c r="C9" s="40" t="s">
        <v>89</v>
      </c>
      <c r="D9" s="11" t="s">
        <v>10</v>
      </c>
      <c r="E9" s="11" t="s">
        <v>91</v>
      </c>
      <c r="F9" s="10">
        <v>22</v>
      </c>
      <c r="G9" s="10" t="s">
        <v>93</v>
      </c>
      <c r="H9" s="11"/>
      <c r="I9" s="11"/>
      <c r="J9" s="11" t="s">
        <v>78</v>
      </c>
      <c r="L9" s="38"/>
      <c r="M9" s="37"/>
      <c r="N9" s="37"/>
      <c r="O9" s="37"/>
    </row>
    <row r="10" spans="1:15" s="18" customFormat="1">
      <c r="A10" s="35"/>
      <c r="B10" t="s">
        <v>88</v>
      </c>
      <c r="C10" s="40" t="s">
        <v>89</v>
      </c>
      <c r="D10" s="11" t="s">
        <v>10</v>
      </c>
      <c r="E10" s="11" t="s">
        <v>92</v>
      </c>
      <c r="F10" s="10">
        <v>23</v>
      </c>
      <c r="G10" s="10" t="s">
        <v>111</v>
      </c>
      <c r="H10" s="22">
        <f>(23.98/21.76)*100-100</f>
        <v>10.202205882352942</v>
      </c>
      <c r="I10" s="11" t="s">
        <v>81</v>
      </c>
      <c r="J10" s="11" t="s">
        <v>67</v>
      </c>
      <c r="L10" s="38"/>
      <c r="M10" s="37"/>
      <c r="N10" s="37"/>
      <c r="O10" s="37"/>
    </row>
    <row r="11" spans="1:15">
      <c r="A11" s="5"/>
      <c r="D11" s="11"/>
      <c r="E11" s="11"/>
      <c r="F11" s="11"/>
      <c r="G11" s="11"/>
      <c r="H11" s="11"/>
      <c r="I11" s="11"/>
      <c r="J11" s="11"/>
    </row>
    <row r="12" spans="1:15" s="18" customFormat="1">
      <c r="A12" s="31" t="s">
        <v>22</v>
      </c>
      <c r="D12" s="14"/>
      <c r="E12" s="39"/>
      <c r="F12" s="36"/>
      <c r="G12" s="36"/>
      <c r="H12" s="15"/>
      <c r="I12" s="14"/>
      <c r="J12" s="14"/>
      <c r="L12" s="38"/>
      <c r="M12" s="37"/>
      <c r="N12" s="37"/>
      <c r="O12" s="37"/>
    </row>
    <row r="13" spans="1:15">
      <c r="A13" s="32" t="s">
        <v>758</v>
      </c>
      <c r="B13" s="1" t="s">
        <v>0</v>
      </c>
      <c r="C13" s="1" t="s">
        <v>1</v>
      </c>
      <c r="D13" s="8" t="s">
        <v>6</v>
      </c>
      <c r="E13" s="8" t="s">
        <v>90</v>
      </c>
      <c r="F13" s="8" t="s">
        <v>4</v>
      </c>
      <c r="G13" s="8" t="s">
        <v>8</v>
      </c>
      <c r="H13" s="8" t="s">
        <v>7</v>
      </c>
      <c r="I13" s="8" t="s">
        <v>9</v>
      </c>
      <c r="J13" s="9" t="s">
        <v>3</v>
      </c>
    </row>
    <row r="14" spans="1:15" s="18" customFormat="1">
      <c r="A14" s="35"/>
      <c r="B14" t="s">
        <v>88</v>
      </c>
      <c r="C14" s="40" t="s">
        <v>89</v>
      </c>
      <c r="D14" s="11" t="s">
        <v>10</v>
      </c>
      <c r="E14" s="11" t="s">
        <v>91</v>
      </c>
      <c r="F14" s="10">
        <v>28</v>
      </c>
      <c r="G14" s="10" t="s">
        <v>194</v>
      </c>
      <c r="H14" s="11"/>
      <c r="I14" s="11"/>
      <c r="J14" s="11" t="s">
        <v>78</v>
      </c>
      <c r="L14" s="38"/>
      <c r="M14" s="37"/>
      <c r="N14" s="37"/>
      <c r="O14" s="37"/>
    </row>
    <row r="15" spans="1:15" s="18" customFormat="1">
      <c r="A15" s="35"/>
      <c r="B15" t="s">
        <v>88</v>
      </c>
      <c r="C15" s="40" t="s">
        <v>89</v>
      </c>
      <c r="D15" s="11" t="s">
        <v>10</v>
      </c>
      <c r="E15" s="11" t="s">
        <v>92</v>
      </c>
      <c r="F15" s="10">
        <v>31</v>
      </c>
      <c r="G15" s="10" t="s">
        <v>195</v>
      </c>
      <c r="H15" s="22">
        <f>(29.36/27.6)*100-100</f>
        <v>6.3768115942028913</v>
      </c>
      <c r="I15" s="11" t="s">
        <v>193</v>
      </c>
      <c r="J15" s="11" t="s">
        <v>170</v>
      </c>
      <c r="L15" s="38"/>
      <c r="M15" s="37"/>
      <c r="N15" s="37"/>
      <c r="O15" s="37"/>
    </row>
    <row r="18" spans="1:15">
      <c r="A18" s="5" t="s">
        <v>5</v>
      </c>
      <c r="D18" s="11"/>
      <c r="E18" s="11"/>
      <c r="F18" s="11"/>
      <c r="G18" s="11"/>
      <c r="H18" s="11"/>
      <c r="I18" s="11"/>
      <c r="J18" s="11"/>
    </row>
    <row r="19" spans="1:15">
      <c r="A19" s="32" t="s">
        <v>759</v>
      </c>
      <c r="B19" s="1" t="s">
        <v>0</v>
      </c>
      <c r="C19" s="1" t="s">
        <v>1</v>
      </c>
      <c r="D19" s="8" t="s">
        <v>6</v>
      </c>
      <c r="E19" s="8" t="s">
        <v>90</v>
      </c>
      <c r="F19" s="8" t="s">
        <v>4</v>
      </c>
      <c r="G19" s="8" t="s">
        <v>8</v>
      </c>
      <c r="H19" s="16" t="s">
        <v>7</v>
      </c>
      <c r="I19" s="8" t="s">
        <v>9</v>
      </c>
      <c r="J19" s="9" t="s">
        <v>3</v>
      </c>
    </row>
    <row r="20" spans="1:15">
      <c r="A20" s="4"/>
      <c r="B20" s="18" t="s">
        <v>88</v>
      </c>
      <c r="C20" s="18" t="s">
        <v>89</v>
      </c>
      <c r="D20" s="11" t="s">
        <v>31</v>
      </c>
      <c r="E20" s="11" t="s">
        <v>94</v>
      </c>
      <c r="F20" s="10">
        <v>14</v>
      </c>
      <c r="G20" s="10" t="s">
        <v>95</v>
      </c>
      <c r="H20" s="14"/>
      <c r="I20" s="11"/>
      <c r="J20" s="11" t="s">
        <v>67</v>
      </c>
      <c r="L20" s="12"/>
      <c r="M20" s="12"/>
      <c r="N20" s="12"/>
      <c r="O20" s="12"/>
    </row>
    <row r="21" spans="1:15">
      <c r="A21" s="4"/>
      <c r="B21" s="18" t="s">
        <v>88</v>
      </c>
      <c r="C21" s="18" t="s">
        <v>89</v>
      </c>
      <c r="D21" s="11" t="s">
        <v>31</v>
      </c>
      <c r="E21" s="11" t="s">
        <v>96</v>
      </c>
      <c r="F21" s="10">
        <v>14</v>
      </c>
      <c r="G21" s="10" t="s">
        <v>97</v>
      </c>
      <c r="H21" s="15">
        <f>(13.86/13.67)*100-100</f>
        <v>1.3899049012435967</v>
      </c>
      <c r="I21" s="11" t="s">
        <v>98</v>
      </c>
      <c r="J21" s="11" t="s">
        <v>78</v>
      </c>
      <c r="L21" s="13"/>
      <c r="M21" s="12"/>
      <c r="N21" s="12"/>
      <c r="O21" s="12"/>
    </row>
    <row r="22" spans="1:15">
      <c r="A22" s="4"/>
      <c r="B22" s="18" t="s">
        <v>88</v>
      </c>
      <c r="C22" s="18" t="s">
        <v>89</v>
      </c>
      <c r="D22" s="11" t="s">
        <v>31</v>
      </c>
      <c r="E22" s="11" t="s">
        <v>92</v>
      </c>
      <c r="F22" s="10">
        <v>14</v>
      </c>
      <c r="G22" s="10" t="s">
        <v>99</v>
      </c>
      <c r="H22" s="15">
        <f>(13.5/13.67)*100-100</f>
        <v>-1.2435991221653353</v>
      </c>
      <c r="I22" s="11" t="s">
        <v>100</v>
      </c>
      <c r="J22" s="11" t="s">
        <v>67</v>
      </c>
      <c r="L22" s="13"/>
      <c r="M22" s="12"/>
      <c r="N22" s="12"/>
      <c r="O22" s="12"/>
    </row>
    <row r="23" spans="1:15">
      <c r="A23" s="4"/>
      <c r="B23" s="18"/>
      <c r="C23" s="19"/>
      <c r="D23" s="11"/>
      <c r="E23" s="11"/>
      <c r="F23" s="10"/>
      <c r="G23" s="10"/>
      <c r="H23" s="15"/>
      <c r="I23" s="11"/>
      <c r="J23" s="11"/>
      <c r="L23" s="13"/>
      <c r="M23" s="12"/>
      <c r="N23" s="12"/>
      <c r="O23" s="12"/>
    </row>
    <row r="25" spans="1:15">
      <c r="A25" s="5" t="s">
        <v>22</v>
      </c>
      <c r="D25" s="11"/>
      <c r="E25" s="11"/>
      <c r="F25" s="11"/>
      <c r="G25" s="11"/>
      <c r="H25" s="11"/>
      <c r="I25" s="11"/>
      <c r="J25" s="11"/>
    </row>
    <row r="26" spans="1:15">
      <c r="A26" s="32" t="s">
        <v>759</v>
      </c>
      <c r="B26" s="1" t="s">
        <v>0</v>
      </c>
      <c r="C26" s="1" t="s">
        <v>1</v>
      </c>
      <c r="D26" s="8" t="s">
        <v>6</v>
      </c>
      <c r="E26" s="8" t="s">
        <v>90</v>
      </c>
      <c r="F26" s="8" t="s">
        <v>4</v>
      </c>
      <c r="G26" s="8" t="s">
        <v>8</v>
      </c>
      <c r="H26" s="8" t="s">
        <v>7</v>
      </c>
      <c r="I26" s="8" t="s">
        <v>9</v>
      </c>
      <c r="J26" s="9" t="s">
        <v>3</v>
      </c>
    </row>
    <row r="27" spans="1:15">
      <c r="A27" s="4"/>
      <c r="B27" t="s">
        <v>88</v>
      </c>
      <c r="C27" t="s">
        <v>89</v>
      </c>
      <c r="D27" s="11" t="s">
        <v>31</v>
      </c>
      <c r="E27" s="11" t="s">
        <v>94</v>
      </c>
      <c r="F27" s="10">
        <v>12</v>
      </c>
      <c r="G27" s="10" t="s">
        <v>101</v>
      </c>
      <c r="H27" s="11"/>
      <c r="I27" s="11"/>
      <c r="J27" s="11" t="s">
        <v>72</v>
      </c>
      <c r="L27" s="12"/>
      <c r="M27" s="12"/>
      <c r="N27" s="12"/>
      <c r="O27" s="12"/>
    </row>
    <row r="28" spans="1:15">
      <c r="A28" s="4"/>
      <c r="B28" t="s">
        <v>88</v>
      </c>
      <c r="C28" t="s">
        <v>89</v>
      </c>
      <c r="D28" s="11" t="s">
        <v>31</v>
      </c>
      <c r="E28" s="11" t="s">
        <v>96</v>
      </c>
      <c r="F28" s="10">
        <v>13</v>
      </c>
      <c r="G28" s="10" t="s">
        <v>102</v>
      </c>
      <c r="H28" s="22">
        <f>(13.13/12.84)*100-100</f>
        <v>2.2585669781931585</v>
      </c>
      <c r="I28" s="11" t="s">
        <v>103</v>
      </c>
      <c r="J28" s="11" t="s">
        <v>11</v>
      </c>
      <c r="L28" s="13"/>
      <c r="M28" s="12"/>
      <c r="N28" s="12"/>
      <c r="O28" s="12"/>
    </row>
    <row r="29" spans="1:15">
      <c r="A29" s="4"/>
      <c r="B29" t="s">
        <v>88</v>
      </c>
      <c r="C29" t="s">
        <v>89</v>
      </c>
      <c r="D29" s="11" t="s">
        <v>31</v>
      </c>
      <c r="E29" s="11" t="s">
        <v>92</v>
      </c>
      <c r="F29" s="10">
        <v>12</v>
      </c>
      <c r="G29" s="10" t="s">
        <v>104</v>
      </c>
      <c r="H29" s="22">
        <f>(12.06/12.84)*100-100</f>
        <v>-6.0747663551401843</v>
      </c>
      <c r="I29" s="11" t="s">
        <v>105</v>
      </c>
      <c r="J29" s="11" t="s">
        <v>47</v>
      </c>
      <c r="L29" s="13"/>
      <c r="M29" s="12"/>
      <c r="N29" s="12"/>
      <c r="O29" s="12"/>
    </row>
    <row r="30" spans="1:15">
      <c r="A30" s="4"/>
      <c r="D30" s="11"/>
      <c r="E30" s="11"/>
      <c r="F30" s="10"/>
      <c r="G30" s="10"/>
      <c r="H30" s="22"/>
      <c r="I30" s="11"/>
      <c r="J30" s="11"/>
      <c r="L30" s="13"/>
      <c r="M30" s="12"/>
      <c r="N30" s="12"/>
      <c r="O30" s="12"/>
    </row>
    <row r="31" spans="1:15">
      <c r="A31" s="4"/>
      <c r="D31" s="11"/>
      <c r="E31" s="11"/>
      <c r="F31" s="10"/>
      <c r="G31" s="10"/>
      <c r="H31" s="22"/>
      <c r="I31" s="11"/>
      <c r="J31" s="11"/>
      <c r="L31" s="13"/>
      <c r="M31" s="12"/>
      <c r="N31" s="12"/>
      <c r="O31" s="12"/>
    </row>
    <row r="32" spans="1:15">
      <c r="A32" s="5" t="s">
        <v>5</v>
      </c>
      <c r="D32" s="11"/>
      <c r="E32" s="11"/>
      <c r="F32" s="11"/>
      <c r="G32" s="11"/>
      <c r="H32" s="11"/>
      <c r="I32" s="11"/>
      <c r="J32" s="11"/>
      <c r="L32" s="13"/>
      <c r="M32" s="12"/>
      <c r="N32" s="12"/>
      <c r="O32" s="12"/>
    </row>
    <row r="33" spans="1:15">
      <c r="A33" s="32" t="s">
        <v>763</v>
      </c>
      <c r="B33" s="1" t="s">
        <v>0</v>
      </c>
      <c r="C33" s="1" t="s">
        <v>1</v>
      </c>
      <c r="D33" s="8" t="s">
        <v>6</v>
      </c>
      <c r="E33" s="8" t="s">
        <v>2</v>
      </c>
      <c r="F33" s="8" t="s">
        <v>4</v>
      </c>
      <c r="G33" s="8" t="s">
        <v>8</v>
      </c>
      <c r="H33" s="16" t="s">
        <v>7</v>
      </c>
      <c r="I33" s="8" t="s">
        <v>9</v>
      </c>
      <c r="J33" s="9" t="s">
        <v>3</v>
      </c>
      <c r="L33" s="13"/>
      <c r="M33" s="12"/>
      <c r="N33" s="12"/>
      <c r="O33" s="12"/>
    </row>
    <row r="34" spans="1:15">
      <c r="A34" s="4"/>
      <c r="B34" s="18" t="s">
        <v>13</v>
      </c>
      <c r="C34" s="19" t="s">
        <v>14</v>
      </c>
      <c r="D34" s="11" t="s">
        <v>10</v>
      </c>
      <c r="E34" s="11" t="s">
        <v>12</v>
      </c>
      <c r="F34" s="10">
        <v>17</v>
      </c>
      <c r="G34" s="10" t="s">
        <v>23</v>
      </c>
      <c r="H34" s="14"/>
      <c r="I34" s="11"/>
      <c r="J34" s="11" t="s">
        <v>11</v>
      </c>
      <c r="L34" s="13"/>
      <c r="M34" s="12"/>
      <c r="N34" s="12"/>
      <c r="O34" s="12"/>
    </row>
    <row r="35" spans="1:15">
      <c r="A35" s="4"/>
      <c r="B35" s="18" t="s">
        <v>16</v>
      </c>
      <c r="C35" s="19" t="s">
        <v>15</v>
      </c>
      <c r="D35" s="11" t="s">
        <v>10</v>
      </c>
      <c r="E35" s="11" t="s">
        <v>12</v>
      </c>
      <c r="F35" s="10">
        <v>27</v>
      </c>
      <c r="G35" s="10" t="s">
        <v>24</v>
      </c>
      <c r="H35" s="15">
        <f>(24.41/18.54)*100-100</f>
        <v>31.661272923408859</v>
      </c>
      <c r="I35" s="11" t="s">
        <v>17</v>
      </c>
      <c r="J35" s="11" t="s">
        <v>11</v>
      </c>
      <c r="L35" s="13"/>
      <c r="M35" s="12"/>
      <c r="N35" s="12"/>
      <c r="O35" s="12"/>
    </row>
    <row r="37" spans="1:15">
      <c r="A37" s="5" t="s">
        <v>22</v>
      </c>
      <c r="D37" s="11"/>
      <c r="E37" s="11"/>
      <c r="F37" s="11"/>
      <c r="G37" s="11"/>
      <c r="H37" s="11"/>
      <c r="I37" s="11"/>
      <c r="J37" s="11"/>
    </row>
    <row r="38" spans="1:15">
      <c r="A38" s="32" t="s">
        <v>763</v>
      </c>
      <c r="B38" s="1" t="s">
        <v>0</v>
      </c>
      <c r="C38" s="1" t="s">
        <v>1</v>
      </c>
      <c r="D38" s="8" t="s">
        <v>6</v>
      </c>
      <c r="E38" s="8" t="s">
        <v>2</v>
      </c>
      <c r="F38" s="8" t="s">
        <v>4</v>
      </c>
      <c r="G38" s="8" t="s">
        <v>8</v>
      </c>
      <c r="H38" s="16" t="s">
        <v>7</v>
      </c>
      <c r="I38" s="8" t="s">
        <v>9</v>
      </c>
      <c r="J38" s="9" t="s">
        <v>3</v>
      </c>
    </row>
    <row r="39" spans="1:15">
      <c r="A39" s="4"/>
      <c r="B39" s="18" t="s">
        <v>13</v>
      </c>
      <c r="C39" s="19" t="s">
        <v>14</v>
      </c>
      <c r="D39" s="11" t="s">
        <v>10</v>
      </c>
      <c r="E39" s="11" t="s">
        <v>12</v>
      </c>
      <c r="F39" s="10">
        <v>22</v>
      </c>
      <c r="G39" s="10" t="s">
        <v>20</v>
      </c>
      <c r="H39" s="14"/>
      <c r="I39" s="11"/>
      <c r="J39" s="11" t="s">
        <v>11</v>
      </c>
      <c r="L39" s="12"/>
      <c r="M39" s="12"/>
      <c r="N39" s="12"/>
      <c r="O39" s="12"/>
    </row>
    <row r="40" spans="1:15">
      <c r="A40" s="4"/>
      <c r="B40" s="18" t="s">
        <v>16</v>
      </c>
      <c r="C40" s="19" t="s">
        <v>15</v>
      </c>
      <c r="D40" s="11" t="s">
        <v>10</v>
      </c>
      <c r="E40" s="11" t="s">
        <v>12</v>
      </c>
      <c r="F40" s="10">
        <v>24</v>
      </c>
      <c r="G40" s="10" t="s">
        <v>21</v>
      </c>
      <c r="H40" s="15">
        <f>(23.24/20.61)*100-100</f>
        <v>12.76079573022804</v>
      </c>
      <c r="I40" s="11" t="s">
        <v>18</v>
      </c>
      <c r="J40" s="11" t="s">
        <v>19</v>
      </c>
      <c r="L40" s="13"/>
      <c r="M40" s="12"/>
      <c r="N40" s="12"/>
      <c r="O40" s="12"/>
    </row>
    <row r="41" spans="1:15">
      <c r="A41" s="4"/>
      <c r="D41" s="11"/>
      <c r="E41" s="11"/>
      <c r="F41" s="10"/>
      <c r="G41" s="10"/>
      <c r="H41" s="22"/>
      <c r="I41" s="11"/>
      <c r="J41" s="11"/>
      <c r="L41" s="13"/>
      <c r="M41" s="12"/>
      <c r="N41" s="12"/>
      <c r="O41" s="12"/>
    </row>
    <row r="42" spans="1:15">
      <c r="A42" s="4"/>
      <c r="D42" s="11"/>
      <c r="E42" s="11"/>
      <c r="F42" s="10"/>
      <c r="G42" s="10"/>
      <c r="H42" s="22"/>
      <c r="I42" s="11"/>
      <c r="J42" s="11"/>
      <c r="L42" s="13"/>
      <c r="M42" s="12"/>
      <c r="N42" s="12"/>
      <c r="O42" s="12"/>
    </row>
    <row r="43" spans="1:15" s="18" customFormat="1">
      <c r="A43" s="31" t="s">
        <v>5</v>
      </c>
      <c r="D43" s="14"/>
      <c r="E43" s="14"/>
      <c r="F43" s="14"/>
      <c r="G43" s="14"/>
      <c r="H43" s="14"/>
      <c r="I43" s="14"/>
      <c r="J43" s="14"/>
    </row>
    <row r="44" spans="1:15" s="18" customFormat="1">
      <c r="A44" s="32" t="s">
        <v>760</v>
      </c>
      <c r="B44" s="33" t="s">
        <v>0</v>
      </c>
      <c r="C44" s="33" t="s">
        <v>1</v>
      </c>
      <c r="D44" s="16" t="s">
        <v>6</v>
      </c>
      <c r="E44" s="16" t="s">
        <v>2</v>
      </c>
      <c r="F44" s="16" t="s">
        <v>4</v>
      </c>
      <c r="G44" s="16" t="s">
        <v>8</v>
      </c>
      <c r="H44" s="16" t="s">
        <v>7</v>
      </c>
      <c r="I44" s="16" t="s">
        <v>9</v>
      </c>
      <c r="J44" s="34" t="s">
        <v>3</v>
      </c>
    </row>
    <row r="45" spans="1:15" s="18" customFormat="1">
      <c r="A45" s="35"/>
      <c r="B45" s="18" t="s">
        <v>616</v>
      </c>
      <c r="C45" s="19" t="s">
        <v>615</v>
      </c>
      <c r="D45" s="14" t="s">
        <v>10</v>
      </c>
      <c r="E45" s="14" t="s">
        <v>12</v>
      </c>
      <c r="F45" s="36">
        <v>18</v>
      </c>
      <c r="G45" s="36" t="s">
        <v>619</v>
      </c>
      <c r="H45" s="14"/>
      <c r="I45" s="14"/>
      <c r="J45" s="14" t="s">
        <v>490</v>
      </c>
      <c r="L45" s="37"/>
      <c r="M45" s="37"/>
      <c r="N45" s="37"/>
      <c r="O45" s="37"/>
    </row>
    <row r="46" spans="1:15" s="18" customFormat="1">
      <c r="A46" s="35"/>
      <c r="B46" s="18" t="s">
        <v>617</v>
      </c>
      <c r="C46" s="19" t="s">
        <v>618</v>
      </c>
      <c r="D46" s="14" t="s">
        <v>10</v>
      </c>
      <c r="E46" s="14" t="s">
        <v>12</v>
      </c>
      <c r="F46" s="36">
        <v>23</v>
      </c>
      <c r="G46" s="36" t="s">
        <v>620</v>
      </c>
      <c r="H46" s="15">
        <f>(23.78/19.39)*100-100</f>
        <v>22.640536358947912</v>
      </c>
      <c r="I46" s="14" t="s">
        <v>17</v>
      </c>
      <c r="J46" s="14" t="s">
        <v>49</v>
      </c>
      <c r="L46" s="38"/>
      <c r="M46" s="37"/>
      <c r="N46" s="37"/>
      <c r="O46" s="37"/>
    </row>
    <row r="47" spans="1:15" s="18" customFormat="1"/>
    <row r="48" spans="1:15" s="18" customFormat="1">
      <c r="A48" s="31" t="s">
        <v>22</v>
      </c>
      <c r="D48" s="14"/>
      <c r="E48" s="14"/>
      <c r="F48" s="14"/>
      <c r="G48" s="14"/>
      <c r="H48" s="14"/>
      <c r="I48" s="14"/>
      <c r="J48" s="14"/>
    </row>
    <row r="49" spans="1:15" s="18" customFormat="1">
      <c r="A49" s="32" t="s">
        <v>760</v>
      </c>
      <c r="B49" s="33" t="s">
        <v>0</v>
      </c>
      <c r="C49" s="33" t="s">
        <v>1</v>
      </c>
      <c r="D49" s="16" t="s">
        <v>6</v>
      </c>
      <c r="E49" s="16" t="s">
        <v>2</v>
      </c>
      <c r="F49" s="16" t="s">
        <v>4</v>
      </c>
      <c r="G49" s="16" t="s">
        <v>8</v>
      </c>
      <c r="H49" s="16" t="s">
        <v>7</v>
      </c>
      <c r="I49" s="16" t="s">
        <v>9</v>
      </c>
      <c r="J49" s="34" t="s">
        <v>3</v>
      </c>
    </row>
    <row r="50" spans="1:15" s="18" customFormat="1">
      <c r="A50" s="35"/>
      <c r="B50" s="18" t="s">
        <v>616</v>
      </c>
      <c r="C50" s="19" t="s">
        <v>615</v>
      </c>
      <c r="D50" s="14" t="s">
        <v>10</v>
      </c>
      <c r="E50" s="14" t="s">
        <v>12</v>
      </c>
      <c r="F50" s="36">
        <v>18</v>
      </c>
      <c r="G50" s="36" t="s">
        <v>626</v>
      </c>
      <c r="H50" s="14"/>
      <c r="I50" s="14"/>
      <c r="J50" s="14" t="s">
        <v>125</v>
      </c>
      <c r="L50" s="37"/>
      <c r="M50" s="37"/>
      <c r="N50" s="37"/>
      <c r="O50" s="37"/>
    </row>
    <row r="51" spans="1:15" s="18" customFormat="1">
      <c r="A51" s="35"/>
      <c r="B51" s="18" t="s">
        <v>617</v>
      </c>
      <c r="C51" s="19" t="s">
        <v>618</v>
      </c>
      <c r="D51" s="14" t="s">
        <v>10</v>
      </c>
      <c r="E51" s="14" t="s">
        <v>12</v>
      </c>
      <c r="F51" s="36">
        <v>21</v>
      </c>
      <c r="G51" s="36" t="s">
        <v>625</v>
      </c>
      <c r="H51" s="15">
        <f>(21.35/17.96)*100-100</f>
        <v>18.875278396436528</v>
      </c>
      <c r="I51" s="14" t="s">
        <v>17</v>
      </c>
      <c r="J51" s="14" t="s">
        <v>35</v>
      </c>
      <c r="L51" s="38"/>
      <c r="M51" s="37"/>
      <c r="N51" s="37"/>
      <c r="O51" s="37"/>
    </row>
    <row r="52" spans="1:15" s="18" customFormat="1">
      <c r="A52" s="35"/>
      <c r="C52" s="19"/>
      <c r="D52" s="14"/>
      <c r="E52" s="14"/>
      <c r="F52" s="36"/>
      <c r="G52" s="36"/>
      <c r="H52" s="15"/>
      <c r="I52" s="14"/>
      <c r="J52" s="14"/>
      <c r="L52" s="38"/>
      <c r="M52" s="37"/>
      <c r="N52" s="37"/>
      <c r="O52" s="37"/>
    </row>
    <row r="53" spans="1:15" s="18" customFormat="1">
      <c r="A53" s="35"/>
      <c r="C53" s="19"/>
      <c r="D53" s="14"/>
      <c r="E53" s="14"/>
      <c r="F53" s="36"/>
      <c r="G53" s="36"/>
      <c r="H53" s="15"/>
      <c r="I53" s="14"/>
      <c r="J53" s="14"/>
      <c r="L53" s="38"/>
      <c r="M53" s="37"/>
      <c r="N53" s="37"/>
      <c r="O53" s="37"/>
    </row>
    <row r="54" spans="1:15" s="18" customFormat="1">
      <c r="A54" s="31" t="s">
        <v>5</v>
      </c>
      <c r="D54" s="14"/>
      <c r="E54" s="14"/>
      <c r="F54" s="14"/>
      <c r="G54" s="14"/>
      <c r="H54" s="14"/>
      <c r="I54" s="14"/>
      <c r="J54" s="14"/>
    </row>
    <row r="55" spans="1:15" s="18" customFormat="1">
      <c r="A55" s="32" t="s">
        <v>761</v>
      </c>
      <c r="B55" s="33" t="s">
        <v>0</v>
      </c>
      <c r="C55" s="33" t="s">
        <v>1</v>
      </c>
      <c r="D55" s="16" t="s">
        <v>6</v>
      </c>
      <c r="E55" s="16" t="s">
        <v>2</v>
      </c>
      <c r="F55" s="16" t="s">
        <v>4</v>
      </c>
      <c r="G55" s="16" t="s">
        <v>8</v>
      </c>
      <c r="H55" s="16" t="s">
        <v>7</v>
      </c>
      <c r="I55" s="16" t="s">
        <v>9</v>
      </c>
      <c r="J55" s="34" t="s">
        <v>3</v>
      </c>
    </row>
    <row r="56" spans="1:15" s="18" customFormat="1">
      <c r="A56" s="35"/>
      <c r="B56" s="18" t="s">
        <v>616</v>
      </c>
      <c r="C56" s="19" t="s">
        <v>615</v>
      </c>
      <c r="D56" s="14" t="s">
        <v>31</v>
      </c>
      <c r="E56" s="14" t="s">
        <v>12</v>
      </c>
      <c r="F56" s="36">
        <v>12</v>
      </c>
      <c r="G56" s="36" t="s">
        <v>621</v>
      </c>
      <c r="H56" s="14"/>
      <c r="I56" s="14"/>
      <c r="J56" s="14" t="s">
        <v>38</v>
      </c>
      <c r="L56" s="37"/>
      <c r="M56" s="37"/>
      <c r="N56" s="37"/>
      <c r="O56" s="37"/>
    </row>
    <row r="57" spans="1:15" s="18" customFormat="1">
      <c r="A57" s="35"/>
      <c r="B57" s="18" t="s">
        <v>617</v>
      </c>
      <c r="C57" s="19" t="s">
        <v>618</v>
      </c>
      <c r="D57" s="14" t="s">
        <v>31</v>
      </c>
      <c r="E57" s="14" t="s">
        <v>12</v>
      </c>
      <c r="F57" s="36">
        <v>15</v>
      </c>
      <c r="G57" s="36" t="s">
        <v>622</v>
      </c>
      <c r="H57" s="15">
        <f>(15.66/12.88)*100-100</f>
        <v>21.583850931677006</v>
      </c>
      <c r="I57" s="14" t="s">
        <v>17</v>
      </c>
      <c r="J57" s="14" t="s">
        <v>131</v>
      </c>
      <c r="L57" s="38"/>
      <c r="M57" s="37"/>
      <c r="N57" s="37"/>
      <c r="O57" s="37"/>
    </row>
    <row r="58" spans="1:15" s="18" customFormat="1"/>
    <row r="59" spans="1:15" s="18" customFormat="1">
      <c r="A59" s="31" t="s">
        <v>22</v>
      </c>
      <c r="D59" s="14"/>
      <c r="E59" s="14"/>
      <c r="F59" s="14"/>
      <c r="G59" s="14"/>
      <c r="H59" s="14"/>
      <c r="I59" s="14"/>
      <c r="J59" s="14"/>
    </row>
    <row r="60" spans="1:15" s="18" customFormat="1">
      <c r="A60" s="32" t="s">
        <v>761</v>
      </c>
      <c r="B60" s="33" t="s">
        <v>0</v>
      </c>
      <c r="C60" s="33" t="s">
        <v>1</v>
      </c>
      <c r="D60" s="16" t="s">
        <v>6</v>
      </c>
      <c r="E60" s="16" t="s">
        <v>2</v>
      </c>
      <c r="F60" s="16" t="s">
        <v>4</v>
      </c>
      <c r="G60" s="16" t="s">
        <v>8</v>
      </c>
      <c r="H60" s="16" t="s">
        <v>7</v>
      </c>
      <c r="I60" s="16" t="s">
        <v>9</v>
      </c>
      <c r="J60" s="34" t="s">
        <v>3</v>
      </c>
    </row>
    <row r="61" spans="1:15" s="18" customFormat="1">
      <c r="A61" s="35"/>
      <c r="B61" s="18" t="s">
        <v>616</v>
      </c>
      <c r="C61" s="19" t="s">
        <v>615</v>
      </c>
      <c r="D61" s="14" t="s">
        <v>31</v>
      </c>
      <c r="E61" s="14" t="s">
        <v>12</v>
      </c>
      <c r="F61" s="36">
        <v>12</v>
      </c>
      <c r="G61" s="36" t="s">
        <v>627</v>
      </c>
      <c r="H61" s="14"/>
      <c r="I61" s="14"/>
      <c r="J61" s="14" t="s">
        <v>85</v>
      </c>
      <c r="L61" s="37"/>
      <c r="M61" s="37"/>
      <c r="N61" s="37"/>
      <c r="O61" s="37"/>
    </row>
    <row r="62" spans="1:15" s="18" customFormat="1">
      <c r="A62" s="35"/>
      <c r="B62" s="18" t="s">
        <v>617</v>
      </c>
      <c r="C62" s="19" t="s">
        <v>618</v>
      </c>
      <c r="D62" s="14" t="s">
        <v>31</v>
      </c>
      <c r="E62" s="14" t="s">
        <v>12</v>
      </c>
      <c r="F62" s="36">
        <v>14</v>
      </c>
      <c r="G62" s="36" t="s">
        <v>628</v>
      </c>
      <c r="H62" s="15">
        <f>(14.86/12.9)*100-100</f>
        <v>15.193798449612387</v>
      </c>
      <c r="I62" s="14" t="s">
        <v>17</v>
      </c>
      <c r="J62" s="14" t="s">
        <v>61</v>
      </c>
      <c r="L62" s="38"/>
      <c r="M62" s="37"/>
      <c r="N62" s="37"/>
      <c r="O62" s="37"/>
    </row>
    <row r="63" spans="1:15" s="18" customFormat="1"/>
    <row r="64" spans="1:15" s="18" customFormat="1"/>
    <row r="65" spans="1:15" s="18" customFormat="1">
      <c r="A65" s="31" t="s">
        <v>5</v>
      </c>
      <c r="D65" s="14"/>
      <c r="E65" s="14"/>
      <c r="F65" s="14"/>
      <c r="G65" s="14"/>
      <c r="H65" s="14"/>
      <c r="I65" s="14"/>
      <c r="J65" s="14"/>
    </row>
    <row r="66" spans="1:15" s="18" customFormat="1">
      <c r="A66" s="32" t="s">
        <v>764</v>
      </c>
      <c r="B66" s="33" t="s">
        <v>0</v>
      </c>
      <c r="C66" s="33" t="s">
        <v>1</v>
      </c>
      <c r="D66" s="16" t="s">
        <v>6</v>
      </c>
      <c r="E66" s="16" t="s">
        <v>2</v>
      </c>
      <c r="F66" s="16" t="s">
        <v>4</v>
      </c>
      <c r="G66" s="16" t="s">
        <v>8</v>
      </c>
      <c r="H66" s="16" t="s">
        <v>7</v>
      </c>
      <c r="I66" s="16" t="s">
        <v>9</v>
      </c>
      <c r="J66" s="34" t="s">
        <v>3</v>
      </c>
    </row>
    <row r="67" spans="1:15" s="18" customFormat="1">
      <c r="A67" s="35"/>
      <c r="B67" s="18" t="s">
        <v>616</v>
      </c>
      <c r="C67" s="19" t="s">
        <v>615</v>
      </c>
      <c r="D67" s="14" t="s">
        <v>36</v>
      </c>
      <c r="E67" s="14" t="s">
        <v>12</v>
      </c>
      <c r="F67" s="36">
        <v>9</v>
      </c>
      <c r="G67" s="36" t="s">
        <v>623</v>
      </c>
      <c r="H67" s="14"/>
      <c r="I67" s="14"/>
      <c r="J67" s="14" t="s">
        <v>67</v>
      </c>
      <c r="L67" s="37"/>
      <c r="M67" s="37"/>
      <c r="N67" s="37"/>
      <c r="O67" s="37"/>
    </row>
    <row r="68" spans="1:15" s="18" customFormat="1">
      <c r="A68" s="35"/>
      <c r="B68" s="18" t="s">
        <v>617</v>
      </c>
      <c r="C68" s="19" t="s">
        <v>618</v>
      </c>
      <c r="D68" s="14" t="s">
        <v>36</v>
      </c>
      <c r="E68" s="14" t="s">
        <v>12</v>
      </c>
      <c r="F68" s="36">
        <v>11</v>
      </c>
      <c r="G68" s="36" t="s">
        <v>624</v>
      </c>
      <c r="H68" s="15">
        <f>(11.04/9.65)*100-100</f>
        <v>14.404145077720187</v>
      </c>
      <c r="I68" s="14" t="s">
        <v>17</v>
      </c>
      <c r="J68" s="14" t="s">
        <v>69</v>
      </c>
      <c r="L68" s="38"/>
      <c r="M68" s="37"/>
      <c r="N68" s="37"/>
      <c r="O68" s="37"/>
    </row>
    <row r="69" spans="1:15" s="18" customFormat="1"/>
    <row r="70" spans="1:15" s="18" customFormat="1">
      <c r="A70" s="31" t="s">
        <v>22</v>
      </c>
      <c r="D70" s="14"/>
      <c r="E70" s="14"/>
      <c r="F70" s="14"/>
      <c r="G70" s="14"/>
      <c r="H70" s="14"/>
      <c r="I70" s="14"/>
      <c r="J70" s="14"/>
    </row>
    <row r="71" spans="1:15" s="18" customFormat="1">
      <c r="A71" s="32" t="s">
        <v>764</v>
      </c>
      <c r="B71" s="33" t="s">
        <v>0</v>
      </c>
      <c r="C71" s="33" t="s">
        <v>1</v>
      </c>
      <c r="D71" s="16" t="s">
        <v>6</v>
      </c>
      <c r="E71" s="16" t="s">
        <v>2</v>
      </c>
      <c r="F71" s="16" t="s">
        <v>4</v>
      </c>
      <c r="G71" s="16" t="s">
        <v>8</v>
      </c>
      <c r="H71" s="16" t="s">
        <v>7</v>
      </c>
      <c r="I71" s="16" t="s">
        <v>9</v>
      </c>
      <c r="J71" s="34" t="s">
        <v>3</v>
      </c>
    </row>
    <row r="72" spans="1:15" s="18" customFormat="1">
      <c r="A72" s="35"/>
      <c r="B72" s="18" t="s">
        <v>616</v>
      </c>
      <c r="C72" s="19" t="s">
        <v>615</v>
      </c>
      <c r="D72" s="14" t="s">
        <v>36</v>
      </c>
      <c r="E72" s="14" t="s">
        <v>12</v>
      </c>
      <c r="F72" s="36">
        <v>9</v>
      </c>
      <c r="G72" s="36" t="s">
        <v>630</v>
      </c>
      <c r="H72" s="14"/>
      <c r="I72" s="14"/>
      <c r="J72" s="14" t="s">
        <v>67</v>
      </c>
      <c r="L72" s="37"/>
      <c r="M72" s="37"/>
      <c r="N72" s="37"/>
      <c r="O72" s="37"/>
    </row>
    <row r="73" spans="1:15" s="18" customFormat="1">
      <c r="A73" s="35"/>
      <c r="B73" s="18" t="s">
        <v>617</v>
      </c>
      <c r="C73" s="19" t="s">
        <v>618</v>
      </c>
      <c r="D73" s="14" t="s">
        <v>36</v>
      </c>
      <c r="E73" s="14" t="s">
        <v>12</v>
      </c>
      <c r="F73" s="36">
        <v>10</v>
      </c>
      <c r="G73" s="36" t="s">
        <v>631</v>
      </c>
      <c r="H73" s="15">
        <f>(10.11/9.6)*100-100</f>
        <v>5.3125000000000142</v>
      </c>
      <c r="I73" s="14" t="s">
        <v>629</v>
      </c>
      <c r="J73" s="14" t="s">
        <v>69</v>
      </c>
      <c r="L73" s="38"/>
      <c r="M73" s="37"/>
      <c r="N73" s="37"/>
      <c r="O73" s="37"/>
    </row>
    <row r="74" spans="1:15" s="23" customFormat="1"/>
    <row r="75" spans="1:15" s="23" customFormat="1"/>
    <row r="76" spans="1:15" s="18" customFormat="1">
      <c r="A76" s="31" t="s">
        <v>5</v>
      </c>
      <c r="D76" s="14"/>
      <c r="E76" s="14"/>
      <c r="F76" s="14"/>
      <c r="G76" s="14"/>
      <c r="H76" s="14"/>
      <c r="I76" s="14"/>
      <c r="J76" s="14"/>
    </row>
    <row r="77" spans="1:15" s="18" customFormat="1">
      <c r="A77" s="32" t="s">
        <v>766</v>
      </c>
      <c r="B77" s="33" t="s">
        <v>0</v>
      </c>
      <c r="C77" s="33" t="s">
        <v>1</v>
      </c>
      <c r="D77" s="16" t="s">
        <v>6</v>
      </c>
      <c r="E77" s="16" t="s">
        <v>2</v>
      </c>
      <c r="F77" s="16" t="s">
        <v>4</v>
      </c>
      <c r="G77" s="16" t="s">
        <v>8</v>
      </c>
      <c r="H77" s="16" t="s">
        <v>7</v>
      </c>
      <c r="I77" s="16" t="s">
        <v>9</v>
      </c>
      <c r="J77" s="34" t="s">
        <v>3</v>
      </c>
    </row>
    <row r="78" spans="1:15" s="18" customFormat="1">
      <c r="A78" s="35"/>
      <c r="B78" s="18" t="s">
        <v>404</v>
      </c>
      <c r="C78" s="19" t="s">
        <v>405</v>
      </c>
      <c r="D78" s="14" t="s">
        <v>31</v>
      </c>
      <c r="E78" s="39" t="s">
        <v>42</v>
      </c>
      <c r="F78" s="36">
        <v>14</v>
      </c>
      <c r="G78" s="36" t="s">
        <v>411</v>
      </c>
      <c r="H78" s="15"/>
      <c r="I78" s="14"/>
      <c r="J78" s="14" t="s">
        <v>408</v>
      </c>
      <c r="L78" s="38"/>
      <c r="M78" s="37"/>
      <c r="N78" s="37"/>
      <c r="O78" s="37"/>
    </row>
    <row r="79" spans="1:15" s="18" customFormat="1">
      <c r="A79" s="35"/>
      <c r="B79" s="18" t="s">
        <v>404</v>
      </c>
      <c r="C79" s="19" t="s">
        <v>405</v>
      </c>
      <c r="D79" s="14" t="s">
        <v>31</v>
      </c>
      <c r="E79" s="39" t="s">
        <v>403</v>
      </c>
      <c r="F79" s="36">
        <v>11</v>
      </c>
      <c r="G79" s="36" t="s">
        <v>412</v>
      </c>
      <c r="H79" s="15">
        <f>(11.87/15.55)*100-100</f>
        <v>-23.665594855305471</v>
      </c>
      <c r="I79" s="14" t="s">
        <v>17</v>
      </c>
      <c r="J79" s="14" t="s">
        <v>410</v>
      </c>
      <c r="L79" s="38"/>
      <c r="M79" s="37"/>
      <c r="N79" s="37"/>
      <c r="O79" s="37"/>
    </row>
    <row r="80" spans="1:15" s="18" customFormat="1">
      <c r="B80" s="18" t="s">
        <v>404</v>
      </c>
      <c r="C80" s="19" t="s">
        <v>405</v>
      </c>
      <c r="D80" s="14" t="s">
        <v>31</v>
      </c>
      <c r="E80" s="39" t="s">
        <v>239</v>
      </c>
      <c r="F80" s="36">
        <v>13</v>
      </c>
      <c r="G80" s="36" t="s">
        <v>413</v>
      </c>
      <c r="H80" s="15">
        <f>(12.41/15.55)*100-100</f>
        <v>-20.19292604501608</v>
      </c>
      <c r="I80" s="14" t="s">
        <v>280</v>
      </c>
      <c r="J80" s="14" t="s">
        <v>356</v>
      </c>
    </row>
    <row r="81" spans="1:15" s="18" customFormat="1">
      <c r="A81" s="35"/>
      <c r="B81" s="18" t="s">
        <v>406</v>
      </c>
      <c r="C81" s="19" t="s">
        <v>407</v>
      </c>
      <c r="D81" s="14" t="s">
        <v>31</v>
      </c>
      <c r="E81" s="39" t="s">
        <v>42</v>
      </c>
      <c r="F81" s="36">
        <v>12</v>
      </c>
      <c r="G81" s="36" t="s">
        <v>414</v>
      </c>
      <c r="H81" s="15">
        <f>(13.51/15.55)*100-100</f>
        <v>-13.118971061093248</v>
      </c>
      <c r="I81" s="14" t="s">
        <v>409</v>
      </c>
      <c r="J81" s="14" t="s">
        <v>310</v>
      </c>
    </row>
    <row r="82" spans="1:15" s="18" customFormat="1">
      <c r="A82" s="35"/>
      <c r="C82" s="19"/>
      <c r="D82" s="14"/>
      <c r="E82" s="14"/>
      <c r="F82" s="36"/>
      <c r="G82" s="36"/>
      <c r="H82" s="15"/>
      <c r="I82" s="14"/>
      <c r="J82" s="14"/>
    </row>
    <row r="83" spans="1:15" s="18" customFormat="1">
      <c r="A83" s="35"/>
      <c r="C83" s="19"/>
      <c r="D83" s="14"/>
      <c r="E83" s="14"/>
      <c r="F83" s="36"/>
      <c r="G83" s="36"/>
      <c r="H83" s="15"/>
      <c r="I83" s="14"/>
      <c r="J83" s="14"/>
    </row>
    <row r="84" spans="1:15" s="18" customFormat="1">
      <c r="A84" s="31" t="s">
        <v>22</v>
      </c>
      <c r="D84" s="14"/>
      <c r="E84" s="14"/>
      <c r="F84" s="14"/>
      <c r="G84" s="14"/>
      <c r="H84" s="14"/>
      <c r="I84" s="14"/>
      <c r="J84" s="14"/>
    </row>
    <row r="85" spans="1:15" s="18" customFormat="1">
      <c r="A85" s="32" t="s">
        <v>766</v>
      </c>
      <c r="B85" s="33" t="s">
        <v>0</v>
      </c>
      <c r="C85" s="33" t="s">
        <v>1</v>
      </c>
      <c r="D85" s="16" t="s">
        <v>6</v>
      </c>
      <c r="E85" s="16" t="s">
        <v>2</v>
      </c>
      <c r="F85" s="16" t="s">
        <v>4</v>
      </c>
      <c r="G85" s="16" t="s">
        <v>8</v>
      </c>
      <c r="H85" s="16" t="s">
        <v>7</v>
      </c>
      <c r="I85" s="16" t="s">
        <v>9</v>
      </c>
      <c r="J85" s="34" t="s">
        <v>3</v>
      </c>
    </row>
    <row r="86" spans="1:15" s="18" customFormat="1">
      <c r="A86" s="35"/>
      <c r="B86" s="18" t="s">
        <v>404</v>
      </c>
      <c r="C86" s="19" t="s">
        <v>405</v>
      </c>
      <c r="D86" s="14" t="s">
        <v>31</v>
      </c>
      <c r="E86" s="39" t="s">
        <v>42</v>
      </c>
      <c r="F86" s="36">
        <v>17</v>
      </c>
      <c r="G86" s="36" t="s">
        <v>420</v>
      </c>
      <c r="H86" s="15"/>
      <c r="I86" s="14"/>
      <c r="J86" s="14" t="s">
        <v>415</v>
      </c>
      <c r="L86" s="38"/>
      <c r="M86" s="37"/>
      <c r="N86" s="37"/>
      <c r="O86" s="37"/>
    </row>
    <row r="87" spans="1:15" s="18" customFormat="1">
      <c r="A87" s="35"/>
      <c r="B87" s="18" t="s">
        <v>404</v>
      </c>
      <c r="C87" s="19" t="s">
        <v>405</v>
      </c>
      <c r="D87" s="14" t="s">
        <v>31</v>
      </c>
      <c r="E87" s="39" t="s">
        <v>403</v>
      </c>
      <c r="F87" s="36">
        <v>15</v>
      </c>
      <c r="G87" s="36" t="s">
        <v>421</v>
      </c>
      <c r="H87" s="15">
        <f>(15.64/16.96)*100-100</f>
        <v>-7.7830188679245254</v>
      </c>
      <c r="I87" s="14" t="s">
        <v>81</v>
      </c>
      <c r="J87" s="14" t="s">
        <v>417</v>
      </c>
      <c r="L87" s="38"/>
      <c r="M87" s="37"/>
      <c r="N87" s="37"/>
      <c r="O87" s="37"/>
    </row>
    <row r="88" spans="1:15" s="18" customFormat="1">
      <c r="B88" s="18" t="s">
        <v>404</v>
      </c>
      <c r="C88" s="19" t="s">
        <v>405</v>
      </c>
      <c r="D88" s="14" t="s">
        <v>31</v>
      </c>
      <c r="E88" s="39" t="s">
        <v>239</v>
      </c>
      <c r="F88" s="36">
        <v>16</v>
      </c>
      <c r="G88" s="36" t="s">
        <v>422</v>
      </c>
      <c r="H88" s="15">
        <f>(16.18/16.96)*100-100</f>
        <v>-4.5990566037735903</v>
      </c>
      <c r="I88" s="14" t="s">
        <v>418</v>
      </c>
      <c r="J88" s="14" t="s">
        <v>356</v>
      </c>
    </row>
    <row r="89" spans="1:15" s="18" customFormat="1">
      <c r="A89" s="35"/>
      <c r="B89" s="18" t="s">
        <v>406</v>
      </c>
      <c r="C89" s="19" t="s">
        <v>407</v>
      </c>
      <c r="D89" s="14" t="s">
        <v>31</v>
      </c>
      <c r="E89" s="39" t="s">
        <v>42</v>
      </c>
      <c r="F89" s="36">
        <v>16</v>
      </c>
      <c r="G89" s="36" t="s">
        <v>419</v>
      </c>
      <c r="H89" s="15">
        <f>(16.02/16.96)*100-100</f>
        <v>-5.5424528301886795</v>
      </c>
      <c r="I89" s="14" t="s">
        <v>416</v>
      </c>
      <c r="J89" s="14" t="s">
        <v>161</v>
      </c>
    </row>
    <row r="90" spans="1:15" s="18" customFormat="1">
      <c r="A90" s="35"/>
      <c r="C90" s="19"/>
      <c r="D90" s="14"/>
      <c r="E90" s="39"/>
      <c r="F90" s="36"/>
      <c r="G90" s="36"/>
      <c r="H90" s="15"/>
      <c r="I90" s="14"/>
      <c r="J90" s="14"/>
    </row>
    <row r="91" spans="1:15" s="18" customFormat="1">
      <c r="A91" s="35"/>
      <c r="C91" s="19"/>
      <c r="D91" s="14"/>
      <c r="E91" s="39"/>
      <c r="F91" s="36"/>
      <c r="G91" s="36"/>
      <c r="H91" s="15"/>
      <c r="I91" s="14"/>
      <c r="J91" s="14"/>
    </row>
    <row r="92" spans="1:15" s="18" customFormat="1">
      <c r="A92" s="31" t="s">
        <v>185</v>
      </c>
      <c r="D92" s="14"/>
      <c r="E92" s="14"/>
      <c r="F92" s="14"/>
      <c r="G92" s="14"/>
      <c r="H92" s="14"/>
      <c r="I92" s="14"/>
      <c r="J92" s="14"/>
    </row>
    <row r="93" spans="1:15" s="18" customFormat="1">
      <c r="A93" s="32" t="s">
        <v>766</v>
      </c>
      <c r="B93" s="33" t="s">
        <v>0</v>
      </c>
      <c r="C93" s="33" t="s">
        <v>1</v>
      </c>
      <c r="D93" s="16" t="s">
        <v>6</v>
      </c>
      <c r="E93" s="16" t="s">
        <v>2</v>
      </c>
      <c r="F93" s="16" t="s">
        <v>4</v>
      </c>
      <c r="G93" s="16" t="s">
        <v>8</v>
      </c>
      <c r="H93" s="16" t="s">
        <v>7</v>
      </c>
      <c r="I93" s="16" t="s">
        <v>9</v>
      </c>
      <c r="J93" s="34" t="s">
        <v>3</v>
      </c>
    </row>
    <row r="94" spans="1:15" s="18" customFormat="1">
      <c r="A94" s="35"/>
      <c r="B94" s="18" t="s">
        <v>404</v>
      </c>
      <c r="C94" s="19" t="s">
        <v>405</v>
      </c>
      <c r="D94" s="14" t="s">
        <v>31</v>
      </c>
      <c r="E94" s="39" t="s">
        <v>42</v>
      </c>
      <c r="F94" s="36">
        <v>23</v>
      </c>
      <c r="G94" s="36" t="s">
        <v>436</v>
      </c>
      <c r="H94" s="15"/>
      <c r="I94" s="14"/>
      <c r="J94" s="14" t="s">
        <v>85</v>
      </c>
      <c r="L94" s="38"/>
      <c r="M94" s="37"/>
      <c r="N94" s="37"/>
      <c r="O94" s="37"/>
    </row>
    <row r="95" spans="1:15" s="18" customFormat="1">
      <c r="A95" s="35"/>
      <c r="B95" s="18" t="s">
        <v>404</v>
      </c>
      <c r="C95" s="19" t="s">
        <v>405</v>
      </c>
      <c r="D95" s="14" t="s">
        <v>31</v>
      </c>
      <c r="E95" s="39" t="s">
        <v>403</v>
      </c>
      <c r="F95" s="36">
        <v>23</v>
      </c>
      <c r="G95" s="36" t="s">
        <v>437</v>
      </c>
      <c r="H95" s="15">
        <f>(22.14/22.99)*100-100</f>
        <v>-3.6972596781209148</v>
      </c>
      <c r="I95" s="14" t="s">
        <v>435</v>
      </c>
      <c r="J95" s="14" t="s">
        <v>151</v>
      </c>
      <c r="L95" s="38"/>
      <c r="M95" s="37"/>
      <c r="N95" s="37"/>
      <c r="O95" s="37"/>
    </row>
    <row r="96" spans="1:15" s="18" customFormat="1">
      <c r="B96" s="18" t="s">
        <v>404</v>
      </c>
      <c r="C96" s="19" t="s">
        <v>405</v>
      </c>
      <c r="D96" s="14" t="s">
        <v>31</v>
      </c>
      <c r="E96" s="39" t="s">
        <v>239</v>
      </c>
      <c r="F96" s="36">
        <v>21</v>
      </c>
      <c r="G96" s="36" t="s">
        <v>438</v>
      </c>
      <c r="H96" s="15">
        <f>(20.76/22.99)*100-100</f>
        <v>-9.6998695084819389</v>
      </c>
      <c r="I96" s="14" t="s">
        <v>17</v>
      </c>
      <c r="J96" s="14" t="s">
        <v>47</v>
      </c>
    </row>
    <row r="97" spans="1:15" s="18" customFormat="1">
      <c r="A97" s="35"/>
      <c r="B97" s="18" t="s">
        <v>406</v>
      </c>
      <c r="C97" s="19" t="s">
        <v>407</v>
      </c>
      <c r="D97" s="14" t="s">
        <v>31</v>
      </c>
      <c r="E97" s="39" t="s">
        <v>42</v>
      </c>
      <c r="F97" s="36">
        <v>21</v>
      </c>
      <c r="G97" s="36" t="s">
        <v>439</v>
      </c>
      <c r="H97" s="15">
        <f>(20.99/22.99)*100-100</f>
        <v>-8.6994345367551063</v>
      </c>
      <c r="I97" s="14" t="s">
        <v>17</v>
      </c>
      <c r="J97" s="14" t="s">
        <v>69</v>
      </c>
    </row>
    <row r="98" spans="1:15" s="23" customFormat="1"/>
    <row r="99" spans="1:15" s="18" customFormat="1">
      <c r="A99" s="31" t="s">
        <v>5</v>
      </c>
      <c r="D99" s="14"/>
      <c r="E99" s="14"/>
      <c r="F99" s="14"/>
      <c r="G99" s="14"/>
      <c r="H99" s="14"/>
      <c r="I99" s="14"/>
      <c r="J99" s="14"/>
    </row>
    <row r="100" spans="1:15" s="18" customFormat="1">
      <c r="A100" s="32" t="s">
        <v>765</v>
      </c>
      <c r="B100" s="33" t="s">
        <v>0</v>
      </c>
      <c r="C100" s="33" t="s">
        <v>1</v>
      </c>
      <c r="D100" s="16" t="s">
        <v>6</v>
      </c>
      <c r="E100" s="16" t="s">
        <v>2</v>
      </c>
      <c r="F100" s="16" t="s">
        <v>4</v>
      </c>
      <c r="G100" s="16" t="s">
        <v>8</v>
      </c>
      <c r="H100" s="16" t="s">
        <v>7</v>
      </c>
      <c r="I100" s="16" t="s">
        <v>9</v>
      </c>
      <c r="J100" s="34" t="s">
        <v>3</v>
      </c>
    </row>
    <row r="101" spans="1:15" s="18" customFormat="1">
      <c r="A101" s="35"/>
      <c r="B101" s="18" t="s">
        <v>406</v>
      </c>
      <c r="C101" s="19" t="s">
        <v>407</v>
      </c>
      <c r="D101" s="14" t="s">
        <v>31</v>
      </c>
      <c r="E101" s="39" t="s">
        <v>42</v>
      </c>
      <c r="F101" s="36">
        <v>16</v>
      </c>
      <c r="G101" s="36" t="s">
        <v>419</v>
      </c>
      <c r="H101" s="15"/>
      <c r="I101" s="14"/>
      <c r="J101" s="14" t="s">
        <v>424</v>
      </c>
    </row>
    <row r="102" spans="1:15" s="18" customFormat="1">
      <c r="A102" s="35"/>
      <c r="B102" s="18" t="s">
        <v>406</v>
      </c>
      <c r="C102" s="19" t="s">
        <v>407</v>
      </c>
      <c r="D102" s="14" t="s">
        <v>31</v>
      </c>
      <c r="E102" s="39" t="s">
        <v>403</v>
      </c>
      <c r="F102" s="36">
        <v>16</v>
      </c>
      <c r="G102" s="36" t="s">
        <v>427</v>
      </c>
      <c r="H102" s="15">
        <f>(16.22/16.02)*100-100</f>
        <v>1.2484394506866465</v>
      </c>
      <c r="I102" s="14" t="s">
        <v>423</v>
      </c>
      <c r="J102" s="14" t="s">
        <v>249</v>
      </c>
      <c r="L102" s="38"/>
      <c r="M102" s="37"/>
      <c r="N102" s="37"/>
      <c r="O102" s="37"/>
    </row>
    <row r="103" spans="1:15" s="18" customFormat="1">
      <c r="B103" s="18" t="s">
        <v>406</v>
      </c>
      <c r="C103" s="19" t="s">
        <v>407</v>
      </c>
      <c r="D103" s="14" t="s">
        <v>31</v>
      </c>
      <c r="E103" s="39" t="s">
        <v>239</v>
      </c>
      <c r="F103" s="36">
        <v>16</v>
      </c>
      <c r="G103" s="36" t="s">
        <v>428</v>
      </c>
      <c r="H103" s="15">
        <f>(16.19/16.02)*100-100</f>
        <v>1.0611735330836609</v>
      </c>
      <c r="I103" s="14" t="s">
        <v>426</v>
      </c>
      <c r="J103" s="14" t="s">
        <v>425</v>
      </c>
    </row>
    <row r="104" spans="1:15" s="18" customFormat="1">
      <c r="D104" s="14"/>
      <c r="E104" s="39"/>
      <c r="F104" s="14"/>
      <c r="G104" s="36"/>
      <c r="H104" s="15"/>
      <c r="I104" s="44"/>
      <c r="J104" s="14"/>
    </row>
    <row r="105" spans="1:15" s="18" customFormat="1"/>
    <row r="106" spans="1:15" s="18" customFormat="1">
      <c r="A106" s="31" t="s">
        <v>22</v>
      </c>
      <c r="D106" s="14"/>
      <c r="E106" s="14"/>
      <c r="F106" s="14"/>
      <c r="G106" s="14"/>
      <c r="H106" s="14"/>
      <c r="I106" s="14"/>
      <c r="J106" s="14"/>
    </row>
    <row r="107" spans="1:15" s="18" customFormat="1">
      <c r="A107" s="32" t="s">
        <v>765</v>
      </c>
      <c r="B107" s="33" t="s">
        <v>0</v>
      </c>
      <c r="C107" s="33" t="s">
        <v>1</v>
      </c>
      <c r="D107" s="16" t="s">
        <v>6</v>
      </c>
      <c r="E107" s="16" t="s">
        <v>2</v>
      </c>
      <c r="F107" s="16" t="s">
        <v>4</v>
      </c>
      <c r="G107" s="16" t="s">
        <v>8</v>
      </c>
      <c r="H107" s="16" t="s">
        <v>7</v>
      </c>
      <c r="I107" s="16" t="s">
        <v>9</v>
      </c>
      <c r="J107" s="34" t="s">
        <v>3</v>
      </c>
    </row>
    <row r="108" spans="1:15" s="18" customFormat="1">
      <c r="A108" s="35"/>
      <c r="B108" s="18" t="s">
        <v>406</v>
      </c>
      <c r="C108" s="19" t="s">
        <v>407</v>
      </c>
      <c r="D108" s="14" t="s">
        <v>31</v>
      </c>
      <c r="E108" s="39" t="s">
        <v>42</v>
      </c>
      <c r="F108" s="36">
        <v>12</v>
      </c>
      <c r="G108" s="36" t="s">
        <v>414</v>
      </c>
      <c r="H108" s="15"/>
      <c r="I108" s="14"/>
      <c r="J108" s="14" t="s">
        <v>310</v>
      </c>
      <c r="L108" s="37"/>
      <c r="M108" s="37"/>
      <c r="N108" s="37"/>
      <c r="O108" s="37"/>
    </row>
    <row r="109" spans="1:15" s="18" customFormat="1">
      <c r="A109" s="35"/>
      <c r="B109" s="18" t="s">
        <v>406</v>
      </c>
      <c r="C109" s="19" t="s">
        <v>407</v>
      </c>
      <c r="D109" s="14" t="s">
        <v>31</v>
      </c>
      <c r="E109" s="39" t="s">
        <v>403</v>
      </c>
      <c r="F109" s="36">
        <v>15</v>
      </c>
      <c r="G109" s="36" t="s">
        <v>433</v>
      </c>
      <c r="H109" s="15">
        <f>(14.11/13.51)*100-100</f>
        <v>4.4411547002220573</v>
      </c>
      <c r="I109" s="14" t="s">
        <v>429</v>
      </c>
      <c r="J109" s="14" t="s">
        <v>430</v>
      </c>
      <c r="L109" s="37"/>
      <c r="M109" s="37"/>
      <c r="N109" s="37"/>
      <c r="O109" s="37"/>
    </row>
    <row r="110" spans="1:15" s="18" customFormat="1">
      <c r="B110" s="18" t="s">
        <v>406</v>
      </c>
      <c r="C110" s="19" t="s">
        <v>407</v>
      </c>
      <c r="D110" s="14" t="s">
        <v>31</v>
      </c>
      <c r="E110" s="39" t="s">
        <v>239</v>
      </c>
      <c r="F110" s="36">
        <v>15</v>
      </c>
      <c r="G110" s="36" t="s">
        <v>434</v>
      </c>
      <c r="H110" s="15">
        <f>(15.2/13.51)*100-100</f>
        <v>12.50925240562546</v>
      </c>
      <c r="I110" s="14" t="s">
        <v>432</v>
      </c>
      <c r="J110" s="14" t="s">
        <v>431</v>
      </c>
    </row>
    <row r="111" spans="1:15" s="18" customFormat="1"/>
    <row r="112" spans="1:15" s="18" customFormat="1"/>
    <row r="113" spans="1:15" s="18" customFormat="1">
      <c r="A113" s="31" t="s">
        <v>185</v>
      </c>
      <c r="D113" s="14"/>
      <c r="E113" s="14"/>
      <c r="F113" s="14"/>
      <c r="G113" s="14"/>
      <c r="H113" s="14"/>
      <c r="I113" s="14"/>
      <c r="J113" s="14"/>
    </row>
    <row r="114" spans="1:15" s="18" customFormat="1">
      <c r="A114" s="32" t="s">
        <v>765</v>
      </c>
      <c r="B114" s="33" t="s">
        <v>0</v>
      </c>
      <c r="C114" s="33" t="s">
        <v>1</v>
      </c>
      <c r="D114" s="16" t="s">
        <v>6</v>
      </c>
      <c r="E114" s="16" t="s">
        <v>2</v>
      </c>
      <c r="F114" s="16" t="s">
        <v>4</v>
      </c>
      <c r="G114" s="16" t="s">
        <v>8</v>
      </c>
      <c r="H114" s="16" t="s">
        <v>7</v>
      </c>
      <c r="I114" s="16" t="s">
        <v>9</v>
      </c>
      <c r="J114" s="34" t="s">
        <v>3</v>
      </c>
    </row>
    <row r="115" spans="1:15" s="18" customFormat="1">
      <c r="A115" s="35"/>
      <c r="B115" s="18" t="s">
        <v>406</v>
      </c>
      <c r="C115" s="19" t="s">
        <v>407</v>
      </c>
      <c r="D115" s="14" t="s">
        <v>31</v>
      </c>
      <c r="E115" s="39" t="s">
        <v>42</v>
      </c>
      <c r="F115" s="36">
        <v>21</v>
      </c>
      <c r="G115" s="36" t="s">
        <v>439</v>
      </c>
      <c r="H115" s="15"/>
      <c r="I115" s="14"/>
      <c r="J115" s="14" t="s">
        <v>69</v>
      </c>
      <c r="L115" s="37"/>
      <c r="M115" s="37"/>
      <c r="N115" s="37"/>
      <c r="O115" s="37"/>
    </row>
    <row r="116" spans="1:15" s="18" customFormat="1">
      <c r="A116" s="35"/>
      <c r="B116" s="18" t="s">
        <v>406</v>
      </c>
      <c r="C116" s="19" t="s">
        <v>407</v>
      </c>
      <c r="D116" s="14" t="s">
        <v>31</v>
      </c>
      <c r="E116" s="39" t="s">
        <v>403</v>
      </c>
      <c r="F116" s="36">
        <v>19</v>
      </c>
      <c r="G116" s="36" t="s">
        <v>442</v>
      </c>
      <c r="H116" s="15">
        <f>(20.46/20.99)*100-100</f>
        <v>-2.525011910433534</v>
      </c>
      <c r="I116" s="14" t="s">
        <v>440</v>
      </c>
      <c r="J116" s="14" t="s">
        <v>110</v>
      </c>
      <c r="L116" s="37"/>
      <c r="M116" s="37"/>
      <c r="N116" s="37"/>
      <c r="O116" s="37"/>
    </row>
    <row r="117" spans="1:15" s="18" customFormat="1">
      <c r="B117" s="18" t="s">
        <v>406</v>
      </c>
      <c r="C117" s="19" t="s">
        <v>407</v>
      </c>
      <c r="D117" s="14" t="s">
        <v>31</v>
      </c>
      <c r="E117" s="39" t="s">
        <v>239</v>
      </c>
      <c r="F117" s="36">
        <v>20</v>
      </c>
      <c r="G117" s="36" t="s">
        <v>443</v>
      </c>
      <c r="H117" s="15">
        <f>(20.86/20.99)*100-100</f>
        <v>-0.61934254406860134</v>
      </c>
      <c r="I117" s="14" t="s">
        <v>441</v>
      </c>
      <c r="J117" s="14" t="s">
        <v>30</v>
      </c>
    </row>
  </sheetData>
  <phoneticPr fontId="1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90A13-88CC-6248-81FD-E046BC4C17E7}">
  <dimension ref="A1:O147"/>
  <sheetViews>
    <sheetView topLeftCell="A115" zoomScale="119" zoomScaleNormal="119" workbookViewId="0">
      <selection activeCell="E138" sqref="E138"/>
    </sheetView>
  </sheetViews>
  <sheetFormatPr baseColWidth="10" defaultRowHeight="16"/>
  <cols>
    <col min="1" max="1" width="45.1640625" style="18" customWidth="1"/>
    <col min="2" max="2" width="16.33203125" style="18" customWidth="1"/>
    <col min="3" max="3" width="54" style="18" bestFit="1" customWidth="1"/>
    <col min="4" max="4" width="12.33203125" style="18" bestFit="1" customWidth="1"/>
    <col min="5" max="5" width="30.33203125" style="18" bestFit="1" customWidth="1"/>
    <col min="6" max="6" width="22.1640625" style="18" bestFit="1" customWidth="1"/>
    <col min="7" max="7" width="29" style="18" bestFit="1" customWidth="1"/>
    <col min="8" max="8" width="26.1640625" style="18" bestFit="1" customWidth="1"/>
    <col min="9" max="9" width="27" style="18" bestFit="1" customWidth="1"/>
    <col min="10" max="10" width="23.1640625" style="18" bestFit="1" customWidth="1"/>
    <col min="11" max="16384" width="10.83203125" style="18"/>
  </cols>
  <sheetData>
    <row r="1" spans="1:15" ht="20">
      <c r="A1" s="17" t="s">
        <v>779</v>
      </c>
    </row>
    <row r="2" spans="1:15" s="70" customFormat="1" ht="21">
      <c r="A2" s="69"/>
      <c r="F2" s="71"/>
      <c r="G2" s="71"/>
      <c r="H2" s="71"/>
      <c r="I2" s="71"/>
      <c r="J2" s="71"/>
    </row>
    <row r="3" spans="1:15" ht="18">
      <c r="A3" s="72" t="s">
        <v>606</v>
      </c>
      <c r="F3" s="14"/>
      <c r="G3" s="14"/>
      <c r="H3" s="14"/>
      <c r="I3" s="14"/>
      <c r="J3" s="14"/>
    </row>
    <row r="4" spans="1:15" ht="18">
      <c r="A4" s="72"/>
      <c r="F4" s="14"/>
      <c r="G4" s="14"/>
      <c r="H4" s="14"/>
      <c r="I4" s="14"/>
      <c r="J4" s="14"/>
    </row>
    <row r="5" spans="1:15" ht="18">
      <c r="A5" s="72"/>
      <c r="F5" s="14"/>
      <c r="G5" s="14"/>
      <c r="H5" s="14"/>
      <c r="I5" s="14"/>
      <c r="J5" s="14"/>
    </row>
    <row r="6" spans="1:15" ht="18">
      <c r="A6" s="72"/>
      <c r="F6" s="14"/>
      <c r="G6" s="14"/>
      <c r="H6" s="14"/>
      <c r="I6" s="14"/>
      <c r="J6" s="14"/>
    </row>
    <row r="7" spans="1:15">
      <c r="A7" s="31" t="s">
        <v>5</v>
      </c>
      <c r="D7" s="14"/>
      <c r="E7" s="14"/>
      <c r="F7" s="14"/>
      <c r="G7" s="14"/>
      <c r="H7" s="14"/>
      <c r="I7" s="14"/>
      <c r="J7" s="14"/>
    </row>
    <row r="8" spans="1:15">
      <c r="A8" s="32" t="s">
        <v>632</v>
      </c>
      <c r="B8" s="33" t="s">
        <v>0</v>
      </c>
      <c r="C8" s="33" t="s">
        <v>1</v>
      </c>
      <c r="D8" s="16" t="s">
        <v>6</v>
      </c>
      <c r="E8" s="16" t="s">
        <v>2</v>
      </c>
      <c r="F8" s="16" t="s">
        <v>4</v>
      </c>
      <c r="G8" s="16" t="s">
        <v>8</v>
      </c>
      <c r="H8" s="16" t="s">
        <v>7</v>
      </c>
      <c r="I8" s="16" t="s">
        <v>9</v>
      </c>
      <c r="J8" s="34" t="s">
        <v>3</v>
      </c>
    </row>
    <row r="9" spans="1:15">
      <c r="A9" s="35"/>
      <c r="B9" s="18" t="s">
        <v>88</v>
      </c>
      <c r="D9" s="14" t="s">
        <v>10</v>
      </c>
      <c r="E9" s="39" t="s">
        <v>42</v>
      </c>
      <c r="F9" s="47">
        <v>27.5</v>
      </c>
      <c r="G9" s="36" t="s">
        <v>318</v>
      </c>
      <c r="H9" s="14"/>
      <c r="I9" s="14"/>
      <c r="J9" s="14" t="s">
        <v>72</v>
      </c>
      <c r="K9" s="47"/>
      <c r="L9" s="37"/>
      <c r="M9" s="37"/>
      <c r="N9" s="37"/>
      <c r="O9" s="37"/>
    </row>
    <row r="10" spans="1:15">
      <c r="B10" s="18" t="s">
        <v>88</v>
      </c>
      <c r="D10" s="14" t="s">
        <v>10</v>
      </c>
      <c r="E10" s="39" t="s">
        <v>270</v>
      </c>
      <c r="F10" s="36">
        <v>26</v>
      </c>
      <c r="G10" s="36" t="s">
        <v>319</v>
      </c>
      <c r="H10" s="15">
        <f>(24.32/26.16)*100-100</f>
        <v>-7.0336391437308805</v>
      </c>
      <c r="I10" s="14" t="s">
        <v>314</v>
      </c>
      <c r="J10" s="14" t="s">
        <v>19</v>
      </c>
    </row>
    <row r="11" spans="1:15">
      <c r="A11" s="35"/>
      <c r="B11" s="18" t="s">
        <v>88</v>
      </c>
      <c r="D11" s="14" t="s">
        <v>10</v>
      </c>
      <c r="E11" s="39" t="s">
        <v>266</v>
      </c>
      <c r="F11" s="36">
        <v>27</v>
      </c>
      <c r="G11" s="36" t="s">
        <v>321</v>
      </c>
      <c r="H11" s="15">
        <f>(27.53/26.16)*100-100</f>
        <v>5.2370030581039657</v>
      </c>
      <c r="I11" s="14" t="s">
        <v>316</v>
      </c>
      <c r="J11" s="14" t="s">
        <v>39</v>
      </c>
      <c r="L11" s="38"/>
      <c r="M11" s="37"/>
      <c r="N11" s="37"/>
      <c r="O11" s="37"/>
    </row>
    <row r="12" spans="1:15">
      <c r="A12" s="35"/>
      <c r="B12" s="18" t="s">
        <v>88</v>
      </c>
      <c r="D12" s="14" t="s">
        <v>10</v>
      </c>
      <c r="E12" s="39" t="s">
        <v>265</v>
      </c>
      <c r="F12" s="36">
        <v>27</v>
      </c>
      <c r="G12" s="36" t="s">
        <v>320</v>
      </c>
      <c r="H12" s="15">
        <f>(26.69/26.16)*100-100</f>
        <v>2.0259938837920544</v>
      </c>
      <c r="I12" s="14" t="s">
        <v>315</v>
      </c>
      <c r="J12" s="14" t="s">
        <v>19</v>
      </c>
      <c r="L12" s="38"/>
      <c r="M12" s="37"/>
      <c r="N12" s="37"/>
      <c r="O12" s="37"/>
    </row>
    <row r="13" spans="1:15">
      <c r="B13" s="18" t="s">
        <v>88</v>
      </c>
      <c r="D13" s="14" t="s">
        <v>10</v>
      </c>
      <c r="E13" s="39" t="s">
        <v>272</v>
      </c>
      <c r="F13" s="36">
        <v>28</v>
      </c>
      <c r="G13" s="36" t="s">
        <v>322</v>
      </c>
      <c r="H13" s="15">
        <f>(27.59/26.16)*100-100</f>
        <v>5.4663608562691053</v>
      </c>
      <c r="I13" s="14" t="s">
        <v>317</v>
      </c>
      <c r="J13" s="14" t="s">
        <v>129</v>
      </c>
    </row>
    <row r="15" spans="1:15">
      <c r="A15" s="31" t="s">
        <v>22</v>
      </c>
      <c r="D15" s="14"/>
      <c r="E15" s="14"/>
      <c r="F15" s="14"/>
      <c r="G15" s="14"/>
      <c r="H15" s="14"/>
      <c r="I15" s="14"/>
      <c r="J15" s="14"/>
    </row>
    <row r="16" spans="1:15">
      <c r="A16" s="32" t="s">
        <v>632</v>
      </c>
      <c r="B16" s="33" t="s">
        <v>0</v>
      </c>
      <c r="C16" s="33" t="s">
        <v>1</v>
      </c>
      <c r="D16" s="16" t="s">
        <v>6</v>
      </c>
      <c r="E16" s="16" t="s">
        <v>2</v>
      </c>
      <c r="F16" s="16" t="s">
        <v>4</v>
      </c>
      <c r="G16" s="16" t="s">
        <v>8</v>
      </c>
      <c r="H16" s="16" t="s">
        <v>7</v>
      </c>
      <c r="I16" s="16" t="s">
        <v>9</v>
      </c>
      <c r="J16" s="34" t="s">
        <v>3</v>
      </c>
    </row>
    <row r="17" spans="1:15">
      <c r="A17" s="35"/>
      <c r="B17" s="18" t="s">
        <v>88</v>
      </c>
      <c r="D17" s="14" t="s">
        <v>10</v>
      </c>
      <c r="E17" s="39" t="s">
        <v>42</v>
      </c>
      <c r="F17" s="36">
        <v>30</v>
      </c>
      <c r="G17" s="36" t="s">
        <v>264</v>
      </c>
      <c r="H17" s="14"/>
      <c r="I17" s="14"/>
      <c r="J17" s="14" t="s">
        <v>201</v>
      </c>
      <c r="L17" s="37"/>
      <c r="M17" s="37"/>
      <c r="N17" s="37"/>
      <c r="O17" s="37"/>
    </row>
    <row r="18" spans="1:15">
      <c r="B18" s="18" t="s">
        <v>88</v>
      </c>
      <c r="D18" s="14" t="s">
        <v>10</v>
      </c>
      <c r="E18" s="39" t="s">
        <v>270</v>
      </c>
      <c r="F18" s="36">
        <v>26</v>
      </c>
      <c r="G18" s="36" t="s">
        <v>271</v>
      </c>
      <c r="H18" s="15">
        <f>(24.1/29.57)*100-100</f>
        <v>-18.498478187352035</v>
      </c>
      <c r="I18" s="14" t="s">
        <v>17</v>
      </c>
      <c r="J18" s="14" t="s">
        <v>191</v>
      </c>
    </row>
    <row r="19" spans="1:15">
      <c r="A19" s="35"/>
      <c r="B19" s="18" t="s">
        <v>88</v>
      </c>
      <c r="D19" s="14" t="s">
        <v>10</v>
      </c>
      <c r="E19" s="39" t="s">
        <v>266</v>
      </c>
      <c r="F19" s="36">
        <v>29</v>
      </c>
      <c r="G19" s="36" t="s">
        <v>267</v>
      </c>
      <c r="H19" s="15">
        <f>(28.11/29.57)*100-100</f>
        <v>-4.9374365911396723</v>
      </c>
      <c r="I19" s="14" t="s">
        <v>268</v>
      </c>
      <c r="J19" s="14" t="s">
        <v>269</v>
      </c>
      <c r="L19" s="38"/>
      <c r="M19" s="37"/>
      <c r="N19" s="37"/>
      <c r="O19" s="37"/>
    </row>
    <row r="20" spans="1:15">
      <c r="B20" s="18" t="s">
        <v>88</v>
      </c>
      <c r="D20" s="14" t="s">
        <v>10</v>
      </c>
      <c r="E20" s="39" t="s">
        <v>272</v>
      </c>
      <c r="F20" s="36">
        <v>32</v>
      </c>
      <c r="G20" s="36" t="s">
        <v>273</v>
      </c>
      <c r="H20" s="15">
        <f>(29.51/29.57)*100-100</f>
        <v>-0.20290835306052202</v>
      </c>
      <c r="I20" s="14" t="s">
        <v>274</v>
      </c>
      <c r="J20" s="14" t="s">
        <v>129</v>
      </c>
    </row>
    <row r="21" spans="1:15">
      <c r="D21" s="14"/>
      <c r="E21" s="39"/>
      <c r="F21" s="36"/>
      <c r="G21" s="36"/>
      <c r="H21" s="15"/>
      <c r="I21" s="14"/>
      <c r="J21" s="14"/>
    </row>
    <row r="22" spans="1:15">
      <c r="A22" s="31" t="s">
        <v>185</v>
      </c>
      <c r="D22" s="14"/>
      <c r="E22" s="14"/>
      <c r="F22" s="14"/>
      <c r="G22" s="14"/>
      <c r="H22" s="14"/>
      <c r="I22" s="14"/>
      <c r="J22" s="14"/>
    </row>
    <row r="23" spans="1:15">
      <c r="A23" s="32" t="s">
        <v>632</v>
      </c>
      <c r="B23" s="33" t="s">
        <v>0</v>
      </c>
      <c r="C23" s="33" t="s">
        <v>1</v>
      </c>
      <c r="D23" s="16" t="s">
        <v>6</v>
      </c>
      <c r="E23" s="16" t="s">
        <v>2</v>
      </c>
      <c r="F23" s="16" t="s">
        <v>4</v>
      </c>
      <c r="G23" s="16" t="s">
        <v>8</v>
      </c>
      <c r="H23" s="16" t="s">
        <v>7</v>
      </c>
      <c r="I23" s="16" t="s">
        <v>9</v>
      </c>
      <c r="J23" s="34" t="s">
        <v>3</v>
      </c>
    </row>
    <row r="24" spans="1:15">
      <c r="A24" s="35"/>
      <c r="B24" s="18" t="s">
        <v>88</v>
      </c>
      <c r="D24" s="14" t="s">
        <v>10</v>
      </c>
      <c r="E24" s="39" t="s">
        <v>42</v>
      </c>
      <c r="F24" s="36">
        <v>32</v>
      </c>
      <c r="G24" s="36" t="s">
        <v>444</v>
      </c>
      <c r="H24" s="14"/>
      <c r="I24" s="14"/>
      <c r="J24" s="14" t="s">
        <v>129</v>
      </c>
      <c r="K24" s="47"/>
      <c r="L24" s="37"/>
      <c r="M24" s="37"/>
      <c r="N24" s="37"/>
      <c r="O24" s="37"/>
    </row>
    <row r="25" spans="1:15">
      <c r="B25" s="18" t="s">
        <v>88</v>
      </c>
      <c r="D25" s="14" t="s">
        <v>10</v>
      </c>
      <c r="E25" s="39" t="s">
        <v>270</v>
      </c>
      <c r="F25" s="36">
        <v>29</v>
      </c>
      <c r="G25" s="36" t="s">
        <v>445</v>
      </c>
      <c r="H25" s="15">
        <f>(27.68/29.91)*100-100</f>
        <v>-7.4557004346372509</v>
      </c>
      <c r="I25" s="14" t="s">
        <v>18</v>
      </c>
      <c r="J25" s="14" t="s">
        <v>222</v>
      </c>
    </row>
    <row r="26" spans="1:15">
      <c r="A26" s="35"/>
      <c r="B26" s="18" t="s">
        <v>88</v>
      </c>
      <c r="D26" s="14" t="s">
        <v>10</v>
      </c>
      <c r="E26" s="39" t="s">
        <v>265</v>
      </c>
      <c r="F26" s="36">
        <v>30</v>
      </c>
      <c r="G26" s="36" t="s">
        <v>446</v>
      </c>
      <c r="H26" s="15">
        <f>(29.57/29.91)*100-100</f>
        <v>-1.1367435640254087</v>
      </c>
      <c r="I26" s="14" t="s">
        <v>447</v>
      </c>
      <c r="J26" s="14" t="s">
        <v>67</v>
      </c>
      <c r="L26" s="38"/>
      <c r="M26" s="37"/>
      <c r="N26" s="37"/>
      <c r="O26" s="37"/>
    </row>
    <row r="27" spans="1:15" ht="18">
      <c r="A27" s="72"/>
      <c r="F27" s="14"/>
      <c r="G27" s="14"/>
      <c r="H27" s="14"/>
      <c r="I27" s="14"/>
      <c r="J27" s="14"/>
    </row>
    <row r="29" spans="1:15">
      <c r="A29" s="31" t="s">
        <v>5</v>
      </c>
      <c r="D29" s="14"/>
      <c r="E29" s="14"/>
      <c r="F29" s="14"/>
      <c r="G29" s="14"/>
      <c r="H29" s="14"/>
      <c r="I29" s="14"/>
      <c r="J29" s="14"/>
    </row>
    <row r="30" spans="1:15">
      <c r="A30" s="32" t="s">
        <v>633</v>
      </c>
      <c r="B30" s="33" t="s">
        <v>0</v>
      </c>
      <c r="C30" s="33" t="s">
        <v>1</v>
      </c>
      <c r="D30" s="16" t="s">
        <v>6</v>
      </c>
      <c r="E30" s="16" t="s">
        <v>323</v>
      </c>
      <c r="F30" s="16" t="s">
        <v>4</v>
      </c>
      <c r="G30" s="16" t="s">
        <v>8</v>
      </c>
      <c r="H30" s="16" t="s">
        <v>7</v>
      </c>
      <c r="I30" s="16" t="s">
        <v>9</v>
      </c>
      <c r="J30" s="34" t="s">
        <v>3</v>
      </c>
    </row>
    <row r="31" spans="1:15">
      <c r="A31" s="35"/>
      <c r="B31" s="18" t="s">
        <v>88</v>
      </c>
      <c r="C31" s="18" t="s">
        <v>141</v>
      </c>
      <c r="D31" s="14" t="s">
        <v>10</v>
      </c>
      <c r="E31" s="39" t="s">
        <v>324</v>
      </c>
      <c r="F31" s="36">
        <v>18</v>
      </c>
      <c r="G31" s="36" t="s">
        <v>325</v>
      </c>
      <c r="H31" s="14"/>
      <c r="I31" s="14"/>
      <c r="J31" s="14" t="s">
        <v>326</v>
      </c>
      <c r="L31" s="37"/>
      <c r="M31" s="37"/>
      <c r="N31" s="37"/>
      <c r="O31" s="37"/>
    </row>
    <row r="32" spans="1:15">
      <c r="A32" s="35"/>
      <c r="B32" s="18" t="s">
        <v>531</v>
      </c>
      <c r="C32" s="68" t="s">
        <v>532</v>
      </c>
      <c r="D32" s="14" t="s">
        <v>10</v>
      </c>
      <c r="E32" s="39" t="s">
        <v>324</v>
      </c>
      <c r="F32" s="36">
        <v>17</v>
      </c>
      <c r="G32" s="36" t="s">
        <v>533</v>
      </c>
      <c r="H32" s="15">
        <f>(17.73/17.92)*100-100</f>
        <v>-1.0602678571428612</v>
      </c>
      <c r="I32" s="14" t="s">
        <v>534</v>
      </c>
      <c r="J32" s="14" t="s">
        <v>55</v>
      </c>
      <c r="L32" s="38"/>
      <c r="M32" s="37"/>
      <c r="N32" s="37"/>
      <c r="O32" s="37"/>
    </row>
    <row r="33" spans="1:15">
      <c r="B33" s="18" t="s">
        <v>535</v>
      </c>
      <c r="C33" s="68" t="s">
        <v>536</v>
      </c>
      <c r="D33" s="14" t="s">
        <v>10</v>
      </c>
      <c r="E33" s="39" t="s">
        <v>324</v>
      </c>
      <c r="F33" s="36">
        <v>19</v>
      </c>
      <c r="G33" s="36" t="s">
        <v>537</v>
      </c>
      <c r="H33" s="15">
        <f>(20.16/17.92)*100-100</f>
        <v>12.5</v>
      </c>
      <c r="I33" s="14" t="s">
        <v>538</v>
      </c>
      <c r="J33" s="14" t="s">
        <v>161</v>
      </c>
    </row>
    <row r="34" spans="1:15">
      <c r="B34" s="18" t="s">
        <v>539</v>
      </c>
      <c r="C34" s="19" t="s">
        <v>540</v>
      </c>
      <c r="D34" s="14" t="s">
        <v>10</v>
      </c>
      <c r="E34" s="39" t="s">
        <v>324</v>
      </c>
      <c r="F34" s="36">
        <v>18</v>
      </c>
      <c r="G34" s="36" t="s">
        <v>541</v>
      </c>
      <c r="H34" s="15">
        <f>(17.68/17.92)*100-100</f>
        <v>-1.3392857142857224</v>
      </c>
      <c r="I34" s="14" t="s">
        <v>542</v>
      </c>
      <c r="J34" s="14" t="s">
        <v>326</v>
      </c>
    </row>
    <row r="36" spans="1:15">
      <c r="A36" s="31" t="s">
        <v>22</v>
      </c>
      <c r="D36" s="14"/>
      <c r="E36" s="14"/>
      <c r="F36" s="14"/>
      <c r="G36" s="14"/>
      <c r="H36" s="14"/>
      <c r="I36" s="14"/>
      <c r="J36" s="14"/>
    </row>
    <row r="37" spans="1:15">
      <c r="A37" s="32" t="s">
        <v>633</v>
      </c>
      <c r="B37" s="33" t="s">
        <v>0</v>
      </c>
      <c r="C37" s="33" t="s">
        <v>1</v>
      </c>
      <c r="D37" s="16" t="s">
        <v>6</v>
      </c>
      <c r="E37" s="16" t="s">
        <v>323</v>
      </c>
      <c r="F37" s="16" t="s">
        <v>4</v>
      </c>
      <c r="G37" s="16" t="s">
        <v>8</v>
      </c>
      <c r="H37" s="16" t="s">
        <v>7</v>
      </c>
      <c r="I37" s="16" t="s">
        <v>9</v>
      </c>
      <c r="J37" s="34" t="s">
        <v>3</v>
      </c>
    </row>
    <row r="38" spans="1:15">
      <c r="A38" s="35"/>
      <c r="B38" s="18" t="s">
        <v>88</v>
      </c>
      <c r="C38" s="18" t="s">
        <v>141</v>
      </c>
      <c r="D38" s="14" t="s">
        <v>10</v>
      </c>
      <c r="E38" s="39" t="s">
        <v>324</v>
      </c>
      <c r="F38" s="36">
        <v>19</v>
      </c>
      <c r="G38" s="36" t="s">
        <v>546</v>
      </c>
      <c r="H38" s="14"/>
      <c r="I38" s="14"/>
      <c r="J38" s="14" t="s">
        <v>72</v>
      </c>
      <c r="L38" s="37"/>
      <c r="M38" s="37"/>
      <c r="N38" s="37"/>
      <c r="O38" s="37"/>
    </row>
    <row r="39" spans="1:15">
      <c r="A39" s="35"/>
      <c r="B39" s="18" t="s">
        <v>531</v>
      </c>
      <c r="C39" s="68" t="s">
        <v>532</v>
      </c>
      <c r="D39" s="14" t="s">
        <v>10</v>
      </c>
      <c r="E39" s="39" t="s">
        <v>324</v>
      </c>
      <c r="F39" s="36">
        <v>23</v>
      </c>
      <c r="G39" s="36" t="s">
        <v>547</v>
      </c>
      <c r="H39" s="15">
        <f>(22.01/19.74)*100-100</f>
        <v>11.499493414387047</v>
      </c>
      <c r="I39" s="14" t="s">
        <v>543</v>
      </c>
      <c r="J39" s="14" t="s">
        <v>180</v>
      </c>
      <c r="L39" s="38"/>
      <c r="M39" s="37"/>
      <c r="N39" s="37"/>
      <c r="O39" s="37"/>
    </row>
    <row r="40" spans="1:15">
      <c r="B40" s="18" t="s">
        <v>535</v>
      </c>
      <c r="C40" s="68" t="s">
        <v>536</v>
      </c>
      <c r="D40" s="14" t="s">
        <v>10</v>
      </c>
      <c r="E40" s="39" t="s">
        <v>324</v>
      </c>
      <c r="F40" s="36">
        <v>23</v>
      </c>
      <c r="G40" s="36" t="s">
        <v>548</v>
      </c>
      <c r="H40" s="15">
        <f>(22.35/19.74)*100-100</f>
        <v>13.22188449848025</v>
      </c>
      <c r="I40" s="14" t="s">
        <v>544</v>
      </c>
      <c r="J40" s="14" t="s">
        <v>69</v>
      </c>
    </row>
    <row r="41" spans="1:15">
      <c r="B41" s="18" t="s">
        <v>539</v>
      </c>
      <c r="C41" s="19" t="s">
        <v>540</v>
      </c>
      <c r="D41" s="14" t="s">
        <v>10</v>
      </c>
      <c r="E41" s="39" t="s">
        <v>324</v>
      </c>
      <c r="F41" s="36">
        <v>20</v>
      </c>
      <c r="G41" s="36" t="s">
        <v>549</v>
      </c>
      <c r="H41" s="15">
        <f>(18.83/19.74)*100-100</f>
        <v>-4.6099290780141899</v>
      </c>
      <c r="I41" s="14" t="s">
        <v>545</v>
      </c>
      <c r="J41" s="14" t="s">
        <v>72</v>
      </c>
    </row>
    <row r="43" spans="1:15">
      <c r="A43" s="31" t="s">
        <v>5</v>
      </c>
      <c r="D43" s="14"/>
      <c r="E43" s="14"/>
      <c r="F43" s="14"/>
      <c r="G43" s="14"/>
      <c r="H43" s="14"/>
      <c r="I43" s="14"/>
      <c r="J43" s="14"/>
    </row>
    <row r="44" spans="1:15">
      <c r="A44" s="32" t="s">
        <v>762</v>
      </c>
      <c r="B44" s="33" t="s">
        <v>0</v>
      </c>
      <c r="C44" s="33" t="s">
        <v>1</v>
      </c>
      <c r="D44" s="16" t="s">
        <v>6</v>
      </c>
      <c r="E44" s="16" t="s">
        <v>323</v>
      </c>
      <c r="F44" s="16" t="s">
        <v>4</v>
      </c>
      <c r="G44" s="16" t="s">
        <v>8</v>
      </c>
      <c r="H44" s="16" t="s">
        <v>7</v>
      </c>
      <c r="I44" s="16" t="s">
        <v>9</v>
      </c>
      <c r="J44" s="34" t="s">
        <v>3</v>
      </c>
    </row>
    <row r="45" spans="1:15">
      <c r="B45" s="18" t="s">
        <v>88</v>
      </c>
      <c r="C45" s="18" t="s">
        <v>141</v>
      </c>
      <c r="D45" s="14" t="s">
        <v>10</v>
      </c>
      <c r="E45" s="39" t="s">
        <v>324</v>
      </c>
      <c r="F45" s="36">
        <v>22</v>
      </c>
      <c r="G45" s="36" t="s">
        <v>469</v>
      </c>
      <c r="H45" s="14"/>
      <c r="I45" s="14"/>
      <c r="J45" s="14" t="s">
        <v>226</v>
      </c>
    </row>
    <row r="46" spans="1:15">
      <c r="B46" s="18" t="s">
        <v>327</v>
      </c>
      <c r="C46" s="19" t="s">
        <v>328</v>
      </c>
      <c r="D46" s="14" t="s">
        <v>10</v>
      </c>
      <c r="E46" s="39" t="s">
        <v>324</v>
      </c>
      <c r="F46" s="36">
        <v>19</v>
      </c>
      <c r="G46" s="36" t="s">
        <v>470</v>
      </c>
      <c r="H46" s="15">
        <f>(19.66/22.68)*100-100</f>
        <v>-13.315696649029988</v>
      </c>
      <c r="I46" s="14" t="s">
        <v>190</v>
      </c>
      <c r="J46" s="14" t="s">
        <v>226</v>
      </c>
    </row>
    <row r="47" spans="1:15">
      <c r="C47" s="19"/>
      <c r="D47" s="14"/>
      <c r="E47" s="39"/>
      <c r="F47" s="36"/>
      <c r="G47" s="36"/>
      <c r="H47" s="15"/>
      <c r="I47" s="14"/>
      <c r="J47" s="14"/>
    </row>
    <row r="48" spans="1:15">
      <c r="A48" s="31" t="s">
        <v>22</v>
      </c>
      <c r="D48" s="14"/>
      <c r="E48" s="14"/>
      <c r="F48" s="14"/>
      <c r="G48" s="14"/>
      <c r="H48" s="14"/>
      <c r="I48" s="14"/>
      <c r="J48" s="14"/>
    </row>
    <row r="49" spans="1:10">
      <c r="A49" s="32" t="s">
        <v>762</v>
      </c>
      <c r="B49" s="33" t="s">
        <v>0</v>
      </c>
      <c r="C49" s="33" t="s">
        <v>1</v>
      </c>
      <c r="D49" s="16" t="s">
        <v>6</v>
      </c>
      <c r="E49" s="16" t="s">
        <v>323</v>
      </c>
      <c r="F49" s="16" t="s">
        <v>4</v>
      </c>
      <c r="G49" s="16" t="s">
        <v>8</v>
      </c>
      <c r="H49" s="16" t="s">
        <v>7</v>
      </c>
      <c r="I49" s="16" t="s">
        <v>9</v>
      </c>
      <c r="J49" s="34" t="s">
        <v>3</v>
      </c>
    </row>
    <row r="50" spans="1:10">
      <c r="B50" s="18" t="s">
        <v>88</v>
      </c>
      <c r="C50" s="18" t="s">
        <v>678</v>
      </c>
      <c r="D50" s="14" t="s">
        <v>10</v>
      </c>
      <c r="E50" s="39" t="s">
        <v>324</v>
      </c>
      <c r="F50" s="36">
        <v>18</v>
      </c>
      <c r="G50" s="36" t="s">
        <v>325</v>
      </c>
      <c r="H50" s="14"/>
      <c r="I50" s="14"/>
      <c r="J50" s="14" t="s">
        <v>326</v>
      </c>
    </row>
    <row r="51" spans="1:10">
      <c r="B51" s="18" t="s">
        <v>327</v>
      </c>
      <c r="C51" s="19" t="s">
        <v>328</v>
      </c>
      <c r="D51" s="14" t="s">
        <v>10</v>
      </c>
      <c r="E51" s="39" t="s">
        <v>324</v>
      </c>
      <c r="F51" s="36">
        <v>16</v>
      </c>
      <c r="G51" s="36" t="s">
        <v>329</v>
      </c>
      <c r="H51" s="15">
        <f>(16.87/17.92)*100-100</f>
        <v>-5.859375</v>
      </c>
      <c r="I51" s="14" t="s">
        <v>330</v>
      </c>
      <c r="J51" s="14" t="s">
        <v>69</v>
      </c>
    </row>
    <row r="53" spans="1:10">
      <c r="A53" s="31" t="s">
        <v>185</v>
      </c>
      <c r="D53" s="14"/>
      <c r="E53" s="14"/>
      <c r="F53" s="14"/>
      <c r="G53" s="14"/>
      <c r="H53" s="14"/>
      <c r="I53" s="14"/>
      <c r="J53" s="14"/>
    </row>
    <row r="54" spans="1:10">
      <c r="A54" s="32" t="s">
        <v>762</v>
      </c>
      <c r="B54" s="33" t="s">
        <v>0</v>
      </c>
      <c r="C54" s="33" t="s">
        <v>1</v>
      </c>
      <c r="D54" s="16" t="s">
        <v>6</v>
      </c>
      <c r="E54" s="16" t="s">
        <v>323</v>
      </c>
      <c r="F54" s="16" t="s">
        <v>4</v>
      </c>
      <c r="G54" s="16" t="s">
        <v>8</v>
      </c>
      <c r="H54" s="16" t="s">
        <v>7</v>
      </c>
      <c r="I54" s="16" t="s">
        <v>9</v>
      </c>
      <c r="J54" s="34" t="s">
        <v>3</v>
      </c>
    </row>
    <row r="55" spans="1:10">
      <c r="B55" s="18" t="s">
        <v>88</v>
      </c>
      <c r="D55" s="14" t="s">
        <v>10</v>
      </c>
      <c r="E55" s="39" t="s">
        <v>324</v>
      </c>
      <c r="F55" s="36">
        <v>21</v>
      </c>
      <c r="G55" s="36" t="s">
        <v>454</v>
      </c>
      <c r="H55" s="14"/>
      <c r="I55" s="14"/>
      <c r="J55" s="14" t="s">
        <v>453</v>
      </c>
    </row>
    <row r="56" spans="1:10">
      <c r="B56" s="18" t="s">
        <v>327</v>
      </c>
      <c r="C56" s="19" t="s">
        <v>328</v>
      </c>
      <c r="D56" s="14" t="s">
        <v>10</v>
      </c>
      <c r="E56" s="39" t="s">
        <v>324</v>
      </c>
      <c r="F56" s="36">
        <v>17</v>
      </c>
      <c r="G56" s="36" t="s">
        <v>455</v>
      </c>
      <c r="H56" s="15">
        <f>(17.08/20.07)*100-100</f>
        <v>-14.897857498754377</v>
      </c>
      <c r="I56" s="14" t="s">
        <v>190</v>
      </c>
      <c r="J56" s="14" t="s">
        <v>415</v>
      </c>
    </row>
    <row r="57" spans="1:10">
      <c r="C57" s="19"/>
      <c r="D57" s="14"/>
      <c r="E57" s="39"/>
      <c r="F57" s="36"/>
      <c r="G57" s="36"/>
      <c r="H57" s="15"/>
      <c r="I57" s="14"/>
      <c r="J57" s="14"/>
    </row>
    <row r="58" spans="1:10">
      <c r="C58" s="19"/>
      <c r="D58" s="14"/>
      <c r="E58" s="39"/>
      <c r="F58" s="36"/>
      <c r="G58" s="36"/>
      <c r="H58" s="15"/>
      <c r="I58" s="14"/>
      <c r="J58" s="14"/>
    </row>
    <row r="59" spans="1:10">
      <c r="A59" s="31" t="s">
        <v>5</v>
      </c>
      <c r="D59" s="14"/>
      <c r="E59" s="14"/>
      <c r="F59" s="14"/>
      <c r="G59" s="14"/>
      <c r="H59" s="14"/>
      <c r="I59" s="14"/>
      <c r="J59" s="14"/>
    </row>
    <row r="60" spans="1:10">
      <c r="A60" s="32" t="s">
        <v>768</v>
      </c>
      <c r="B60" s="33" t="s">
        <v>0</v>
      </c>
      <c r="C60" s="33" t="s">
        <v>1</v>
      </c>
      <c r="D60" s="16" t="s">
        <v>6</v>
      </c>
      <c r="E60" s="16" t="s">
        <v>323</v>
      </c>
      <c r="F60" s="16" t="s">
        <v>4</v>
      </c>
      <c r="G60" s="16" t="s">
        <v>8</v>
      </c>
      <c r="H60" s="16" t="s">
        <v>7</v>
      </c>
      <c r="I60" s="16" t="s">
        <v>9</v>
      </c>
      <c r="J60" s="34" t="s">
        <v>3</v>
      </c>
    </row>
    <row r="61" spans="1:10">
      <c r="B61" s="18" t="s">
        <v>88</v>
      </c>
      <c r="D61" s="14" t="s">
        <v>31</v>
      </c>
      <c r="E61" s="39" t="s">
        <v>324</v>
      </c>
      <c r="F61" s="36">
        <v>14</v>
      </c>
      <c r="G61" s="36" t="s">
        <v>451</v>
      </c>
      <c r="H61" s="14"/>
      <c r="I61" s="14"/>
      <c r="J61" s="14" t="s">
        <v>11</v>
      </c>
    </row>
    <row r="62" spans="1:10">
      <c r="B62" s="18" t="s">
        <v>327</v>
      </c>
      <c r="C62" s="19" t="s">
        <v>328</v>
      </c>
      <c r="D62" s="14" t="s">
        <v>31</v>
      </c>
      <c r="E62" s="39" t="s">
        <v>324</v>
      </c>
      <c r="F62" s="36">
        <v>16</v>
      </c>
      <c r="G62" s="36" t="s">
        <v>452</v>
      </c>
      <c r="H62" s="15">
        <f>(16.87/14.67)*100-100</f>
        <v>14.99659168370826</v>
      </c>
      <c r="I62" s="14" t="s">
        <v>450</v>
      </c>
      <c r="J62" s="14" t="s">
        <v>170</v>
      </c>
    </row>
    <row r="64" spans="1:10">
      <c r="A64" s="31" t="s">
        <v>22</v>
      </c>
      <c r="D64" s="14"/>
      <c r="E64" s="14"/>
      <c r="F64" s="14"/>
      <c r="G64" s="14"/>
      <c r="H64" s="14"/>
      <c r="I64" s="14"/>
      <c r="J64" s="14"/>
    </row>
    <row r="65" spans="1:15">
      <c r="A65" s="32" t="s">
        <v>768</v>
      </c>
      <c r="B65" s="33" t="s">
        <v>0</v>
      </c>
      <c r="C65" s="33" t="s">
        <v>1</v>
      </c>
      <c r="D65" s="16" t="s">
        <v>6</v>
      </c>
      <c r="E65" s="16" t="s">
        <v>323</v>
      </c>
      <c r="F65" s="16" t="s">
        <v>4</v>
      </c>
      <c r="G65" s="16" t="s">
        <v>8</v>
      </c>
      <c r="H65" s="16" t="s">
        <v>7</v>
      </c>
      <c r="I65" s="16" t="s">
        <v>9</v>
      </c>
      <c r="J65" s="34" t="s">
        <v>3</v>
      </c>
    </row>
    <row r="66" spans="1:15">
      <c r="B66" s="18" t="s">
        <v>88</v>
      </c>
      <c r="D66" s="14" t="s">
        <v>31</v>
      </c>
      <c r="E66" s="39" t="s">
        <v>324</v>
      </c>
      <c r="F66" s="36">
        <v>12</v>
      </c>
      <c r="G66" s="36" t="s">
        <v>448</v>
      </c>
      <c r="H66" s="14"/>
      <c r="I66" s="14"/>
      <c r="J66" s="14" t="s">
        <v>226</v>
      </c>
    </row>
    <row r="67" spans="1:15">
      <c r="B67" s="18" t="s">
        <v>327</v>
      </c>
      <c r="C67" s="19" t="s">
        <v>328</v>
      </c>
      <c r="D67" s="14" t="s">
        <v>31</v>
      </c>
      <c r="E67" s="39" t="s">
        <v>324</v>
      </c>
      <c r="F67" s="36">
        <v>15</v>
      </c>
      <c r="G67" s="36" t="s">
        <v>449</v>
      </c>
      <c r="H67" s="15">
        <f>(15.37/12.46)*100-100</f>
        <v>23.354735152487933</v>
      </c>
      <c r="I67" s="14" t="s">
        <v>17</v>
      </c>
      <c r="J67" s="14" t="s">
        <v>67</v>
      </c>
    </row>
    <row r="70" spans="1:15">
      <c r="A70" s="31" t="s">
        <v>5</v>
      </c>
      <c r="D70" s="14"/>
      <c r="E70" s="14"/>
      <c r="F70" s="14"/>
      <c r="G70" s="14"/>
      <c r="H70" s="14"/>
      <c r="I70" s="14"/>
      <c r="J70" s="14"/>
    </row>
    <row r="71" spans="1:15">
      <c r="A71" s="32" t="s">
        <v>771</v>
      </c>
      <c r="B71" s="33" t="s">
        <v>0</v>
      </c>
      <c r="C71" s="33" t="s">
        <v>1</v>
      </c>
      <c r="D71" s="16" t="s">
        <v>6</v>
      </c>
      <c r="E71" s="16" t="s">
        <v>2</v>
      </c>
      <c r="F71" s="16" t="s">
        <v>4</v>
      </c>
      <c r="G71" s="16" t="s">
        <v>8</v>
      </c>
      <c r="H71" s="16" t="s">
        <v>7</v>
      </c>
      <c r="I71" s="16" t="s">
        <v>9</v>
      </c>
      <c r="J71" s="34" t="s">
        <v>3</v>
      </c>
    </row>
    <row r="72" spans="1:15">
      <c r="A72" s="35"/>
      <c r="B72" s="18" t="s">
        <v>82</v>
      </c>
      <c r="C72" s="19" t="s">
        <v>83</v>
      </c>
      <c r="D72" s="14" t="s">
        <v>10</v>
      </c>
      <c r="E72" s="39" t="s">
        <v>42</v>
      </c>
      <c r="F72" s="36">
        <v>32</v>
      </c>
      <c r="G72" s="36" t="s">
        <v>333</v>
      </c>
      <c r="H72" s="14"/>
      <c r="I72" s="14"/>
      <c r="J72" s="14" t="s">
        <v>67</v>
      </c>
      <c r="L72" s="37"/>
      <c r="M72" s="37"/>
      <c r="N72" s="37"/>
      <c r="O72" s="37"/>
    </row>
    <row r="73" spans="1:15">
      <c r="B73" s="18" t="s">
        <v>82</v>
      </c>
      <c r="C73" s="19" t="s">
        <v>83</v>
      </c>
      <c r="D73" s="14" t="s">
        <v>10</v>
      </c>
      <c r="E73" s="39" t="s">
        <v>270</v>
      </c>
      <c r="F73" s="36">
        <v>32</v>
      </c>
      <c r="G73" s="36" t="s">
        <v>334</v>
      </c>
      <c r="H73" s="15">
        <f>(31.18/32.23)*100-100</f>
        <v>-3.2578343158547938</v>
      </c>
      <c r="I73" s="14" t="s">
        <v>335</v>
      </c>
      <c r="J73" s="14" t="s">
        <v>222</v>
      </c>
    </row>
    <row r="74" spans="1:15">
      <c r="C74" s="19"/>
      <c r="D74" s="14"/>
      <c r="E74" s="39"/>
      <c r="F74" s="36"/>
      <c r="G74" s="36"/>
      <c r="H74" s="15"/>
      <c r="I74" s="14"/>
      <c r="J74" s="14"/>
    </row>
    <row r="75" spans="1:15">
      <c r="A75" s="31" t="s">
        <v>22</v>
      </c>
      <c r="D75" s="14"/>
      <c r="E75" s="14"/>
      <c r="F75" s="14"/>
      <c r="G75" s="14"/>
      <c r="H75" s="14"/>
      <c r="I75" s="14"/>
      <c r="J75" s="14"/>
    </row>
    <row r="76" spans="1:15">
      <c r="A76" s="32" t="s">
        <v>771</v>
      </c>
      <c r="B76" s="33" t="s">
        <v>0</v>
      </c>
      <c r="C76" s="33" t="s">
        <v>1</v>
      </c>
      <c r="D76" s="16" t="s">
        <v>6</v>
      </c>
      <c r="E76" s="16" t="s">
        <v>2</v>
      </c>
      <c r="F76" s="16" t="s">
        <v>4</v>
      </c>
      <c r="G76" s="16" t="s">
        <v>8</v>
      </c>
      <c r="H76" s="16" t="s">
        <v>7</v>
      </c>
      <c r="I76" s="16" t="s">
        <v>9</v>
      </c>
      <c r="J76" s="34" t="s">
        <v>3</v>
      </c>
    </row>
    <row r="77" spans="1:15">
      <c r="A77" s="35"/>
      <c r="B77" s="18" t="s">
        <v>82</v>
      </c>
      <c r="C77" s="19" t="s">
        <v>83</v>
      </c>
      <c r="D77" s="14" t="s">
        <v>10</v>
      </c>
      <c r="E77" s="39" t="s">
        <v>42</v>
      </c>
      <c r="F77" s="36">
        <v>31</v>
      </c>
      <c r="G77" s="36" t="s">
        <v>481</v>
      </c>
      <c r="H77" s="14"/>
      <c r="I77" s="14"/>
      <c r="J77" s="14" t="s">
        <v>85</v>
      </c>
      <c r="L77" s="37"/>
      <c r="M77" s="37"/>
      <c r="N77" s="37"/>
      <c r="O77" s="37"/>
    </row>
    <row r="78" spans="1:15">
      <c r="B78" s="18" t="s">
        <v>82</v>
      </c>
      <c r="C78" s="19" t="s">
        <v>83</v>
      </c>
      <c r="D78" s="14" t="s">
        <v>10</v>
      </c>
      <c r="E78" s="39" t="s">
        <v>270</v>
      </c>
      <c r="F78" s="36">
        <v>29</v>
      </c>
      <c r="G78" s="36" t="s">
        <v>482</v>
      </c>
      <c r="H78" s="15">
        <f>(28.28/29.34)*100-100</f>
        <v>-3.6128152692569842</v>
      </c>
      <c r="I78" s="14" t="s">
        <v>477</v>
      </c>
      <c r="J78" s="14" t="s">
        <v>85</v>
      </c>
    </row>
    <row r="80" spans="1:15">
      <c r="A80" s="31" t="s">
        <v>185</v>
      </c>
      <c r="D80" s="14"/>
      <c r="E80" s="14"/>
      <c r="F80" s="14"/>
      <c r="G80" s="14"/>
      <c r="H80" s="14"/>
      <c r="I80" s="14"/>
      <c r="J80" s="14"/>
    </row>
    <row r="81" spans="1:15">
      <c r="A81" s="32" t="s">
        <v>771</v>
      </c>
      <c r="B81" s="33" t="s">
        <v>0</v>
      </c>
      <c r="C81" s="33" t="s">
        <v>1</v>
      </c>
      <c r="D81" s="16" t="s">
        <v>6</v>
      </c>
      <c r="E81" s="16" t="s">
        <v>2</v>
      </c>
      <c r="F81" s="16" t="s">
        <v>4</v>
      </c>
      <c r="G81" s="16" t="s">
        <v>8</v>
      </c>
      <c r="H81" s="16" t="s">
        <v>7</v>
      </c>
      <c r="I81" s="16" t="s">
        <v>9</v>
      </c>
      <c r="J81" s="34" t="s">
        <v>3</v>
      </c>
    </row>
    <row r="82" spans="1:15">
      <c r="A82" s="35"/>
      <c r="B82" s="18" t="s">
        <v>82</v>
      </c>
      <c r="C82" s="19" t="s">
        <v>83</v>
      </c>
      <c r="D82" s="14" t="s">
        <v>10</v>
      </c>
      <c r="E82" s="39" t="s">
        <v>42</v>
      </c>
      <c r="F82" s="36">
        <v>32</v>
      </c>
      <c r="G82" s="36" t="s">
        <v>479</v>
      </c>
      <c r="H82" s="14"/>
      <c r="I82" s="14"/>
      <c r="J82" s="14" t="s">
        <v>47</v>
      </c>
      <c r="L82" s="37"/>
      <c r="M82" s="37"/>
      <c r="N82" s="37"/>
      <c r="O82" s="37"/>
    </row>
    <row r="83" spans="1:15">
      <c r="B83" s="18" t="s">
        <v>82</v>
      </c>
      <c r="C83" s="19" t="s">
        <v>83</v>
      </c>
      <c r="D83" s="14" t="s">
        <v>10</v>
      </c>
      <c r="E83" s="39" t="s">
        <v>270</v>
      </c>
      <c r="F83" s="36">
        <v>31</v>
      </c>
      <c r="G83" s="36" t="s">
        <v>480</v>
      </c>
      <c r="H83" s="15">
        <f>(28.99/30.9)*100-100</f>
        <v>-6.1812297734627748</v>
      </c>
      <c r="I83" s="14" t="s">
        <v>478</v>
      </c>
      <c r="J83" s="14" t="s">
        <v>125</v>
      </c>
    </row>
    <row r="84" spans="1:15">
      <c r="C84" s="19"/>
      <c r="D84" s="14"/>
      <c r="E84" s="39"/>
      <c r="F84" s="36"/>
      <c r="G84" s="36"/>
      <c r="H84" s="15"/>
      <c r="I84" s="14"/>
      <c r="J84" s="14"/>
    </row>
    <row r="85" spans="1:15">
      <c r="A85" s="31" t="s">
        <v>5</v>
      </c>
      <c r="D85" s="14"/>
      <c r="E85" s="14"/>
      <c r="F85" s="14"/>
      <c r="G85" s="14"/>
      <c r="H85" s="14"/>
      <c r="I85" s="14"/>
      <c r="J85" s="14"/>
    </row>
    <row r="86" spans="1:15">
      <c r="A86" s="32" t="s">
        <v>772</v>
      </c>
      <c r="B86" s="33" t="s">
        <v>0</v>
      </c>
      <c r="C86" s="33" t="s">
        <v>1</v>
      </c>
      <c r="D86" s="16" t="s">
        <v>6</v>
      </c>
      <c r="E86" s="16" t="s">
        <v>2</v>
      </c>
      <c r="F86" s="16" t="s">
        <v>4</v>
      </c>
      <c r="G86" s="16" t="s">
        <v>8</v>
      </c>
      <c r="H86" s="16" t="s">
        <v>7</v>
      </c>
      <c r="I86" s="16" t="s">
        <v>9</v>
      </c>
      <c r="J86" s="34" t="s">
        <v>3</v>
      </c>
    </row>
    <row r="87" spans="1:15">
      <c r="A87" s="35"/>
      <c r="B87" s="18" t="s">
        <v>40</v>
      </c>
      <c r="C87" s="64" t="s">
        <v>293</v>
      </c>
      <c r="D87" s="14" t="s">
        <v>10</v>
      </c>
      <c r="E87" s="39" t="s">
        <v>42</v>
      </c>
      <c r="F87" s="36">
        <v>21</v>
      </c>
      <c r="G87" s="36" t="s">
        <v>336</v>
      </c>
      <c r="H87" s="14"/>
      <c r="I87" s="14"/>
      <c r="J87" s="14" t="s">
        <v>161</v>
      </c>
      <c r="L87" s="37"/>
      <c r="M87" s="37"/>
      <c r="N87" s="37"/>
      <c r="O87" s="37"/>
    </row>
    <row r="88" spans="1:15">
      <c r="B88" s="18" t="s">
        <v>40</v>
      </c>
      <c r="C88" s="64" t="s">
        <v>293</v>
      </c>
      <c r="D88" s="14" t="s">
        <v>10</v>
      </c>
      <c r="E88" s="39" t="s">
        <v>270</v>
      </c>
      <c r="F88" s="36">
        <v>22</v>
      </c>
      <c r="G88" s="36" t="s">
        <v>337</v>
      </c>
      <c r="H88" s="15">
        <f>(21.15/21.24)*100-100</f>
        <v>-0.42372881355932179</v>
      </c>
      <c r="I88" s="14" t="s">
        <v>338</v>
      </c>
      <c r="J88" s="14" t="s">
        <v>47</v>
      </c>
    </row>
    <row r="90" spans="1:15">
      <c r="A90" s="31" t="s">
        <v>22</v>
      </c>
      <c r="D90" s="14"/>
      <c r="E90" s="14"/>
      <c r="F90" s="14"/>
      <c r="G90" s="14"/>
      <c r="H90" s="14"/>
      <c r="I90" s="14"/>
      <c r="J90" s="14"/>
    </row>
    <row r="91" spans="1:15">
      <c r="A91" s="32" t="s">
        <v>772</v>
      </c>
      <c r="B91" s="33" t="s">
        <v>0</v>
      </c>
      <c r="C91" s="33" t="s">
        <v>1</v>
      </c>
      <c r="D91" s="16" t="s">
        <v>6</v>
      </c>
      <c r="E91" s="16" t="s">
        <v>2</v>
      </c>
      <c r="F91" s="16" t="s">
        <v>4</v>
      </c>
      <c r="G91" s="16" t="s">
        <v>8</v>
      </c>
      <c r="H91" s="16" t="s">
        <v>7</v>
      </c>
      <c r="I91" s="16" t="s">
        <v>9</v>
      </c>
      <c r="J91" s="34" t="s">
        <v>3</v>
      </c>
    </row>
    <row r="92" spans="1:15">
      <c r="A92" s="35"/>
      <c r="B92" s="18" t="s">
        <v>40</v>
      </c>
      <c r="C92" s="64" t="s">
        <v>293</v>
      </c>
      <c r="D92" s="14" t="s">
        <v>10</v>
      </c>
      <c r="E92" s="39" t="s">
        <v>42</v>
      </c>
      <c r="F92" s="36">
        <v>16</v>
      </c>
      <c r="G92" s="36" t="s">
        <v>459</v>
      </c>
      <c r="H92" s="14"/>
      <c r="I92" s="14"/>
      <c r="J92" s="14" t="s">
        <v>252</v>
      </c>
      <c r="L92" s="37"/>
      <c r="M92" s="37"/>
      <c r="N92" s="37"/>
      <c r="O92" s="37"/>
    </row>
    <row r="93" spans="1:15">
      <c r="B93" s="18" t="s">
        <v>40</v>
      </c>
      <c r="C93" s="64" t="s">
        <v>293</v>
      </c>
      <c r="D93" s="14" t="s">
        <v>10</v>
      </c>
      <c r="E93" s="39" t="s">
        <v>270</v>
      </c>
      <c r="F93" s="36">
        <v>16</v>
      </c>
      <c r="G93" s="36" t="s">
        <v>460</v>
      </c>
      <c r="H93" s="15">
        <f>(16.8/16.18)*100-100</f>
        <v>3.8318912237330238</v>
      </c>
      <c r="I93" s="14" t="s">
        <v>458</v>
      </c>
      <c r="J93" s="14" t="s">
        <v>311</v>
      </c>
    </row>
    <row r="94" spans="1:15">
      <c r="C94" s="64"/>
      <c r="D94" s="14"/>
      <c r="E94" s="39"/>
      <c r="F94" s="36"/>
      <c r="G94" s="36"/>
      <c r="H94" s="15"/>
      <c r="I94" s="14"/>
      <c r="J94" s="14"/>
    </row>
    <row r="95" spans="1:15">
      <c r="A95" s="31" t="s">
        <v>185</v>
      </c>
      <c r="D95" s="14"/>
      <c r="E95" s="14"/>
      <c r="F95" s="14"/>
      <c r="G95" s="14"/>
      <c r="H95" s="14"/>
      <c r="I95" s="14"/>
      <c r="J95" s="14"/>
    </row>
    <row r="96" spans="1:15">
      <c r="A96" s="32" t="s">
        <v>772</v>
      </c>
      <c r="B96" s="33" t="s">
        <v>0</v>
      </c>
      <c r="C96" s="33" t="s">
        <v>1</v>
      </c>
      <c r="D96" s="16" t="s">
        <v>6</v>
      </c>
      <c r="E96" s="16" t="s">
        <v>2</v>
      </c>
      <c r="F96" s="16" t="s">
        <v>4</v>
      </c>
      <c r="G96" s="16" t="s">
        <v>8</v>
      </c>
      <c r="H96" s="16" t="s">
        <v>7</v>
      </c>
      <c r="I96" s="16" t="s">
        <v>9</v>
      </c>
      <c r="J96" s="34" t="s">
        <v>3</v>
      </c>
    </row>
    <row r="97" spans="1:15">
      <c r="A97" s="35"/>
      <c r="B97" s="18" t="s">
        <v>40</v>
      </c>
      <c r="C97" s="64" t="s">
        <v>293</v>
      </c>
      <c r="D97" s="14" t="s">
        <v>10</v>
      </c>
      <c r="E97" s="39" t="s">
        <v>42</v>
      </c>
      <c r="F97" s="36">
        <v>18</v>
      </c>
      <c r="G97" s="36" t="s">
        <v>466</v>
      </c>
      <c r="H97" s="14"/>
      <c r="I97" s="14"/>
      <c r="J97" s="14" t="s">
        <v>30</v>
      </c>
      <c r="L97" s="37"/>
      <c r="M97" s="37"/>
      <c r="N97" s="37"/>
      <c r="O97" s="37"/>
    </row>
    <row r="98" spans="1:15">
      <c r="B98" s="18" t="s">
        <v>40</v>
      </c>
      <c r="C98" s="64" t="s">
        <v>293</v>
      </c>
      <c r="D98" s="14" t="s">
        <v>10</v>
      </c>
      <c r="E98" s="39" t="s">
        <v>270</v>
      </c>
      <c r="F98" s="36">
        <v>16</v>
      </c>
      <c r="G98" s="36" t="s">
        <v>468</v>
      </c>
      <c r="H98" s="15">
        <f>(18.25/19.83)*100-100</f>
        <v>-7.9677256681795114</v>
      </c>
      <c r="I98" s="14" t="s">
        <v>467</v>
      </c>
      <c r="J98" s="14" t="s">
        <v>151</v>
      </c>
    </row>
    <row r="99" spans="1:15">
      <c r="C99" s="64"/>
      <c r="D99" s="14"/>
      <c r="E99" s="39"/>
      <c r="F99" s="36"/>
      <c r="G99" s="36"/>
      <c r="H99" s="15"/>
      <c r="I99" s="14"/>
      <c r="J99" s="14"/>
    </row>
    <row r="100" spans="1:15">
      <c r="A100" s="31" t="s">
        <v>5</v>
      </c>
      <c r="D100" s="14"/>
      <c r="E100" s="14"/>
      <c r="F100" s="14"/>
      <c r="G100" s="14"/>
      <c r="H100" s="14"/>
      <c r="I100" s="14"/>
      <c r="J100" s="14"/>
    </row>
    <row r="101" spans="1:15">
      <c r="A101" s="32" t="s">
        <v>773</v>
      </c>
      <c r="B101" s="33" t="s">
        <v>0</v>
      </c>
      <c r="C101" s="33" t="s">
        <v>1</v>
      </c>
      <c r="D101" s="16" t="s">
        <v>6</v>
      </c>
      <c r="E101" s="16" t="s">
        <v>2</v>
      </c>
      <c r="F101" s="16" t="s">
        <v>4</v>
      </c>
      <c r="G101" s="16" t="s">
        <v>8</v>
      </c>
      <c r="H101" s="16" t="s">
        <v>7</v>
      </c>
      <c r="I101" s="16" t="s">
        <v>9</v>
      </c>
      <c r="J101" s="34" t="s">
        <v>3</v>
      </c>
    </row>
    <row r="102" spans="1:15">
      <c r="A102" s="35"/>
      <c r="B102" s="18" t="s">
        <v>52</v>
      </c>
      <c r="C102" s="19" t="s">
        <v>53</v>
      </c>
      <c r="D102" s="14" t="s">
        <v>10</v>
      </c>
      <c r="E102" s="39" t="s">
        <v>42</v>
      </c>
      <c r="F102" s="36">
        <v>27</v>
      </c>
      <c r="G102" s="36" t="s">
        <v>339</v>
      </c>
      <c r="H102" s="14"/>
      <c r="I102" s="14"/>
      <c r="J102" s="14" t="s">
        <v>222</v>
      </c>
      <c r="L102" s="37"/>
      <c r="M102" s="37"/>
      <c r="N102" s="37"/>
      <c r="O102" s="37"/>
    </row>
    <row r="103" spans="1:15">
      <c r="B103" s="18" t="s">
        <v>52</v>
      </c>
      <c r="C103" s="19" t="s">
        <v>53</v>
      </c>
      <c r="D103" s="14" t="s">
        <v>10</v>
      </c>
      <c r="E103" s="39" t="s">
        <v>270</v>
      </c>
      <c r="F103" s="36">
        <v>26</v>
      </c>
      <c r="G103" s="36" t="s">
        <v>340</v>
      </c>
      <c r="H103" s="15">
        <f>(25.63/25.71)*100-100</f>
        <v>-0.31116297160637885</v>
      </c>
      <c r="I103" s="14" t="s">
        <v>341</v>
      </c>
      <c r="J103" s="14" t="s">
        <v>125</v>
      </c>
    </row>
    <row r="104" spans="1:15">
      <c r="C104" s="19"/>
      <c r="D104" s="14"/>
      <c r="E104" s="39"/>
      <c r="F104" s="36"/>
      <c r="G104" s="36"/>
      <c r="H104" s="15"/>
      <c r="I104" s="14"/>
      <c r="J104" s="14"/>
    </row>
    <row r="105" spans="1:15">
      <c r="A105" s="31" t="s">
        <v>22</v>
      </c>
      <c r="D105" s="14"/>
      <c r="E105" s="14"/>
      <c r="F105" s="14"/>
      <c r="G105" s="14"/>
      <c r="H105" s="14"/>
      <c r="I105" s="14"/>
      <c r="J105" s="14"/>
    </row>
    <row r="106" spans="1:15">
      <c r="A106" s="32" t="s">
        <v>773</v>
      </c>
      <c r="B106" s="33" t="s">
        <v>0</v>
      </c>
      <c r="C106" s="33" t="s">
        <v>1</v>
      </c>
      <c r="D106" s="16" t="s">
        <v>6</v>
      </c>
      <c r="E106" s="16" t="s">
        <v>2</v>
      </c>
      <c r="F106" s="16" t="s">
        <v>4</v>
      </c>
      <c r="G106" s="16" t="s">
        <v>8</v>
      </c>
      <c r="H106" s="16" t="s">
        <v>7</v>
      </c>
      <c r="I106" s="16" t="s">
        <v>9</v>
      </c>
      <c r="J106" s="34" t="s">
        <v>3</v>
      </c>
    </row>
    <row r="107" spans="1:15">
      <c r="A107" s="35"/>
      <c r="B107" s="18" t="s">
        <v>52</v>
      </c>
      <c r="C107" s="19" t="s">
        <v>53</v>
      </c>
      <c r="D107" s="14" t="s">
        <v>10</v>
      </c>
      <c r="E107" s="39" t="s">
        <v>42</v>
      </c>
      <c r="F107" s="36">
        <v>31</v>
      </c>
      <c r="G107" s="36" t="s">
        <v>473</v>
      </c>
      <c r="H107" s="14"/>
      <c r="I107" s="14"/>
      <c r="J107" s="14" t="s">
        <v>72</v>
      </c>
      <c r="L107" s="37"/>
      <c r="M107" s="37"/>
      <c r="N107" s="37"/>
      <c r="O107" s="37"/>
    </row>
    <row r="108" spans="1:15">
      <c r="B108" s="18" t="s">
        <v>52</v>
      </c>
      <c r="C108" s="19" t="s">
        <v>53</v>
      </c>
      <c r="D108" s="14" t="s">
        <v>10</v>
      </c>
      <c r="E108" s="39" t="s">
        <v>270</v>
      </c>
      <c r="F108" s="36">
        <v>32</v>
      </c>
      <c r="G108" s="36" t="s">
        <v>474</v>
      </c>
      <c r="H108" s="15">
        <f>(30/28.59)*100-100</f>
        <v>4.9317943336831149</v>
      </c>
      <c r="I108" s="14" t="s">
        <v>471</v>
      </c>
      <c r="J108" s="14" t="s">
        <v>131</v>
      </c>
    </row>
    <row r="109" spans="1:15">
      <c r="C109" s="19"/>
      <c r="D109" s="14"/>
      <c r="E109" s="39"/>
      <c r="F109" s="36"/>
      <c r="G109" s="36"/>
      <c r="H109" s="15"/>
      <c r="I109" s="14"/>
      <c r="J109" s="14"/>
    </row>
    <row r="110" spans="1:15">
      <c r="A110" s="31" t="s">
        <v>185</v>
      </c>
      <c r="D110" s="14"/>
      <c r="E110" s="14"/>
      <c r="F110" s="14"/>
      <c r="G110" s="14"/>
      <c r="H110" s="14"/>
      <c r="I110" s="14"/>
      <c r="J110" s="14"/>
    </row>
    <row r="111" spans="1:15">
      <c r="A111" s="32" t="s">
        <v>773</v>
      </c>
      <c r="B111" s="33" t="s">
        <v>0</v>
      </c>
      <c r="C111" s="33" t="s">
        <v>1</v>
      </c>
      <c r="D111" s="16" t="s">
        <v>6</v>
      </c>
      <c r="E111" s="16" t="s">
        <v>2</v>
      </c>
      <c r="F111" s="16" t="s">
        <v>4</v>
      </c>
      <c r="G111" s="16" t="s">
        <v>8</v>
      </c>
      <c r="H111" s="16" t="s">
        <v>7</v>
      </c>
      <c r="I111" s="16" t="s">
        <v>9</v>
      </c>
      <c r="J111" s="34" t="s">
        <v>3</v>
      </c>
    </row>
    <row r="112" spans="1:15">
      <c r="A112" s="35"/>
      <c r="B112" s="18" t="s">
        <v>52</v>
      </c>
      <c r="C112" s="19" t="s">
        <v>53</v>
      </c>
      <c r="D112" s="14" t="s">
        <v>10</v>
      </c>
      <c r="E112" s="39" t="s">
        <v>42</v>
      </c>
      <c r="F112" s="36">
        <v>31</v>
      </c>
      <c r="G112" s="36" t="s">
        <v>475</v>
      </c>
      <c r="H112" s="14"/>
      <c r="I112" s="14"/>
      <c r="J112" s="14" t="s">
        <v>131</v>
      </c>
      <c r="L112" s="37"/>
      <c r="M112" s="37"/>
      <c r="N112" s="37"/>
      <c r="O112" s="37"/>
    </row>
    <row r="113" spans="1:15">
      <c r="B113" s="18" t="s">
        <v>52</v>
      </c>
      <c r="C113" s="19" t="s">
        <v>53</v>
      </c>
      <c r="D113" s="14" t="s">
        <v>10</v>
      </c>
      <c r="E113" s="39" t="s">
        <v>270</v>
      </c>
      <c r="F113" s="36">
        <v>31</v>
      </c>
      <c r="G113" s="36" t="s">
        <v>476</v>
      </c>
      <c r="H113" s="15">
        <f>(28.76/28.26)*100-100</f>
        <v>1.7692852087756563</v>
      </c>
      <c r="I113" s="14" t="s">
        <v>472</v>
      </c>
      <c r="J113" s="14" t="s">
        <v>125</v>
      </c>
    </row>
    <row r="114" spans="1:15">
      <c r="C114" s="19"/>
      <c r="D114" s="14"/>
      <c r="E114" s="39"/>
      <c r="F114" s="36"/>
      <c r="G114" s="36"/>
      <c r="H114" s="15"/>
      <c r="I114" s="14"/>
      <c r="J114" s="14"/>
    </row>
    <row r="116" spans="1:15">
      <c r="A116" s="31" t="s">
        <v>5</v>
      </c>
      <c r="D116" s="14"/>
      <c r="E116" s="14"/>
      <c r="F116" s="14"/>
      <c r="G116" s="14"/>
      <c r="H116" s="14"/>
      <c r="I116" s="14"/>
      <c r="J116" s="14"/>
    </row>
    <row r="117" spans="1:15">
      <c r="A117" s="32" t="s">
        <v>776</v>
      </c>
      <c r="B117" s="33" t="s">
        <v>0</v>
      </c>
      <c r="C117" s="33" t="s">
        <v>1</v>
      </c>
      <c r="D117" s="16" t="s">
        <v>6</v>
      </c>
      <c r="E117" s="16" t="s">
        <v>354</v>
      </c>
      <c r="F117" s="16" t="s">
        <v>4</v>
      </c>
      <c r="G117" s="16" t="s">
        <v>8</v>
      </c>
      <c r="H117" s="16" t="s">
        <v>7</v>
      </c>
      <c r="I117" s="16" t="s">
        <v>9</v>
      </c>
      <c r="J117" s="34" t="s">
        <v>3</v>
      </c>
    </row>
    <row r="118" spans="1:15">
      <c r="A118" s="35"/>
      <c r="B118" s="18" t="s">
        <v>88</v>
      </c>
      <c r="C118" s="18" t="s">
        <v>89</v>
      </c>
      <c r="D118" s="14" t="s">
        <v>10</v>
      </c>
      <c r="E118" s="14" t="s">
        <v>355</v>
      </c>
      <c r="F118" s="36">
        <v>22</v>
      </c>
      <c r="G118" s="36" t="s">
        <v>359</v>
      </c>
      <c r="H118" s="14"/>
      <c r="I118" s="14"/>
      <c r="J118" s="14" t="s">
        <v>356</v>
      </c>
      <c r="L118" s="37"/>
      <c r="M118" s="37"/>
      <c r="N118" s="37"/>
      <c r="O118" s="37"/>
    </row>
    <row r="119" spans="1:15">
      <c r="A119" s="35"/>
      <c r="B119" s="18" t="s">
        <v>88</v>
      </c>
      <c r="C119" s="18" t="s">
        <v>89</v>
      </c>
      <c r="D119" s="14" t="s">
        <v>10</v>
      </c>
      <c r="E119" s="14" t="s">
        <v>780</v>
      </c>
      <c r="F119" s="36">
        <v>25</v>
      </c>
      <c r="G119" s="36" t="s">
        <v>360</v>
      </c>
      <c r="H119" s="15">
        <f>(24.49/21.57)*100-100</f>
        <v>13.537320352341212</v>
      </c>
      <c r="I119" s="14" t="s">
        <v>17</v>
      </c>
      <c r="J119" s="14" t="s">
        <v>161</v>
      </c>
      <c r="L119" s="38"/>
      <c r="M119" s="37"/>
      <c r="N119" s="37"/>
      <c r="O119" s="37"/>
    </row>
    <row r="120" spans="1:15">
      <c r="A120" s="35"/>
      <c r="D120" s="14"/>
      <c r="E120" s="14"/>
      <c r="F120" s="36"/>
      <c r="G120" s="36"/>
      <c r="H120" s="15"/>
      <c r="I120" s="14"/>
      <c r="J120" s="14"/>
      <c r="L120" s="38"/>
      <c r="M120" s="37"/>
      <c r="N120" s="37"/>
      <c r="O120" s="37"/>
    </row>
    <row r="121" spans="1:15">
      <c r="A121" s="35"/>
      <c r="B121" s="18" t="s">
        <v>88</v>
      </c>
      <c r="C121" s="18" t="s">
        <v>89</v>
      </c>
      <c r="D121" s="14" t="s">
        <v>10</v>
      </c>
      <c r="E121" s="14" t="s">
        <v>355</v>
      </c>
      <c r="F121" s="36">
        <v>22</v>
      </c>
      <c r="G121" s="36" t="s">
        <v>359</v>
      </c>
      <c r="H121" s="14"/>
      <c r="I121" s="14"/>
      <c r="J121" s="14" t="s">
        <v>356</v>
      </c>
      <c r="L121" s="38"/>
      <c r="M121" s="37"/>
      <c r="N121" s="37"/>
      <c r="O121" s="37"/>
    </row>
    <row r="122" spans="1:15">
      <c r="A122" s="35"/>
      <c r="B122" s="18" t="s">
        <v>88</v>
      </c>
      <c r="C122" s="18" t="s">
        <v>89</v>
      </c>
      <c r="D122" s="14" t="s">
        <v>10</v>
      </c>
      <c r="E122" s="14" t="s">
        <v>777</v>
      </c>
      <c r="F122" s="36">
        <v>20</v>
      </c>
      <c r="G122" s="36" t="s">
        <v>361</v>
      </c>
      <c r="H122" s="15">
        <f>(20.29/21.57)*100-100</f>
        <v>-5.9341678256838293</v>
      </c>
      <c r="I122" s="14" t="s">
        <v>357</v>
      </c>
      <c r="J122" s="14" t="s">
        <v>358</v>
      </c>
      <c r="L122" s="38"/>
      <c r="M122" s="37"/>
      <c r="N122" s="37"/>
      <c r="O122" s="37"/>
    </row>
    <row r="123" spans="1:15">
      <c r="A123" s="35"/>
      <c r="D123" s="14"/>
      <c r="E123" s="14"/>
      <c r="F123" s="36"/>
      <c r="G123" s="36"/>
      <c r="H123" s="15"/>
      <c r="I123" s="14"/>
      <c r="J123" s="14"/>
      <c r="L123" s="38"/>
      <c r="M123" s="37"/>
      <c r="N123" s="37"/>
      <c r="O123" s="37"/>
    </row>
    <row r="124" spans="1:15">
      <c r="A124" s="35"/>
      <c r="B124" s="18" t="s">
        <v>88</v>
      </c>
      <c r="C124" s="18" t="s">
        <v>89</v>
      </c>
      <c r="D124" s="14" t="s">
        <v>10</v>
      </c>
      <c r="E124" s="14" t="s">
        <v>777</v>
      </c>
      <c r="F124" s="36">
        <v>20</v>
      </c>
      <c r="G124" s="36" t="s">
        <v>361</v>
      </c>
      <c r="H124" s="15"/>
      <c r="I124" s="14"/>
      <c r="J124" s="14" t="s">
        <v>358</v>
      </c>
      <c r="L124" s="38"/>
      <c r="M124" s="37"/>
      <c r="N124" s="37"/>
      <c r="O124" s="37"/>
    </row>
    <row r="125" spans="1:15">
      <c r="A125" s="35"/>
      <c r="B125" s="18" t="s">
        <v>88</v>
      </c>
      <c r="C125" s="18" t="s">
        <v>89</v>
      </c>
      <c r="D125" s="14" t="s">
        <v>10</v>
      </c>
      <c r="E125" s="14" t="s">
        <v>781</v>
      </c>
      <c r="F125" s="36">
        <v>25</v>
      </c>
      <c r="G125" s="36" t="s">
        <v>362</v>
      </c>
      <c r="H125" s="15">
        <f>(24.3/20.29)*100-100</f>
        <v>19.763430261212434</v>
      </c>
      <c r="I125" s="14" t="s">
        <v>17</v>
      </c>
      <c r="J125" s="14" t="s">
        <v>154</v>
      </c>
      <c r="L125" s="38"/>
      <c r="M125" s="37"/>
      <c r="N125" s="37"/>
      <c r="O125" s="37"/>
    </row>
    <row r="127" spans="1:15">
      <c r="A127" s="31" t="s">
        <v>22</v>
      </c>
      <c r="D127" s="14"/>
      <c r="E127" s="14"/>
      <c r="F127" s="14"/>
      <c r="G127" s="14"/>
      <c r="H127" s="14"/>
      <c r="I127" s="14"/>
      <c r="J127" s="14"/>
    </row>
    <row r="128" spans="1:15">
      <c r="A128" s="32" t="s">
        <v>776</v>
      </c>
      <c r="B128" s="33" t="s">
        <v>0</v>
      </c>
      <c r="C128" s="33" t="s">
        <v>1</v>
      </c>
      <c r="D128" s="16" t="s">
        <v>6</v>
      </c>
      <c r="E128" s="16" t="s">
        <v>354</v>
      </c>
      <c r="F128" s="16" t="s">
        <v>4</v>
      </c>
      <c r="G128" s="16" t="s">
        <v>8</v>
      </c>
      <c r="H128" s="16" t="s">
        <v>7</v>
      </c>
      <c r="I128" s="16" t="s">
        <v>9</v>
      </c>
      <c r="J128" s="34" t="s">
        <v>3</v>
      </c>
    </row>
    <row r="129" spans="1:15">
      <c r="A129" s="35"/>
      <c r="B129" s="18" t="s">
        <v>88</v>
      </c>
      <c r="C129" s="18" t="s">
        <v>89</v>
      </c>
      <c r="D129" s="14" t="s">
        <v>10</v>
      </c>
      <c r="E129" s="14" t="s">
        <v>355</v>
      </c>
      <c r="F129" s="36">
        <v>21</v>
      </c>
      <c r="G129" s="36" t="s">
        <v>462</v>
      </c>
      <c r="H129" s="14"/>
      <c r="I129" s="14"/>
      <c r="J129" s="14" t="s">
        <v>385</v>
      </c>
      <c r="L129" s="37"/>
      <c r="M129" s="37"/>
      <c r="N129" s="37"/>
      <c r="O129" s="37"/>
    </row>
    <row r="130" spans="1:15">
      <c r="A130" s="35"/>
      <c r="B130" s="18" t="s">
        <v>88</v>
      </c>
      <c r="C130" s="18" t="s">
        <v>89</v>
      </c>
      <c r="D130" s="14" t="s">
        <v>10</v>
      </c>
      <c r="E130" s="14" t="s">
        <v>780</v>
      </c>
      <c r="F130" s="36">
        <v>25</v>
      </c>
      <c r="G130" s="36" t="s">
        <v>463</v>
      </c>
      <c r="H130" s="15">
        <f>(24.72/21.23)*100-100</f>
        <v>16.439001413094672</v>
      </c>
      <c r="I130" s="14" t="s">
        <v>314</v>
      </c>
      <c r="J130" s="14" t="s">
        <v>33</v>
      </c>
      <c r="L130" s="38"/>
      <c r="M130" s="37"/>
      <c r="N130" s="37"/>
      <c r="O130" s="37"/>
    </row>
    <row r="131" spans="1:15">
      <c r="A131" s="35"/>
      <c r="D131" s="14"/>
      <c r="E131" s="14"/>
      <c r="F131" s="36"/>
      <c r="G131" s="36"/>
      <c r="H131" s="15"/>
      <c r="I131" s="14"/>
      <c r="J131" s="14"/>
      <c r="L131" s="38"/>
      <c r="M131" s="37"/>
      <c r="N131" s="37"/>
      <c r="O131" s="37"/>
    </row>
    <row r="132" spans="1:15">
      <c r="A132" s="35"/>
      <c r="B132" s="18" t="s">
        <v>88</v>
      </c>
      <c r="C132" s="18" t="s">
        <v>89</v>
      </c>
      <c r="D132" s="14" t="s">
        <v>10</v>
      </c>
      <c r="E132" s="14" t="s">
        <v>355</v>
      </c>
      <c r="F132" s="36">
        <v>21</v>
      </c>
      <c r="G132" s="36" t="s">
        <v>462</v>
      </c>
      <c r="H132" s="14"/>
      <c r="I132" s="14"/>
      <c r="J132" s="14" t="s">
        <v>385</v>
      </c>
      <c r="L132" s="38"/>
      <c r="M132" s="37"/>
      <c r="N132" s="37"/>
      <c r="O132" s="37"/>
    </row>
    <row r="133" spans="1:15">
      <c r="A133" s="35"/>
      <c r="B133" s="18" t="s">
        <v>88</v>
      </c>
      <c r="C133" s="18" t="s">
        <v>89</v>
      </c>
      <c r="D133" s="14" t="s">
        <v>10</v>
      </c>
      <c r="E133" s="14" t="s">
        <v>777</v>
      </c>
      <c r="F133" s="36">
        <v>21</v>
      </c>
      <c r="G133" s="36" t="s">
        <v>464</v>
      </c>
      <c r="H133" s="15">
        <f>(19.86/21.23)*100-100</f>
        <v>-6.4531323598681212</v>
      </c>
      <c r="I133" s="14" t="s">
        <v>489</v>
      </c>
      <c r="J133" s="14" t="s">
        <v>61</v>
      </c>
      <c r="L133" s="38"/>
      <c r="M133" s="37"/>
      <c r="N133" s="37"/>
      <c r="O133" s="37"/>
    </row>
    <row r="134" spans="1:15">
      <c r="A134" s="35"/>
      <c r="D134" s="14"/>
      <c r="E134" s="14"/>
      <c r="F134" s="36"/>
      <c r="G134" s="36"/>
      <c r="H134" s="15"/>
      <c r="I134" s="14"/>
      <c r="J134" s="14"/>
      <c r="L134" s="38"/>
      <c r="M134" s="37"/>
      <c r="N134" s="37"/>
      <c r="O134" s="37"/>
    </row>
    <row r="135" spans="1:15">
      <c r="A135" s="35"/>
      <c r="B135" s="18" t="s">
        <v>88</v>
      </c>
      <c r="C135" s="18" t="s">
        <v>89</v>
      </c>
      <c r="D135" s="14" t="s">
        <v>10</v>
      </c>
      <c r="E135" s="14" t="s">
        <v>777</v>
      </c>
      <c r="F135" s="36">
        <v>21</v>
      </c>
      <c r="G135" s="36" t="s">
        <v>464</v>
      </c>
      <c r="H135" s="15"/>
      <c r="I135" s="14"/>
      <c r="J135" s="14" t="s">
        <v>61</v>
      </c>
      <c r="L135" s="38"/>
      <c r="M135" s="37"/>
      <c r="N135" s="37"/>
      <c r="O135" s="37"/>
    </row>
    <row r="136" spans="1:15">
      <c r="A136" s="35"/>
      <c r="B136" s="18" t="s">
        <v>88</v>
      </c>
      <c r="C136" s="18" t="s">
        <v>89</v>
      </c>
      <c r="D136" s="14" t="s">
        <v>10</v>
      </c>
      <c r="E136" s="14" t="s">
        <v>781</v>
      </c>
      <c r="F136" s="36">
        <v>23</v>
      </c>
      <c r="G136" s="36" t="s">
        <v>465</v>
      </c>
      <c r="H136" s="15">
        <f>(23.02/19.86)*100-100</f>
        <v>15.911379657603234</v>
      </c>
      <c r="I136" s="14" t="s">
        <v>17</v>
      </c>
      <c r="J136" s="14" t="s">
        <v>461</v>
      </c>
      <c r="L136" s="38"/>
      <c r="M136" s="37"/>
      <c r="N136" s="37"/>
      <c r="O136" s="37"/>
    </row>
    <row r="138" spans="1:15">
      <c r="A138" s="31" t="s">
        <v>185</v>
      </c>
      <c r="D138" s="14"/>
      <c r="E138" s="14"/>
      <c r="F138" s="14"/>
      <c r="G138" s="14"/>
      <c r="H138" s="14"/>
      <c r="I138" s="14"/>
      <c r="J138" s="14"/>
    </row>
    <row r="139" spans="1:15">
      <c r="A139" s="32" t="s">
        <v>776</v>
      </c>
      <c r="B139" s="33" t="s">
        <v>0</v>
      </c>
      <c r="C139" s="33" t="s">
        <v>1</v>
      </c>
      <c r="D139" s="16" t="s">
        <v>6</v>
      </c>
      <c r="E139" s="16" t="s">
        <v>354</v>
      </c>
      <c r="F139" s="16" t="s">
        <v>4</v>
      </c>
      <c r="G139" s="16" t="s">
        <v>8</v>
      </c>
      <c r="H139" s="16" t="s">
        <v>7</v>
      </c>
      <c r="I139" s="16" t="s">
        <v>9</v>
      </c>
      <c r="J139" s="34" t="s">
        <v>3</v>
      </c>
    </row>
    <row r="140" spans="1:15">
      <c r="A140" s="35"/>
      <c r="B140" s="18" t="s">
        <v>88</v>
      </c>
      <c r="C140" s="18" t="s">
        <v>89</v>
      </c>
      <c r="D140" s="14" t="s">
        <v>10</v>
      </c>
      <c r="E140" s="14" t="s">
        <v>355</v>
      </c>
      <c r="F140" s="36">
        <v>20</v>
      </c>
      <c r="G140" s="36" t="s">
        <v>484</v>
      </c>
      <c r="H140" s="14"/>
      <c r="I140" s="14"/>
      <c r="J140" s="14" t="s">
        <v>61</v>
      </c>
      <c r="L140" s="37"/>
      <c r="M140" s="37"/>
      <c r="N140" s="37"/>
      <c r="O140" s="37"/>
    </row>
    <row r="141" spans="1:15">
      <c r="A141" s="35"/>
      <c r="B141" s="18" t="s">
        <v>88</v>
      </c>
      <c r="C141" s="18" t="s">
        <v>89</v>
      </c>
      <c r="D141" s="14" t="s">
        <v>10</v>
      </c>
      <c r="E141" s="14" t="s">
        <v>780</v>
      </c>
      <c r="F141" s="36">
        <v>21</v>
      </c>
      <c r="G141" s="36" t="s">
        <v>485</v>
      </c>
      <c r="H141" s="15">
        <f>(21.23/20.23)*100-100</f>
        <v>4.9431537320810719</v>
      </c>
      <c r="I141" s="14" t="s">
        <v>483</v>
      </c>
      <c r="J141" s="14" t="s">
        <v>410</v>
      </c>
      <c r="L141" s="38"/>
      <c r="M141" s="37"/>
      <c r="N141" s="37"/>
      <c r="O141" s="37"/>
    </row>
    <row r="142" spans="1:15">
      <c r="A142" s="35"/>
      <c r="D142" s="14"/>
      <c r="E142" s="14"/>
      <c r="F142" s="36"/>
      <c r="G142" s="36"/>
      <c r="H142" s="15"/>
      <c r="I142" s="14"/>
      <c r="J142" s="14"/>
      <c r="L142" s="38"/>
      <c r="M142" s="37"/>
      <c r="N142" s="37"/>
      <c r="O142" s="37"/>
    </row>
    <row r="143" spans="1:15">
      <c r="A143" s="35"/>
      <c r="B143" s="18" t="s">
        <v>88</v>
      </c>
      <c r="C143" s="18" t="s">
        <v>89</v>
      </c>
      <c r="D143" s="14" t="s">
        <v>10</v>
      </c>
      <c r="E143" s="14" t="s">
        <v>355</v>
      </c>
      <c r="F143" s="36">
        <v>20</v>
      </c>
      <c r="G143" s="36" t="s">
        <v>484</v>
      </c>
      <c r="H143" s="14"/>
      <c r="I143" s="14"/>
      <c r="J143" s="14" t="s">
        <v>61</v>
      </c>
      <c r="L143" s="38"/>
      <c r="M143" s="37"/>
      <c r="N143" s="37"/>
      <c r="O143" s="37"/>
    </row>
    <row r="144" spans="1:15">
      <c r="A144" s="35"/>
      <c r="B144" s="18" t="s">
        <v>88</v>
      </c>
      <c r="C144" s="18" t="s">
        <v>89</v>
      </c>
      <c r="D144" s="14" t="s">
        <v>10</v>
      </c>
      <c r="E144" s="14" t="s">
        <v>777</v>
      </c>
      <c r="F144" s="36">
        <v>19</v>
      </c>
      <c r="G144" s="36" t="s">
        <v>486</v>
      </c>
      <c r="H144" s="15">
        <f>(18.86/20.23)*100-100</f>
        <v>-6.7721206129510705</v>
      </c>
      <c r="I144" s="14" t="s">
        <v>314</v>
      </c>
      <c r="J144" s="14" t="s">
        <v>11</v>
      </c>
      <c r="L144" s="38"/>
      <c r="M144" s="37"/>
      <c r="N144" s="37"/>
      <c r="O144" s="37"/>
    </row>
    <row r="145" spans="1:15">
      <c r="A145" s="35"/>
      <c r="D145" s="14"/>
      <c r="E145" s="14"/>
      <c r="F145" s="36"/>
      <c r="G145" s="36"/>
      <c r="H145" s="15"/>
      <c r="I145" s="14"/>
      <c r="J145" s="14"/>
      <c r="L145" s="38"/>
      <c r="M145" s="37"/>
      <c r="N145" s="37"/>
      <c r="O145" s="37"/>
    </row>
    <row r="146" spans="1:15">
      <c r="A146" s="35"/>
      <c r="B146" s="18" t="s">
        <v>88</v>
      </c>
      <c r="C146" s="18" t="s">
        <v>89</v>
      </c>
      <c r="D146" s="14" t="s">
        <v>10</v>
      </c>
      <c r="E146" s="14" t="s">
        <v>777</v>
      </c>
      <c r="F146" s="36">
        <v>19</v>
      </c>
      <c r="G146" s="36" t="s">
        <v>486</v>
      </c>
      <c r="H146" s="15"/>
      <c r="I146" s="14"/>
      <c r="J146" s="14" t="s">
        <v>11</v>
      </c>
      <c r="L146" s="38"/>
      <c r="M146" s="37"/>
      <c r="N146" s="37"/>
      <c r="O146" s="37"/>
    </row>
    <row r="147" spans="1:15">
      <c r="A147" s="35"/>
      <c r="B147" s="18" t="s">
        <v>88</v>
      </c>
      <c r="C147" s="18" t="s">
        <v>89</v>
      </c>
      <c r="D147" s="14" t="s">
        <v>10</v>
      </c>
      <c r="E147" s="14" t="s">
        <v>781</v>
      </c>
      <c r="F147" s="36">
        <v>20</v>
      </c>
      <c r="G147" s="36" t="s">
        <v>487</v>
      </c>
      <c r="H147" s="15">
        <f>(19.59/18.86)*100-100</f>
        <v>3.8706256627783659</v>
      </c>
      <c r="I147" s="14" t="s">
        <v>488</v>
      </c>
      <c r="J147" s="14" t="s">
        <v>129</v>
      </c>
      <c r="L147" s="38"/>
      <c r="M147" s="37"/>
      <c r="N147" s="37"/>
      <c r="O147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Fig. 1</vt:lpstr>
      <vt:lpstr>Fig. 2</vt:lpstr>
      <vt:lpstr>Fig. 3</vt:lpstr>
      <vt:lpstr>Fig. 4</vt:lpstr>
      <vt:lpstr>Extended Data Fig. 2</vt:lpstr>
      <vt:lpstr>Extended Data Fig. 3</vt:lpstr>
      <vt:lpstr>Extended Data Fig. 4</vt:lpstr>
      <vt:lpstr>Extended Data Fig. 5</vt:lpstr>
      <vt:lpstr>Extended Data Fig. 7</vt:lpstr>
      <vt:lpstr>Extended Data Fig. 8</vt:lpstr>
    </vt:vector>
  </TitlesOfParts>
  <Company>University of Cologne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Vilchez</dc:creator>
  <cp:lastModifiedBy>David Vilchez</cp:lastModifiedBy>
  <dcterms:created xsi:type="dcterms:W3CDTF">2015-03-01T22:14:52Z</dcterms:created>
  <dcterms:modified xsi:type="dcterms:W3CDTF">2026-09-08T12:50:48Z</dcterms:modified>
</cp:coreProperties>
</file>