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dwinprod-my.sharepoint.com/personal/kunjapur_udel_edu/Documents/Kunjapur Lab/Data + Record Keeping/Personnel - Data &amp; Presentations/Neil/Personnel/Neil Butler/pN-Phe Paper/Jan 2023/Documents for submission/"/>
    </mc:Choice>
  </mc:AlternateContent>
  <xr:revisionPtr revIDLastSave="0" documentId="8_{FC2D823D-85A6-447A-9FF3-B6EAF976B91E}" xr6:coauthVersionLast="47" xr6:coauthVersionMax="47" xr10:uidLastSave="{00000000-0000-0000-0000-000000000000}"/>
  <bookViews>
    <workbookView xWindow="-108" yWindow="-108" windowWidth="23256" windowHeight="12456" activeTab="2" xr2:uid="{D141DAAA-1F7D-4F82-BD81-ED440AD10E9E}"/>
  </bookViews>
  <sheets>
    <sheet name="Figure 2A Figure S2B" sheetId="2" r:id="rId1"/>
    <sheet name="Figure 2B and 4C" sheetId="3" r:id="rId2"/>
    <sheet name="Figure 2C" sheetId="4" r:id="rId3"/>
  </sheets>
  <externalReferences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4" l="1"/>
  <c r="B12" i="4" s="1"/>
  <c r="B20" i="4"/>
  <c r="H11" i="4" s="1"/>
  <c r="F27" i="4"/>
  <c r="G27" i="4"/>
  <c r="F28" i="4"/>
  <c r="G28" i="4" s="1"/>
  <c r="B35" i="3" a="1"/>
  <c r="B37" i="3" s="1"/>
  <c r="B20" i="3" a="1"/>
  <c r="B22" i="3" s="1"/>
  <c r="B18" i="3"/>
  <c r="B7" i="3" a="1"/>
  <c r="B9" i="3" s="1"/>
  <c r="P18" i="2"/>
  <c r="B18" i="2"/>
  <c r="V15" i="2"/>
  <c r="U15" i="2"/>
  <c r="T15" i="2"/>
  <c r="S15" i="2"/>
  <c r="R15" i="2"/>
  <c r="B15" i="2"/>
  <c r="V14" i="2"/>
  <c r="U14" i="2"/>
  <c r="T14" i="2"/>
  <c r="S14" i="2"/>
  <c r="R14" i="2"/>
  <c r="S11" i="2"/>
  <c r="Q11" i="2"/>
  <c r="P11" i="2"/>
  <c r="M11" i="2"/>
  <c r="K11" i="2"/>
  <c r="I11" i="2"/>
  <c r="H11" i="2"/>
  <c r="E11" i="2"/>
  <c r="S10" i="2"/>
  <c r="R10" i="2"/>
  <c r="R11" i="2" s="1"/>
  <c r="Q10" i="2"/>
  <c r="P10" i="2"/>
  <c r="W11" i="2" s="1"/>
  <c r="O10" i="2"/>
  <c r="V11" i="2" s="1"/>
  <c r="N10" i="2"/>
  <c r="U11" i="2" s="1"/>
  <c r="M10" i="2"/>
  <c r="L10" i="2"/>
  <c r="L11" i="2" s="1"/>
  <c r="K10" i="2"/>
  <c r="J10" i="2"/>
  <c r="J11" i="2" s="1"/>
  <c r="I10" i="2"/>
  <c r="H10" i="2"/>
  <c r="G10" i="2"/>
  <c r="G11" i="2" s="1"/>
  <c r="F10" i="2"/>
  <c r="F11" i="2" s="1"/>
  <c r="E10" i="2"/>
  <c r="AC8" i="2"/>
  <c r="AF8" i="2" s="1"/>
  <c r="AA8" i="2"/>
  <c r="Z8" i="2"/>
  <c r="AB8" i="2" s="1"/>
  <c r="AE8" i="2" s="1"/>
  <c r="Y8" i="2"/>
  <c r="V8" i="2"/>
  <c r="U8" i="2"/>
  <c r="X8" i="2" s="1"/>
  <c r="T8" i="2"/>
  <c r="W8" i="2" s="1"/>
  <c r="AA7" i="2"/>
  <c r="Z7" i="2"/>
  <c r="Y7" i="2"/>
  <c r="AC7" i="2" s="1"/>
  <c r="AF7" i="2" s="1"/>
  <c r="V7" i="2"/>
  <c r="X7" i="2" s="1"/>
  <c r="U7" i="2"/>
  <c r="T7" i="2"/>
  <c r="W7" i="2" s="1"/>
  <c r="AC4" i="2"/>
  <c r="AF4" i="2" s="1"/>
  <c r="AB4" i="2"/>
  <c r="AE4" i="2" s="1"/>
  <c r="AA4" i="2"/>
  <c r="Z4" i="2"/>
  <c r="Y4" i="2"/>
  <c r="V4" i="2"/>
  <c r="U4" i="2"/>
  <c r="T4" i="2"/>
  <c r="W4" i="2" s="1"/>
  <c r="AA3" i="2"/>
  <c r="Z3" i="2"/>
  <c r="Y3" i="2"/>
  <c r="AC3" i="2" s="1"/>
  <c r="AF3" i="2" s="1"/>
  <c r="X3" i="2"/>
  <c r="V3" i="2"/>
  <c r="U3" i="2"/>
  <c r="T3" i="2"/>
  <c r="W3" i="2" s="1"/>
  <c r="H23" i="4" l="1"/>
  <c r="I23" i="4" s="1"/>
  <c r="F23" i="4"/>
  <c r="G23" i="4" s="1"/>
  <c r="H28" i="4"/>
  <c r="I28" i="4" s="1"/>
  <c r="F22" i="4"/>
  <c r="G22" i="4" s="1"/>
  <c r="B24" i="4"/>
  <c r="B8" i="3"/>
  <c r="B7" i="3"/>
  <c r="B13" i="3" s="1"/>
  <c r="B35" i="3"/>
  <c r="B36" i="3"/>
  <c r="B20" i="3"/>
  <c r="B21" i="3"/>
  <c r="Z11" i="2"/>
  <c r="Y11" i="2"/>
  <c r="AB3" i="2"/>
  <c r="AE3" i="2" s="1"/>
  <c r="X4" i="2"/>
  <c r="AB7" i="2"/>
  <c r="AE7" i="2" s="1"/>
  <c r="N11" i="2"/>
  <c r="O11" i="2"/>
  <c r="N5" i="3" l="1"/>
  <c r="M5" i="3"/>
  <c r="M3" i="3"/>
  <c r="L3" i="3"/>
  <c r="N3" i="3"/>
  <c r="B27" i="3"/>
  <c r="L5" i="3"/>
  <c r="B26" i="3"/>
  <c r="B42" i="3"/>
  <c r="B41" i="3"/>
  <c r="N6" i="3"/>
  <c r="M6" i="3"/>
  <c r="L6" i="3"/>
  <c r="N4" i="3"/>
  <c r="L4" i="3"/>
  <c r="M4" i="3"/>
  <c r="P4" i="3" l="1"/>
  <c r="O4" i="3"/>
  <c r="P5" i="3"/>
  <c r="O5" i="3"/>
  <c r="O6" i="3"/>
  <c r="P6" i="3"/>
  <c r="O3" i="3"/>
  <c r="P3" i="3"/>
</calcChain>
</file>

<file path=xl/sharedStrings.xml><?xml version="1.0" encoding="utf-8"?>
<sst xmlns="http://schemas.openxmlformats.org/spreadsheetml/2006/main" count="131" uniqueCount="59">
  <si>
    <t>T0</t>
  </si>
  <si>
    <t>12 h</t>
  </si>
  <si>
    <t>24 h</t>
  </si>
  <si>
    <t>Percent remaining after 12 h</t>
  </si>
  <si>
    <t>Percent remaining after 24 h</t>
  </si>
  <si>
    <t>pA-Phe Areas</t>
  </si>
  <si>
    <t>pA-Pyr Areas</t>
  </si>
  <si>
    <t>Average</t>
  </si>
  <si>
    <t>Stdev</t>
  </si>
  <si>
    <t>pA-Phe Stability</t>
  </si>
  <si>
    <t>pA-Pyr Stability</t>
  </si>
  <si>
    <t>pN-Phe Areas</t>
  </si>
  <si>
    <t>pN-Pyr Areas</t>
  </si>
  <si>
    <t>pN-Phe Stability</t>
  </si>
  <si>
    <t>PN-Pyr Stability</t>
  </si>
  <si>
    <t>Concentration</t>
  </si>
  <si>
    <t>pN-Pyr</t>
  </si>
  <si>
    <t>pN-Phe</t>
  </si>
  <si>
    <t>pA-Phe</t>
  </si>
  <si>
    <t>pA-Pyr</t>
  </si>
  <si>
    <t>average</t>
  </si>
  <si>
    <t>stdev</t>
  </si>
  <si>
    <t>Std Curves</t>
  </si>
  <si>
    <t>Conc (mM)</t>
  </si>
  <si>
    <t>Area</t>
  </si>
  <si>
    <t>N-oxygenase</t>
  </si>
  <si>
    <t>In vitro/resting cell</t>
  </si>
  <si>
    <t>Starting metabolite concentration</t>
  </si>
  <si>
    <t>Starting metabolite</t>
  </si>
  <si>
    <t>pNPhe Area</t>
  </si>
  <si>
    <t>pNPhe/pNPyr Concentration</t>
  </si>
  <si>
    <t>pNPhe</t>
  </si>
  <si>
    <t>p-Aphe @ 210 nm</t>
  </si>
  <si>
    <t>ObaC</t>
  </si>
  <si>
    <t>In vitro</t>
  </si>
  <si>
    <t>pAPhe</t>
  </si>
  <si>
    <t>pAPyr</t>
  </si>
  <si>
    <t>NB16</t>
  </si>
  <si>
    <t>Slope</t>
  </si>
  <si>
    <t>Error</t>
  </si>
  <si>
    <t>R^2</t>
  </si>
  <si>
    <t>Concentration Check pA-Phe</t>
  </si>
  <si>
    <t>Concentration (uM)</t>
  </si>
  <si>
    <t>p-NPhe @ 270 nm</t>
  </si>
  <si>
    <t>Concentration Check pN-Phe</t>
  </si>
  <si>
    <t>p-NPyr @ 320 nm</t>
  </si>
  <si>
    <t>Stdv</t>
  </si>
  <si>
    <t>Avg</t>
  </si>
  <si>
    <t>Time</t>
  </si>
  <si>
    <t>p-NPhe @ 320 nm</t>
  </si>
  <si>
    <t>ObaC (1 mM) pA-pyr 24</t>
  </si>
  <si>
    <t>ObaC (1 mM) pA-pyr T0</t>
  </si>
  <si>
    <t xml:space="preserve">ObaC 2 mM pA-Phe T0 </t>
  </si>
  <si>
    <t xml:space="preserve">ObaC 2 mM pA-Phe 24 </t>
  </si>
  <si>
    <t>ObaC (No- pA-Phe T0)</t>
  </si>
  <si>
    <t>ObaC (No- pA-Phe 24 h)</t>
  </si>
  <si>
    <t>p-Aphe @ 280 nm</t>
  </si>
  <si>
    <t>Area at 11.8 min (pN-Phe)</t>
  </si>
  <si>
    <t>Area at 5.3 min (pA-Phe)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</si>
</sst>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721981627296589"/>
          <c:y val="5.0925925925925923E-2"/>
          <c:w val="0.84344685039370071"/>
          <c:h val="0.7875826864355735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'Figure 2A Figure S2B'!$L$13</c:f>
              <c:strCache>
                <c:ptCount val="1"/>
                <c:pt idx="0">
                  <c:v>pN-Pyr</c:v>
                </c:pt>
              </c:strCache>
            </c:strRef>
          </c:tx>
          <c:spPr>
            <a:ln w="25400" cap="rnd">
              <a:solidFill>
                <a:schemeClr val="bg2">
                  <a:lumMod val="50000"/>
                </a:schemeClr>
              </a:solidFill>
              <a:prstDash val="dash"/>
              <a:round/>
            </a:ln>
            <a:effectLst/>
          </c:spPr>
          <c:marker>
            <c:symbol val="square"/>
            <c:size val="7"/>
            <c:spPr>
              <a:solidFill>
                <a:schemeClr val="bg2">
                  <a:lumMod val="50000"/>
                </a:schemeClr>
              </a:solidFill>
              <a:ln w="9525">
                <a:noFill/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('[1]Figure 2A Figure S2B'!$L$15,'[1]Figure 2A Figure S2B'!$N$15,'[1]Figure 2A Figure S2B'!$P$15)</c:f>
                <c:numCache>
                  <c:formatCode>General</c:formatCode>
                  <c:ptCount val="3"/>
                  <c:pt idx="0">
                    <c:v>44.875744183233245</c:v>
                  </c:pt>
                  <c:pt idx="1">
                    <c:v>53.440626527888178</c:v>
                  </c:pt>
                  <c:pt idx="2">
                    <c:v>9.8328443617612482</c:v>
                  </c:pt>
                </c:numCache>
              </c:numRef>
            </c:plus>
            <c:minus>
              <c:numRef>
                <c:f>('[1]Figure 2A Figure S2B'!$L$15,'[1]Figure 2A Figure S2B'!$N$15,'[1]Figure 2A Figure S2B'!$P$15)</c:f>
                <c:numCache>
                  <c:formatCode>General</c:formatCode>
                  <c:ptCount val="3"/>
                  <c:pt idx="0">
                    <c:v>44.875744183233245</c:v>
                  </c:pt>
                  <c:pt idx="1">
                    <c:v>53.440626527888178</c:v>
                  </c:pt>
                  <c:pt idx="2">
                    <c:v>9.8328443617612482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'Figure 2A Figure S2B'!$L$17:$N$17</c:f>
              <c:numCache>
                <c:formatCode>General</c:formatCode>
                <c:ptCount val="3"/>
                <c:pt idx="0">
                  <c:v>0</c:v>
                </c:pt>
                <c:pt idx="1">
                  <c:v>12</c:v>
                </c:pt>
                <c:pt idx="2">
                  <c:v>24</c:v>
                </c:pt>
              </c:numCache>
            </c:numRef>
          </c:xVal>
          <c:yVal>
            <c:numRef>
              <c:f>('Figure 2A Figure S2B'!$L$14,'Figure 2A Figure S2B'!$N$14,'Figure 2A Figure S2B'!$P$14)</c:f>
              <c:numCache>
                <c:formatCode>General</c:formatCode>
                <c:ptCount val="3"/>
                <c:pt idx="0">
                  <c:v>250.00000000000006</c:v>
                </c:pt>
                <c:pt idx="1">
                  <c:v>119.34622415451746</c:v>
                </c:pt>
                <c:pt idx="2">
                  <c:v>78.157542580267204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C3F-40F7-A283-2CAB6B43D185}"/>
            </c:ext>
          </c:extLst>
        </c:ser>
        <c:ser>
          <c:idx val="1"/>
          <c:order val="1"/>
          <c:tx>
            <c:strRef>
              <c:f>'Figure 2A Figure S2B'!$M$13</c:f>
              <c:strCache>
                <c:ptCount val="1"/>
                <c:pt idx="0">
                  <c:v>pN-Phe</c:v>
                </c:pt>
              </c:strCache>
            </c:strRef>
          </c:tx>
          <c:spPr>
            <a:ln w="25400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8"/>
            <c:spPr>
              <a:solidFill>
                <a:schemeClr val="tx1"/>
              </a:solidFill>
              <a:ln w="9525">
                <a:noFill/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('[1]Figure 2A Figure S2B'!$L$17,'[1]Figure 2A Figure S2B'!$M$15,'[1]Figure 2A Figure S2B'!$O$15)</c:f>
                <c:numCache>
                  <c:formatCode>General</c:formatCode>
                  <c:ptCount val="3"/>
                  <c:pt idx="0">
                    <c:v>0</c:v>
                  </c:pt>
                  <c:pt idx="1">
                    <c:v>46.2564606694581</c:v>
                  </c:pt>
                  <c:pt idx="2">
                    <c:v>48.462402833206369</c:v>
                  </c:pt>
                </c:numCache>
              </c:numRef>
            </c:plus>
            <c:minus>
              <c:numRef>
                <c:f>('[1]Figure 2A Figure S2B'!$L$17,'[1]Figure 2A Figure S2B'!$M$15,'[1]Figure 2A Figure S2B'!$O$15)</c:f>
                <c:numCache>
                  <c:formatCode>General</c:formatCode>
                  <c:ptCount val="3"/>
                  <c:pt idx="0">
                    <c:v>0</c:v>
                  </c:pt>
                  <c:pt idx="1">
                    <c:v>46.2564606694581</c:v>
                  </c:pt>
                  <c:pt idx="2">
                    <c:v>48.462402833206369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'Figure 2A Figure S2B'!$L$17:$N$17</c:f>
              <c:numCache>
                <c:formatCode>General</c:formatCode>
                <c:ptCount val="3"/>
                <c:pt idx="0">
                  <c:v>0</c:v>
                </c:pt>
                <c:pt idx="1">
                  <c:v>12</c:v>
                </c:pt>
                <c:pt idx="2">
                  <c:v>24</c:v>
                </c:pt>
              </c:numCache>
            </c:numRef>
          </c:xVal>
          <c:yVal>
            <c:numRef>
              <c:f>('Figure 2A Figure S2B'!$L$17,'Figure 2A Figure S2B'!$M$14,'Figure 2A Figure S2B'!$O$14)</c:f>
              <c:numCache>
                <c:formatCode>General</c:formatCode>
                <c:ptCount val="3"/>
                <c:pt idx="0">
                  <c:v>0</c:v>
                </c:pt>
                <c:pt idx="1">
                  <c:v>153.35750843586655</c:v>
                </c:pt>
                <c:pt idx="2">
                  <c:v>186.35164424475948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C3F-40F7-A283-2CAB6B43D1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94439336"/>
        <c:axId val="1394445896"/>
      </c:scatterChart>
      <c:valAx>
        <c:axId val="13944393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Time (h)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cross"/>
        <c:minorTickMark val="in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394445896"/>
        <c:crosses val="autoZero"/>
        <c:crossBetween val="midCat"/>
      </c:valAx>
      <c:valAx>
        <c:axId val="1394445896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Concentraiton (mM)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cross"/>
        <c:minorTickMark val="in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39443933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9710673665791776"/>
          <c:y val="7.6841906126205506E-2"/>
          <c:w val="0.1889311023622047"/>
          <c:h val="0.1476808107319918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579979585885097"/>
          <c:y val="6.5945000830803166E-2"/>
          <c:w val="0.79024958685719837"/>
          <c:h val="0.79498138245645833"/>
        </c:manualLayout>
      </c:layout>
      <c:barChart>
        <c:barDir val="col"/>
        <c:grouping val="clustered"/>
        <c:varyColors val="0"/>
        <c:ser>
          <c:idx val="0"/>
          <c:order val="0"/>
          <c:tx>
            <c:v>Stability Testing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2">
                  <a:lumMod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3EA1-4B35-A5B0-96BF1939AB25}"/>
              </c:ext>
            </c:extLst>
          </c:dPt>
          <c:dPt>
            <c:idx val="1"/>
            <c:invertIfNegative val="0"/>
            <c:bubble3D val="0"/>
            <c:spPr>
              <a:solidFill>
                <a:schemeClr val="bg2">
                  <a:lumMod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3EA1-4B35-A5B0-96BF1939AB25}"/>
              </c:ext>
            </c:extLst>
          </c:dPt>
          <c:dPt>
            <c:idx val="2"/>
            <c:invertIfNegative val="0"/>
            <c:bubble3D val="0"/>
            <c:spPr>
              <a:solidFill>
                <a:schemeClr val="tx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3EA1-4B35-A5B0-96BF1939AB25}"/>
              </c:ext>
            </c:extLst>
          </c:dPt>
          <c:dPt>
            <c:idx val="3"/>
            <c:invertIfNegative val="0"/>
            <c:bubble3D val="0"/>
            <c:spPr>
              <a:solidFill>
                <a:schemeClr val="tx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3EA1-4B35-A5B0-96BF1939AB25}"/>
              </c:ext>
            </c:extLst>
          </c:dPt>
          <c:errBars>
            <c:errBarType val="both"/>
            <c:errValType val="cust"/>
            <c:noEndCap val="0"/>
            <c:plus>
              <c:numRef>
                <c:f>('Figure 2A Figure S2B'!$AF$3:$AF$4,'Figure 2A Figure S2B'!$AF$7:$AF$8)</c:f>
                <c:numCache>
                  <c:formatCode>General</c:formatCode>
                  <c:ptCount val="4"/>
                  <c:pt idx="0">
                    <c:v>6.0252763350094174</c:v>
                  </c:pt>
                  <c:pt idx="1">
                    <c:v>1.0300181627483596</c:v>
                  </c:pt>
                  <c:pt idx="2">
                    <c:v>11.728157718301144</c:v>
                  </c:pt>
                  <c:pt idx="3">
                    <c:v>8.5540369011787121</c:v>
                  </c:pt>
                </c:numCache>
              </c:numRef>
            </c:plus>
            <c:minus>
              <c:numRef>
                <c:f>('Figure 2A Figure S2B'!$AF$3:$AF$4,'Figure 2A Figure S2B'!$AF$7:$AF$8)</c:f>
                <c:numCache>
                  <c:formatCode>General</c:formatCode>
                  <c:ptCount val="4"/>
                  <c:pt idx="0">
                    <c:v>6.0252763350094174</c:v>
                  </c:pt>
                  <c:pt idx="1">
                    <c:v>1.0300181627483596</c:v>
                  </c:pt>
                  <c:pt idx="2">
                    <c:v>11.728157718301144</c:v>
                  </c:pt>
                  <c:pt idx="3">
                    <c:v>8.5540369011787121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'Figure 2A Figure S2B'!$Y$13:$AB$13</c:f>
              <c:strCache>
                <c:ptCount val="4"/>
                <c:pt idx="0">
                  <c:v>pA-Phe</c:v>
                </c:pt>
                <c:pt idx="1">
                  <c:v>pA-Pyr</c:v>
                </c:pt>
                <c:pt idx="2">
                  <c:v>pN-Phe</c:v>
                </c:pt>
                <c:pt idx="3">
                  <c:v>pN-Pyr</c:v>
                </c:pt>
              </c:strCache>
            </c:strRef>
          </c:cat>
          <c:val>
            <c:numRef>
              <c:f>('Figure 2A Figure S2B'!$AE$3:$AE$4,'Figure 2A Figure S2B'!$AE$7:$AE$8)</c:f>
              <c:numCache>
                <c:formatCode>General</c:formatCode>
                <c:ptCount val="4"/>
                <c:pt idx="0">
                  <c:v>94.097776851388559</c:v>
                </c:pt>
                <c:pt idx="1">
                  <c:v>68.257174553826147</c:v>
                </c:pt>
                <c:pt idx="2">
                  <c:v>70.85878104752652</c:v>
                </c:pt>
                <c:pt idx="3">
                  <c:v>32.181895489669415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EA1-4B35-A5B0-96BF1939AB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98607096"/>
        <c:axId val="1298609064"/>
      </c:barChart>
      <c:catAx>
        <c:axId val="1298607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98609064"/>
        <c:crosses val="autoZero"/>
        <c:auto val="1"/>
        <c:lblAlgn val="ctr"/>
        <c:lblOffset val="100"/>
        <c:noMultiLvlLbl val="0"/>
      </c:catAx>
      <c:valAx>
        <c:axId val="1298609064"/>
        <c:scaling>
          <c:orientation val="minMax"/>
          <c:max val="11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 dirty="0"/>
                  <a:t>% Remaining after 24 h</a:t>
                </a:r>
              </a:p>
            </c:rich>
          </c:tx>
          <c:layout>
            <c:manualLayout>
              <c:xMode val="edge"/>
              <c:yMode val="edge"/>
              <c:x val="3.5020770552727905E-2"/>
              <c:y val="0.119189553856977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0"/>
        <c:majorTickMark val="cross"/>
        <c:minorTickMark val="in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98607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813648293963254"/>
          <c:y val="5.0996754751970332E-2"/>
          <c:w val="0.85130796150481203"/>
          <c:h val="0.7672773865714629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2B and 4C'!$E$3</c:f>
              <c:strCache>
                <c:ptCount val="1"/>
                <c:pt idx="0">
                  <c:v>ObaC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'Figure 2B and 4C'!$P$3:$P$4</c:f>
                <c:numCache>
                  <c:formatCode>General</c:formatCode>
                  <c:ptCount val="2"/>
                  <c:pt idx="0">
                    <c:v>15.279012584634051</c:v>
                  </c:pt>
                  <c:pt idx="1">
                    <c:v>5.7268933922644871</c:v>
                  </c:pt>
                </c:numCache>
              </c:numRef>
            </c:plus>
            <c:minus>
              <c:numRef>
                <c:f>'Figure 2B and 4C'!$P$3:$P$4</c:f>
                <c:numCache>
                  <c:formatCode>General</c:formatCode>
                  <c:ptCount val="2"/>
                  <c:pt idx="0">
                    <c:v>15.279012584634051</c:v>
                  </c:pt>
                  <c:pt idx="1">
                    <c:v>5.7268933922644871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'Figure 2B and 4C'!$H$3:$H$4</c:f>
              <c:strCache>
                <c:ptCount val="2"/>
                <c:pt idx="0">
                  <c:v>pAPhe</c:v>
                </c:pt>
                <c:pt idx="1">
                  <c:v>pAPyr</c:v>
                </c:pt>
              </c:strCache>
            </c:strRef>
          </c:cat>
          <c:val>
            <c:numRef>
              <c:f>'Figure 2B and 4C'!$O$3:$O$4</c:f>
              <c:numCache>
                <c:formatCode>General</c:formatCode>
                <c:ptCount val="2"/>
                <c:pt idx="0">
                  <c:v>104.65126135856472</c:v>
                </c:pt>
                <c:pt idx="1">
                  <c:v>126.46776022775788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E6-4BAD-A578-79147142F9F7}"/>
            </c:ext>
          </c:extLst>
        </c:ser>
        <c:ser>
          <c:idx val="1"/>
          <c:order val="1"/>
          <c:tx>
            <c:v>NO16</c:v>
          </c:tx>
          <c:spPr>
            <a:solidFill>
              <a:srgbClr val="C00000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'Figure 2B and 4C'!$P$5:$P$6</c:f>
                <c:numCache>
                  <c:formatCode>General</c:formatCode>
                  <c:ptCount val="2"/>
                  <c:pt idx="0">
                    <c:v>22.6839553498342</c:v>
                  </c:pt>
                  <c:pt idx="1">
                    <c:v>2.9377440970926467</c:v>
                  </c:pt>
                </c:numCache>
              </c:numRef>
            </c:plus>
            <c:minus>
              <c:numRef>
                <c:f>'Figure 2B and 4C'!$P$5:$P$6</c:f>
                <c:numCache>
                  <c:formatCode>General</c:formatCode>
                  <c:ptCount val="2"/>
                  <c:pt idx="0">
                    <c:v>22.6839553498342</c:v>
                  </c:pt>
                  <c:pt idx="1">
                    <c:v>2.9377440970926467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'Figure 2B and 4C'!$H$3:$H$4</c:f>
              <c:strCache>
                <c:ptCount val="2"/>
                <c:pt idx="0">
                  <c:v>pAPhe</c:v>
                </c:pt>
                <c:pt idx="1">
                  <c:v>pAPyr</c:v>
                </c:pt>
              </c:strCache>
            </c:strRef>
          </c:cat>
          <c:val>
            <c:numRef>
              <c:f>'Figure 2B and 4C'!$O$5:$O$6</c:f>
              <c:numCache>
                <c:formatCode>General</c:formatCode>
                <c:ptCount val="2"/>
                <c:pt idx="0">
                  <c:v>196.46854197034284</c:v>
                </c:pt>
                <c:pt idx="1">
                  <c:v>119.64904980282601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E6-4BAD-A578-79147142F9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09017872"/>
        <c:axId val="709015904"/>
      </c:barChart>
      <c:catAx>
        <c:axId val="70901787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Supplemented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9015904"/>
        <c:crosses val="autoZero"/>
        <c:auto val="1"/>
        <c:lblAlgn val="ctr"/>
        <c:lblOffset val="100"/>
        <c:noMultiLvlLbl val="0"/>
      </c:catAx>
      <c:valAx>
        <c:axId val="70901590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Nitro Conversion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cross"/>
        <c:minorTickMark val="in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90178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9802340332458432"/>
          <c:y val="6.9424579924727767E-2"/>
          <c:w val="0.10232758885105973"/>
          <c:h val="0.154746612656911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813648293963254"/>
          <c:y val="5.0996754751970332E-2"/>
          <c:w val="0.85130796150481203"/>
          <c:h val="0.7672773865714629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2B and 4C'!$E$3</c:f>
              <c:strCache>
                <c:ptCount val="1"/>
                <c:pt idx="0">
                  <c:v>ObaC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'Figure 2B and 4C'!$P$3:$P$4</c:f>
                <c:numCache>
                  <c:formatCode>General</c:formatCode>
                  <c:ptCount val="2"/>
                  <c:pt idx="0">
                    <c:v>15.279012584634051</c:v>
                  </c:pt>
                  <c:pt idx="1">
                    <c:v>5.7268933922644871</c:v>
                  </c:pt>
                </c:numCache>
              </c:numRef>
            </c:plus>
            <c:minus>
              <c:numRef>
                <c:f>'Figure 2B and 4C'!$P$3:$P$4</c:f>
                <c:numCache>
                  <c:formatCode>General</c:formatCode>
                  <c:ptCount val="2"/>
                  <c:pt idx="0">
                    <c:v>15.279012584634051</c:v>
                  </c:pt>
                  <c:pt idx="1">
                    <c:v>5.7268933922644871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'Figure 2B and 4C'!$H$3:$H$4</c:f>
              <c:strCache>
                <c:ptCount val="2"/>
                <c:pt idx="0">
                  <c:v>pAPhe</c:v>
                </c:pt>
                <c:pt idx="1">
                  <c:v>pAPyr</c:v>
                </c:pt>
              </c:strCache>
            </c:strRef>
          </c:cat>
          <c:val>
            <c:numRef>
              <c:f>'Figure 2B and 4C'!$O$3:$O$4</c:f>
              <c:numCache>
                <c:formatCode>General</c:formatCode>
                <c:ptCount val="2"/>
                <c:pt idx="0">
                  <c:v>104.65126135856472</c:v>
                </c:pt>
                <c:pt idx="1">
                  <c:v>126.46776022775788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99-4E5E-AB9D-FDA5FBD9C120}"/>
            </c:ext>
          </c:extLst>
        </c:ser>
        <c:ser>
          <c:idx val="1"/>
          <c:order val="1"/>
          <c:tx>
            <c:v>NO16</c:v>
          </c:tx>
          <c:spPr>
            <a:solidFill>
              <a:srgbClr val="C00000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'Figure 2B and 4C'!$P$5:$P$6</c:f>
                <c:numCache>
                  <c:formatCode>General</c:formatCode>
                  <c:ptCount val="2"/>
                  <c:pt idx="0">
                    <c:v>22.6839553498342</c:v>
                  </c:pt>
                  <c:pt idx="1">
                    <c:v>2.9377440970926467</c:v>
                  </c:pt>
                </c:numCache>
              </c:numRef>
            </c:plus>
            <c:minus>
              <c:numRef>
                <c:f>'Figure 2B and 4C'!$P$5:$P$6</c:f>
                <c:numCache>
                  <c:formatCode>General</c:formatCode>
                  <c:ptCount val="2"/>
                  <c:pt idx="0">
                    <c:v>22.6839553498342</c:v>
                  </c:pt>
                  <c:pt idx="1">
                    <c:v>2.9377440970926467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'Figure 2B and 4C'!$H$3:$H$4</c:f>
              <c:strCache>
                <c:ptCount val="2"/>
                <c:pt idx="0">
                  <c:v>pAPhe</c:v>
                </c:pt>
                <c:pt idx="1">
                  <c:v>pAPyr</c:v>
                </c:pt>
              </c:strCache>
            </c:strRef>
          </c:cat>
          <c:val>
            <c:numRef>
              <c:f>'Figure 2B and 4C'!$O$5:$O$6</c:f>
              <c:numCache>
                <c:formatCode>General</c:formatCode>
                <c:ptCount val="2"/>
                <c:pt idx="0">
                  <c:v>196.46854197034284</c:v>
                </c:pt>
                <c:pt idx="1">
                  <c:v>119.64904980282601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99-4E5E-AB9D-FDA5FBD9C1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09017872"/>
        <c:axId val="709015904"/>
      </c:barChart>
      <c:catAx>
        <c:axId val="70901787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Supplemented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9015904"/>
        <c:crosses val="autoZero"/>
        <c:auto val="1"/>
        <c:lblAlgn val="ctr"/>
        <c:lblOffset val="100"/>
        <c:noMultiLvlLbl val="0"/>
      </c:catAx>
      <c:valAx>
        <c:axId val="70901590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Nitro Conversion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cross"/>
        <c:minorTickMark val="in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90178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9802340332458432"/>
          <c:y val="6.9424579924727767E-2"/>
          <c:w val="0.10232758885105973"/>
          <c:h val="0.154746612656911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397824</xdr:colOff>
      <xdr:row>18</xdr:row>
      <xdr:rowOff>143518</xdr:rowOff>
    </xdr:from>
    <xdr:to>
      <xdr:col>21</xdr:col>
      <xdr:colOff>81124</xdr:colOff>
      <xdr:row>34</xdr:row>
      <xdr:rowOff>569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62EAE63-071A-43D9-916A-0EA4AB0497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304800</xdr:colOff>
      <xdr:row>19</xdr:row>
      <xdr:rowOff>27708</xdr:rowOff>
    </xdr:from>
    <xdr:to>
      <xdr:col>13</xdr:col>
      <xdr:colOff>42947</xdr:colOff>
      <xdr:row>32</xdr:row>
      <xdr:rowOff>40154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DB9EC53-E681-480C-8E56-F76183E74E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228600</xdr:colOff>
      <xdr:row>9</xdr:row>
      <xdr:rowOff>18097</xdr:rowOff>
    </xdr:from>
    <xdr:to>
      <xdr:col>10</xdr:col>
      <xdr:colOff>243840</xdr:colOff>
      <xdr:row>24</xdr:row>
      <xdr:rowOff>44767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37E905F-8672-4451-92BD-28B36B48CE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581025</xdr:colOff>
      <xdr:row>8</xdr:row>
      <xdr:rowOff>31432</xdr:rowOff>
    </xdr:from>
    <xdr:to>
      <xdr:col>18</xdr:col>
      <xdr:colOff>276225</xdr:colOff>
      <xdr:row>23</xdr:row>
      <xdr:rowOff>56197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E14F81C-41F6-4BCF-B4A5-521A2FB40A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udwinprod-my.sharepoint.com/personal/kunjapur_udel_edu/Documents/Kunjapur%20Lab/Data%20+%20Record%20Keeping/Personnel%20-%20Data%20&amp;%20Presentations/Neil/Personnel/Neil%20Butler/pN-Phe%20Paper/Jan%202023/2023-2-21%20Compilation%20of%20data%20files%20for%20Nat%20Chem%20Bio.xlsx" TargetMode="External"/><Relationship Id="rId2" Type="http://schemas.microsoft.com/office/2019/04/relationships/externalLinkLongPath" Target="/personal/kunjapur_udel_edu/Documents/Kunjapur%20Lab/Data%20+%20Record%20Keeping/Personnel%20-%20Data%20&amp;%20Presentations/Neil/Personnel/Neil%20Butler/pN-Phe%20Paper/Jan%202023/2023-2-21%20Compilation%20of%20data%20files%20for%20Nat%20Chem%20Bio.xlsx?4481AFFF" TargetMode="External"/><Relationship Id="rId1" Type="http://schemas.openxmlformats.org/officeDocument/2006/relationships/externalLinkPath" Target="file:///\\4481AFFF\2023-2-21%20Compilation%20of%20data%20files%20for%20Nat%20Chem%20B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Figure 2A Figure S2B"/>
      <sheetName val="Figure S2a"/>
      <sheetName val="Figure 2B and 4C"/>
      <sheetName val="Figure 3a"/>
      <sheetName val="Figure 4b"/>
      <sheetName val="Figure 4E"/>
      <sheetName val="Figure 4F FigureS10"/>
      <sheetName val="Figure 5b"/>
      <sheetName val="Figure 5d"/>
      <sheetName val="Figure 6c and 6e"/>
      <sheetName val="Figure 6d"/>
      <sheetName val="Figure S11"/>
      <sheetName val="Figure S13A"/>
      <sheetName val="Figure S13B"/>
      <sheetName val="Figure S15C"/>
      <sheetName val="Figure S15d"/>
      <sheetName val="Figure S16"/>
      <sheetName val="Figure S18"/>
    </sheetNames>
    <sheetDataSet>
      <sheetData sheetId="0">
        <row r="3">
          <cell r="AE3">
            <v>94.097776851388559</v>
          </cell>
          <cell r="AF3">
            <v>6.0252763350094174</v>
          </cell>
        </row>
        <row r="4">
          <cell r="AE4">
            <v>68.257174553826147</v>
          </cell>
          <cell r="AF4">
            <v>1.0300181627483596</v>
          </cell>
        </row>
        <row r="7">
          <cell r="AE7">
            <v>70.85878104752652</v>
          </cell>
          <cell r="AF7">
            <v>11.728157718301144</v>
          </cell>
        </row>
        <row r="8">
          <cell r="AE8">
            <v>32.181895489669415</v>
          </cell>
          <cell r="AF8">
            <v>8.5540369011787121</v>
          </cell>
        </row>
        <row r="13">
          <cell r="L13" t="str">
            <v>pN-Pyr</v>
          </cell>
          <cell r="M13" t="str">
            <v>pN-Phe</v>
          </cell>
          <cell r="Y13" t="str">
            <v>pA-Phe</v>
          </cell>
          <cell r="Z13" t="str">
            <v>pA-Pyr</v>
          </cell>
          <cell r="AA13" t="str">
            <v>pN-Phe</v>
          </cell>
          <cell r="AB13" t="str">
            <v>pN-Pyr</v>
          </cell>
        </row>
        <row r="14">
          <cell r="L14">
            <v>250.00000000000006</v>
          </cell>
          <cell r="M14">
            <v>153.35750843586655</v>
          </cell>
          <cell r="N14">
            <v>119.34622415451746</v>
          </cell>
          <cell r="O14">
            <v>186.35164424475948</v>
          </cell>
          <cell r="P14">
            <v>78.157542580267204</v>
          </cell>
        </row>
        <row r="15">
          <cell r="L15">
            <v>44.875744183233245</v>
          </cell>
          <cell r="M15">
            <v>46.2564606694581</v>
          </cell>
          <cell r="N15">
            <v>53.440626527888178</v>
          </cell>
          <cell r="O15">
            <v>48.462402833206369</v>
          </cell>
          <cell r="P15">
            <v>9.8328443617612482</v>
          </cell>
        </row>
        <row r="17">
          <cell r="L17">
            <v>0</v>
          </cell>
          <cell r="M17">
            <v>12</v>
          </cell>
          <cell r="N17">
            <v>24</v>
          </cell>
        </row>
      </sheetData>
      <sheetData sheetId="1"/>
      <sheetData sheetId="2">
        <row r="3">
          <cell r="E3" t="str">
            <v>ObaC</v>
          </cell>
          <cell r="H3" t="str">
            <v>pAPhe</v>
          </cell>
          <cell r="O3">
            <v>104.65126135856472</v>
          </cell>
          <cell r="P3">
            <v>15.279012584634051</v>
          </cell>
        </row>
        <row r="4">
          <cell r="H4" t="str">
            <v>pAPyr</v>
          </cell>
          <cell r="O4">
            <v>126.46776022775788</v>
          </cell>
          <cell r="P4">
            <v>5.7268933922644871</v>
          </cell>
        </row>
        <row r="5">
          <cell r="O5">
            <v>196.46854197034284</v>
          </cell>
          <cell r="P5">
            <v>22.6839553498342</v>
          </cell>
        </row>
        <row r="6">
          <cell r="O6">
            <v>119.64904980282601</v>
          </cell>
          <cell r="P6">
            <v>2.9377440970926467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5B0C1-F3CD-4032-A4FE-CE65B6703A0F}">
  <dimension ref="A1:AF18"/>
  <sheetViews>
    <sheetView zoomScale="70" zoomScaleNormal="70" workbookViewId="0">
      <selection activeCell="K8" sqref="K8"/>
    </sheetView>
  </sheetViews>
  <sheetFormatPr defaultRowHeight="14.4" x14ac:dyDescent="0.3"/>
  <cols>
    <col min="1" max="1" width="16.77734375" bestFit="1" customWidth="1"/>
  </cols>
  <sheetData>
    <row r="1" spans="1:32" x14ac:dyDescent="0.3">
      <c r="B1" s="1" t="s">
        <v>0</v>
      </c>
      <c r="C1" s="1"/>
      <c r="D1" s="1"/>
      <c r="E1" s="1"/>
      <c r="F1" s="1"/>
      <c r="G1" s="1"/>
      <c r="H1" s="1" t="s">
        <v>1</v>
      </c>
      <c r="I1" s="1"/>
      <c r="J1" s="1"/>
      <c r="K1" s="1"/>
      <c r="L1" s="1"/>
      <c r="M1" s="1"/>
      <c r="N1" s="1" t="s">
        <v>2</v>
      </c>
      <c r="O1" s="1"/>
      <c r="P1" s="1"/>
      <c r="Q1" s="1"/>
      <c r="R1" s="1"/>
      <c r="S1" s="1"/>
      <c r="T1" s="1" t="s">
        <v>3</v>
      </c>
      <c r="U1" s="1"/>
      <c r="V1" s="1"/>
      <c r="W1" s="1"/>
      <c r="X1" s="1"/>
      <c r="Y1" s="1" t="s">
        <v>4</v>
      </c>
      <c r="Z1" s="1"/>
      <c r="AA1" s="1"/>
      <c r="AB1" s="1"/>
      <c r="AC1" s="1"/>
    </row>
    <row r="2" spans="1:32" x14ac:dyDescent="0.3">
      <c r="B2" s="1" t="s">
        <v>5</v>
      </c>
      <c r="C2" s="1"/>
      <c r="D2" s="1"/>
      <c r="E2" s="1" t="s">
        <v>6</v>
      </c>
      <c r="F2" s="1"/>
      <c r="G2" s="1"/>
      <c r="H2" s="1" t="s">
        <v>5</v>
      </c>
      <c r="I2" s="1"/>
      <c r="J2" s="1"/>
      <c r="K2" s="1" t="s">
        <v>6</v>
      </c>
      <c r="L2" s="1"/>
      <c r="M2" s="1"/>
      <c r="N2" s="1" t="s">
        <v>5</v>
      </c>
      <c r="O2" s="1"/>
      <c r="P2" s="1"/>
      <c r="Q2" s="1" t="s">
        <v>6</v>
      </c>
      <c r="R2" s="1"/>
      <c r="S2" s="1"/>
      <c r="V2" s="2"/>
      <c r="W2" s="2" t="s">
        <v>7</v>
      </c>
      <c r="X2" t="s">
        <v>8</v>
      </c>
      <c r="AA2" s="2"/>
      <c r="AB2" s="2" t="s">
        <v>7</v>
      </c>
      <c r="AC2" t="s">
        <v>8</v>
      </c>
    </row>
    <row r="3" spans="1:32" x14ac:dyDescent="0.3">
      <c r="A3" t="s">
        <v>9</v>
      </c>
      <c r="B3">
        <v>4412</v>
      </c>
      <c r="C3">
        <v>4888</v>
      </c>
      <c r="D3">
        <v>3772.404</v>
      </c>
      <c r="H3">
        <v>4116</v>
      </c>
      <c r="I3">
        <v>4010</v>
      </c>
      <c r="J3">
        <v>3657</v>
      </c>
      <c r="K3">
        <v>0</v>
      </c>
      <c r="L3">
        <v>0</v>
      </c>
      <c r="M3">
        <v>0</v>
      </c>
      <c r="N3">
        <v>4458.2780000000002</v>
      </c>
      <c r="O3">
        <v>4442.0990000000002</v>
      </c>
      <c r="P3">
        <v>3409</v>
      </c>
      <c r="Q3">
        <v>0</v>
      </c>
      <c r="R3">
        <v>0</v>
      </c>
      <c r="S3">
        <v>0</v>
      </c>
      <c r="T3">
        <f>H3/B3</f>
        <v>0.93291024478694473</v>
      </c>
      <c r="U3">
        <f>I3/C3</f>
        <v>0.8203764320785597</v>
      </c>
      <c r="V3">
        <f>J3/D3</f>
        <v>0.96940836665426078</v>
      </c>
      <c r="W3">
        <f>AVERAGE(T3:V3)</f>
        <v>0.90756501450658844</v>
      </c>
      <c r="X3">
        <f>STDEV(T3:V3)</f>
        <v>7.7681496537574696E-2</v>
      </c>
      <c r="Y3">
        <f>N3/B3</f>
        <v>1.0104891205802358</v>
      </c>
      <c r="Z3">
        <f>O3/C3</f>
        <v>0.90877639116202946</v>
      </c>
      <c r="AA3">
        <f>P3/D3</f>
        <v>0.90366779379939155</v>
      </c>
      <c r="AB3">
        <f>AVERAGE(Y3:AA3)</f>
        <v>0.94097776851388559</v>
      </c>
      <c r="AC3">
        <f>STDEV(Y3:AA3)</f>
        <v>6.025276335009417E-2</v>
      </c>
      <c r="AE3">
        <f>AB3*100</f>
        <v>94.097776851388559</v>
      </c>
      <c r="AF3">
        <f>AC3*100</f>
        <v>6.0252763350094174</v>
      </c>
    </row>
    <row r="4" spans="1:32" x14ac:dyDescent="0.3">
      <c r="A4" t="s">
        <v>10</v>
      </c>
      <c r="B4" s="1"/>
      <c r="C4" s="1"/>
      <c r="E4">
        <v>49557</v>
      </c>
      <c r="F4">
        <v>49737.99</v>
      </c>
      <c r="G4">
        <v>47983.6</v>
      </c>
      <c r="K4">
        <v>34340</v>
      </c>
      <c r="L4">
        <v>31010</v>
      </c>
      <c r="M4">
        <v>32165</v>
      </c>
      <c r="Q4">
        <v>34160</v>
      </c>
      <c r="R4">
        <v>33360</v>
      </c>
      <c r="S4">
        <v>32998</v>
      </c>
      <c r="T4">
        <f>K4/E4</f>
        <v>0.6929394434691365</v>
      </c>
      <c r="U4">
        <f>L4/F4</f>
        <v>0.62346709225684438</v>
      </c>
      <c r="V4">
        <f>M4/G4</f>
        <v>0.67033319717570172</v>
      </c>
      <c r="W4">
        <f>AVERAGE(T4:V4)</f>
        <v>0.66224657763389416</v>
      </c>
      <c r="X4">
        <f>STDEV(T4:V4)</f>
        <v>3.5435109107373637E-2</v>
      </c>
      <c r="Y4">
        <f>Q4/E4</f>
        <v>0.68930726234437112</v>
      </c>
      <c r="Z4">
        <f>R4/F4</f>
        <v>0.67071467906121662</v>
      </c>
      <c r="AA4">
        <f>S4/G4</f>
        <v>0.68769329520919653</v>
      </c>
      <c r="AB4">
        <f>AVERAGE(Y4:AA4)</f>
        <v>0.6825717455382615</v>
      </c>
      <c r="AC4">
        <f>STDEV(Y4:AA4)</f>
        <v>1.0300181627483597E-2</v>
      </c>
      <c r="AE4">
        <f>AB4*100</f>
        <v>68.257174553826147</v>
      </c>
      <c r="AF4">
        <f>AC4*100</f>
        <v>1.0300181627483596</v>
      </c>
    </row>
    <row r="5" spans="1:32" x14ac:dyDescent="0.3">
      <c r="B5" s="1" t="s">
        <v>0</v>
      </c>
      <c r="C5" s="1"/>
      <c r="D5" s="1"/>
      <c r="E5" s="1"/>
      <c r="F5" s="1"/>
      <c r="G5" s="1"/>
      <c r="H5" s="1" t="s">
        <v>1</v>
      </c>
      <c r="I5" s="1"/>
      <c r="J5" s="1"/>
      <c r="K5" s="1"/>
      <c r="L5" s="1"/>
      <c r="M5" s="1"/>
      <c r="N5" s="1" t="s">
        <v>2</v>
      </c>
      <c r="O5" s="1"/>
      <c r="P5" s="1"/>
      <c r="Q5" s="1"/>
      <c r="R5" s="1"/>
      <c r="S5" s="1"/>
      <c r="T5" s="1" t="s">
        <v>3</v>
      </c>
      <c r="U5" s="1"/>
      <c r="V5" s="1"/>
      <c r="W5" s="1"/>
      <c r="X5" s="1"/>
      <c r="Y5" s="1" t="s">
        <v>4</v>
      </c>
      <c r="Z5" s="1"/>
      <c r="AA5" s="1"/>
      <c r="AB5" s="1"/>
      <c r="AC5" s="1"/>
    </row>
    <row r="6" spans="1:32" x14ac:dyDescent="0.3">
      <c r="B6" s="1" t="s">
        <v>11</v>
      </c>
      <c r="C6" s="1"/>
      <c r="D6" s="1"/>
      <c r="E6" s="1" t="s">
        <v>12</v>
      </c>
      <c r="F6" s="1"/>
      <c r="G6" s="1"/>
      <c r="H6" s="1" t="s">
        <v>11</v>
      </c>
      <c r="I6" s="1"/>
      <c r="J6" s="1"/>
      <c r="K6" s="1" t="s">
        <v>12</v>
      </c>
      <c r="L6" s="1"/>
      <c r="M6" s="1"/>
      <c r="N6" s="1" t="s">
        <v>11</v>
      </c>
      <c r="O6" s="1"/>
      <c r="P6" s="1"/>
      <c r="Q6" s="1" t="s">
        <v>12</v>
      </c>
      <c r="R6" s="1"/>
      <c r="S6" s="1"/>
      <c r="V6" s="2"/>
      <c r="W6" s="2" t="s">
        <v>7</v>
      </c>
      <c r="X6" t="s">
        <v>8</v>
      </c>
      <c r="AA6" s="2"/>
      <c r="AB6" s="2" t="s">
        <v>7</v>
      </c>
      <c r="AC6" t="s">
        <v>8</v>
      </c>
    </row>
    <row r="7" spans="1:32" x14ac:dyDescent="0.3">
      <c r="A7" t="s">
        <v>13</v>
      </c>
      <c r="B7">
        <v>3106.3</v>
      </c>
      <c r="C7">
        <v>3170.64</v>
      </c>
      <c r="D7">
        <v>2515.5770000000002</v>
      </c>
      <c r="H7">
        <v>2771.645</v>
      </c>
      <c r="I7">
        <v>2971</v>
      </c>
      <c r="J7">
        <v>2329.6999999999998</v>
      </c>
      <c r="K7">
        <v>0</v>
      </c>
      <c r="L7">
        <v>0</v>
      </c>
      <c r="M7">
        <v>0</v>
      </c>
      <c r="N7">
        <v>2621.7440000000001</v>
      </c>
      <c r="O7">
        <v>2034.9490000000001</v>
      </c>
      <c r="P7">
        <v>1609.83</v>
      </c>
      <c r="Q7">
        <v>0</v>
      </c>
      <c r="R7">
        <v>0</v>
      </c>
      <c r="S7">
        <v>0</v>
      </c>
      <c r="T7">
        <f>H7/B7</f>
        <v>0.89226571805685218</v>
      </c>
      <c r="U7">
        <f>I7/C7</f>
        <v>0.93703479423712566</v>
      </c>
      <c r="V7">
        <f>J7/D7</f>
        <v>0.92610959632720435</v>
      </c>
      <c r="W7">
        <f>AVERAGE(T7:V7)</f>
        <v>0.91847003620706069</v>
      </c>
      <c r="X7">
        <f>STDEV(T7:V7)</f>
        <v>2.3341801657771603E-2</v>
      </c>
      <c r="Y7">
        <f>N7/B7</f>
        <v>0.84400862762772433</v>
      </c>
      <c r="Z7">
        <f>O7/C7</f>
        <v>0.64181017081724834</v>
      </c>
      <c r="AA7">
        <f>P7/D7</f>
        <v>0.63994463298082305</v>
      </c>
      <c r="AB7">
        <f>AVERAGE(Y7:AA7)</f>
        <v>0.7085878104752652</v>
      </c>
      <c r="AC7">
        <f>STDEV(Y7:AA7)</f>
        <v>0.11728157718301144</v>
      </c>
      <c r="AE7">
        <f>AB7*100</f>
        <v>70.85878104752652</v>
      </c>
      <c r="AF7">
        <f>AC7*100</f>
        <v>11.728157718301144</v>
      </c>
    </row>
    <row r="8" spans="1:32" x14ac:dyDescent="0.3">
      <c r="A8" t="s">
        <v>14</v>
      </c>
      <c r="E8">
        <v>575.62599999999998</v>
      </c>
      <c r="F8">
        <v>405.64800000000002</v>
      </c>
      <c r="G8">
        <v>549.89300000000003</v>
      </c>
      <c r="H8">
        <v>869</v>
      </c>
      <c r="I8">
        <v>644</v>
      </c>
      <c r="J8">
        <v>1183.797</v>
      </c>
      <c r="K8">
        <v>280.96800000000002</v>
      </c>
      <c r="L8">
        <v>329.2</v>
      </c>
      <c r="M8">
        <v>120.788</v>
      </c>
      <c r="N8">
        <v>1037</v>
      </c>
      <c r="O8">
        <v>840</v>
      </c>
      <c r="P8">
        <v>1400</v>
      </c>
      <c r="Q8">
        <v>173.5</v>
      </c>
      <c r="R8">
        <v>168.63499999999999</v>
      </c>
      <c r="S8">
        <v>136.554</v>
      </c>
      <c r="T8">
        <f>K8/E8</f>
        <v>0.48810859829125164</v>
      </c>
      <c r="U8">
        <f>L8/F8</f>
        <v>0.81154104050802656</v>
      </c>
      <c r="V8">
        <f>M8/G8</f>
        <v>0.21965727877968985</v>
      </c>
      <c r="W8">
        <f>AVERAGE(T8:V8)</f>
        <v>0.50643563919298928</v>
      </c>
      <c r="X8">
        <f>STDEV(T8:V8)</f>
        <v>0.29636718301894044</v>
      </c>
      <c r="Y8">
        <f>Q8/E8</f>
        <v>0.30141098560523677</v>
      </c>
      <c r="Z8">
        <f>R8/F8</f>
        <v>0.4157175679406776</v>
      </c>
      <c r="AA8">
        <f>S8/G8</f>
        <v>0.24832831114416803</v>
      </c>
      <c r="AB8">
        <f>AVERAGE(Y8:AA8)</f>
        <v>0.32181895489669415</v>
      </c>
      <c r="AC8">
        <f>STDEV(Y8:AA8)</f>
        <v>8.5540369011787118E-2</v>
      </c>
      <c r="AE8">
        <f>AB8*100</f>
        <v>32.181895489669415</v>
      </c>
      <c r="AF8">
        <f>AC8*100</f>
        <v>8.5540369011787121</v>
      </c>
    </row>
    <row r="10" spans="1:32" x14ac:dyDescent="0.3">
      <c r="A10" t="s">
        <v>15</v>
      </c>
      <c r="E10">
        <f>E8/$B$18*$A$18</f>
        <v>0.28195454839348028</v>
      </c>
      <c r="F10">
        <f>F8/$B$18*$A$18</f>
        <v>0.19869550480123988</v>
      </c>
      <c r="G10">
        <f>G8/$B$18*$A$18</f>
        <v>0.26934994680527996</v>
      </c>
      <c r="H10">
        <f>H8/$B$15*$A$15</f>
        <v>0.14825106394448825</v>
      </c>
      <c r="I10">
        <f>I8/$B$15*$A$15</f>
        <v>0.10986615095540901</v>
      </c>
      <c r="J10">
        <f>J8/$B$15*$A$15</f>
        <v>0.20195531040770237</v>
      </c>
      <c r="K10">
        <f>K8/$B$18*$A$18</f>
        <v>0.13762443939818456</v>
      </c>
      <c r="L10">
        <f>L8/$B$18*$A$18</f>
        <v>0.16124955671066579</v>
      </c>
      <c r="M10">
        <f>M8/$B$18*$A$18</f>
        <v>5.9164676354702003E-2</v>
      </c>
      <c r="N10">
        <f>N8/$B$15*$A$15</f>
        <v>0.17691179897633408</v>
      </c>
      <c r="O10">
        <f>O8/$B$15*$A$15</f>
        <v>0.14330367515922915</v>
      </c>
      <c r="P10">
        <f>P8/$B$15*$A$15</f>
        <v>0.23883945859871525</v>
      </c>
      <c r="Q10">
        <f>Q8/$B$18*$A$18</f>
        <v>8.4984198327158311E-2</v>
      </c>
      <c r="R10">
        <f>R8/$B$18*$A$18</f>
        <v>8.2601212016716663E-2</v>
      </c>
      <c r="S10">
        <f>S8/$B$18*$A$18</f>
        <v>6.6887217396926671E-2</v>
      </c>
    </row>
    <row r="11" spans="1:32" x14ac:dyDescent="0.3">
      <c r="E11">
        <f t="shared" ref="E11:S11" si="0">1000*E10</f>
        <v>281.95454839348025</v>
      </c>
      <c r="F11">
        <f t="shared" si="0"/>
        <v>198.69550480123988</v>
      </c>
      <c r="G11">
        <f t="shared" si="0"/>
        <v>269.34994680527996</v>
      </c>
      <c r="H11">
        <f t="shared" si="0"/>
        <v>148.25106394448827</v>
      </c>
      <c r="I11">
        <f t="shared" si="0"/>
        <v>109.86615095540901</v>
      </c>
      <c r="J11">
        <f t="shared" si="0"/>
        <v>201.95531040770237</v>
      </c>
      <c r="K11">
        <f t="shared" si="0"/>
        <v>137.62443939818456</v>
      </c>
      <c r="L11">
        <f t="shared" si="0"/>
        <v>161.24955671066579</v>
      </c>
      <c r="M11">
        <f t="shared" si="0"/>
        <v>59.164676354702003</v>
      </c>
      <c r="N11">
        <f t="shared" si="0"/>
        <v>176.91179897633407</v>
      </c>
      <c r="O11">
        <f t="shared" si="0"/>
        <v>143.30367515922916</v>
      </c>
      <c r="P11">
        <f t="shared" si="0"/>
        <v>238.83945859871525</v>
      </c>
      <c r="Q11">
        <f t="shared" si="0"/>
        <v>84.98419832715831</v>
      </c>
      <c r="R11">
        <f t="shared" si="0"/>
        <v>82.601212016716659</v>
      </c>
      <c r="S11">
        <f t="shared" si="0"/>
        <v>66.887217396926673</v>
      </c>
      <c r="U11">
        <f>N10/E10</f>
        <v>0.62744793437219426</v>
      </c>
      <c r="V11">
        <f>O10/F10</f>
        <v>0.72122253245024048</v>
      </c>
      <c r="W11">
        <f>P10/G10</f>
        <v>0.88672547157166681</v>
      </c>
      <c r="Y11">
        <f>AVERAGE(U11:W11)</f>
        <v>0.74513197946470056</v>
      </c>
      <c r="Z11">
        <f>STDEV(U11:W11)</f>
        <v>0.13128197350153945</v>
      </c>
    </row>
    <row r="12" spans="1:32" x14ac:dyDescent="0.3">
      <c r="L12" t="s">
        <v>0</v>
      </c>
      <c r="M12" s="1" t="s">
        <v>1</v>
      </c>
      <c r="N12" s="1"/>
      <c r="O12" s="1" t="s">
        <v>2</v>
      </c>
      <c r="P12" s="1"/>
    </row>
    <row r="13" spans="1:32" x14ac:dyDescent="0.3">
      <c r="L13" t="s">
        <v>16</v>
      </c>
      <c r="M13" t="s">
        <v>17</v>
      </c>
      <c r="N13" t="s">
        <v>16</v>
      </c>
      <c r="O13" t="s">
        <v>17</v>
      </c>
      <c r="P13" t="s">
        <v>16</v>
      </c>
      <c r="Y13" t="s">
        <v>18</v>
      </c>
      <c r="Z13" t="s">
        <v>19</v>
      </c>
      <c r="AA13" t="s">
        <v>17</v>
      </c>
      <c r="AB13" t="s">
        <v>16</v>
      </c>
    </row>
    <row r="14" spans="1:32" x14ac:dyDescent="0.3">
      <c r="A14" t="s">
        <v>17</v>
      </c>
      <c r="K14" t="s">
        <v>20</v>
      </c>
      <c r="L14">
        <v>250.00000000000006</v>
      </c>
      <c r="M14">
        <v>153.35750843586655</v>
      </c>
      <c r="N14">
        <v>119.34622415451746</v>
      </c>
      <c r="O14">
        <v>186.35164424475948</v>
      </c>
      <c r="P14">
        <v>78.157542580267204</v>
      </c>
      <c r="R14">
        <f t="shared" ref="R14:V15" si="1">L14*1000</f>
        <v>250000.00000000006</v>
      </c>
      <c r="S14">
        <f t="shared" si="1"/>
        <v>153357.50843586656</v>
      </c>
      <c r="T14">
        <f t="shared" si="1"/>
        <v>119346.22415451746</v>
      </c>
      <c r="U14">
        <f t="shared" si="1"/>
        <v>186351.64424475949</v>
      </c>
      <c r="V14">
        <f t="shared" si="1"/>
        <v>78157.542580267211</v>
      </c>
    </row>
    <row r="15" spans="1:32" x14ac:dyDescent="0.3">
      <c r="A15">
        <v>0.5</v>
      </c>
      <c r="B15">
        <f>AVERAGE(B7:D7)</f>
        <v>2930.8389999999999</v>
      </c>
      <c r="K15" t="s">
        <v>21</v>
      </c>
      <c r="L15">
        <v>44.875744183233245</v>
      </c>
      <c r="M15">
        <v>46.2564606694581</v>
      </c>
      <c r="N15">
        <v>53.440626527888178</v>
      </c>
      <c r="O15">
        <v>48.462402833206369</v>
      </c>
      <c r="P15">
        <v>9.8328443617612482</v>
      </c>
      <c r="R15">
        <f t="shared" si="1"/>
        <v>44875.744183233248</v>
      </c>
      <c r="S15">
        <f t="shared" si="1"/>
        <v>46256.460669458102</v>
      </c>
      <c r="T15">
        <f t="shared" si="1"/>
        <v>53440.626527888176</v>
      </c>
      <c r="U15">
        <f t="shared" si="1"/>
        <v>48462.402833206368</v>
      </c>
      <c r="V15">
        <f t="shared" si="1"/>
        <v>9832.8443617612484</v>
      </c>
    </row>
    <row r="17" spans="1:16" x14ac:dyDescent="0.3">
      <c r="A17" t="s">
        <v>16</v>
      </c>
      <c r="L17">
        <v>0</v>
      </c>
      <c r="M17">
        <v>12</v>
      </c>
      <c r="N17">
        <v>24</v>
      </c>
    </row>
    <row r="18" spans="1:16" x14ac:dyDescent="0.3">
      <c r="A18">
        <v>0.25</v>
      </c>
      <c r="B18">
        <f>AVERAGE(E8:G8)</f>
        <v>510.38899999999995</v>
      </c>
      <c r="P18">
        <f>O14/L14</f>
        <v>0.74540657697903778</v>
      </c>
    </row>
  </sheetData>
  <mergeCells count="25">
    <mergeCell ref="M12:N12"/>
    <mergeCell ref="O12:P12"/>
    <mergeCell ref="Y5:AC5"/>
    <mergeCell ref="B6:D6"/>
    <mergeCell ref="E6:G6"/>
    <mergeCell ref="H6:J6"/>
    <mergeCell ref="K6:M6"/>
    <mergeCell ref="N6:P6"/>
    <mergeCell ref="Q6:S6"/>
    <mergeCell ref="Q2:S2"/>
    <mergeCell ref="B4:C4"/>
    <mergeCell ref="B5:G5"/>
    <mergeCell ref="H5:M5"/>
    <mergeCell ref="N5:S5"/>
    <mergeCell ref="T5:X5"/>
    <mergeCell ref="B1:G1"/>
    <mergeCell ref="H1:M1"/>
    <mergeCell ref="N1:S1"/>
    <mergeCell ref="T1:X1"/>
    <mergeCell ref="Y1:AC1"/>
    <mergeCell ref="B2:D2"/>
    <mergeCell ref="E2:G2"/>
    <mergeCell ref="H2:J2"/>
    <mergeCell ref="K2:M2"/>
    <mergeCell ref="N2:P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01440-4BE0-40C9-8434-C8B1ABC8887D}">
  <dimension ref="A1:P42"/>
  <sheetViews>
    <sheetView zoomScale="70" zoomScaleNormal="70" workbookViewId="0">
      <selection activeCell="L2" sqref="L2:N2"/>
    </sheetView>
  </sheetViews>
  <sheetFormatPr defaultRowHeight="14.4" x14ac:dyDescent="0.3"/>
  <cols>
    <col min="1" max="1" width="10.21875" bestFit="1" customWidth="1"/>
    <col min="2" max="2" width="24.33203125" customWidth="1"/>
    <col min="5" max="5" width="12.21875" bestFit="1" customWidth="1"/>
    <col min="6" max="6" width="17.6640625" bestFit="1" customWidth="1"/>
    <col min="7" max="7" width="30.6640625" bestFit="1" customWidth="1"/>
    <col min="8" max="8" width="17.88671875" bestFit="1" customWidth="1"/>
  </cols>
  <sheetData>
    <row r="1" spans="1:16" x14ac:dyDescent="0.3">
      <c r="A1" s="1" t="s">
        <v>22</v>
      </c>
      <c r="B1" s="1"/>
    </row>
    <row r="2" spans="1:16" x14ac:dyDescent="0.3">
      <c r="A2" t="s">
        <v>23</v>
      </c>
      <c r="B2" t="s">
        <v>24</v>
      </c>
      <c r="E2" t="s">
        <v>25</v>
      </c>
      <c r="F2" t="s">
        <v>26</v>
      </c>
      <c r="G2" t="s">
        <v>27</v>
      </c>
      <c r="H2" t="s">
        <v>28</v>
      </c>
      <c r="I2" s="1" t="s">
        <v>29</v>
      </c>
      <c r="J2" s="1"/>
      <c r="K2" s="1"/>
      <c r="L2" s="1" t="s">
        <v>30</v>
      </c>
      <c r="M2" s="1"/>
      <c r="N2" s="1"/>
      <c r="O2" t="s">
        <v>31</v>
      </c>
      <c r="P2" t="s">
        <v>8</v>
      </c>
    </row>
    <row r="3" spans="1:16" x14ac:dyDescent="0.3">
      <c r="A3" s="1" t="s">
        <v>32</v>
      </c>
      <c r="B3" s="1"/>
      <c r="D3">
        <v>1</v>
      </c>
      <c r="E3" t="s">
        <v>33</v>
      </c>
      <c r="F3" t="s">
        <v>34</v>
      </c>
      <c r="G3">
        <v>2000</v>
      </c>
      <c r="H3" t="s">
        <v>35</v>
      </c>
      <c r="I3">
        <v>528.04499999999996</v>
      </c>
      <c r="J3">
        <v>493.31799999999998</v>
      </c>
      <c r="K3">
        <v>648.15899999999999</v>
      </c>
      <c r="L3">
        <f>I3*$B$20</f>
        <v>99.298916643356534</v>
      </c>
      <c r="M3">
        <f>J3*$B$20</f>
        <v>92.768500716165036</v>
      </c>
      <c r="N3">
        <f>K3*$B$20</f>
        <v>121.88636671617256</v>
      </c>
      <c r="O3">
        <f>AVERAGE(L3:N3)</f>
        <v>104.65126135856472</v>
      </c>
      <c r="P3">
        <f>STDEV(L3:N3)</f>
        <v>15.279012584634051</v>
      </c>
    </row>
    <row r="4" spans="1:16" x14ac:dyDescent="0.3">
      <c r="A4">
        <v>0</v>
      </c>
      <c r="B4">
        <v>0</v>
      </c>
      <c r="D4">
        <v>2</v>
      </c>
      <c r="E4" t="s">
        <v>33</v>
      </c>
      <c r="F4" t="s">
        <v>34</v>
      </c>
      <c r="G4">
        <v>2000</v>
      </c>
      <c r="H4" t="s">
        <v>36</v>
      </c>
      <c r="I4">
        <v>231.47</v>
      </c>
      <c r="J4">
        <v>235.42</v>
      </c>
      <c r="K4">
        <v>251.92400000000001</v>
      </c>
      <c r="L4">
        <f>I4*$B$35</f>
        <v>122.17413319684557</v>
      </c>
      <c r="M4">
        <f>J4*$B$35</f>
        <v>124.25901601590436</v>
      </c>
      <c r="N4">
        <f>K4*$B$35</f>
        <v>132.97013147052371</v>
      </c>
      <c r="O4">
        <f>AVERAGE(L4:N4)</f>
        <v>126.46776022775788</v>
      </c>
      <c r="P4">
        <f>STDEV(L4:N4)</f>
        <v>5.7268933922644871</v>
      </c>
    </row>
    <row r="5" spans="1:16" x14ac:dyDescent="0.3">
      <c r="A5">
        <v>500</v>
      </c>
      <c r="B5">
        <v>6000</v>
      </c>
      <c r="D5">
        <v>3</v>
      </c>
      <c r="E5" t="s">
        <v>37</v>
      </c>
      <c r="F5" t="s">
        <v>34</v>
      </c>
      <c r="G5">
        <v>2000</v>
      </c>
      <c r="H5" t="s">
        <v>35</v>
      </c>
      <c r="I5">
        <v>986.17100000000005</v>
      </c>
      <c r="J5">
        <v>1183.499</v>
      </c>
      <c r="K5">
        <v>964.63099999999997</v>
      </c>
      <c r="L5">
        <f>I5*$B$20</f>
        <v>185.44955813443093</v>
      </c>
      <c r="M5">
        <f>J5*$B$20</f>
        <v>222.55710886097933</v>
      </c>
      <c r="N5">
        <f>K5*$B$20</f>
        <v>181.39895891561829</v>
      </c>
      <c r="O5">
        <f>AVERAGE(L5:N5)</f>
        <v>196.46854197034284</v>
      </c>
      <c r="P5">
        <f>STDEV(L5:N5)</f>
        <v>22.6839553498342</v>
      </c>
    </row>
    <row r="6" spans="1:16" x14ac:dyDescent="0.3">
      <c r="A6">
        <v>1000</v>
      </c>
      <c r="B6">
        <v>12238.509</v>
      </c>
      <c r="D6">
        <v>4</v>
      </c>
      <c r="E6" t="s">
        <v>37</v>
      </c>
      <c r="F6" t="s">
        <v>34</v>
      </c>
      <c r="G6">
        <v>2000</v>
      </c>
      <c r="H6" t="s">
        <v>36</v>
      </c>
      <c r="I6">
        <v>220.75800000000001</v>
      </c>
      <c r="J6">
        <v>227.5</v>
      </c>
      <c r="K6">
        <v>231.8</v>
      </c>
      <c r="L6">
        <f>I6*$B$35</f>
        <v>116.5201421189322</v>
      </c>
      <c r="M6">
        <f>J6*$B$35</f>
        <v>120.07869400908268</v>
      </c>
      <c r="N6">
        <f>K6*$B$35</f>
        <v>122.34831328046315</v>
      </c>
      <c r="O6">
        <f>AVERAGE(L6:N6)</f>
        <v>119.64904980282601</v>
      </c>
      <c r="P6">
        <f>STDEV(L6:N6)</f>
        <v>2.9377440970926467</v>
      </c>
    </row>
    <row r="7" spans="1:16" x14ac:dyDescent="0.3">
      <c r="A7" t="s">
        <v>38</v>
      </c>
      <c r="B7">
        <f t="array" ref="B7:B9">LINEST(A4:A6,B4:B6,TRUE,TRUE)</f>
        <v>8.1698956689638863E-2</v>
      </c>
    </row>
    <row r="8" spans="1:16" x14ac:dyDescent="0.3">
      <c r="A8" t="s">
        <v>39</v>
      </c>
      <c r="B8">
        <v>9.19246834824535E-4</v>
      </c>
    </row>
    <row r="9" spans="1:16" x14ac:dyDescent="0.3">
      <c r="A9" t="s">
        <v>40</v>
      </c>
      <c r="B9">
        <v>0.99987341673675567</v>
      </c>
    </row>
    <row r="11" spans="1:16" x14ac:dyDescent="0.3">
      <c r="A11" s="1" t="s">
        <v>41</v>
      </c>
      <c r="B11" s="1"/>
    </row>
    <row r="12" spans="1:16" x14ac:dyDescent="0.3">
      <c r="A12" t="s">
        <v>24</v>
      </c>
      <c r="B12" t="s">
        <v>42</v>
      </c>
    </row>
    <row r="13" spans="1:16" x14ac:dyDescent="0.3">
      <c r="A13">
        <v>1000</v>
      </c>
      <c r="B13">
        <f>A13*B7</f>
        <v>81.698956689638862</v>
      </c>
    </row>
    <row r="15" spans="1:16" x14ac:dyDescent="0.3">
      <c r="A15" t="s">
        <v>23</v>
      </c>
      <c r="B15" t="s">
        <v>24</v>
      </c>
    </row>
    <row r="16" spans="1:16" x14ac:dyDescent="0.3">
      <c r="A16" s="1" t="s">
        <v>43</v>
      </c>
      <c r="B16" s="1"/>
    </row>
    <row r="17" spans="1:2" x14ac:dyDescent="0.3">
      <c r="A17">
        <v>0</v>
      </c>
      <c r="B17">
        <v>0</v>
      </c>
    </row>
    <row r="18" spans="1:2" x14ac:dyDescent="0.3">
      <c r="A18">
        <v>500</v>
      </c>
      <c r="B18">
        <f>SUM(1343,1598.8)</f>
        <v>2941.8</v>
      </c>
    </row>
    <row r="19" spans="1:2" x14ac:dyDescent="0.3">
      <c r="A19">
        <v>1000</v>
      </c>
      <c r="B19">
        <v>5296</v>
      </c>
    </row>
    <row r="20" spans="1:2" x14ac:dyDescent="0.3">
      <c r="A20" t="s">
        <v>38</v>
      </c>
      <c r="B20">
        <f t="array" ref="B20:B22">LINEST(A17:A19,B17:B19,TRUE,TRUE)</f>
        <v>0.18805010300894157</v>
      </c>
    </row>
    <row r="21" spans="1:2" x14ac:dyDescent="0.3">
      <c r="A21" t="s">
        <v>39</v>
      </c>
      <c r="B21">
        <v>1.2046108178597479E-2</v>
      </c>
    </row>
    <row r="22" spans="1:2" x14ac:dyDescent="0.3">
      <c r="A22" t="s">
        <v>40</v>
      </c>
      <c r="B22">
        <v>0.99591334553535471</v>
      </c>
    </row>
    <row r="24" spans="1:2" x14ac:dyDescent="0.3">
      <c r="A24" s="1" t="s">
        <v>44</v>
      </c>
      <c r="B24" s="1"/>
    </row>
    <row r="25" spans="1:2" x14ac:dyDescent="0.3">
      <c r="A25" t="s">
        <v>24</v>
      </c>
      <c r="B25" t="s">
        <v>42</v>
      </c>
    </row>
    <row r="26" spans="1:2" x14ac:dyDescent="0.3">
      <c r="A26">
        <v>72.3</v>
      </c>
      <c r="B26">
        <f>A26*B20</f>
        <v>13.596022447546474</v>
      </c>
    </row>
    <row r="27" spans="1:2" x14ac:dyDescent="0.3">
      <c r="A27">
        <v>162.6</v>
      </c>
      <c r="B27">
        <f>A27*B20</f>
        <v>30.576946749253899</v>
      </c>
    </row>
    <row r="30" spans="1:2" x14ac:dyDescent="0.3">
      <c r="A30" t="s">
        <v>23</v>
      </c>
      <c r="B30" t="s">
        <v>24</v>
      </c>
    </row>
    <row r="31" spans="1:2" x14ac:dyDescent="0.3">
      <c r="A31" s="1" t="s">
        <v>45</v>
      </c>
      <c r="B31" s="1"/>
    </row>
    <row r="32" spans="1:2" x14ac:dyDescent="0.3">
      <c r="A32">
        <v>0</v>
      </c>
      <c r="B32">
        <v>0</v>
      </c>
    </row>
    <row r="33" spans="1:2" x14ac:dyDescent="0.3">
      <c r="A33">
        <v>50</v>
      </c>
      <c r="B33">
        <v>98</v>
      </c>
    </row>
    <row r="34" spans="1:2" x14ac:dyDescent="0.3">
      <c r="A34">
        <v>100</v>
      </c>
      <c r="B34">
        <v>189.38200000000001</v>
      </c>
    </row>
    <row r="35" spans="1:2" x14ac:dyDescent="0.3">
      <c r="A35" t="s">
        <v>38</v>
      </c>
      <c r="B35">
        <f t="array" ref="B35:B37">LINEST(A32:A34,B32:B34,TRUE,TRUE)</f>
        <v>0.52781843520475902</v>
      </c>
    </row>
    <row r="36" spans="1:2" x14ac:dyDescent="0.3">
      <c r="A36" t="s">
        <v>39</v>
      </c>
      <c r="B36">
        <v>1.0649077596409394E-2</v>
      </c>
    </row>
    <row r="37" spans="1:2" x14ac:dyDescent="0.3">
      <c r="A37" t="s">
        <v>40</v>
      </c>
      <c r="B37">
        <v>0.99959310895947706</v>
      </c>
    </row>
    <row r="39" spans="1:2" x14ac:dyDescent="0.3">
      <c r="A39" s="1" t="s">
        <v>44</v>
      </c>
      <c r="B39" s="1"/>
    </row>
    <row r="40" spans="1:2" x14ac:dyDescent="0.3">
      <c r="A40" t="s">
        <v>24</v>
      </c>
      <c r="B40" t="s">
        <v>42</v>
      </c>
    </row>
    <row r="41" spans="1:2" x14ac:dyDescent="0.3">
      <c r="A41">
        <v>72.3</v>
      </c>
      <c r="B41">
        <f>A41*B35</f>
        <v>38.161272865304078</v>
      </c>
    </row>
    <row r="42" spans="1:2" x14ac:dyDescent="0.3">
      <c r="A42">
        <v>162.6</v>
      </c>
      <c r="B42">
        <f>A42*B35</f>
        <v>85.823277564293818</v>
      </c>
    </row>
  </sheetData>
  <mergeCells count="9">
    <mergeCell ref="A24:B24"/>
    <mergeCell ref="A31:B31"/>
    <mergeCell ref="A39:B39"/>
    <mergeCell ref="A1:B1"/>
    <mergeCell ref="I2:K2"/>
    <mergeCell ref="L2:N2"/>
    <mergeCell ref="A3:B3"/>
    <mergeCell ref="A11:B11"/>
    <mergeCell ref="A16:B1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33410-0FB8-4DC2-A539-AC3FF6C96ACD}">
  <dimension ref="A1:J28"/>
  <sheetViews>
    <sheetView tabSelected="1" zoomScaleNormal="100" workbookViewId="0">
      <selection activeCell="D16" sqref="D16"/>
    </sheetView>
  </sheetViews>
  <sheetFormatPr defaultRowHeight="14.4" x14ac:dyDescent="0.3"/>
  <cols>
    <col min="4" max="4" width="21.6640625" bestFit="1" customWidth="1"/>
  </cols>
  <sheetData>
    <row r="1" spans="1:10" x14ac:dyDescent="0.3">
      <c r="A1" s="1" t="s">
        <v>22</v>
      </c>
      <c r="B1" s="1"/>
      <c r="C1" s="1"/>
    </row>
    <row r="2" spans="1:10" x14ac:dyDescent="0.3">
      <c r="A2" t="s">
        <v>23</v>
      </c>
      <c r="B2" t="s">
        <v>24</v>
      </c>
      <c r="E2" s="1" t="s">
        <v>58</v>
      </c>
      <c r="F2" s="1"/>
      <c r="G2" s="1"/>
      <c r="H2" s="1" t="s">
        <v>57</v>
      </c>
      <c r="I2" s="1"/>
      <c r="J2" s="1"/>
    </row>
    <row r="3" spans="1:10" x14ac:dyDescent="0.3">
      <c r="A3" s="1" t="s">
        <v>56</v>
      </c>
      <c r="B3" s="1"/>
      <c r="D3" t="s">
        <v>55</v>
      </c>
      <c r="E3">
        <v>309.44799999999998</v>
      </c>
      <c r="F3">
        <v>441.49200000000002</v>
      </c>
      <c r="G3">
        <v>358.65100000000001</v>
      </c>
    </row>
    <row r="4" spans="1:10" x14ac:dyDescent="0.3">
      <c r="A4">
        <v>0</v>
      </c>
      <c r="B4">
        <v>0</v>
      </c>
      <c r="D4" t="s">
        <v>54</v>
      </c>
      <c r="E4">
        <v>122.899</v>
      </c>
      <c r="F4">
        <v>54.997</v>
      </c>
      <c r="G4">
        <v>83.820999999999998</v>
      </c>
    </row>
    <row r="5" spans="1:10" x14ac:dyDescent="0.3">
      <c r="A5">
        <v>500</v>
      </c>
      <c r="B5">
        <v>633</v>
      </c>
      <c r="D5" t="s">
        <v>53</v>
      </c>
      <c r="E5">
        <v>1858.635</v>
      </c>
      <c r="F5">
        <v>1707.35</v>
      </c>
      <c r="G5">
        <v>1769.9760000000001</v>
      </c>
      <c r="H5">
        <v>1011</v>
      </c>
      <c r="I5">
        <v>844.5</v>
      </c>
      <c r="J5">
        <v>969.98900000000003</v>
      </c>
    </row>
    <row r="6" spans="1:10" x14ac:dyDescent="0.3">
      <c r="A6">
        <v>1000</v>
      </c>
      <c r="B6">
        <v>1072</v>
      </c>
      <c r="D6" t="s">
        <v>52</v>
      </c>
      <c r="E6">
        <v>2101.4929999999999</v>
      </c>
      <c r="F6">
        <v>1711.797</v>
      </c>
      <c r="G6">
        <v>2134.9340000000002</v>
      </c>
    </row>
    <row r="7" spans="1:10" x14ac:dyDescent="0.3">
      <c r="D7" t="s">
        <v>51</v>
      </c>
      <c r="E7">
        <v>1014.774</v>
      </c>
      <c r="F7">
        <v>1055.9280000000001</v>
      </c>
      <c r="G7">
        <v>1066.1880000000001</v>
      </c>
    </row>
    <row r="8" spans="1:10" x14ac:dyDescent="0.3">
      <c r="A8" t="s">
        <v>38</v>
      </c>
      <c r="B8">
        <f>LINEST(A4:A6,B4:B6)</f>
        <v>0.92276227279561396</v>
      </c>
      <c r="D8" t="s">
        <v>50</v>
      </c>
      <c r="E8">
        <v>923.62199999999996</v>
      </c>
      <c r="F8">
        <v>1015.939</v>
      </c>
      <c r="G8">
        <v>994.404</v>
      </c>
      <c r="H8">
        <v>122.8</v>
      </c>
      <c r="I8">
        <v>131.73099999999999</v>
      </c>
      <c r="J8">
        <v>120.544</v>
      </c>
    </row>
    <row r="10" spans="1:10" x14ac:dyDescent="0.3">
      <c r="A10" s="1" t="s">
        <v>41</v>
      </c>
      <c r="B10" s="1"/>
    </row>
    <row r="11" spans="1:10" x14ac:dyDescent="0.3">
      <c r="A11" t="s">
        <v>24</v>
      </c>
      <c r="B11" t="s">
        <v>42</v>
      </c>
      <c r="H11">
        <f>H5*B20</f>
        <v>252.61895628354711</v>
      </c>
    </row>
    <row r="12" spans="1:10" x14ac:dyDescent="0.3">
      <c r="A12">
        <v>1000</v>
      </c>
      <c r="B12">
        <f>A12*B8</f>
        <v>922.76227279561397</v>
      </c>
    </row>
    <row r="14" spans="1:10" x14ac:dyDescent="0.3">
      <c r="A14" t="s">
        <v>23</v>
      </c>
      <c r="B14" t="s">
        <v>24</v>
      </c>
    </row>
    <row r="15" spans="1:10" x14ac:dyDescent="0.3">
      <c r="A15" s="1" t="s">
        <v>49</v>
      </c>
      <c r="B15" s="1"/>
    </row>
    <row r="16" spans="1:10" x14ac:dyDescent="0.3">
      <c r="A16">
        <v>0</v>
      </c>
      <c r="B16">
        <v>0</v>
      </c>
    </row>
    <row r="17" spans="1:9" x14ac:dyDescent="0.3">
      <c r="A17">
        <v>500</v>
      </c>
      <c r="B17">
        <v>1986</v>
      </c>
    </row>
    <row r="18" spans="1:9" x14ac:dyDescent="0.3">
      <c r="A18">
        <v>1000</v>
      </c>
      <c r="B18">
        <v>4002</v>
      </c>
    </row>
    <row r="20" spans="1:9" x14ac:dyDescent="0.3">
      <c r="A20" t="s">
        <v>38</v>
      </c>
      <c r="B20">
        <f>LINEST(A16:A18,B16:B18)</f>
        <v>0.24987038208065984</v>
      </c>
      <c r="E20" t="s">
        <v>48</v>
      </c>
      <c r="F20" t="s">
        <v>18</v>
      </c>
      <c r="H20" t="s">
        <v>17</v>
      </c>
    </row>
    <row r="21" spans="1:9" x14ac:dyDescent="0.3">
      <c r="F21" t="s">
        <v>7</v>
      </c>
      <c r="G21" t="s">
        <v>8</v>
      </c>
      <c r="H21" t="s">
        <v>47</v>
      </c>
      <c r="I21" t="s">
        <v>46</v>
      </c>
    </row>
    <row r="22" spans="1:9" x14ac:dyDescent="0.3">
      <c r="A22" s="1" t="s">
        <v>44</v>
      </c>
      <c r="B22" s="1"/>
      <c r="E22">
        <v>0</v>
      </c>
      <c r="F22">
        <f>AVERAGE(E6:G6)*B8</f>
        <v>1829.5988991124727</v>
      </c>
      <c r="G22">
        <f>STDEV(E6:G6)/AVERAGE(E6:G6)*F22</f>
        <v>217.07028587753695</v>
      </c>
      <c r="H22">
        <v>0</v>
      </c>
    </row>
    <row r="23" spans="1:9" x14ac:dyDescent="0.3">
      <c r="A23" t="s">
        <v>24</v>
      </c>
      <c r="B23" t="s">
        <v>42</v>
      </c>
      <c r="E23">
        <v>24</v>
      </c>
      <c r="F23">
        <f>(AVERAGE(E5:G5))*B8</f>
        <v>1641.2744999695853</v>
      </c>
      <c r="G23">
        <f>STDEV(E5:G5)*F23/AVERAGE(E5:G5)</f>
        <v>70.143677085159027</v>
      </c>
      <c r="H23">
        <f>AVERAGE(H5:J5)*B20</f>
        <v>235.33533866490049</v>
      </c>
      <c r="I23">
        <f>STDEV(H5:J5)/AVERAGE(H5:J5)*H23</f>
        <v>21.67583948898185</v>
      </c>
    </row>
    <row r="24" spans="1:9" x14ac:dyDescent="0.3">
      <c r="A24">
        <v>1000</v>
      </c>
      <c r="B24">
        <f>A24*B20</f>
        <v>249.87038208065985</v>
      </c>
    </row>
    <row r="26" spans="1:9" x14ac:dyDescent="0.3">
      <c r="F26" t="s">
        <v>19</v>
      </c>
      <c r="H26" t="s">
        <v>17</v>
      </c>
    </row>
    <row r="27" spans="1:9" x14ac:dyDescent="0.3">
      <c r="E27">
        <v>0</v>
      </c>
      <c r="F27">
        <f>AVERAGE(E7:G7)*2</f>
        <v>2091.2600000000002</v>
      </c>
      <c r="G27">
        <f>STDEV(E7:G7)</f>
        <v>27.210043219370366</v>
      </c>
      <c r="H27">
        <v>0</v>
      </c>
    </row>
    <row r="28" spans="1:9" x14ac:dyDescent="0.3">
      <c r="A28" s="1"/>
      <c r="B28" s="1"/>
      <c r="E28">
        <v>24</v>
      </c>
      <c r="F28">
        <f>AVERAGE(E8:G8)*2</f>
        <v>1955.9766666666667</v>
      </c>
      <c r="G28">
        <f>STDEV(E8:G8)*F28/AVERAGE(E8:G8)</f>
        <v>96.596329253928374</v>
      </c>
      <c r="H28">
        <f>AVERAGE(H8:J8)*B20</f>
        <v>31.240044519634495</v>
      </c>
      <c r="I28">
        <f>STDEV(H8:J8)*H28/AVERAGE(H8:J8)</f>
        <v>1.4782575716933015</v>
      </c>
    </row>
  </sheetData>
  <mergeCells count="8">
    <mergeCell ref="A28:B28"/>
    <mergeCell ref="A10:B10"/>
    <mergeCell ref="A22:B22"/>
    <mergeCell ref="E2:G2"/>
    <mergeCell ref="H2:J2"/>
    <mergeCell ref="A1:C1"/>
    <mergeCell ref="A3:B3"/>
    <mergeCell ref="A15:B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 2A Figure S2B</vt:lpstr>
      <vt:lpstr>Figure 2B and 4C</vt:lpstr>
      <vt:lpstr>Figure 2C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Neil Butler</dc:creator>
  <cp:lastModifiedBy>Neil Butler</cp:lastModifiedBy>
  <dcterms:created xsi:type="dcterms:W3CDTF">2023-03-02T13:07:30Z</dcterms:created>
  <dcterms:modified xsi:type="dcterms:W3CDTF">2023-03-02T13:08:53Z</dcterms:modified>
</cp:coreProperties>
</file>