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hypatia.uio.no\lh-med-klinmed-kre-olweus\Research projects\Neoantigen teamfolder\CTNNB1 paper\Editorial changes\"/>
    </mc:Choice>
  </mc:AlternateContent>
  <xr:revisionPtr revIDLastSave="0" documentId="13_ncr:1_{2168D012-5D56-43AC-9068-12B4B0C5BC35}" xr6:coauthVersionLast="47" xr6:coauthVersionMax="47" xr10:uidLastSave="{00000000-0000-0000-0000-000000000000}"/>
  <bookViews>
    <workbookView xWindow="28680" yWindow="-120" windowWidth="29040" windowHeight="17520" activeTab="2" xr2:uid="{00000000-000D-0000-FFFF-FFFF00000000}"/>
  </bookViews>
  <sheets>
    <sheet name="Supplementary Data 1a" sheetId="1" r:id="rId1"/>
    <sheet name="Supplementary Data 1b" sheetId="4" r:id="rId2"/>
    <sheet name="Supplementary Data 1c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E25" i="2" l="1"/>
  <c r="F25" i="2" s="1"/>
  <c r="E25" i="4"/>
  <c r="F25" i="4" s="1"/>
  <c r="E25" i="1"/>
  <c r="F25" i="1" s="1"/>
  <c r="F10" i="4"/>
  <c r="D39" i="2"/>
  <c r="D35" i="4"/>
  <c r="D42" i="1"/>
  <c r="D38" i="2"/>
  <c r="D37" i="2"/>
  <c r="D34" i="4"/>
  <c r="D33" i="4"/>
  <c r="E33" i="4" s="1"/>
  <c r="D41" i="1"/>
  <c r="D40" i="1"/>
  <c r="F4" i="2"/>
  <c r="F4" i="4"/>
  <c r="D31" i="1"/>
  <c r="E31" i="1" s="1"/>
  <c r="D30" i="1"/>
  <c r="E30" i="1" s="1"/>
  <c r="F5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4" i="1"/>
  <c r="D14" i="1"/>
  <c r="D9" i="1"/>
  <c r="D29" i="4"/>
  <c r="E29" i="4" s="1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9" i="4"/>
  <c r="F8" i="4"/>
  <c r="F7" i="4"/>
  <c r="F6" i="4"/>
  <c r="F5" i="4"/>
  <c r="F19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20" i="2"/>
  <c r="F21" i="2"/>
  <c r="F22" i="2"/>
  <c r="F23" i="2"/>
  <c r="F24" i="2"/>
  <c r="B30" i="2"/>
  <c r="C30" i="2"/>
  <c r="B31" i="2"/>
  <c r="D31" i="2" s="1"/>
  <c r="E31" i="2" s="1"/>
  <c r="E34" i="4" l="1"/>
  <c r="F26" i="1"/>
  <c r="E32" i="1" s="1"/>
  <c r="E39" i="2"/>
  <c r="E37" i="2"/>
  <c r="E38" i="2"/>
  <c r="F33" i="4"/>
  <c r="F34" i="4"/>
  <c r="E35" i="4"/>
  <c r="F35" i="4" s="1"/>
  <c r="E42" i="1"/>
  <c r="F42" i="1" s="1"/>
  <c r="E40" i="1"/>
  <c r="F40" i="1" s="1"/>
  <c r="E41" i="1"/>
  <c r="F41" i="1" s="1"/>
  <c r="F26" i="4"/>
  <c r="E30" i="4" s="1"/>
  <c r="F26" i="2"/>
  <c r="E33" i="2" s="1"/>
  <c r="D30" i="2"/>
  <c r="E30" i="2" s="1"/>
  <c r="F38" i="2" s="1"/>
  <c r="F39" i="2" l="1"/>
  <c r="F37" i="2"/>
  <c r="E34" i="1"/>
  <c r="E32" i="2"/>
  <c r="E34" i="2" s="1"/>
  <c r="E36" i="1" l="1"/>
</calcChain>
</file>

<file path=xl/sharedStrings.xml><?xml version="1.0" encoding="utf-8"?>
<sst xmlns="http://schemas.openxmlformats.org/spreadsheetml/2006/main" count="144" uniqueCount="70">
  <si>
    <t>Bladder Cancer</t>
  </si>
  <si>
    <t>Breast Cancer</t>
  </si>
  <si>
    <t>Cervical Cancer</t>
  </si>
  <si>
    <t>Colorectal Cancer</t>
  </si>
  <si>
    <t>Endometrial Cancer</t>
  </si>
  <si>
    <t>Esophagogastric Cancer</t>
  </si>
  <si>
    <t>Head and Neck Cancer</t>
  </si>
  <si>
    <t>Hepatobiliary Cancer</t>
  </si>
  <si>
    <t>Melanoma</t>
  </si>
  <si>
    <t>Non-Small Cell Lung Cancer</t>
  </si>
  <si>
    <t>Ovarian Cancer</t>
  </si>
  <si>
    <t>Pancreatic Cancer</t>
  </si>
  <si>
    <t>Prostate Cancer</t>
  </si>
  <si>
    <t>Renal Cell Carcinoma</t>
  </si>
  <si>
    <t>Salivary Gland Cancer</t>
  </si>
  <si>
    <t>Skin Cancer, Non-Melanoma</t>
  </si>
  <si>
    <t>Small Bowel Cancer</t>
  </si>
  <si>
    <t>Small Cell Lung Cancer</t>
  </si>
  <si>
    <t>Soft Tissue Sarcoma</t>
  </si>
  <si>
    <t>Thyroid Cancer</t>
  </si>
  <si>
    <t>Uterine Sarcoma</t>
  </si>
  <si>
    <t>Cancer type</t>
  </si>
  <si>
    <r>
      <t>Percentage of TP53</t>
    </r>
    <r>
      <rPr>
        <b/>
        <vertAlign val="superscript"/>
        <sz val="11"/>
        <color rgb="FF000000"/>
        <rFont val="Arial"/>
        <family val="2"/>
      </rPr>
      <t>R175H</t>
    </r>
    <r>
      <rPr>
        <b/>
        <sz val="11"/>
        <color rgb="FF000000"/>
        <rFont val="Arial"/>
        <family val="2"/>
      </rPr>
      <t>-mutated samples (both metastasis and primary)</t>
    </r>
  </si>
  <si>
    <t>Total count of cases (Primary and metastasis)</t>
  </si>
  <si>
    <t>Estimated new cancer cases in the United States, 2024</t>
  </si>
  <si>
    <r>
      <t>Count of TP53</t>
    </r>
    <r>
      <rPr>
        <b/>
        <vertAlign val="superscript"/>
        <sz val="11"/>
        <color rgb="FF000000"/>
        <rFont val="Arial"/>
        <family val="2"/>
      </rPr>
      <t>R175H</t>
    </r>
    <r>
      <rPr>
        <b/>
        <sz val="11"/>
        <color rgb="FF000000"/>
        <rFont val="Arial"/>
        <family val="2"/>
      </rPr>
      <t>-mutated samples (metastasis or primary)</t>
    </r>
  </si>
  <si>
    <t>HLA-allele</t>
  </si>
  <si>
    <t>Allele counts, United States population</t>
  </si>
  <si>
    <t>Sample size (2n), United States population</t>
  </si>
  <si>
    <t>Allele frequency</t>
  </si>
  <si>
    <t>Phenotype frequency, United States population (PF = 1-(1-AF)^2)</t>
  </si>
  <si>
    <t>A*02:01</t>
  </si>
  <si>
    <r>
      <t>Estimated annual number of HLA-A2+ CTNNB1</t>
    </r>
    <r>
      <rPr>
        <b/>
        <vertAlign val="superscript"/>
        <sz val="11"/>
        <color rgb="FF000000"/>
        <rFont val="Arial"/>
        <family val="2"/>
      </rPr>
      <t>S37F</t>
    </r>
    <r>
      <rPr>
        <b/>
        <sz val="11"/>
        <color rgb="FF000000"/>
        <rFont val="Arial"/>
        <family val="2"/>
      </rPr>
      <t xml:space="preserve">-mutated cases in the US: </t>
    </r>
  </si>
  <si>
    <r>
      <t>Estimated annual number of HLA-A2+ TP53</t>
    </r>
    <r>
      <rPr>
        <b/>
        <vertAlign val="superscript"/>
        <sz val="11"/>
        <color rgb="FF000000"/>
        <rFont val="Arial"/>
        <family val="2"/>
      </rPr>
      <t>R175H</t>
    </r>
    <r>
      <rPr>
        <b/>
        <sz val="11"/>
        <color rgb="FF000000"/>
        <rFont val="Arial"/>
        <family val="2"/>
      </rPr>
      <t xml:space="preserve">-mutated cases in the US: </t>
    </r>
  </si>
  <si>
    <r>
      <t>Estimated number of TP53</t>
    </r>
    <r>
      <rPr>
        <b/>
        <vertAlign val="superscript"/>
        <sz val="11"/>
        <color rgb="FF000000"/>
        <rFont val="Arial"/>
        <family val="2"/>
      </rPr>
      <t>R175H</t>
    </r>
    <r>
      <rPr>
        <b/>
        <sz val="11"/>
        <color rgb="FF000000"/>
        <rFont val="Arial"/>
        <family val="2"/>
      </rPr>
      <t>-mutated cases per year</t>
    </r>
  </si>
  <si>
    <r>
      <t>Estimated annual number of TP53</t>
    </r>
    <r>
      <rPr>
        <b/>
        <vertAlign val="superscript"/>
        <sz val="11"/>
        <color rgb="FF000000"/>
        <rFont val="Arial"/>
        <family val="2"/>
      </rPr>
      <t>R175H</t>
    </r>
    <r>
      <rPr>
        <b/>
        <sz val="11"/>
        <color rgb="FF000000"/>
        <rFont val="Arial"/>
        <family val="2"/>
      </rPr>
      <t xml:space="preserve">-mutated cases in the US: </t>
    </r>
  </si>
  <si>
    <r>
      <t>Estimated annual number of either HLA-A3+ or HLA-A11+ KRAS</t>
    </r>
    <r>
      <rPr>
        <b/>
        <vertAlign val="superscript"/>
        <sz val="11"/>
        <color rgb="FF000000"/>
        <rFont val="Arial"/>
        <family val="2"/>
      </rPr>
      <t>G12V</t>
    </r>
    <r>
      <rPr>
        <b/>
        <sz val="11"/>
        <color rgb="FF000000"/>
        <rFont val="Arial"/>
        <family val="2"/>
      </rPr>
      <t xml:space="preserve">-mutated cases in the US: </t>
    </r>
  </si>
  <si>
    <r>
      <t>Estimated annual number of HLA-A11+ KRAS</t>
    </r>
    <r>
      <rPr>
        <b/>
        <vertAlign val="superscript"/>
        <sz val="11"/>
        <color rgb="FF000000"/>
        <rFont val="Arial"/>
        <family val="2"/>
      </rPr>
      <t>G12V</t>
    </r>
    <r>
      <rPr>
        <b/>
        <sz val="11"/>
        <color rgb="FF000000"/>
        <rFont val="Arial"/>
        <family val="2"/>
      </rPr>
      <t xml:space="preserve">-mutated cases in the US: </t>
    </r>
  </si>
  <si>
    <r>
      <t>Estimated annual number of HLA-A3+ KRAS</t>
    </r>
    <r>
      <rPr>
        <b/>
        <vertAlign val="superscript"/>
        <sz val="11"/>
        <color rgb="FF000000"/>
        <rFont val="Arial"/>
        <family val="2"/>
      </rPr>
      <t>G12V</t>
    </r>
    <r>
      <rPr>
        <b/>
        <sz val="11"/>
        <color rgb="FF000000"/>
        <rFont val="Arial"/>
        <family val="2"/>
      </rPr>
      <t xml:space="preserve">-mutated cases in the US: </t>
    </r>
  </si>
  <si>
    <t>HLA-A*11:01</t>
  </si>
  <si>
    <t>HLA-A*03:01</t>
  </si>
  <si>
    <r>
      <t>Estimated annual number of KRAS</t>
    </r>
    <r>
      <rPr>
        <b/>
        <vertAlign val="superscript"/>
        <sz val="11"/>
        <color rgb="FF000000"/>
        <rFont val="Arial"/>
        <family val="2"/>
      </rPr>
      <t>G12V</t>
    </r>
    <r>
      <rPr>
        <b/>
        <sz val="11"/>
        <color rgb="FF000000"/>
        <rFont val="Arial"/>
        <family val="2"/>
      </rPr>
      <t xml:space="preserve">-mutated cases in the US: </t>
    </r>
  </si>
  <si>
    <r>
      <t>Estimated number of KRAS</t>
    </r>
    <r>
      <rPr>
        <b/>
        <vertAlign val="superscript"/>
        <sz val="11"/>
        <color rgb="FF000000"/>
        <rFont val="Arial"/>
        <family val="2"/>
      </rPr>
      <t>G12V</t>
    </r>
    <r>
      <rPr>
        <b/>
        <sz val="11"/>
        <color rgb="FF000000"/>
        <rFont val="Arial"/>
        <family val="2"/>
      </rPr>
      <t>-mutated cases per year</t>
    </r>
  </si>
  <si>
    <r>
      <t>Count of KRAS</t>
    </r>
    <r>
      <rPr>
        <b/>
        <vertAlign val="superscript"/>
        <sz val="11"/>
        <color rgb="FF000000"/>
        <rFont val="Arial"/>
        <family val="2"/>
      </rPr>
      <t>G12V</t>
    </r>
    <r>
      <rPr>
        <b/>
        <sz val="11"/>
        <color rgb="FF000000"/>
        <rFont val="Arial"/>
        <family val="2"/>
      </rPr>
      <t>-mutated samples (metastasis or primary)</t>
    </r>
  </si>
  <si>
    <r>
      <t>Percentage of KRAS</t>
    </r>
    <r>
      <rPr>
        <b/>
        <vertAlign val="superscript"/>
        <sz val="11"/>
        <color rgb="FF000000"/>
        <rFont val="Arial"/>
        <family val="2"/>
      </rPr>
      <t>G12V</t>
    </r>
    <r>
      <rPr>
        <b/>
        <sz val="11"/>
        <color rgb="FF000000"/>
        <rFont val="Arial"/>
        <family val="2"/>
      </rPr>
      <t>-mutated samples (both metastasis and primary)</t>
    </r>
  </si>
  <si>
    <t>Anal cancer</t>
  </si>
  <si>
    <r>
      <t>Percentage of CTNNB1</t>
    </r>
    <r>
      <rPr>
        <b/>
        <vertAlign val="superscript"/>
        <sz val="11"/>
        <color rgb="FF000000"/>
        <rFont val="Arial"/>
        <family val="2"/>
      </rPr>
      <t>S37F</t>
    </r>
    <r>
      <rPr>
        <b/>
        <sz val="11"/>
        <color rgb="FF000000"/>
        <rFont val="Arial"/>
        <family val="2"/>
      </rPr>
      <t>-mutated samples (both metastasis and primary)</t>
    </r>
  </si>
  <si>
    <r>
      <t>Count of CTNNB1</t>
    </r>
    <r>
      <rPr>
        <b/>
        <vertAlign val="superscript"/>
        <sz val="11"/>
        <color rgb="FF000000"/>
        <rFont val="Arial"/>
        <family val="2"/>
      </rPr>
      <t>S37F</t>
    </r>
    <r>
      <rPr>
        <b/>
        <sz val="11"/>
        <color rgb="FF000000"/>
        <rFont val="Arial"/>
        <family val="2"/>
      </rPr>
      <t>-mutated samples (metastasis or primary)</t>
    </r>
  </si>
  <si>
    <r>
      <t>Estimated number of CTNNB1</t>
    </r>
    <r>
      <rPr>
        <b/>
        <vertAlign val="superscript"/>
        <sz val="11"/>
        <color rgb="FF000000"/>
        <rFont val="Arial"/>
        <family val="2"/>
      </rPr>
      <t>S37F</t>
    </r>
    <r>
      <rPr>
        <b/>
        <sz val="11"/>
        <color rgb="FF000000"/>
        <rFont val="Arial"/>
        <family val="2"/>
      </rPr>
      <t>-mutated cases per year</t>
    </r>
  </si>
  <si>
    <t>Sample size (2n), United states population</t>
  </si>
  <si>
    <t>A*24:02</t>
  </si>
  <si>
    <r>
      <t>Estimated annual number of HLA-A24+ CTNNB1</t>
    </r>
    <r>
      <rPr>
        <b/>
        <vertAlign val="superscript"/>
        <sz val="11"/>
        <color rgb="FF000000"/>
        <rFont val="Arial"/>
        <family val="2"/>
      </rPr>
      <t>S37F</t>
    </r>
    <r>
      <rPr>
        <b/>
        <sz val="11"/>
        <color rgb="FF000000"/>
        <rFont val="Arial"/>
        <family val="2"/>
      </rPr>
      <t xml:space="preserve">-mutated cases in the US: </t>
    </r>
  </si>
  <si>
    <r>
      <t>Estimated annual number of either HLA-A2+ or HLA-A24+ CTNNB1</t>
    </r>
    <r>
      <rPr>
        <b/>
        <vertAlign val="superscript"/>
        <sz val="11"/>
        <color rgb="FF000000"/>
        <rFont val="Arial"/>
        <family val="2"/>
      </rPr>
      <t>S37F</t>
    </r>
    <r>
      <rPr>
        <b/>
        <sz val="11"/>
        <color rgb="FF000000"/>
        <rFont val="Arial"/>
        <family val="2"/>
      </rPr>
      <t xml:space="preserve">-mutated cases in the US each year: </t>
    </r>
  </si>
  <si>
    <t>Prostate adenocarcinoma</t>
  </si>
  <si>
    <t xml:space="preserve">Uterine Corpus Endometrial carcinoma </t>
  </si>
  <si>
    <t>Estimated percentage of patients that will develop refractory/metastatic disease</t>
  </si>
  <si>
    <t>Estimated percentage alive, in good performance status</t>
  </si>
  <si>
    <t>Estimated percentage of phase one population</t>
  </si>
  <si>
    <r>
      <t>Estimated annual number of CTNNB1</t>
    </r>
    <r>
      <rPr>
        <b/>
        <vertAlign val="superscript"/>
        <sz val="11"/>
        <color rgb="FF000000"/>
        <rFont val="Arial"/>
        <family val="2"/>
      </rPr>
      <t>S37F</t>
    </r>
    <r>
      <rPr>
        <b/>
        <sz val="11"/>
        <color rgb="FF000000"/>
        <rFont val="Arial"/>
        <family val="2"/>
      </rPr>
      <t>-mutated patients eligible for phase one in the US</t>
    </r>
  </si>
  <si>
    <r>
      <t>Estimated annual number of CTNNB1</t>
    </r>
    <r>
      <rPr>
        <b/>
        <vertAlign val="superscript"/>
        <sz val="11"/>
        <color rgb="FF000000"/>
        <rFont val="Arial"/>
        <family val="2"/>
      </rPr>
      <t>S37F</t>
    </r>
    <r>
      <rPr>
        <b/>
        <sz val="11"/>
        <color rgb="FF000000"/>
        <rFont val="Arial"/>
        <family val="2"/>
      </rPr>
      <t>-mutated patients eligible for phase one considering HLA-type in the US</t>
    </r>
  </si>
  <si>
    <r>
      <t>Estimated annual number of TP53</t>
    </r>
    <r>
      <rPr>
        <b/>
        <vertAlign val="superscript"/>
        <sz val="11"/>
        <color rgb="FF000000"/>
        <rFont val="Arial"/>
        <family val="2"/>
      </rPr>
      <t>R175H</t>
    </r>
    <r>
      <rPr>
        <b/>
        <sz val="11"/>
        <color rgb="FF000000"/>
        <rFont val="Arial"/>
        <family val="2"/>
      </rPr>
      <t>-mutated patients eligible for phase one considering HLA-type in the US</t>
    </r>
  </si>
  <si>
    <t>Non-small cell lung cancer</t>
  </si>
  <si>
    <r>
      <t>Estimated annual number of KRAS</t>
    </r>
    <r>
      <rPr>
        <b/>
        <vertAlign val="superscript"/>
        <sz val="11"/>
        <color rgb="FF000000"/>
        <rFont val="Arial"/>
        <family val="2"/>
      </rPr>
      <t>G12V</t>
    </r>
    <r>
      <rPr>
        <b/>
        <sz val="11"/>
        <color rgb="FF000000"/>
        <rFont val="Arial"/>
        <family val="2"/>
      </rPr>
      <t>-mutated patients eligible for phase one in the US</t>
    </r>
  </si>
  <si>
    <r>
      <t>Estimated annual number of KRAS</t>
    </r>
    <r>
      <rPr>
        <b/>
        <vertAlign val="superscript"/>
        <sz val="11"/>
        <color rgb="FF000000"/>
        <rFont val="Arial"/>
        <family val="2"/>
      </rPr>
      <t>G12V</t>
    </r>
    <r>
      <rPr>
        <b/>
        <sz val="11"/>
        <color rgb="FF000000"/>
        <rFont val="Arial"/>
        <family val="2"/>
      </rPr>
      <t>-mutated patients eligible for phase one considering HLA-type in the US</t>
    </r>
  </si>
  <si>
    <r>
      <t>Estimated annual number of CTNNB1</t>
    </r>
    <r>
      <rPr>
        <b/>
        <vertAlign val="superscript"/>
        <sz val="11"/>
        <color rgb="FF000000"/>
        <rFont val="Arial"/>
        <family val="2"/>
      </rPr>
      <t>S37F</t>
    </r>
    <r>
      <rPr>
        <b/>
        <sz val="11"/>
        <color rgb="FF000000"/>
        <rFont val="Arial"/>
        <family val="2"/>
      </rPr>
      <t xml:space="preserve">-mutated cases in the US: </t>
    </r>
  </si>
  <si>
    <r>
      <t>Estimated annual number of TP53</t>
    </r>
    <r>
      <rPr>
        <b/>
        <vertAlign val="superscript"/>
        <sz val="11"/>
        <color rgb="FF000000"/>
        <rFont val="Arial"/>
        <family val="2"/>
      </rPr>
      <t>R175H</t>
    </r>
    <r>
      <rPr>
        <b/>
        <sz val="11"/>
        <color rgb="FF000000"/>
        <rFont val="Arial"/>
        <family val="2"/>
      </rPr>
      <t>-mutated patients eligible for phase one in the US</t>
    </r>
  </si>
  <si>
    <r>
      <t xml:space="preserve">Supplementary Data 1b: </t>
    </r>
    <r>
      <rPr>
        <sz val="11"/>
        <color rgb="FF000000"/>
        <rFont val="Arial"/>
        <family val="2"/>
      </rPr>
      <t xml:space="preserve">Estimated annual number of patients in the US eligible for treatment with a TCR targeting the shared </t>
    </r>
    <r>
      <rPr>
        <i/>
        <sz val="11"/>
        <color rgb="FF000000"/>
        <rFont val="Arial"/>
        <family val="2"/>
      </rPr>
      <t>TP53</t>
    </r>
    <r>
      <rPr>
        <sz val="11"/>
        <color rgb="FF000000"/>
        <rFont val="Arial"/>
        <family val="2"/>
      </rPr>
      <t xml:space="preserve"> R175H mutation presented by HLA-A*02:01.</t>
    </r>
  </si>
  <si>
    <r>
      <t xml:space="preserve">Supplementary Data 1a: </t>
    </r>
    <r>
      <rPr>
        <sz val="11"/>
        <color rgb="FF000000"/>
        <rFont val="Arial"/>
        <family val="2"/>
      </rPr>
      <t xml:space="preserve">Estimated annual number of patients eligible for treatment with a TCR targeting the shared </t>
    </r>
    <r>
      <rPr>
        <i/>
        <sz val="11"/>
        <color rgb="FF000000"/>
        <rFont val="Arial"/>
        <family val="2"/>
      </rPr>
      <t>CTNNB1</t>
    </r>
    <r>
      <rPr>
        <sz val="11"/>
        <color rgb="FF000000"/>
        <rFont val="Arial"/>
        <family val="2"/>
      </rPr>
      <t xml:space="preserve"> S37F mutation presented by HLA-A*02:01 or HLA-A*24:02.</t>
    </r>
  </si>
  <si>
    <r>
      <t>Supplementary Data 1c:</t>
    </r>
    <r>
      <rPr>
        <sz val="11"/>
        <color rgb="FF000000"/>
        <rFont val="Arial"/>
        <family val="2"/>
      </rPr>
      <t xml:space="preserve"> Estimated annual number of patients eligible for treatment with a TCR targeting the shared </t>
    </r>
    <r>
      <rPr>
        <i/>
        <sz val="11"/>
        <color rgb="FF000000"/>
        <rFont val="Arial"/>
        <family val="2"/>
      </rPr>
      <t>KRAS</t>
    </r>
    <r>
      <rPr>
        <sz val="11"/>
        <color rgb="FF000000"/>
        <rFont val="Arial"/>
        <family val="2"/>
      </rPr>
      <t xml:space="preserve"> G12V mutation presented by HLA-A*03:01 or HLA-A*11:01.</t>
    </r>
  </si>
  <si>
    <t>Anal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</si>
</sst>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Arial"/>
      <family val="2"/>
    </font>
    <font>
      <sz val="11"/>
      <color rgb="FF00B050"/>
      <name val="Calibri"/>
      <family val="2"/>
      <scheme val="minor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2"/>
      <color rgb="FF000000"/>
      <name val="Arial"/>
      <family val="2"/>
    </font>
    <font>
      <i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5E5E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0" borderId="3" xfId="0" applyFont="1" applyBorder="1"/>
    <xf numFmtId="0" fontId="3" fillId="0" borderId="4" xfId="0" applyFont="1" applyBorder="1"/>
    <xf numFmtId="1" fontId="0" fillId="0" borderId="0" xfId="0" applyNumberFormat="1"/>
    <xf numFmtId="0" fontId="4" fillId="0" borderId="0" xfId="0" applyFont="1" applyFill="1" applyBorder="1" applyAlignment="1">
      <alignment horizontal="left" vertical="center"/>
    </xf>
    <xf numFmtId="1" fontId="3" fillId="0" borderId="2" xfId="0" applyNumberFormat="1" applyFont="1" applyBorder="1"/>
    <xf numFmtId="1" fontId="3" fillId="0" borderId="3" xfId="0" applyNumberFormat="1" applyFont="1" applyBorder="1"/>
    <xf numFmtId="1" fontId="3" fillId="0" borderId="4" xfId="0" applyNumberFormat="1" applyFont="1" applyBorder="1"/>
    <xf numFmtId="0" fontId="2" fillId="0" borderId="0" xfId="0" applyFont="1"/>
    <xf numFmtId="0" fontId="7" fillId="0" borderId="0" xfId="0" applyFont="1"/>
    <xf numFmtId="10" fontId="3" fillId="0" borderId="4" xfId="0" applyNumberFormat="1" applyFont="1" applyBorder="1"/>
    <xf numFmtId="10" fontId="3" fillId="0" borderId="3" xfId="0" applyNumberFormat="1" applyFont="1" applyBorder="1"/>
    <xf numFmtId="0" fontId="7" fillId="0" borderId="0" xfId="0" applyFont="1" applyFill="1"/>
    <xf numFmtId="0" fontId="8" fillId="0" borderId="3" xfId="0" applyFont="1" applyBorder="1"/>
    <xf numFmtId="0" fontId="8" fillId="0" borderId="3" xfId="0" applyFont="1" applyFill="1" applyBorder="1"/>
    <xf numFmtId="0" fontId="3" fillId="0" borderId="3" xfId="0" applyFont="1" applyFill="1" applyBorder="1"/>
    <xf numFmtId="10" fontId="3" fillId="0" borderId="3" xfId="0" applyNumberFormat="1" applyFont="1" applyFill="1" applyBorder="1"/>
    <xf numFmtId="0" fontId="0" fillId="0" borderId="0" xfId="0" applyFill="1"/>
    <xf numFmtId="0" fontId="3" fillId="0" borderId="6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10" fontId="3" fillId="0" borderId="3" xfId="0" applyNumberFormat="1" applyFont="1" applyFill="1" applyBorder="1" applyAlignment="1">
      <alignment vertical="center" wrapText="1"/>
    </xf>
    <xf numFmtId="1" fontId="3" fillId="0" borderId="3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10" fontId="8" fillId="0" borderId="3" xfId="1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" fontId="8" fillId="0" borderId="3" xfId="0" applyNumberFormat="1" applyFont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10" fontId="8" fillId="0" borderId="3" xfId="1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1" fontId="8" fillId="0" borderId="3" xfId="0" applyNumberFormat="1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10" fontId="8" fillId="0" borderId="4" xfId="1" applyNumberFormat="1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" fontId="8" fillId="0" borderId="4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" fontId="4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0" applyFont="1" applyAlignment="1">
      <alignment vertical="center"/>
    </xf>
    <xf numFmtId="10" fontId="3" fillId="0" borderId="2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9" fontId="3" fillId="0" borderId="2" xfId="1" applyFont="1" applyBorder="1" applyAlignment="1">
      <alignment horizontal="left" vertical="center" wrapText="1"/>
    </xf>
    <xf numFmtId="10" fontId="3" fillId="0" borderId="2" xfId="0" applyNumberFormat="1" applyFont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vertical="center" wrapText="1"/>
    </xf>
    <xf numFmtId="1" fontId="3" fillId="0" borderId="3" xfId="0" applyNumberFormat="1" applyFont="1" applyFill="1" applyBorder="1"/>
    <xf numFmtId="1" fontId="4" fillId="0" borderId="2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9" fontId="3" fillId="0" borderId="3" xfId="1" applyFont="1" applyBorder="1" applyAlignment="1">
      <alignment horizontal="left" vertical="center" wrapText="1"/>
    </xf>
    <xf numFmtId="1" fontId="3" fillId="0" borderId="10" xfId="0" applyNumberFormat="1" applyFont="1" applyBorder="1"/>
    <xf numFmtId="10" fontId="3" fillId="0" borderId="3" xfId="0" applyNumberFormat="1" applyFont="1" applyBorder="1" applyAlignment="1">
      <alignment horizontal="left" vertical="center" wrapText="1"/>
    </xf>
    <xf numFmtId="1" fontId="3" fillId="0" borderId="8" xfId="0" applyNumberFormat="1" applyFont="1" applyBorder="1"/>
    <xf numFmtId="1" fontId="3" fillId="0" borderId="9" xfId="0" applyNumberFormat="1" applyFont="1" applyBorder="1" applyAlignment="1">
      <alignment vertical="center"/>
    </xf>
    <xf numFmtId="1" fontId="3" fillId="0" borderId="4" xfId="0" applyNumberFormat="1" applyFont="1" applyBorder="1" applyAlignment="1">
      <alignment vertical="center"/>
    </xf>
    <xf numFmtId="1" fontId="3" fillId="0" borderId="3" xfId="0" applyNumberFormat="1" applyFont="1" applyBorder="1" applyAlignment="1">
      <alignment vertical="center"/>
    </xf>
    <xf numFmtId="9" fontId="3" fillId="0" borderId="4" xfId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4" fontId="3" fillId="0" borderId="8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164" fontId="3" fillId="0" borderId="10" xfId="0" applyNumberFormat="1" applyFont="1" applyBorder="1" applyAlignment="1">
      <alignment vertical="center" wrapText="1"/>
    </xf>
    <xf numFmtId="10" fontId="3" fillId="0" borderId="4" xfId="1" applyNumberFormat="1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right" vertic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zoomScale="80" zoomScaleNormal="80" workbookViewId="0">
      <selection activeCell="E14" sqref="E14"/>
    </sheetView>
  </sheetViews>
  <sheetFormatPr defaultColWidth="10.90625" defaultRowHeight="14.5" x14ac:dyDescent="0.35"/>
  <cols>
    <col min="1" max="1" width="41.81640625" bestFit="1" customWidth="1"/>
    <col min="2" max="2" width="44.1796875" customWidth="1"/>
    <col min="3" max="3" width="26.36328125" customWidth="1"/>
    <col min="4" max="4" width="40.7265625" customWidth="1"/>
    <col min="5" max="5" width="47.453125" bestFit="1" customWidth="1"/>
    <col min="6" max="6" width="48.26953125" bestFit="1" customWidth="1"/>
  </cols>
  <sheetData>
    <row r="1" spans="1:6" x14ac:dyDescent="0.35">
      <c r="A1" s="2" t="s">
        <v>67</v>
      </c>
      <c r="B1" s="1"/>
      <c r="C1" s="1"/>
      <c r="D1" s="1"/>
      <c r="E1" s="1"/>
      <c r="F1" s="1"/>
    </row>
    <row r="2" spans="1:6" x14ac:dyDescent="0.35">
      <c r="A2" s="1"/>
      <c r="B2" s="1"/>
      <c r="C2" s="1"/>
      <c r="D2" s="1"/>
      <c r="E2" s="1"/>
      <c r="F2" s="1"/>
    </row>
    <row r="3" spans="1:6" s="3" customFormat="1" ht="56" customHeight="1" x14ac:dyDescent="0.35">
      <c r="A3" s="27" t="s">
        <v>21</v>
      </c>
      <c r="B3" s="27" t="s">
        <v>46</v>
      </c>
      <c r="C3" s="27" t="s">
        <v>23</v>
      </c>
      <c r="D3" s="27" t="s">
        <v>47</v>
      </c>
      <c r="E3" s="27" t="s">
        <v>24</v>
      </c>
      <c r="F3" s="27" t="s">
        <v>48</v>
      </c>
    </row>
    <row r="4" spans="1:6" s="3" customFormat="1" x14ac:dyDescent="0.35">
      <c r="A4" s="24" t="s">
        <v>69</v>
      </c>
      <c r="B4" s="25">
        <v>0</v>
      </c>
      <c r="C4" s="24">
        <v>87</v>
      </c>
      <c r="D4" s="24">
        <v>0</v>
      </c>
      <c r="E4" s="22">
        <v>10540</v>
      </c>
      <c r="F4" s="26">
        <f>E4*B4</f>
        <v>0</v>
      </c>
    </row>
    <row r="5" spans="1:6" s="13" customFormat="1" x14ac:dyDescent="0.35">
      <c r="A5" s="37" t="s">
        <v>0</v>
      </c>
      <c r="B5" s="38">
        <v>2.5906735751295299E-3</v>
      </c>
      <c r="C5" s="37">
        <v>1158</v>
      </c>
      <c r="D5" s="37">
        <v>3</v>
      </c>
      <c r="E5" s="39">
        <v>83190</v>
      </c>
      <c r="F5" s="26">
        <f t="shared" ref="F5:F25" si="0">E5*B5</f>
        <v>215.51813471502558</v>
      </c>
    </row>
    <row r="6" spans="1:6" x14ac:dyDescent="0.35">
      <c r="A6" s="37" t="s">
        <v>1</v>
      </c>
      <c r="B6" s="38">
        <v>0</v>
      </c>
      <c r="C6" s="37">
        <v>2609</v>
      </c>
      <c r="D6" s="37">
        <v>0</v>
      </c>
      <c r="E6" s="39">
        <v>313510</v>
      </c>
      <c r="F6" s="26">
        <f t="shared" si="0"/>
        <v>0</v>
      </c>
    </row>
    <row r="7" spans="1:6" s="13" customFormat="1" x14ac:dyDescent="0.35">
      <c r="A7" s="37" t="s">
        <v>2</v>
      </c>
      <c r="B7" s="38">
        <v>2.9126213592233E-2</v>
      </c>
      <c r="C7" s="37">
        <v>103</v>
      </c>
      <c r="D7" s="37">
        <v>3</v>
      </c>
      <c r="E7" s="39">
        <v>13820</v>
      </c>
      <c r="F7" s="26">
        <f>E7*B7</f>
        <v>402.52427184466006</v>
      </c>
    </row>
    <row r="8" spans="1:6" s="13" customFormat="1" x14ac:dyDescent="0.35">
      <c r="A8" s="37" t="s">
        <v>3</v>
      </c>
      <c r="B8" s="38">
        <v>2.8184892897406999E-4</v>
      </c>
      <c r="C8" s="37">
        <v>3548</v>
      </c>
      <c r="D8" s="37">
        <v>1</v>
      </c>
      <c r="E8" s="39">
        <v>152810</v>
      </c>
      <c r="F8" s="26">
        <f t="shared" si="0"/>
        <v>43.069334836527638</v>
      </c>
    </row>
    <row r="9" spans="1:6" s="16" customFormat="1" x14ac:dyDescent="0.35">
      <c r="A9" s="41" t="s">
        <v>4</v>
      </c>
      <c r="B9" s="42">
        <v>3.3460076045627403E-2</v>
      </c>
      <c r="C9" s="41">
        <v>1315</v>
      </c>
      <c r="D9" s="41">
        <f>7+37</f>
        <v>44</v>
      </c>
      <c r="E9" s="43">
        <v>67880</v>
      </c>
      <c r="F9" s="26">
        <f t="shared" si="0"/>
        <v>2271.2699619771879</v>
      </c>
    </row>
    <row r="10" spans="1:6" s="13" customFormat="1" x14ac:dyDescent="0.35">
      <c r="A10" s="37" t="s">
        <v>5</v>
      </c>
      <c r="B10" s="38">
        <v>3.48027842227378E-3</v>
      </c>
      <c r="C10" s="37">
        <v>862</v>
      </c>
      <c r="D10" s="37">
        <v>3</v>
      </c>
      <c r="E10" s="39">
        <v>22370</v>
      </c>
      <c r="F10" s="26">
        <f t="shared" si="0"/>
        <v>77.853828306264461</v>
      </c>
    </row>
    <row r="11" spans="1:6" x14ac:dyDescent="0.35">
      <c r="A11" s="37" t="s">
        <v>6</v>
      </c>
      <c r="B11" s="38">
        <v>0</v>
      </c>
      <c r="C11" s="37">
        <v>412</v>
      </c>
      <c r="D11" s="37">
        <v>0</v>
      </c>
      <c r="E11" s="39">
        <v>25400</v>
      </c>
      <c r="F11" s="26">
        <f t="shared" si="0"/>
        <v>0</v>
      </c>
    </row>
    <row r="12" spans="1:6" s="13" customFormat="1" x14ac:dyDescent="0.35">
      <c r="A12" s="37" t="s">
        <v>7</v>
      </c>
      <c r="B12" s="38">
        <v>5.5432372505543198E-3</v>
      </c>
      <c r="C12" s="37">
        <v>902</v>
      </c>
      <c r="D12" s="37">
        <v>5</v>
      </c>
      <c r="E12" s="39">
        <v>53980</v>
      </c>
      <c r="F12" s="26">
        <f t="shared" si="0"/>
        <v>299.22394678492219</v>
      </c>
    </row>
    <row r="13" spans="1:6" s="13" customFormat="1" x14ac:dyDescent="0.35">
      <c r="A13" s="37" t="s">
        <v>8</v>
      </c>
      <c r="B13" s="38">
        <v>6.1295971978984204E-3</v>
      </c>
      <c r="C13" s="37">
        <v>1142</v>
      </c>
      <c r="D13" s="37">
        <v>7</v>
      </c>
      <c r="E13" s="39">
        <v>100640</v>
      </c>
      <c r="F13" s="26">
        <f t="shared" si="0"/>
        <v>616.88266199649706</v>
      </c>
    </row>
    <row r="14" spans="1:6" s="13" customFormat="1" x14ac:dyDescent="0.35">
      <c r="A14" s="37" t="s">
        <v>9</v>
      </c>
      <c r="B14" s="38">
        <v>7.6433121019108298E-3</v>
      </c>
      <c r="C14" s="37">
        <v>4710</v>
      </c>
      <c r="D14" s="37">
        <f>18+18</f>
        <v>36</v>
      </c>
      <c r="E14" s="39">
        <v>199393</v>
      </c>
      <c r="F14" s="26">
        <f t="shared" si="0"/>
        <v>1524.0229299363061</v>
      </c>
    </row>
    <row r="15" spans="1:6" s="13" customFormat="1" x14ac:dyDescent="0.35">
      <c r="A15" s="37" t="s">
        <v>10</v>
      </c>
      <c r="B15" s="38">
        <v>8.4530853761622998E-4</v>
      </c>
      <c r="C15" s="37">
        <v>1183</v>
      </c>
      <c r="D15" s="37">
        <v>1</v>
      </c>
      <c r="E15" s="39">
        <v>19680</v>
      </c>
      <c r="F15" s="26">
        <f t="shared" si="0"/>
        <v>16.635672020287405</v>
      </c>
    </row>
    <row r="16" spans="1:6" s="13" customFormat="1" x14ac:dyDescent="0.35">
      <c r="A16" s="37" t="s">
        <v>11</v>
      </c>
      <c r="B16" s="38">
        <v>1.0050251256281399E-3</v>
      </c>
      <c r="C16" s="37">
        <v>1990</v>
      </c>
      <c r="D16" s="37">
        <v>2</v>
      </c>
      <c r="E16" s="39">
        <v>66440</v>
      </c>
      <c r="F16" s="26">
        <f t="shared" si="0"/>
        <v>66.773869346733619</v>
      </c>
    </row>
    <row r="17" spans="1:6" s="16" customFormat="1" x14ac:dyDescent="0.35">
      <c r="A17" s="41" t="s">
        <v>12</v>
      </c>
      <c r="B17" s="42">
        <v>4.60405156537753E-3</v>
      </c>
      <c r="C17" s="41">
        <v>2172</v>
      </c>
      <c r="D17" s="41">
        <v>10</v>
      </c>
      <c r="E17" s="43">
        <v>299010</v>
      </c>
      <c r="F17" s="26">
        <f t="shared" si="0"/>
        <v>1376.6574585635353</v>
      </c>
    </row>
    <row r="18" spans="1:6" s="12" customFormat="1" x14ac:dyDescent="0.35">
      <c r="A18" s="37" t="s">
        <v>13</v>
      </c>
      <c r="B18" s="38">
        <v>0</v>
      </c>
      <c r="C18" s="37">
        <v>421</v>
      </c>
      <c r="D18" s="37">
        <v>0</v>
      </c>
      <c r="E18" s="39">
        <v>81610</v>
      </c>
      <c r="F18" s="26">
        <f t="shared" si="0"/>
        <v>0</v>
      </c>
    </row>
    <row r="19" spans="1:6" s="12" customFormat="1" x14ac:dyDescent="0.35">
      <c r="A19" s="37" t="s">
        <v>14</v>
      </c>
      <c r="B19" s="38">
        <v>0</v>
      </c>
      <c r="C19" s="37">
        <v>152</v>
      </c>
      <c r="D19" s="37">
        <v>0</v>
      </c>
      <c r="E19" s="39">
        <v>15490</v>
      </c>
      <c r="F19" s="26">
        <f t="shared" si="0"/>
        <v>0</v>
      </c>
    </row>
    <row r="20" spans="1:6" x14ac:dyDescent="0.35">
      <c r="A20" s="37" t="s">
        <v>15</v>
      </c>
      <c r="B20" s="38">
        <v>0</v>
      </c>
      <c r="C20" s="37">
        <v>105</v>
      </c>
      <c r="D20" s="37">
        <v>0</v>
      </c>
      <c r="E20" s="39">
        <v>7630</v>
      </c>
      <c r="F20" s="26">
        <f t="shared" si="0"/>
        <v>0</v>
      </c>
    </row>
    <row r="21" spans="1:6" s="13" customFormat="1" x14ac:dyDescent="0.35">
      <c r="A21" s="37" t="s">
        <v>16</v>
      </c>
      <c r="B21" s="38">
        <v>1.0638297872340399E-2</v>
      </c>
      <c r="C21" s="37">
        <v>94</v>
      </c>
      <c r="D21" s="37">
        <v>1</v>
      </c>
      <c r="E21" s="39">
        <v>12440</v>
      </c>
      <c r="F21" s="26">
        <f t="shared" si="0"/>
        <v>132.34042553191458</v>
      </c>
    </row>
    <row r="22" spans="1:6" s="13" customFormat="1" x14ac:dyDescent="0.35">
      <c r="A22" s="37" t="s">
        <v>17</v>
      </c>
      <c r="B22" s="38">
        <v>3.1847133757961798E-3</v>
      </c>
      <c r="C22" s="37">
        <v>314</v>
      </c>
      <c r="D22" s="37">
        <v>1</v>
      </c>
      <c r="E22" s="39">
        <v>35187</v>
      </c>
      <c r="F22" s="26">
        <f t="shared" si="0"/>
        <v>112.06050955414018</v>
      </c>
    </row>
    <row r="23" spans="1:6" x14ac:dyDescent="0.35">
      <c r="A23" s="37" t="s">
        <v>18</v>
      </c>
      <c r="B23" s="38">
        <v>0</v>
      </c>
      <c r="C23" s="37">
        <v>560</v>
      </c>
      <c r="D23" s="37">
        <v>0</v>
      </c>
      <c r="E23" s="39">
        <v>13590</v>
      </c>
      <c r="F23" s="26">
        <f t="shared" si="0"/>
        <v>0</v>
      </c>
    </row>
    <row r="24" spans="1:6" s="12" customFormat="1" x14ac:dyDescent="0.35">
      <c r="A24" s="37" t="s">
        <v>19</v>
      </c>
      <c r="B24" s="38">
        <v>0</v>
      </c>
      <c r="C24" s="37">
        <v>438</v>
      </c>
      <c r="D24" s="37">
        <v>0</v>
      </c>
      <c r="E24" s="39">
        <v>44020</v>
      </c>
      <c r="F24" s="26">
        <f t="shared" si="0"/>
        <v>0</v>
      </c>
    </row>
    <row r="25" spans="1:6" x14ac:dyDescent="0.35">
      <c r="A25" s="45" t="s">
        <v>20</v>
      </c>
      <c r="B25" s="46">
        <v>0</v>
      </c>
      <c r="C25" s="45">
        <v>162</v>
      </c>
      <c r="D25" s="45">
        <v>0</v>
      </c>
      <c r="E25" s="47">
        <f>67880+13820</f>
        <v>81700</v>
      </c>
      <c r="F25" s="26">
        <f t="shared" si="0"/>
        <v>0</v>
      </c>
    </row>
    <row r="26" spans="1:6" ht="30" x14ac:dyDescent="0.35">
      <c r="A26" s="49"/>
      <c r="B26" s="49"/>
      <c r="C26" s="49"/>
      <c r="D26" s="49"/>
      <c r="E26" s="27" t="s">
        <v>64</v>
      </c>
      <c r="F26" s="50">
        <f>SUM(F5:F25)</f>
        <v>7154.8330054140024</v>
      </c>
    </row>
    <row r="27" spans="1:6" x14ac:dyDescent="0.35">
      <c r="A27" s="49"/>
      <c r="B27" s="49"/>
      <c r="C27" s="49"/>
      <c r="D27" s="49"/>
      <c r="E27" s="49"/>
      <c r="F27" s="49"/>
    </row>
    <row r="28" spans="1:6" x14ac:dyDescent="0.35">
      <c r="A28" s="80" t="s">
        <v>26</v>
      </c>
      <c r="B28" s="80" t="s">
        <v>27</v>
      </c>
      <c r="C28" s="80" t="s">
        <v>49</v>
      </c>
      <c r="D28" s="80" t="s">
        <v>29</v>
      </c>
      <c r="E28" s="80" t="s">
        <v>30</v>
      </c>
      <c r="F28" s="49"/>
    </row>
    <row r="29" spans="1:6" x14ac:dyDescent="0.35">
      <c r="A29" s="80"/>
      <c r="B29" s="80"/>
      <c r="C29" s="80"/>
      <c r="D29" s="80"/>
      <c r="E29" s="80"/>
      <c r="F29" s="49"/>
    </row>
    <row r="30" spans="1:6" x14ac:dyDescent="0.35">
      <c r="A30" s="52" t="s">
        <v>31</v>
      </c>
      <c r="B30" s="52">
        <v>1167848</v>
      </c>
      <c r="C30" s="49">
        <v>5935768</v>
      </c>
      <c r="D30" s="52">
        <f>B30/C30</f>
        <v>0.19674758177880267</v>
      </c>
      <c r="E30" s="75">
        <f>1-(1-D30)^2</f>
        <v>0.35478555262179878</v>
      </c>
      <c r="F30" s="49"/>
    </row>
    <row r="31" spans="1:6" x14ac:dyDescent="0.35">
      <c r="A31" s="36" t="s">
        <v>50</v>
      </c>
      <c r="B31" s="36">
        <v>575405</v>
      </c>
      <c r="C31" s="53">
        <v>5812258</v>
      </c>
      <c r="D31" s="36">
        <f>B31/C31</f>
        <v>9.8998530347414029E-2</v>
      </c>
      <c r="E31" s="76">
        <f>1-(1-D31)^2</f>
        <v>0.18819635168388016</v>
      </c>
      <c r="F31" s="49"/>
    </row>
    <row r="32" spans="1:6" x14ac:dyDescent="0.35">
      <c r="A32" s="49"/>
      <c r="B32" s="49"/>
      <c r="C32" s="49"/>
      <c r="D32" s="80" t="s">
        <v>32</v>
      </c>
      <c r="E32" s="81">
        <f>F26*E30</f>
        <v>2538.4313817424922</v>
      </c>
      <c r="F32" s="49"/>
    </row>
    <row r="33" spans="1:6" ht="36.5" customHeight="1" x14ac:dyDescent="0.35">
      <c r="A33" s="54"/>
      <c r="B33" s="49"/>
      <c r="C33" s="49"/>
      <c r="D33" s="80"/>
      <c r="E33" s="81"/>
      <c r="F33" s="49"/>
    </row>
    <row r="34" spans="1:6" ht="17" customHeight="1" x14ac:dyDescent="0.35">
      <c r="A34" s="49"/>
      <c r="B34" s="49"/>
      <c r="C34" s="49"/>
      <c r="D34" s="80" t="s">
        <v>51</v>
      </c>
      <c r="E34" s="81">
        <f>F26*E31</f>
        <v>1346.5134685263267</v>
      </c>
      <c r="F34" s="49"/>
    </row>
    <row r="35" spans="1:6" ht="29.5" customHeight="1" x14ac:dyDescent="0.35">
      <c r="A35" s="49"/>
      <c r="B35" s="49"/>
      <c r="C35" s="49"/>
      <c r="D35" s="80"/>
      <c r="E35" s="81"/>
      <c r="F35" s="49"/>
    </row>
    <row r="36" spans="1:6" x14ac:dyDescent="0.35">
      <c r="A36" s="57"/>
      <c r="B36" s="57"/>
      <c r="C36" s="57"/>
      <c r="D36" s="80" t="s">
        <v>52</v>
      </c>
      <c r="E36" s="81">
        <f>E32+E34</f>
        <v>3884.9448502688192</v>
      </c>
      <c r="F36" s="49"/>
    </row>
    <row r="37" spans="1:6" ht="51.5" customHeight="1" x14ac:dyDescent="0.35">
      <c r="A37" s="49"/>
      <c r="B37" s="55"/>
      <c r="C37" s="49"/>
      <c r="D37" s="80"/>
      <c r="E37" s="81"/>
      <c r="F37" s="49"/>
    </row>
    <row r="38" spans="1:6" x14ac:dyDescent="0.35">
      <c r="A38" s="1"/>
      <c r="B38" s="1"/>
      <c r="C38" s="1"/>
      <c r="D38" s="1"/>
      <c r="E38" s="1"/>
      <c r="F38" s="1"/>
    </row>
    <row r="39" spans="1:6" ht="44" x14ac:dyDescent="0.35">
      <c r="A39" s="28" t="s">
        <v>21</v>
      </c>
      <c r="B39" s="28" t="s">
        <v>55</v>
      </c>
      <c r="C39" s="28" t="s">
        <v>56</v>
      </c>
      <c r="D39" s="28" t="s">
        <v>57</v>
      </c>
      <c r="E39" s="27" t="s">
        <v>58</v>
      </c>
      <c r="F39" s="27" t="s">
        <v>59</v>
      </c>
    </row>
    <row r="40" spans="1:6" x14ac:dyDescent="0.35">
      <c r="A40" s="58" t="s">
        <v>53</v>
      </c>
      <c r="B40" s="59">
        <v>0.15</v>
      </c>
      <c r="C40" s="59">
        <v>0.75</v>
      </c>
      <c r="D40" s="60">
        <f>C40*B40</f>
        <v>0.11249999999999999</v>
      </c>
      <c r="E40" s="67">
        <f>F17*D40</f>
        <v>154.87396408839771</v>
      </c>
      <c r="F40" s="9">
        <f>E40*E30+E40*E31</f>
        <v>84.093759948087524</v>
      </c>
    </row>
    <row r="41" spans="1:6" x14ac:dyDescent="0.35">
      <c r="A41" s="65" t="s">
        <v>54</v>
      </c>
      <c r="B41" s="66">
        <v>0.15</v>
      </c>
      <c r="C41" s="66">
        <v>0.5</v>
      </c>
      <c r="D41" s="68">
        <f>C41*B41</f>
        <v>7.4999999999999997E-2</v>
      </c>
      <c r="E41" s="69">
        <f>F9*D41</f>
        <v>170.34524714828908</v>
      </c>
      <c r="F41" s="10">
        <f>E41*E30+E41*E31</f>
        <v>92.49438668599953</v>
      </c>
    </row>
    <row r="42" spans="1:6" x14ac:dyDescent="0.35">
      <c r="A42" s="74" t="s">
        <v>61</v>
      </c>
      <c r="B42" s="73">
        <v>0.65</v>
      </c>
      <c r="C42" s="73">
        <v>0.3</v>
      </c>
      <c r="D42" s="79">
        <f>C42*B42</f>
        <v>0.19500000000000001</v>
      </c>
      <c r="E42" s="70">
        <f>F14*D42</f>
        <v>297.18447133757968</v>
      </c>
      <c r="F42" s="71">
        <f>E42*E30+E42*E31</f>
        <v>161.36579017695547</v>
      </c>
    </row>
    <row r="43" spans="1:6" ht="15" customHeight="1" x14ac:dyDescent="0.35">
      <c r="F43" s="7"/>
    </row>
  </sheetData>
  <mergeCells count="11">
    <mergeCell ref="D32:D33"/>
    <mergeCell ref="E32:E33"/>
    <mergeCell ref="D34:D35"/>
    <mergeCell ref="E34:E35"/>
    <mergeCell ref="D36:D37"/>
    <mergeCell ref="E36:E37"/>
    <mergeCell ref="A28:A29"/>
    <mergeCell ref="B28:B29"/>
    <mergeCell ref="C28:C29"/>
    <mergeCell ref="D28:D29"/>
    <mergeCell ref="E28:E29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DE76-3364-4786-A79C-738C99D6E5F5}">
  <dimension ref="A1:F36"/>
  <sheetViews>
    <sheetView zoomScale="90" zoomScaleNormal="90" workbookViewId="0">
      <selection activeCell="F41" sqref="F41"/>
    </sheetView>
  </sheetViews>
  <sheetFormatPr defaultColWidth="10.90625" defaultRowHeight="14.5" x14ac:dyDescent="0.35"/>
  <cols>
    <col min="1" max="1" width="35.453125" bestFit="1" customWidth="1"/>
    <col min="2" max="2" width="44.1796875" customWidth="1"/>
    <col min="3" max="3" width="26.36328125" customWidth="1"/>
    <col min="4" max="4" width="40.7265625" customWidth="1"/>
    <col min="5" max="5" width="47.453125" bestFit="1" customWidth="1"/>
    <col min="6" max="6" width="48.26953125" bestFit="1" customWidth="1"/>
  </cols>
  <sheetData>
    <row r="1" spans="1:6" x14ac:dyDescent="0.35">
      <c r="A1" s="2" t="s">
        <v>66</v>
      </c>
      <c r="B1" s="1"/>
      <c r="C1" s="1"/>
      <c r="D1" s="1"/>
      <c r="E1" s="1"/>
      <c r="F1" s="1"/>
    </row>
    <row r="2" spans="1:6" x14ac:dyDescent="0.35">
      <c r="A2" s="1"/>
      <c r="B2" s="1"/>
      <c r="C2" s="1"/>
      <c r="D2" s="1"/>
      <c r="E2" s="1"/>
      <c r="F2" s="1"/>
    </row>
    <row r="3" spans="1:6" s="3" customFormat="1" ht="30" x14ac:dyDescent="0.35">
      <c r="A3" s="27" t="s">
        <v>21</v>
      </c>
      <c r="B3" s="27" t="s">
        <v>22</v>
      </c>
      <c r="C3" s="27" t="s">
        <v>23</v>
      </c>
      <c r="D3" s="27" t="s">
        <v>25</v>
      </c>
      <c r="E3" s="27" t="s">
        <v>24</v>
      </c>
      <c r="F3" s="27" t="s">
        <v>34</v>
      </c>
    </row>
    <row r="4" spans="1:6" s="3" customFormat="1" x14ac:dyDescent="0.35">
      <c r="A4" s="24" t="s">
        <v>45</v>
      </c>
      <c r="B4" s="24">
        <v>0</v>
      </c>
      <c r="C4" s="24">
        <v>87</v>
      </c>
      <c r="D4" s="24">
        <v>0</v>
      </c>
      <c r="E4" s="22">
        <v>10540</v>
      </c>
      <c r="F4" s="24">
        <f>E4*B4</f>
        <v>0</v>
      </c>
    </row>
    <row r="5" spans="1:6" s="13" customFormat="1" x14ac:dyDescent="0.35">
      <c r="A5" s="37" t="s">
        <v>0</v>
      </c>
      <c r="B5" s="38">
        <v>1.03626943005181E-2</v>
      </c>
      <c r="C5" s="37">
        <v>1158</v>
      </c>
      <c r="D5" s="37">
        <v>12</v>
      </c>
      <c r="E5" s="39">
        <v>83190</v>
      </c>
      <c r="F5" s="40">
        <f>E5*B5</f>
        <v>862.07253886010074</v>
      </c>
    </row>
    <row r="6" spans="1:6" x14ac:dyDescent="0.35">
      <c r="A6" s="37" t="s">
        <v>1</v>
      </c>
      <c r="B6" s="38">
        <v>1.1498658489842901E-2</v>
      </c>
      <c r="C6" s="37">
        <v>2609</v>
      </c>
      <c r="D6" s="37">
        <v>30</v>
      </c>
      <c r="E6" s="39">
        <v>313510</v>
      </c>
      <c r="F6" s="40">
        <f t="shared" ref="F6:F25" si="0">E6*B6</f>
        <v>3604.9444231506477</v>
      </c>
    </row>
    <row r="7" spans="1:6" s="13" customFormat="1" x14ac:dyDescent="0.35">
      <c r="A7" s="37" t="s">
        <v>2</v>
      </c>
      <c r="B7" s="38">
        <v>0</v>
      </c>
      <c r="C7" s="37">
        <v>103</v>
      </c>
      <c r="D7" s="37">
        <v>0</v>
      </c>
      <c r="E7" s="39">
        <v>13820</v>
      </c>
      <c r="F7" s="40">
        <f t="shared" si="0"/>
        <v>0</v>
      </c>
    </row>
    <row r="8" spans="1:6" s="13" customFormat="1" x14ac:dyDescent="0.35">
      <c r="A8" s="37" t="s">
        <v>3</v>
      </c>
      <c r="B8" s="38">
        <v>7.0744081172491494E-2</v>
      </c>
      <c r="C8" s="37">
        <v>3548</v>
      </c>
      <c r="D8" s="37">
        <v>251</v>
      </c>
      <c r="E8" s="39">
        <v>152810</v>
      </c>
      <c r="F8" s="40">
        <f>E8*B8</f>
        <v>10810.403043968425</v>
      </c>
    </row>
    <row r="9" spans="1:6" s="16" customFormat="1" x14ac:dyDescent="0.35">
      <c r="A9" s="41" t="s">
        <v>4</v>
      </c>
      <c r="B9" s="42">
        <v>2.5855513307984801E-2</v>
      </c>
      <c r="C9" s="41">
        <v>1315</v>
      </c>
      <c r="D9" s="41">
        <v>34</v>
      </c>
      <c r="E9" s="43">
        <v>67880</v>
      </c>
      <c r="F9" s="44">
        <f t="shared" si="0"/>
        <v>1755.0722433460082</v>
      </c>
    </row>
    <row r="10" spans="1:6" s="13" customFormat="1" x14ac:dyDescent="0.35">
      <c r="A10" s="37" t="s">
        <v>5</v>
      </c>
      <c r="B10" s="38">
        <v>7.5406032482598598E-2</v>
      </c>
      <c r="C10" s="37">
        <v>862</v>
      </c>
      <c r="D10" s="37">
        <v>65</v>
      </c>
      <c r="E10" s="39">
        <v>22370</v>
      </c>
      <c r="F10" s="40">
        <f>E10*B10</f>
        <v>1686.8329466357307</v>
      </c>
    </row>
    <row r="11" spans="1:6" x14ac:dyDescent="0.35">
      <c r="A11" s="37" t="s">
        <v>6</v>
      </c>
      <c r="B11" s="38">
        <v>1.6990291262135901E-2</v>
      </c>
      <c r="C11" s="37">
        <v>412</v>
      </c>
      <c r="D11" s="37">
        <v>7</v>
      </c>
      <c r="E11" s="39">
        <v>25400</v>
      </c>
      <c r="F11" s="40">
        <f t="shared" si="0"/>
        <v>431.5533980582519</v>
      </c>
    </row>
    <row r="12" spans="1:6" s="13" customFormat="1" x14ac:dyDescent="0.35">
      <c r="A12" s="37" t="s">
        <v>7</v>
      </c>
      <c r="B12" s="38">
        <v>8.8691796008869197E-3</v>
      </c>
      <c r="C12" s="37">
        <v>902</v>
      </c>
      <c r="D12" s="37">
        <v>8</v>
      </c>
      <c r="E12" s="39">
        <v>53980</v>
      </c>
      <c r="F12" s="40">
        <f t="shared" si="0"/>
        <v>478.75831485587594</v>
      </c>
    </row>
    <row r="13" spans="1:6" s="13" customFormat="1" x14ac:dyDescent="0.35">
      <c r="A13" s="37" t="s">
        <v>8</v>
      </c>
      <c r="B13" s="38">
        <v>2.62697022767075E-3</v>
      </c>
      <c r="C13" s="37">
        <v>1142</v>
      </c>
      <c r="D13" s="37">
        <v>3</v>
      </c>
      <c r="E13" s="39">
        <v>100640</v>
      </c>
      <c r="F13" s="40">
        <f t="shared" si="0"/>
        <v>264.37828371278431</v>
      </c>
    </row>
    <row r="14" spans="1:6" s="13" customFormat="1" x14ac:dyDescent="0.35">
      <c r="A14" s="37" t="s">
        <v>9</v>
      </c>
      <c r="B14" s="38">
        <v>8.7048832271762206E-3</v>
      </c>
      <c r="C14" s="37">
        <v>4710</v>
      </c>
      <c r="D14" s="37">
        <v>41</v>
      </c>
      <c r="E14" s="39">
        <v>199393</v>
      </c>
      <c r="F14" s="40">
        <f t="shared" si="0"/>
        <v>1735.6927813163481</v>
      </c>
    </row>
    <row r="15" spans="1:6" s="13" customFormat="1" x14ac:dyDescent="0.35">
      <c r="A15" s="37" t="s">
        <v>10</v>
      </c>
      <c r="B15" s="38">
        <v>2.87404902789518E-2</v>
      </c>
      <c r="C15" s="37">
        <v>1183</v>
      </c>
      <c r="D15" s="37">
        <v>34</v>
      </c>
      <c r="E15" s="39">
        <v>19680</v>
      </c>
      <c r="F15" s="40">
        <f t="shared" si="0"/>
        <v>565.61284868977145</v>
      </c>
    </row>
    <row r="16" spans="1:6" s="13" customFormat="1" x14ac:dyDescent="0.35">
      <c r="A16" s="37" t="s">
        <v>11</v>
      </c>
      <c r="B16" s="38">
        <v>4.9748743718593003E-2</v>
      </c>
      <c r="C16" s="37">
        <v>1990</v>
      </c>
      <c r="D16" s="37">
        <v>99</v>
      </c>
      <c r="E16" s="39">
        <v>66440</v>
      </c>
      <c r="F16" s="40">
        <f t="shared" si="0"/>
        <v>3305.3065326633191</v>
      </c>
    </row>
    <row r="17" spans="1:6" s="16" customFormat="1" x14ac:dyDescent="0.35">
      <c r="A17" s="41" t="s">
        <v>12</v>
      </c>
      <c r="B17" s="42">
        <v>1.2891344383057101E-2</v>
      </c>
      <c r="C17" s="41">
        <v>2172</v>
      </c>
      <c r="D17" s="41">
        <v>28</v>
      </c>
      <c r="E17" s="43">
        <v>299010</v>
      </c>
      <c r="F17" s="44">
        <f t="shared" si="0"/>
        <v>3854.6408839779037</v>
      </c>
    </row>
    <row r="18" spans="1:6" s="12" customFormat="1" x14ac:dyDescent="0.35">
      <c r="A18" s="37" t="s">
        <v>13</v>
      </c>
      <c r="B18" s="38">
        <v>2.37529691211401E-3</v>
      </c>
      <c r="C18" s="37">
        <v>421</v>
      </c>
      <c r="D18" s="37">
        <v>1</v>
      </c>
      <c r="E18" s="39">
        <v>81610</v>
      </c>
      <c r="F18" s="40">
        <f t="shared" si="0"/>
        <v>193.84798099762435</v>
      </c>
    </row>
    <row r="19" spans="1:6" s="12" customFormat="1" x14ac:dyDescent="0.35">
      <c r="A19" s="37" t="s">
        <v>14</v>
      </c>
      <c r="B19" s="38">
        <v>0</v>
      </c>
      <c r="C19" s="37">
        <v>152</v>
      </c>
      <c r="D19" s="37">
        <v>0</v>
      </c>
      <c r="E19" s="39">
        <v>15490</v>
      </c>
      <c r="F19" s="40">
        <f t="shared" si="0"/>
        <v>0</v>
      </c>
    </row>
    <row r="20" spans="1:6" x14ac:dyDescent="0.35">
      <c r="A20" s="37" t="s">
        <v>15</v>
      </c>
      <c r="B20" s="38">
        <v>1.9047619047619001E-2</v>
      </c>
      <c r="C20" s="37">
        <v>105</v>
      </c>
      <c r="D20" s="37">
        <v>2</v>
      </c>
      <c r="E20" s="39">
        <v>7630</v>
      </c>
      <c r="F20" s="40">
        <f t="shared" si="0"/>
        <v>145.33333333333297</v>
      </c>
    </row>
    <row r="21" spans="1:6" s="13" customFormat="1" x14ac:dyDescent="0.35">
      <c r="A21" s="37" t="s">
        <v>16</v>
      </c>
      <c r="B21" s="38">
        <v>4.2553191489361701E-2</v>
      </c>
      <c r="C21" s="37">
        <v>94</v>
      </c>
      <c r="D21" s="37">
        <v>4</v>
      </c>
      <c r="E21" s="39">
        <v>12440</v>
      </c>
      <c r="F21" s="40">
        <f t="shared" si="0"/>
        <v>529.36170212765956</v>
      </c>
    </row>
    <row r="22" spans="1:6" s="13" customFormat="1" x14ac:dyDescent="0.35">
      <c r="A22" s="37" t="s">
        <v>17</v>
      </c>
      <c r="B22" s="38">
        <v>1.9108280254777101E-2</v>
      </c>
      <c r="C22" s="37">
        <v>314</v>
      </c>
      <c r="D22" s="37">
        <v>6</v>
      </c>
      <c r="E22" s="39">
        <v>35187</v>
      </c>
      <c r="F22" s="40">
        <f t="shared" si="0"/>
        <v>672.36305732484186</v>
      </c>
    </row>
    <row r="23" spans="1:6" x14ac:dyDescent="0.35">
      <c r="A23" s="37" t="s">
        <v>18</v>
      </c>
      <c r="B23" s="38">
        <v>1.4285714285714299E-2</v>
      </c>
      <c r="C23" s="37">
        <v>560</v>
      </c>
      <c r="D23" s="37">
        <v>8</v>
      </c>
      <c r="E23" s="39">
        <v>13590</v>
      </c>
      <c r="F23" s="40">
        <f t="shared" si="0"/>
        <v>194.14285714285734</v>
      </c>
    </row>
    <row r="24" spans="1:6" s="12" customFormat="1" x14ac:dyDescent="0.35">
      <c r="A24" s="37" t="s">
        <v>19</v>
      </c>
      <c r="B24" s="38">
        <v>4.5662100456621002E-3</v>
      </c>
      <c r="C24" s="37">
        <v>438</v>
      </c>
      <c r="D24" s="37">
        <v>2</v>
      </c>
      <c r="E24" s="39">
        <v>44020</v>
      </c>
      <c r="F24" s="40">
        <f t="shared" si="0"/>
        <v>201.00456621004565</v>
      </c>
    </row>
    <row r="25" spans="1:6" x14ac:dyDescent="0.35">
      <c r="A25" s="45" t="s">
        <v>20</v>
      </c>
      <c r="B25" s="46">
        <v>1.85185185185185E-2</v>
      </c>
      <c r="C25" s="45">
        <v>162</v>
      </c>
      <c r="D25" s="45">
        <v>3</v>
      </c>
      <c r="E25" s="47">
        <f>67880+13820</f>
        <v>81700</v>
      </c>
      <c r="F25" s="48">
        <f t="shared" si="0"/>
        <v>1512.9629629629615</v>
      </c>
    </row>
    <row r="26" spans="1:6" ht="30" x14ac:dyDescent="0.35">
      <c r="A26" s="49"/>
      <c r="B26" s="49"/>
      <c r="C26" s="49"/>
      <c r="D26" s="49"/>
      <c r="E26" s="4" t="s">
        <v>35</v>
      </c>
      <c r="F26" s="50">
        <f>SUM(F5:F25)</f>
        <v>32804.284699334487</v>
      </c>
    </row>
    <row r="27" spans="1:6" x14ac:dyDescent="0.35">
      <c r="A27" s="49"/>
      <c r="B27" s="49"/>
      <c r="C27" s="49"/>
      <c r="D27" s="49"/>
      <c r="E27" s="49"/>
      <c r="F27" s="49"/>
    </row>
    <row r="28" spans="1:6" ht="28" x14ac:dyDescent="0.35">
      <c r="A28" s="27" t="s">
        <v>26</v>
      </c>
      <c r="B28" s="27" t="s">
        <v>27</v>
      </c>
      <c r="C28" s="27" t="s">
        <v>28</v>
      </c>
      <c r="D28" s="27" t="s">
        <v>29</v>
      </c>
      <c r="E28" s="27" t="s">
        <v>30</v>
      </c>
      <c r="F28" s="49"/>
    </row>
    <row r="29" spans="1:6" x14ac:dyDescent="0.35">
      <c r="A29" s="51" t="s">
        <v>31</v>
      </c>
      <c r="B29" s="51">
        <v>1167848</v>
      </c>
      <c r="C29" s="51">
        <v>5935768</v>
      </c>
      <c r="D29" s="51">
        <f>B29/C29</f>
        <v>0.19674758177880267</v>
      </c>
      <c r="E29" s="77">
        <f>1-(1-D29)^2</f>
        <v>0.35478555262179878</v>
      </c>
      <c r="F29" s="49"/>
    </row>
    <row r="30" spans="1:6" ht="51.5" customHeight="1" x14ac:dyDescent="0.35">
      <c r="A30" s="49"/>
      <c r="B30" s="49"/>
      <c r="C30" s="49"/>
      <c r="D30" s="31" t="s">
        <v>33</v>
      </c>
      <c r="E30" s="64">
        <f>F26*E29</f>
        <v>11638.486275416204</v>
      </c>
      <c r="F30" s="49"/>
    </row>
    <row r="31" spans="1:6" x14ac:dyDescent="0.35">
      <c r="A31" s="1"/>
      <c r="B31" s="1"/>
      <c r="C31" s="1"/>
      <c r="D31" s="8"/>
      <c r="E31" s="1"/>
      <c r="F31" s="1"/>
    </row>
    <row r="32" spans="1:6" ht="44" x14ac:dyDescent="0.35">
      <c r="A32" s="27" t="s">
        <v>21</v>
      </c>
      <c r="B32" s="27" t="s">
        <v>55</v>
      </c>
      <c r="C32" s="27" t="s">
        <v>56</v>
      </c>
      <c r="D32" s="27" t="s">
        <v>57</v>
      </c>
      <c r="E32" s="27" t="s">
        <v>65</v>
      </c>
      <c r="F32" s="27" t="s">
        <v>60</v>
      </c>
    </row>
    <row r="33" spans="1:6" x14ac:dyDescent="0.35">
      <c r="A33" s="58" t="s">
        <v>53</v>
      </c>
      <c r="B33" s="59">
        <v>0.15</v>
      </c>
      <c r="C33" s="59">
        <v>0.75</v>
      </c>
      <c r="D33" s="60">
        <f>C33*B33</f>
        <v>0.11249999999999999</v>
      </c>
      <c r="E33" s="9">
        <f>F17*D33</f>
        <v>433.64709944751411</v>
      </c>
      <c r="F33" s="9">
        <f>E33*E29</f>
        <v>153.85172582032644</v>
      </c>
    </row>
    <row r="34" spans="1:6" ht="27.5" customHeight="1" x14ac:dyDescent="0.35">
      <c r="A34" s="65" t="s">
        <v>54</v>
      </c>
      <c r="B34" s="66">
        <v>0.15</v>
      </c>
      <c r="C34" s="66">
        <v>0.5</v>
      </c>
      <c r="D34" s="68">
        <f>C34*B34</f>
        <v>7.4999999999999997E-2</v>
      </c>
      <c r="E34" s="10">
        <f>F9*D34</f>
        <v>131.63041825095061</v>
      </c>
      <c r="F34" s="10">
        <f>E34*E29</f>
        <v>46.70057068100202</v>
      </c>
    </row>
    <row r="35" spans="1:6" x14ac:dyDescent="0.35">
      <c r="A35" s="6" t="s">
        <v>61</v>
      </c>
      <c r="B35" s="73">
        <v>0.65</v>
      </c>
      <c r="C35" s="73">
        <v>0.3</v>
      </c>
      <c r="D35" s="79">
        <f>C35*B35</f>
        <v>0.19500000000000001</v>
      </c>
      <c r="E35" s="71">
        <f>F14*D35</f>
        <v>338.46009235668788</v>
      </c>
      <c r="F35" s="71">
        <f>E35*E29</f>
        <v>120.08075090719257</v>
      </c>
    </row>
    <row r="36" spans="1:6" x14ac:dyDescent="0.35">
      <c r="F36" s="7"/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061E6-9BA4-4574-866C-3FD3F4915DB1}">
  <dimension ref="A1:F40"/>
  <sheetViews>
    <sheetView tabSelected="1" zoomScale="80" zoomScaleNormal="80" workbookViewId="0">
      <selection activeCell="L27" sqref="L27"/>
    </sheetView>
  </sheetViews>
  <sheetFormatPr defaultColWidth="10.90625" defaultRowHeight="14.5" x14ac:dyDescent="0.35"/>
  <cols>
    <col min="1" max="1" width="37.36328125" bestFit="1" customWidth="1"/>
    <col min="2" max="2" width="36.36328125" customWidth="1"/>
    <col min="3" max="3" width="26.7265625" customWidth="1"/>
    <col min="4" max="4" width="34.81640625" customWidth="1"/>
    <col min="5" max="5" width="45.1796875" customWidth="1"/>
    <col min="6" max="6" width="45" customWidth="1"/>
  </cols>
  <sheetData>
    <row r="1" spans="1:6" x14ac:dyDescent="0.35">
      <c r="A1" s="2" t="s">
        <v>68</v>
      </c>
      <c r="B1" s="1"/>
      <c r="C1" s="1"/>
      <c r="D1" s="1"/>
      <c r="E1" s="1"/>
      <c r="F1" s="1"/>
    </row>
    <row r="2" spans="1:6" x14ac:dyDescent="0.35">
      <c r="A2" s="1"/>
      <c r="B2" s="1"/>
      <c r="C2" s="1"/>
      <c r="D2" s="1"/>
      <c r="E2" s="1"/>
      <c r="F2" s="1"/>
    </row>
    <row r="3" spans="1:6" ht="44" x14ac:dyDescent="0.35">
      <c r="A3" s="28" t="s">
        <v>21</v>
      </c>
      <c r="B3" s="28" t="s">
        <v>44</v>
      </c>
      <c r="C3" s="28" t="s">
        <v>23</v>
      </c>
      <c r="D3" s="28" t="s">
        <v>43</v>
      </c>
      <c r="E3" s="28" t="s">
        <v>24</v>
      </c>
      <c r="F3" s="28" t="s">
        <v>42</v>
      </c>
    </row>
    <row r="4" spans="1:6" x14ac:dyDescent="0.35">
      <c r="A4" s="23" t="s">
        <v>45</v>
      </c>
      <c r="B4" s="56">
        <v>0</v>
      </c>
      <c r="C4" s="23">
        <v>87</v>
      </c>
      <c r="D4" s="23">
        <v>0</v>
      </c>
      <c r="E4" s="23">
        <v>10540</v>
      </c>
      <c r="F4" s="61">
        <f t="shared" ref="F4:F25" si="0">E4*B4</f>
        <v>0</v>
      </c>
    </row>
    <row r="5" spans="1:6" x14ac:dyDescent="0.35">
      <c r="A5" s="5" t="s">
        <v>0</v>
      </c>
      <c r="B5" s="15">
        <v>8.6355785837651106E-3</v>
      </c>
      <c r="C5" s="5">
        <v>1158</v>
      </c>
      <c r="D5" s="5">
        <v>10</v>
      </c>
      <c r="E5" s="17">
        <v>83190</v>
      </c>
      <c r="F5" s="10">
        <f t="shared" si="0"/>
        <v>718.39378238341953</v>
      </c>
    </row>
    <row r="6" spans="1:6" x14ac:dyDescent="0.35">
      <c r="A6" s="5" t="s">
        <v>1</v>
      </c>
      <c r="B6" s="15">
        <v>3.0663089306247602E-3</v>
      </c>
      <c r="C6" s="5">
        <v>2609</v>
      </c>
      <c r="D6" s="5">
        <v>8</v>
      </c>
      <c r="E6" s="17">
        <v>313510</v>
      </c>
      <c r="F6" s="10">
        <f t="shared" si="0"/>
        <v>961.31851284016852</v>
      </c>
    </row>
    <row r="7" spans="1:6" x14ac:dyDescent="0.35">
      <c r="A7" s="5" t="s">
        <v>2</v>
      </c>
      <c r="B7" s="15">
        <v>0</v>
      </c>
      <c r="C7" s="5">
        <v>103</v>
      </c>
      <c r="D7" s="5">
        <v>0</v>
      </c>
      <c r="E7" s="17">
        <v>13820</v>
      </c>
      <c r="F7" s="10">
        <f t="shared" si="0"/>
        <v>0</v>
      </c>
    </row>
    <row r="8" spans="1:6" x14ac:dyDescent="0.35">
      <c r="A8" s="5" t="s">
        <v>3</v>
      </c>
      <c r="B8" s="15">
        <v>9.0473506200676401E-2</v>
      </c>
      <c r="C8" s="5">
        <v>3548</v>
      </c>
      <c r="D8" s="5">
        <v>321</v>
      </c>
      <c r="E8" s="17">
        <v>152810</v>
      </c>
      <c r="F8" s="10">
        <f t="shared" si="0"/>
        <v>13825.256482525361</v>
      </c>
    </row>
    <row r="9" spans="1:6" s="21" customFormat="1" x14ac:dyDescent="0.35">
      <c r="A9" s="19" t="s">
        <v>4</v>
      </c>
      <c r="B9" s="20">
        <v>4.9429657794676798E-2</v>
      </c>
      <c r="C9" s="19">
        <v>1315</v>
      </c>
      <c r="D9" s="19">
        <v>65</v>
      </c>
      <c r="E9" s="18">
        <v>67880</v>
      </c>
      <c r="F9" s="62">
        <f t="shared" si="0"/>
        <v>3355.285171102661</v>
      </c>
    </row>
    <row r="10" spans="1:6" x14ac:dyDescent="0.35">
      <c r="A10" s="5" t="s">
        <v>5</v>
      </c>
      <c r="B10" s="15">
        <v>1.1600928074245899E-2</v>
      </c>
      <c r="C10" s="5">
        <v>862</v>
      </c>
      <c r="D10" s="5">
        <v>10</v>
      </c>
      <c r="E10" s="17">
        <v>22370</v>
      </c>
      <c r="F10" s="10">
        <f t="shared" si="0"/>
        <v>259.51276102088076</v>
      </c>
    </row>
    <row r="11" spans="1:6" x14ac:dyDescent="0.35">
      <c r="A11" s="5" t="s">
        <v>6</v>
      </c>
      <c r="B11" s="15">
        <v>0</v>
      </c>
      <c r="C11" s="5">
        <v>412</v>
      </c>
      <c r="D11" s="5">
        <v>0</v>
      </c>
      <c r="E11" s="17">
        <v>25400</v>
      </c>
      <c r="F11" s="10">
        <f t="shared" si="0"/>
        <v>0</v>
      </c>
    </row>
    <row r="12" spans="1:6" x14ac:dyDescent="0.35">
      <c r="A12" s="5" t="s">
        <v>7</v>
      </c>
      <c r="B12" s="15">
        <v>2.3281596452328201E-2</v>
      </c>
      <c r="C12" s="5">
        <v>902</v>
      </c>
      <c r="D12" s="5">
        <v>21</v>
      </c>
      <c r="E12" s="17">
        <v>53980</v>
      </c>
      <c r="F12" s="10">
        <f t="shared" si="0"/>
        <v>1256.7405764966763</v>
      </c>
    </row>
    <row r="13" spans="1:6" x14ac:dyDescent="0.35">
      <c r="A13" s="5" t="s">
        <v>8</v>
      </c>
      <c r="B13" s="15">
        <v>0</v>
      </c>
      <c r="C13" s="5">
        <v>1142</v>
      </c>
      <c r="D13" s="5">
        <v>0</v>
      </c>
      <c r="E13" s="17">
        <v>100640</v>
      </c>
      <c r="F13" s="10">
        <f t="shared" si="0"/>
        <v>0</v>
      </c>
    </row>
    <row r="14" spans="1:6" x14ac:dyDescent="0.35">
      <c r="A14" s="5" t="s">
        <v>9</v>
      </c>
      <c r="B14" s="15">
        <v>5.2653927813163498E-2</v>
      </c>
      <c r="C14" s="5">
        <v>4710</v>
      </c>
      <c r="D14" s="5">
        <v>248</v>
      </c>
      <c r="E14" s="17">
        <v>199393</v>
      </c>
      <c r="F14" s="10">
        <f t="shared" si="0"/>
        <v>10498.824628450109</v>
      </c>
    </row>
    <row r="15" spans="1:6" x14ac:dyDescent="0.35">
      <c r="A15" s="5" t="s">
        <v>10</v>
      </c>
      <c r="B15" s="15">
        <v>2.0287404902789501E-2</v>
      </c>
      <c r="C15" s="5">
        <v>1183</v>
      </c>
      <c r="D15" s="5">
        <v>24</v>
      </c>
      <c r="E15" s="17">
        <v>19680</v>
      </c>
      <c r="F15" s="10">
        <f t="shared" si="0"/>
        <v>399.25612848689741</v>
      </c>
    </row>
    <row r="16" spans="1:6" x14ac:dyDescent="0.35">
      <c r="A16" s="5" t="s">
        <v>11</v>
      </c>
      <c r="B16" s="15">
        <v>0.273366834170854</v>
      </c>
      <c r="C16" s="5">
        <v>1990</v>
      </c>
      <c r="D16" s="5">
        <v>544</v>
      </c>
      <c r="E16" s="17">
        <v>66440</v>
      </c>
      <c r="F16" s="10">
        <f t="shared" si="0"/>
        <v>18162.49246231154</v>
      </c>
    </row>
    <row r="17" spans="1:6" s="21" customFormat="1" x14ac:dyDescent="0.35">
      <c r="A17" s="19" t="s">
        <v>12</v>
      </c>
      <c r="B17" s="20">
        <v>4.6040515653775302E-4</v>
      </c>
      <c r="C17" s="19">
        <v>2172</v>
      </c>
      <c r="D17" s="19">
        <v>1</v>
      </c>
      <c r="E17" s="18">
        <v>299010</v>
      </c>
      <c r="F17" s="62">
        <f t="shared" si="0"/>
        <v>137.66574585635354</v>
      </c>
    </row>
    <row r="18" spans="1:6" x14ac:dyDescent="0.35">
      <c r="A18" s="5" t="s">
        <v>13</v>
      </c>
      <c r="B18" s="15">
        <v>0</v>
      </c>
      <c r="C18" s="5">
        <v>421</v>
      </c>
      <c r="D18" s="5">
        <v>0</v>
      </c>
      <c r="E18" s="39">
        <v>81610</v>
      </c>
      <c r="F18" s="10">
        <f t="shared" si="0"/>
        <v>0</v>
      </c>
    </row>
    <row r="19" spans="1:6" x14ac:dyDescent="0.35">
      <c r="A19" s="5" t="s">
        <v>14</v>
      </c>
      <c r="B19" s="15">
        <v>0</v>
      </c>
      <c r="C19" s="5">
        <v>152</v>
      </c>
      <c r="D19" s="5">
        <v>0</v>
      </c>
      <c r="E19" s="39">
        <v>15490</v>
      </c>
      <c r="F19" s="10">
        <f t="shared" si="0"/>
        <v>0</v>
      </c>
    </row>
    <row r="20" spans="1:6" x14ac:dyDescent="0.35">
      <c r="A20" s="5" t="s">
        <v>15</v>
      </c>
      <c r="B20" s="15">
        <v>0</v>
      </c>
      <c r="C20" s="5">
        <v>105</v>
      </c>
      <c r="D20" s="5">
        <v>0</v>
      </c>
      <c r="E20" s="17">
        <v>7630</v>
      </c>
      <c r="F20" s="10">
        <f t="shared" si="0"/>
        <v>0</v>
      </c>
    </row>
    <row r="21" spans="1:6" x14ac:dyDescent="0.35">
      <c r="A21" s="5" t="s">
        <v>16</v>
      </c>
      <c r="B21" s="15">
        <v>0.12765957446808501</v>
      </c>
      <c r="C21" s="5">
        <v>94</v>
      </c>
      <c r="D21" s="5">
        <v>12</v>
      </c>
      <c r="E21" s="17">
        <v>12440</v>
      </c>
      <c r="F21" s="10">
        <f t="shared" si="0"/>
        <v>1588.0851063829775</v>
      </c>
    </row>
    <row r="22" spans="1:6" x14ac:dyDescent="0.35">
      <c r="A22" s="5" t="s">
        <v>17</v>
      </c>
      <c r="B22" s="15">
        <v>0</v>
      </c>
      <c r="C22" s="5">
        <v>314</v>
      </c>
      <c r="D22" s="5">
        <v>0</v>
      </c>
      <c r="E22" s="17">
        <v>35187</v>
      </c>
      <c r="F22" s="10">
        <f t="shared" si="0"/>
        <v>0</v>
      </c>
    </row>
    <row r="23" spans="1:6" x14ac:dyDescent="0.35">
      <c r="A23" s="5" t="s">
        <v>18</v>
      </c>
      <c r="B23" s="15">
        <v>1.78571428571429E-3</v>
      </c>
      <c r="C23" s="5">
        <v>560</v>
      </c>
      <c r="D23" s="5">
        <v>1</v>
      </c>
      <c r="E23" s="17">
        <v>13590</v>
      </c>
      <c r="F23" s="10">
        <f t="shared" si="0"/>
        <v>24.267857142857203</v>
      </c>
    </row>
    <row r="24" spans="1:6" x14ac:dyDescent="0.35">
      <c r="A24" s="5" t="s">
        <v>19</v>
      </c>
      <c r="B24" s="15">
        <v>2.2831050228310501E-3</v>
      </c>
      <c r="C24" s="5">
        <v>438</v>
      </c>
      <c r="D24" s="5">
        <v>1</v>
      </c>
      <c r="E24" s="17">
        <v>44020</v>
      </c>
      <c r="F24" s="10">
        <f t="shared" si="0"/>
        <v>100.50228310502283</v>
      </c>
    </row>
    <row r="25" spans="1:6" x14ac:dyDescent="0.35">
      <c r="A25" s="6" t="s">
        <v>20</v>
      </c>
      <c r="B25" s="14">
        <v>0</v>
      </c>
      <c r="C25" s="6">
        <v>162</v>
      </c>
      <c r="D25" s="6">
        <v>0</v>
      </c>
      <c r="E25" s="6">
        <f>67880+13820</f>
        <v>81700</v>
      </c>
      <c r="F25" s="11">
        <f t="shared" si="0"/>
        <v>0</v>
      </c>
    </row>
    <row r="26" spans="1:6" ht="30" x14ac:dyDescent="0.35">
      <c r="A26" s="1"/>
      <c r="B26" s="1"/>
      <c r="C26" s="1"/>
      <c r="D26" s="1"/>
      <c r="E26" s="27" t="s">
        <v>41</v>
      </c>
      <c r="F26" s="50">
        <f>SUM(F5:F25)</f>
        <v>51287.601498104923</v>
      </c>
    </row>
    <row r="27" spans="1:6" x14ac:dyDescent="0.35">
      <c r="A27" s="1"/>
      <c r="B27" s="1"/>
      <c r="C27" s="1"/>
      <c r="D27" s="1"/>
      <c r="E27" s="1"/>
      <c r="F27" s="1"/>
    </row>
    <row r="28" spans="1:6" x14ac:dyDescent="0.35">
      <c r="A28" s="1"/>
      <c r="B28" s="1"/>
      <c r="C28" s="1"/>
      <c r="D28" s="1"/>
      <c r="E28" s="1"/>
      <c r="F28" s="1"/>
    </row>
    <row r="29" spans="1:6" ht="27.5" customHeight="1" x14ac:dyDescent="0.35">
      <c r="A29" s="29" t="s">
        <v>26</v>
      </c>
      <c r="B29" s="27" t="s">
        <v>27</v>
      </c>
      <c r="C29" s="27" t="s">
        <v>28</v>
      </c>
      <c r="D29" s="27" t="s">
        <v>29</v>
      </c>
      <c r="E29" s="30" t="s">
        <v>30</v>
      </c>
      <c r="F29" s="1"/>
    </row>
    <row r="30" spans="1:6" ht="17.5" customHeight="1" x14ac:dyDescent="0.35">
      <c r="A30" s="33" t="s">
        <v>40</v>
      </c>
      <c r="B30" s="34">
        <f>574208</f>
        <v>574208</v>
      </c>
      <c r="C30" s="34">
        <f>5810918</f>
        <v>5810918</v>
      </c>
      <c r="D30" s="34">
        <f>B30/C30</f>
        <v>9.8815367898841461E-2</v>
      </c>
      <c r="E30" s="78">
        <f>1-(1-D30)^2</f>
        <v>0.18786625886469954</v>
      </c>
      <c r="F30" s="1"/>
    </row>
    <row r="31" spans="1:6" x14ac:dyDescent="0.35">
      <c r="A31" s="35" t="s">
        <v>39</v>
      </c>
      <c r="B31" s="36">
        <f>408493</f>
        <v>408493</v>
      </c>
      <c r="C31" s="36">
        <v>5810658</v>
      </c>
      <c r="D31" s="36">
        <f>B31/C31</f>
        <v>7.0300644092286965E-2</v>
      </c>
      <c r="E31" s="76">
        <f>1-(1-D31)^2</f>
        <v>0.1356591076247835</v>
      </c>
      <c r="F31" s="1"/>
    </row>
    <row r="32" spans="1:6" ht="44" x14ac:dyDescent="0.35">
      <c r="A32" s="1"/>
      <c r="B32" s="1"/>
      <c r="C32" s="1"/>
      <c r="D32" s="32" t="s">
        <v>38</v>
      </c>
      <c r="E32" s="63">
        <f>E30*F26</f>
        <v>9635.2098195925319</v>
      </c>
      <c r="F32" s="1"/>
    </row>
    <row r="33" spans="1:6" ht="44" x14ac:dyDescent="0.35">
      <c r="A33" s="1"/>
      <c r="B33" s="1"/>
      <c r="C33" s="1"/>
      <c r="D33" s="32" t="s">
        <v>37</v>
      </c>
      <c r="E33" s="50">
        <f>E31*F26</f>
        <v>6957.6302514484232</v>
      </c>
      <c r="F33" s="1"/>
    </row>
    <row r="34" spans="1:6" ht="44" x14ac:dyDescent="0.35">
      <c r="A34" s="1"/>
      <c r="B34" s="1"/>
      <c r="C34" s="1"/>
      <c r="D34" s="32" t="s">
        <v>36</v>
      </c>
      <c r="E34" s="64">
        <f>E32+E33</f>
        <v>16592.840071040955</v>
      </c>
      <c r="F34" s="1"/>
    </row>
    <row r="35" spans="1:6" x14ac:dyDescent="0.35">
      <c r="A35" s="1"/>
      <c r="B35" s="1"/>
      <c r="C35" s="1"/>
      <c r="D35" s="1"/>
      <c r="E35" s="1"/>
      <c r="F35" s="1"/>
    </row>
    <row r="36" spans="1:6" ht="44" x14ac:dyDescent="0.35">
      <c r="A36" s="27" t="s">
        <v>21</v>
      </c>
      <c r="B36" s="27" t="s">
        <v>55</v>
      </c>
      <c r="C36" s="27" t="s">
        <v>56</v>
      </c>
      <c r="D36" s="27" t="s">
        <v>57</v>
      </c>
      <c r="E36" s="27" t="s">
        <v>62</v>
      </c>
      <c r="F36" s="27" t="s">
        <v>63</v>
      </c>
    </row>
    <row r="37" spans="1:6" x14ac:dyDescent="0.35">
      <c r="A37" s="58" t="s">
        <v>53</v>
      </c>
      <c r="B37" s="59">
        <v>0.15</v>
      </c>
      <c r="C37" s="59">
        <v>0.75</v>
      </c>
      <c r="D37" s="60">
        <f>C37*B37</f>
        <v>0.11249999999999999</v>
      </c>
      <c r="E37" s="9">
        <f>F17*D37</f>
        <v>15.487396408839771</v>
      </c>
      <c r="F37" s="9">
        <f>E37*E30+E37*E31</f>
        <v>5.0105655991377906</v>
      </c>
    </row>
    <row r="38" spans="1:6" x14ac:dyDescent="0.35">
      <c r="A38" s="65" t="s">
        <v>54</v>
      </c>
      <c r="B38" s="66">
        <v>0.15</v>
      </c>
      <c r="C38" s="66">
        <v>0.5</v>
      </c>
      <c r="D38" s="68">
        <f>C38*B38</f>
        <v>7.4999999999999997E-2</v>
      </c>
      <c r="E38" s="72">
        <f>F9*D38</f>
        <v>251.64638783269956</v>
      </c>
      <c r="F38" s="72">
        <f>E38*E30+E38*E31</f>
        <v>81.413989849328715</v>
      </c>
    </row>
    <row r="39" spans="1:6" x14ac:dyDescent="0.35">
      <c r="A39" s="6" t="s">
        <v>61</v>
      </c>
      <c r="B39" s="73">
        <v>0.65</v>
      </c>
      <c r="C39" s="73">
        <v>0.3</v>
      </c>
      <c r="D39" s="79">
        <f>C39*B39</f>
        <v>0.19500000000000001</v>
      </c>
      <c r="E39" s="71">
        <f>F14*D39</f>
        <v>2047.2708025477714</v>
      </c>
      <c r="F39" s="71">
        <f>E39*E30+E39*E31</f>
        <v>662.34403669748576</v>
      </c>
    </row>
    <row r="40" spans="1:6" x14ac:dyDescent="0.35">
      <c r="E40" s="7"/>
      <c r="F40" s="7"/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Data 1a</vt:lpstr>
      <vt:lpstr>Supplementary Data 1b</vt:lpstr>
      <vt:lpstr>Supplementary Data 1c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evenhr</dc:creator>
  <cp:lastModifiedBy>Maria Stadheim Eggebø</cp:lastModifiedBy>
  <dcterms:created xsi:type="dcterms:W3CDTF">2024-12-01T14:21:52Z</dcterms:created>
  <dcterms:modified xsi:type="dcterms:W3CDTF">2025-07-10T12:49:04Z</dcterms:modified>
</cp:coreProperties>
</file>