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earch\Cluster 4\Beavis\Lab Shared\Shared 'Beavis lab'\FLT3L work\Manuscript 2024\Resubmission nOv 2025\"/>
    </mc:Choice>
  </mc:AlternateContent>
  <xr:revisionPtr revIDLastSave="0" documentId="13_ncr:1_{ED6C24D8-898D-4DAF-9B0E-42ACDB91D65C}" xr6:coauthVersionLast="47" xr6:coauthVersionMax="47" xr10:uidLastSave="{00000000-0000-0000-0000-000000000000}"/>
  <bookViews>
    <workbookView xWindow="-120" yWindow="-120" windowWidth="29040" windowHeight="15840" activeTab="10" xr2:uid="{D7C9FB96-2E2C-7F47-9CCD-E8CA52CA5042}"/>
  </bookViews>
  <sheets>
    <sheet name="Fig.1" sheetId="1" r:id="rId1"/>
    <sheet name="Fig.2" sheetId="2" r:id="rId2"/>
    <sheet name="Fig.3" sheetId="3" r:id="rId3"/>
    <sheet name="Fig.4" sheetId="5" r:id="rId4"/>
    <sheet name="Fig.5" sheetId="6" r:id="rId5"/>
    <sheet name="Fig.6" sheetId="7" r:id="rId6"/>
    <sheet name="Fig.7" sheetId="12" r:id="rId7"/>
    <sheet name="ED.Fig.1" sheetId="8" r:id="rId8"/>
    <sheet name="ED.Fig.2" sheetId="10" r:id="rId9"/>
    <sheet name="ED.Fig.3" sheetId="9" r:id="rId10"/>
    <sheet name="ED.Fig.4" sheetId="13" r:id="rId11"/>
    <sheet name="ED.Fig.5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6" i="9" l="1"/>
  <c r="Q76" i="9"/>
  <c r="P76" i="9"/>
  <c r="O76" i="9"/>
  <c r="N76" i="9"/>
  <c r="M76" i="9"/>
  <c r="L76" i="9"/>
  <c r="K76" i="9"/>
  <c r="J76" i="9"/>
  <c r="I76" i="9"/>
  <c r="H76" i="9"/>
  <c r="G76" i="9"/>
  <c r="F76" i="9"/>
  <c r="E76" i="9"/>
  <c r="C76" i="9"/>
  <c r="B76" i="9"/>
  <c r="S75" i="9"/>
  <c r="R75" i="9"/>
  <c r="Q75" i="9"/>
  <c r="P75" i="9"/>
  <c r="O75" i="9"/>
  <c r="M75" i="9"/>
  <c r="L75" i="9"/>
  <c r="K75" i="9"/>
  <c r="J75" i="9"/>
  <c r="I75" i="9"/>
  <c r="H75" i="9"/>
  <c r="G75" i="9"/>
  <c r="F75" i="9"/>
  <c r="E75" i="9"/>
  <c r="C75" i="9"/>
  <c r="B75" i="9"/>
  <c r="K74" i="9"/>
  <c r="J74" i="9"/>
  <c r="I74" i="9"/>
  <c r="H74" i="9"/>
  <c r="G74" i="9"/>
  <c r="F74" i="9"/>
  <c r="E74" i="9"/>
  <c r="C74" i="9"/>
  <c r="B74" i="9"/>
  <c r="O73" i="9"/>
  <c r="N73" i="9"/>
  <c r="M73" i="9"/>
  <c r="L73" i="9"/>
  <c r="K73" i="9"/>
  <c r="J73" i="9"/>
  <c r="I73" i="9"/>
  <c r="H73" i="9"/>
  <c r="G73" i="9"/>
  <c r="F73" i="9"/>
  <c r="E73" i="9"/>
  <c r="C73" i="9"/>
  <c r="B73" i="9"/>
  <c r="P72" i="9"/>
  <c r="O72" i="9"/>
  <c r="N72" i="9"/>
  <c r="M72" i="9"/>
  <c r="L72" i="9"/>
  <c r="K72" i="9"/>
  <c r="J72" i="9"/>
  <c r="I72" i="9"/>
  <c r="H72" i="9"/>
  <c r="G72" i="9"/>
  <c r="F72" i="9"/>
  <c r="E72" i="9"/>
  <c r="C72" i="9"/>
  <c r="B72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C71" i="9"/>
  <c r="B71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C70" i="9"/>
  <c r="B70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E69" i="9"/>
  <c r="C69" i="9"/>
  <c r="B69" i="9"/>
  <c r="D68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C63" i="9"/>
  <c r="B63" i="9"/>
  <c r="V62" i="9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C62" i="9"/>
  <c r="B62" i="9"/>
  <c r="P61" i="9"/>
  <c r="O61" i="9"/>
  <c r="N61" i="9"/>
  <c r="M61" i="9"/>
  <c r="L61" i="9"/>
  <c r="K61" i="9"/>
  <c r="J61" i="9"/>
  <c r="I61" i="9"/>
  <c r="H61" i="9"/>
  <c r="G61" i="9"/>
  <c r="F61" i="9"/>
  <c r="E61" i="9"/>
  <c r="C61" i="9"/>
  <c r="B61" i="9"/>
  <c r="AA60" i="9"/>
  <c r="Z60" i="9"/>
  <c r="Y60" i="9"/>
  <c r="X60" i="9"/>
  <c r="W60" i="9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C60" i="9"/>
  <c r="B60" i="9"/>
  <c r="P59" i="9"/>
  <c r="O59" i="9"/>
  <c r="N59" i="9"/>
  <c r="M59" i="9"/>
  <c r="L59" i="9"/>
  <c r="K59" i="9"/>
  <c r="J59" i="9"/>
  <c r="I59" i="9"/>
  <c r="H59" i="9"/>
  <c r="G59" i="9"/>
  <c r="F59" i="9"/>
  <c r="E59" i="9"/>
  <c r="C59" i="9"/>
  <c r="B59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C58" i="9"/>
  <c r="B58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C57" i="9"/>
  <c r="B57" i="9"/>
  <c r="V56" i="9"/>
  <c r="U56" i="9"/>
  <c r="T56" i="9"/>
  <c r="S56" i="9"/>
  <c r="R56" i="9"/>
  <c r="Q56" i="9"/>
  <c r="P56" i="9"/>
  <c r="O56" i="9"/>
  <c r="N56" i="9"/>
  <c r="M56" i="9"/>
  <c r="L56" i="9"/>
  <c r="K56" i="9"/>
  <c r="J56" i="9"/>
  <c r="I56" i="9"/>
  <c r="H56" i="9"/>
  <c r="G56" i="9"/>
  <c r="F56" i="9"/>
  <c r="E56" i="9"/>
  <c r="C56" i="9"/>
  <c r="B56" i="9"/>
  <c r="D55" i="9"/>
  <c r="M49" i="9"/>
  <c r="L49" i="9"/>
  <c r="K49" i="9"/>
  <c r="J49" i="9"/>
  <c r="I49" i="9"/>
  <c r="H49" i="9"/>
  <c r="G49" i="9"/>
  <c r="F49" i="9"/>
  <c r="E49" i="9"/>
  <c r="C49" i="9"/>
  <c r="B49" i="9"/>
  <c r="L48" i="9"/>
  <c r="K48" i="9"/>
  <c r="J48" i="9"/>
  <c r="I48" i="9"/>
  <c r="H48" i="9"/>
  <c r="G48" i="9"/>
  <c r="F48" i="9"/>
  <c r="E48" i="9"/>
  <c r="C48" i="9"/>
  <c r="B48" i="9"/>
  <c r="P47" i="9"/>
  <c r="O47" i="9"/>
  <c r="N47" i="9"/>
  <c r="M47" i="9"/>
  <c r="L47" i="9"/>
  <c r="K47" i="9"/>
  <c r="J47" i="9"/>
  <c r="I47" i="9"/>
  <c r="H47" i="9"/>
  <c r="G47" i="9"/>
  <c r="F47" i="9"/>
  <c r="E47" i="9"/>
  <c r="C47" i="9"/>
  <c r="B47" i="9"/>
  <c r="R46" i="9"/>
  <c r="Q46" i="9"/>
  <c r="P46" i="9"/>
  <c r="O46" i="9"/>
  <c r="N46" i="9"/>
  <c r="M46" i="9"/>
  <c r="L46" i="9"/>
  <c r="K46" i="9"/>
  <c r="J46" i="9"/>
  <c r="I46" i="9"/>
  <c r="H46" i="9"/>
  <c r="G46" i="9"/>
  <c r="F46" i="9"/>
  <c r="E46" i="9"/>
  <c r="C46" i="9"/>
  <c r="B46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C45" i="9"/>
  <c r="B45" i="9"/>
  <c r="J44" i="9"/>
  <c r="I44" i="9"/>
  <c r="H44" i="9"/>
  <c r="G44" i="9"/>
  <c r="F44" i="9"/>
  <c r="E44" i="9"/>
  <c r="C44" i="9"/>
  <c r="B44" i="9"/>
  <c r="L43" i="9"/>
  <c r="K43" i="9"/>
  <c r="J43" i="9"/>
  <c r="I43" i="9"/>
  <c r="H43" i="9"/>
  <c r="G43" i="9"/>
  <c r="F43" i="9"/>
  <c r="E43" i="9"/>
  <c r="C43" i="9"/>
  <c r="B43" i="9"/>
  <c r="J41" i="9"/>
  <c r="I41" i="9"/>
  <c r="H41" i="9"/>
  <c r="G41" i="9"/>
  <c r="F41" i="9"/>
  <c r="E41" i="9"/>
  <c r="C41" i="9"/>
  <c r="B41" i="9"/>
  <c r="K40" i="9"/>
  <c r="J40" i="9"/>
  <c r="I40" i="9"/>
  <c r="H40" i="9"/>
  <c r="G40" i="9"/>
  <c r="F40" i="9"/>
  <c r="E40" i="9"/>
  <c r="C40" i="9"/>
  <c r="B40" i="9"/>
  <c r="O39" i="9"/>
  <c r="N39" i="9"/>
  <c r="M39" i="9"/>
  <c r="L39" i="9"/>
  <c r="K39" i="9"/>
  <c r="J39" i="9"/>
  <c r="I39" i="9"/>
  <c r="H39" i="9"/>
  <c r="G39" i="9"/>
  <c r="F39" i="9"/>
  <c r="E39" i="9"/>
  <c r="C39" i="9"/>
  <c r="B39" i="9"/>
  <c r="J38" i="9"/>
  <c r="I38" i="9"/>
  <c r="H38" i="9"/>
  <c r="G38" i="9"/>
  <c r="F38" i="9"/>
  <c r="E38" i="9"/>
  <c r="C38" i="9"/>
  <c r="B38" i="9"/>
  <c r="J37" i="9"/>
  <c r="I37" i="9"/>
  <c r="H37" i="9"/>
  <c r="G37" i="9"/>
  <c r="F37" i="9"/>
  <c r="E37" i="9"/>
  <c r="C37" i="9"/>
  <c r="B37" i="9"/>
  <c r="L36" i="9"/>
  <c r="K36" i="9"/>
  <c r="J36" i="9"/>
  <c r="I36" i="9"/>
  <c r="H36" i="9"/>
  <c r="G36" i="9"/>
  <c r="F36" i="9"/>
  <c r="E36" i="9"/>
  <c r="C36" i="9"/>
  <c r="B36" i="9"/>
  <c r="K35" i="9"/>
  <c r="J35" i="9"/>
  <c r="I35" i="9"/>
  <c r="H35" i="9"/>
  <c r="G35" i="9"/>
  <c r="F35" i="9"/>
  <c r="E35" i="9"/>
  <c r="C35" i="9"/>
  <c r="B35" i="9"/>
  <c r="J34" i="9"/>
  <c r="I34" i="9"/>
  <c r="H34" i="9"/>
  <c r="G34" i="9"/>
  <c r="F34" i="9"/>
  <c r="E34" i="9"/>
  <c r="C34" i="9"/>
  <c r="B34" i="9"/>
  <c r="D33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C25" i="9"/>
  <c r="B25" i="9"/>
  <c r="L24" i="9"/>
  <c r="K24" i="9"/>
  <c r="J24" i="9"/>
  <c r="I24" i="9"/>
  <c r="H24" i="9"/>
  <c r="G24" i="9"/>
  <c r="F24" i="9"/>
  <c r="E24" i="9"/>
  <c r="C24" i="9"/>
  <c r="B24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C23" i="9"/>
  <c r="B23" i="9"/>
  <c r="P22" i="9"/>
  <c r="O22" i="9"/>
  <c r="N22" i="9"/>
  <c r="M22" i="9"/>
  <c r="L22" i="9"/>
  <c r="K22" i="9"/>
  <c r="J22" i="9"/>
  <c r="I22" i="9"/>
  <c r="H22" i="9"/>
  <c r="G22" i="9"/>
  <c r="F22" i="9"/>
  <c r="E22" i="9"/>
  <c r="C22" i="9"/>
  <c r="B22" i="9"/>
  <c r="N21" i="9"/>
  <c r="M21" i="9"/>
  <c r="L21" i="9"/>
  <c r="K21" i="9"/>
  <c r="J21" i="9"/>
  <c r="I21" i="9"/>
  <c r="H21" i="9"/>
  <c r="G21" i="9"/>
  <c r="F21" i="9"/>
  <c r="E21" i="9"/>
  <c r="C21" i="9"/>
  <c r="B21" i="9"/>
  <c r="J20" i="9"/>
  <c r="I20" i="9"/>
  <c r="H20" i="9"/>
  <c r="G20" i="9"/>
  <c r="F20" i="9"/>
  <c r="E20" i="9"/>
  <c r="C20" i="9"/>
  <c r="B20" i="9"/>
  <c r="D19" i="9"/>
  <c r="J10" i="9"/>
  <c r="I10" i="9"/>
  <c r="H10" i="9"/>
  <c r="G10" i="9"/>
  <c r="F10" i="9"/>
  <c r="E10" i="9"/>
  <c r="C10" i="9"/>
  <c r="B10" i="9"/>
  <c r="H9" i="9"/>
  <c r="G9" i="9"/>
  <c r="F9" i="9"/>
  <c r="E9" i="9"/>
  <c r="C9" i="9"/>
  <c r="B9" i="9"/>
  <c r="H8" i="9"/>
  <c r="G8" i="9"/>
  <c r="F8" i="9"/>
  <c r="E8" i="9"/>
  <c r="C8" i="9"/>
  <c r="B8" i="9"/>
  <c r="K7" i="9"/>
  <c r="J7" i="9"/>
  <c r="I7" i="9"/>
  <c r="H7" i="9"/>
  <c r="G7" i="9"/>
  <c r="F7" i="9"/>
  <c r="E7" i="9"/>
  <c r="C7" i="9"/>
  <c r="B7" i="9"/>
  <c r="K6" i="9"/>
  <c r="J6" i="9"/>
  <c r="I6" i="9"/>
  <c r="H6" i="9"/>
  <c r="G6" i="9"/>
  <c r="F6" i="9"/>
  <c r="E6" i="9"/>
  <c r="C6" i="9"/>
  <c r="B6" i="9"/>
  <c r="L5" i="9"/>
  <c r="K5" i="9"/>
  <c r="J5" i="9"/>
  <c r="I5" i="9"/>
  <c r="H5" i="9"/>
  <c r="G5" i="9"/>
  <c r="F5" i="9"/>
  <c r="E5" i="9"/>
  <c r="C5" i="9"/>
  <c r="B5" i="9"/>
  <c r="L4" i="9"/>
  <c r="K4" i="9"/>
  <c r="J4" i="9"/>
  <c r="I4" i="9"/>
  <c r="H4" i="9"/>
  <c r="G4" i="9"/>
  <c r="F4" i="9"/>
  <c r="E4" i="9"/>
  <c r="C4" i="9"/>
  <c r="B4" i="9"/>
  <c r="H3" i="9"/>
  <c r="G3" i="9"/>
  <c r="F3" i="9"/>
  <c r="E3" i="9"/>
  <c r="C3" i="9"/>
  <c r="B3" i="9"/>
  <c r="E77" i="9" l="1"/>
  <c r="I77" i="9"/>
  <c r="F77" i="9"/>
  <c r="J77" i="9"/>
  <c r="C19" i="9"/>
  <c r="B19" i="9"/>
  <c r="G19" i="9"/>
  <c r="E19" i="9"/>
  <c r="E68" i="9"/>
  <c r="M68" i="9"/>
  <c r="C42" i="9"/>
  <c r="H42" i="9"/>
  <c r="B55" i="9"/>
  <c r="I68" i="9"/>
  <c r="J33" i="9"/>
  <c r="F68" i="9"/>
  <c r="J68" i="9"/>
  <c r="N68" i="9"/>
  <c r="H33" i="9"/>
  <c r="F33" i="9"/>
  <c r="E42" i="9"/>
  <c r="I42" i="9"/>
  <c r="E55" i="9"/>
  <c r="I55" i="9"/>
  <c r="G55" i="9"/>
  <c r="B68" i="9"/>
  <c r="G68" i="9"/>
  <c r="K68" i="9"/>
  <c r="O68" i="9"/>
  <c r="B77" i="9"/>
  <c r="G77" i="9"/>
  <c r="K77" i="9"/>
  <c r="H19" i="9"/>
  <c r="F19" i="9"/>
  <c r="E33" i="9"/>
  <c r="I33" i="9"/>
  <c r="B33" i="9"/>
  <c r="G33" i="9"/>
  <c r="C33" i="9"/>
  <c r="B42" i="9"/>
  <c r="G42" i="9"/>
  <c r="F42" i="9"/>
  <c r="J42" i="9"/>
  <c r="F55" i="9"/>
  <c r="J55" i="9"/>
  <c r="C55" i="9"/>
  <c r="H55" i="9"/>
  <c r="C68" i="9"/>
  <c r="H68" i="9"/>
  <c r="L68" i="9"/>
  <c r="P68" i="9"/>
  <c r="C77" i="9"/>
  <c r="H77" i="9"/>
  <c r="J71" i="7"/>
  <c r="I71" i="7"/>
  <c r="H71" i="7"/>
  <c r="G71" i="7"/>
  <c r="F71" i="7"/>
  <c r="E71" i="7"/>
  <c r="D71" i="7"/>
  <c r="C71" i="7"/>
  <c r="B71" i="7"/>
  <c r="J70" i="7"/>
  <c r="I70" i="7"/>
  <c r="H70" i="7"/>
  <c r="G70" i="7"/>
  <c r="F70" i="7"/>
  <c r="E70" i="7"/>
  <c r="D70" i="7"/>
  <c r="C70" i="7"/>
  <c r="B70" i="7"/>
  <c r="J69" i="7"/>
  <c r="I69" i="7"/>
  <c r="H69" i="7"/>
  <c r="G69" i="7"/>
  <c r="F69" i="7"/>
  <c r="E69" i="7"/>
  <c r="D69" i="7"/>
  <c r="C69" i="7"/>
  <c r="B69" i="7"/>
  <c r="J68" i="7"/>
  <c r="I68" i="7"/>
  <c r="H68" i="7"/>
  <c r="G68" i="7"/>
  <c r="F68" i="7"/>
  <c r="E68" i="7"/>
  <c r="D68" i="7"/>
  <c r="C68" i="7"/>
  <c r="B68" i="7"/>
  <c r="J67" i="7"/>
  <c r="I67" i="7"/>
  <c r="H67" i="7"/>
  <c r="G67" i="7"/>
  <c r="F67" i="7"/>
  <c r="E67" i="7"/>
  <c r="D67" i="7"/>
  <c r="C67" i="7"/>
  <c r="B67" i="7"/>
  <c r="J66" i="7"/>
  <c r="I66" i="7"/>
  <c r="H66" i="7"/>
  <c r="G66" i="7"/>
  <c r="F66" i="7"/>
  <c r="E66" i="7"/>
  <c r="D66" i="7"/>
  <c r="C66" i="7"/>
  <c r="B66" i="7"/>
  <c r="J65" i="7"/>
  <c r="I65" i="7"/>
  <c r="H65" i="7"/>
  <c r="G65" i="7"/>
  <c r="F65" i="7"/>
  <c r="E65" i="7"/>
  <c r="D65" i="7"/>
  <c r="C65" i="7"/>
  <c r="B65" i="7"/>
  <c r="J64" i="7"/>
  <c r="I64" i="7"/>
  <c r="H64" i="7"/>
  <c r="G64" i="7"/>
  <c r="F64" i="7"/>
  <c r="E64" i="7"/>
  <c r="D64" i="7"/>
  <c r="C64" i="7"/>
  <c r="B64" i="7"/>
  <c r="J59" i="7"/>
  <c r="I59" i="7"/>
  <c r="H59" i="7"/>
  <c r="G59" i="7"/>
  <c r="F59" i="7"/>
  <c r="E59" i="7"/>
  <c r="D59" i="7"/>
  <c r="C59" i="7"/>
  <c r="B59" i="7"/>
  <c r="J58" i="7"/>
  <c r="I58" i="7"/>
  <c r="H58" i="7"/>
  <c r="G58" i="7"/>
  <c r="F58" i="7"/>
  <c r="E58" i="7"/>
  <c r="D58" i="7"/>
  <c r="C58" i="7"/>
  <c r="B58" i="7"/>
  <c r="J57" i="7"/>
  <c r="I57" i="7"/>
  <c r="H57" i="7"/>
  <c r="G57" i="7"/>
  <c r="F57" i="7"/>
  <c r="E57" i="7"/>
  <c r="D57" i="7"/>
  <c r="C57" i="7"/>
  <c r="B57" i="7"/>
  <c r="J56" i="7"/>
  <c r="I56" i="7"/>
  <c r="H56" i="7"/>
  <c r="G56" i="7"/>
  <c r="F56" i="7"/>
  <c r="E56" i="7"/>
  <c r="D56" i="7"/>
  <c r="C56" i="7"/>
  <c r="B56" i="7"/>
  <c r="J55" i="7"/>
  <c r="I55" i="7"/>
  <c r="H55" i="7"/>
  <c r="G55" i="7"/>
  <c r="F55" i="7"/>
  <c r="E55" i="7"/>
  <c r="D55" i="7"/>
  <c r="C55" i="7"/>
  <c r="B55" i="7"/>
  <c r="J54" i="7"/>
  <c r="I54" i="7"/>
  <c r="H54" i="7"/>
  <c r="G54" i="7"/>
  <c r="F54" i="7"/>
  <c r="E54" i="7"/>
  <c r="D54" i="7"/>
  <c r="C54" i="7"/>
  <c r="B54" i="7"/>
  <c r="J53" i="7"/>
  <c r="I53" i="7"/>
  <c r="H53" i="7"/>
  <c r="G53" i="7"/>
  <c r="F53" i="7"/>
  <c r="E53" i="7"/>
  <c r="D53" i="7"/>
  <c r="C53" i="7"/>
  <c r="B53" i="7"/>
  <c r="J52" i="7"/>
  <c r="I52" i="7"/>
  <c r="H52" i="7"/>
  <c r="G52" i="7"/>
  <c r="F52" i="7"/>
  <c r="E52" i="7"/>
  <c r="D52" i="7"/>
  <c r="C52" i="7"/>
  <c r="B52" i="7"/>
  <c r="I46" i="7"/>
  <c r="H46" i="7"/>
  <c r="G46" i="7"/>
  <c r="F46" i="7"/>
  <c r="E46" i="7"/>
  <c r="D46" i="7"/>
  <c r="C46" i="7"/>
  <c r="B46" i="7"/>
  <c r="I45" i="7"/>
  <c r="H45" i="7"/>
  <c r="G45" i="7"/>
  <c r="F45" i="7"/>
  <c r="E45" i="7"/>
  <c r="D45" i="7"/>
  <c r="C45" i="7"/>
  <c r="B45" i="7"/>
  <c r="I44" i="7"/>
  <c r="H44" i="7"/>
  <c r="G44" i="7"/>
  <c r="F44" i="7"/>
  <c r="E44" i="7"/>
  <c r="D44" i="7"/>
  <c r="C44" i="7"/>
  <c r="B44" i="7"/>
  <c r="I43" i="7"/>
  <c r="H43" i="7"/>
  <c r="G43" i="7"/>
  <c r="F43" i="7"/>
  <c r="E43" i="7"/>
  <c r="D43" i="7"/>
  <c r="C43" i="7"/>
  <c r="B43" i="7"/>
  <c r="I42" i="7"/>
  <c r="H42" i="7"/>
  <c r="G42" i="7"/>
  <c r="F42" i="7"/>
  <c r="E42" i="7"/>
  <c r="D42" i="7"/>
  <c r="C42" i="7"/>
  <c r="B42" i="7"/>
  <c r="I41" i="7"/>
  <c r="H41" i="7"/>
  <c r="G41" i="7"/>
  <c r="F41" i="7"/>
  <c r="E41" i="7"/>
  <c r="D41" i="7"/>
  <c r="C41" i="7"/>
  <c r="B41" i="7"/>
  <c r="I40" i="7"/>
  <c r="H40" i="7"/>
  <c r="G40" i="7"/>
  <c r="F40" i="7"/>
  <c r="E40" i="7"/>
  <c r="D40" i="7"/>
  <c r="C40" i="7"/>
  <c r="B40" i="7"/>
  <c r="I39" i="7"/>
  <c r="H39" i="7"/>
  <c r="G39" i="7"/>
  <c r="F39" i="7"/>
  <c r="E39" i="7"/>
  <c r="D39" i="7"/>
  <c r="C39" i="7"/>
  <c r="B39" i="7"/>
  <c r="I38" i="7"/>
  <c r="H38" i="7"/>
  <c r="G38" i="7"/>
  <c r="F38" i="7"/>
  <c r="E38" i="7"/>
  <c r="D38" i="7"/>
  <c r="C38" i="7"/>
  <c r="B38" i="7"/>
  <c r="I37" i="7"/>
  <c r="H37" i="7"/>
  <c r="G37" i="7"/>
  <c r="F37" i="7"/>
  <c r="E37" i="7"/>
  <c r="D37" i="7"/>
  <c r="C37" i="7"/>
  <c r="B37" i="7"/>
  <c r="I36" i="7"/>
  <c r="H36" i="7"/>
  <c r="G36" i="7"/>
  <c r="F36" i="7"/>
  <c r="E36" i="7"/>
  <c r="D36" i="7"/>
  <c r="C36" i="7"/>
  <c r="B36" i="7"/>
  <c r="I35" i="7"/>
  <c r="H35" i="7"/>
  <c r="G35" i="7"/>
  <c r="F35" i="7"/>
  <c r="E35" i="7"/>
  <c r="D35" i="7"/>
  <c r="C35" i="7"/>
  <c r="B35" i="7"/>
  <c r="I34" i="7"/>
  <c r="H34" i="7"/>
  <c r="G34" i="7"/>
  <c r="F34" i="7"/>
  <c r="E34" i="7"/>
  <c r="D34" i="7"/>
  <c r="C34" i="7"/>
  <c r="B34" i="7"/>
  <c r="I33" i="7"/>
  <c r="H33" i="7"/>
  <c r="G33" i="7"/>
  <c r="F33" i="7"/>
  <c r="E33" i="7"/>
  <c r="D33" i="7"/>
  <c r="C33" i="7"/>
  <c r="B33" i="7"/>
  <c r="I32" i="7"/>
  <c r="H32" i="7"/>
  <c r="G32" i="7"/>
  <c r="F32" i="7"/>
  <c r="E32" i="7"/>
  <c r="D32" i="7"/>
  <c r="C32" i="7"/>
  <c r="B32" i="7"/>
  <c r="I24" i="7"/>
  <c r="H24" i="7"/>
  <c r="G24" i="7"/>
  <c r="F24" i="7"/>
  <c r="E24" i="7"/>
  <c r="D24" i="7"/>
  <c r="C24" i="7"/>
  <c r="B24" i="7"/>
  <c r="I23" i="7"/>
  <c r="H23" i="7"/>
  <c r="G23" i="7"/>
  <c r="F23" i="7"/>
  <c r="E23" i="7"/>
  <c r="D23" i="7"/>
  <c r="C23" i="7"/>
  <c r="B23" i="7"/>
  <c r="I22" i="7"/>
  <c r="H22" i="7"/>
  <c r="G22" i="7"/>
  <c r="F22" i="7"/>
  <c r="E22" i="7"/>
  <c r="D22" i="7"/>
  <c r="C22" i="7"/>
  <c r="B22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I19" i="7"/>
  <c r="H19" i="7"/>
  <c r="G19" i="7"/>
  <c r="F19" i="7"/>
  <c r="E19" i="7"/>
  <c r="D19" i="7"/>
  <c r="C19" i="7"/>
  <c r="B19" i="7"/>
  <c r="G10" i="7"/>
  <c r="F10" i="7"/>
  <c r="E10" i="7"/>
  <c r="D10" i="7"/>
  <c r="C10" i="7"/>
  <c r="B10" i="7"/>
  <c r="G9" i="7"/>
  <c r="F9" i="7"/>
  <c r="E9" i="7"/>
  <c r="D9" i="7"/>
  <c r="C9" i="7"/>
  <c r="B9" i="7"/>
  <c r="G8" i="7"/>
  <c r="F8" i="7"/>
  <c r="E8" i="7"/>
  <c r="D8" i="7"/>
  <c r="C8" i="7"/>
  <c r="B8" i="7"/>
  <c r="G7" i="7"/>
  <c r="F7" i="7"/>
  <c r="E7" i="7"/>
  <c r="D7" i="7"/>
  <c r="C7" i="7"/>
  <c r="B7" i="7"/>
  <c r="G6" i="7"/>
  <c r="F6" i="7"/>
  <c r="E6" i="7"/>
  <c r="D6" i="7"/>
  <c r="C6" i="7"/>
  <c r="B6" i="7"/>
  <c r="G5" i="7"/>
  <c r="F5" i="7"/>
  <c r="E5" i="7"/>
  <c r="D5" i="7"/>
  <c r="C5" i="7"/>
  <c r="B5" i="7"/>
  <c r="G4" i="7"/>
  <c r="F4" i="7"/>
  <c r="E4" i="7"/>
  <c r="D4" i="7"/>
  <c r="C4" i="7"/>
  <c r="B4" i="7"/>
  <c r="G3" i="7"/>
  <c r="F3" i="7"/>
  <c r="E3" i="7"/>
  <c r="D3" i="7"/>
  <c r="C3" i="7"/>
  <c r="B3" i="7"/>
</calcChain>
</file>

<file path=xl/sharedStrings.xml><?xml version="1.0" encoding="utf-8"?>
<sst xmlns="http://schemas.openxmlformats.org/spreadsheetml/2006/main" count="801" uniqueCount="232">
  <si>
    <t>Figure 1a</t>
  </si>
  <si>
    <t>Figure 1d</t>
  </si>
  <si>
    <t>Figure 1f</t>
  </si>
  <si>
    <t>Ctrl</t>
  </si>
  <si>
    <t>FL</t>
  </si>
  <si>
    <t>2_NK cell</t>
  </si>
  <si>
    <t>4_CD8+ resting</t>
  </si>
  <si>
    <t>5_CD4+</t>
  </si>
  <si>
    <t>9_CD8+IFN+</t>
  </si>
  <si>
    <t>11_CD4+ Prolif.</t>
  </si>
  <si>
    <t>1_CD8+ EM</t>
  </si>
  <si>
    <t>3_CD8+ EFF</t>
  </si>
  <si>
    <t>6_CD8+ Prolif.</t>
  </si>
  <si>
    <t>7_CD4+ resting</t>
  </si>
  <si>
    <t>8_CD8+ Prolif.</t>
  </si>
  <si>
    <t>12_CD8+ XCL1+ EM</t>
  </si>
  <si>
    <t>8_XCR1+ DC</t>
  </si>
  <si>
    <t>4_CD209a+ DC</t>
  </si>
  <si>
    <t>7_CCR7+IL12+ DC</t>
  </si>
  <si>
    <t>2_M1-like Macs</t>
  </si>
  <si>
    <t>1_Mono-Macs</t>
  </si>
  <si>
    <t>3_Ly6C+ Mono</t>
  </si>
  <si>
    <t>9_M2-like Macs</t>
  </si>
  <si>
    <t>Days</t>
  </si>
  <si>
    <t>24JK cherry</t>
  </si>
  <si>
    <t>24JK FL</t>
  </si>
  <si>
    <t>Figure 2a</t>
  </si>
  <si>
    <t>NT</t>
  </si>
  <si>
    <t>Figure 2c</t>
  </si>
  <si>
    <t>%Tumor CD8+ T cells</t>
  </si>
  <si>
    <t>SLAMF6+CD62L+</t>
  </si>
  <si>
    <t>SLAMF6+CD62L+Ki67+</t>
  </si>
  <si>
    <t>Figure 2d</t>
  </si>
  <si>
    <t>Figure 2e</t>
  </si>
  <si>
    <t>cDC1</t>
  </si>
  <si>
    <t>cDC2</t>
  </si>
  <si>
    <t>CCR7+PD-L1+ DC</t>
  </si>
  <si>
    <t>CCR7+PDL1+</t>
  </si>
  <si>
    <t>Others</t>
  </si>
  <si>
    <t>Figure 2j</t>
  </si>
  <si>
    <t>No DT</t>
  </si>
  <si>
    <t>DT</t>
  </si>
  <si>
    <t>Tumor cDC1</t>
  </si>
  <si>
    <t>Tumor cDC2</t>
  </si>
  <si>
    <t>Tumor CCR7+PD-L1+ DC</t>
  </si>
  <si>
    <t>Figure 2k</t>
  </si>
  <si>
    <t>Tumor SLAMF6+CD62L+</t>
  </si>
  <si>
    <t>Figure 2l</t>
  </si>
  <si>
    <t>Figure 3i</t>
  </si>
  <si>
    <t>Tumor CD8+ T cells</t>
  </si>
  <si>
    <t>%SLAMF6+CD62L+</t>
  </si>
  <si>
    <t>OT-I</t>
  </si>
  <si>
    <t>OT-III</t>
  </si>
  <si>
    <t>%OT-I T cells</t>
  </si>
  <si>
    <t>Mock</t>
  </si>
  <si>
    <t>Myb</t>
  </si>
  <si>
    <t>Tcf7</t>
  </si>
  <si>
    <t>Jun</t>
  </si>
  <si>
    <t>Figure 4c</t>
  </si>
  <si>
    <t>Figure 4d</t>
  </si>
  <si>
    <t>DMSO</t>
  </si>
  <si>
    <t>FTY-720</t>
  </si>
  <si>
    <t>SLAMF6+CD62L+TCF1+Ki67+</t>
  </si>
  <si>
    <t>Naïve (CD62L+CD44-)</t>
  </si>
  <si>
    <t>TEX</t>
  </si>
  <si>
    <t>Counts/mg Tumor</t>
  </si>
  <si>
    <t>Figure 5d</t>
  </si>
  <si>
    <t>Figure 5e</t>
  </si>
  <si>
    <t>Figure 6a</t>
  </si>
  <si>
    <t>Figure 6b</t>
  </si>
  <si>
    <t>Figure 6c</t>
  </si>
  <si>
    <t>Figure 6d</t>
  </si>
  <si>
    <t>Figure 6e</t>
  </si>
  <si>
    <t>Figure 6f</t>
  </si>
  <si>
    <t>Figure 6g</t>
  </si>
  <si>
    <t>Figure 6h</t>
  </si>
  <si>
    <t>CCR7</t>
  </si>
  <si>
    <t>IL-12</t>
  </si>
  <si>
    <t>IL-15Ra</t>
  </si>
  <si>
    <t>PD-L1</t>
  </si>
  <si>
    <t>PD-L2</t>
  </si>
  <si>
    <t>CCR7-PD-L1- DC</t>
  </si>
  <si>
    <t>CD40</t>
  </si>
  <si>
    <t>CD80</t>
  </si>
  <si>
    <t>CD86</t>
  </si>
  <si>
    <t>MHCII</t>
  </si>
  <si>
    <t>Figure 5b</t>
  </si>
  <si>
    <t>Figure 5c</t>
  </si>
  <si>
    <t>CD62L+SLAMF6+TCF1+</t>
  </si>
  <si>
    <t>%Tumor CD45.1+CD8+T cells</t>
  </si>
  <si>
    <t>Counts per dLN</t>
  </si>
  <si>
    <t>CCR7KO</t>
  </si>
  <si>
    <t>CD45.2+CCR7+DC</t>
  </si>
  <si>
    <t>CD45.2+DC</t>
  </si>
  <si>
    <t>CD45.2+cDC1</t>
  </si>
  <si>
    <t>%dLN DCs</t>
  </si>
  <si>
    <t>C_NT</t>
  </si>
  <si>
    <t>C_CTLA4</t>
  </si>
  <si>
    <t>C_PDL1</t>
  </si>
  <si>
    <t>FL_NT</t>
  </si>
  <si>
    <t>FL_CTLA4</t>
  </si>
  <si>
    <t>FL_PDL1</t>
  </si>
  <si>
    <t>Tumour measurement post ICB</t>
  </si>
  <si>
    <t>Group\Day</t>
  </si>
  <si>
    <t>Counts per 100ul blood</t>
  </si>
  <si>
    <t>OVA-specific CD44+CD8+T cells</t>
  </si>
  <si>
    <t>ctrl</t>
  </si>
  <si>
    <t>aCTLA4</t>
  </si>
  <si>
    <t>Tumour weight (Day 9) (mg)</t>
  </si>
  <si>
    <t>Survival</t>
  </si>
  <si>
    <t>%dLN CD8+T cells</t>
  </si>
  <si>
    <t>%Tumor CD8+T cells</t>
  </si>
  <si>
    <t>TCF1+CD62L+</t>
  </si>
  <si>
    <t>%Tumor TCF1+CD62L+CD8+T cells</t>
  </si>
  <si>
    <t>TCF1+CD62L+PD1+</t>
  </si>
  <si>
    <t>PD1+CD101-</t>
  </si>
  <si>
    <t>Figure 6i</t>
  </si>
  <si>
    <t>DAY</t>
  </si>
  <si>
    <t>FL-NT</t>
  </si>
  <si>
    <t>aPDL1</t>
  </si>
  <si>
    <t>C</t>
  </si>
  <si>
    <t>OVA-specific CD44+CD8+ T cells</t>
  </si>
  <si>
    <t>Counts/100ul blood</t>
  </si>
  <si>
    <t>%dLN CD80+</t>
  </si>
  <si>
    <t>Total DCs</t>
  </si>
  <si>
    <t>CCR7+DCs</t>
  </si>
  <si>
    <t>Counts/mg tumor</t>
  </si>
  <si>
    <t>CD8+ T cells</t>
  </si>
  <si>
    <t>Extended Data Figure 1b</t>
  </si>
  <si>
    <t>Extended Data Figure 1e</t>
  </si>
  <si>
    <t>Extended Data Figure 1f</t>
  </si>
  <si>
    <t>Counts/mg</t>
  </si>
  <si>
    <t>CD8</t>
  </si>
  <si>
    <t>CD4+foxp3-</t>
  </si>
  <si>
    <t>CD4+foxp3+</t>
  </si>
  <si>
    <t>PD1+</t>
  </si>
  <si>
    <t>PD1+CD101+</t>
  </si>
  <si>
    <t>TCF1-</t>
  </si>
  <si>
    <t>Extended Data Figure 1g</t>
  </si>
  <si>
    <t>Extended Data Figure 1h</t>
  </si>
  <si>
    <t>ctrl - NT</t>
  </si>
  <si>
    <t>ctrl - aCTLA4</t>
  </si>
  <si>
    <t>FL - NT</t>
  </si>
  <si>
    <t>FL - aCTLA4</t>
  </si>
  <si>
    <t>Day</t>
  </si>
  <si>
    <t>ctrl - aPD-L1</t>
  </si>
  <si>
    <t>FL - aPD-L1</t>
  </si>
  <si>
    <t>IFNg+</t>
  </si>
  <si>
    <t>TNF+</t>
  </si>
  <si>
    <t>%Tumor PD1+CD101+CD8+ T cells</t>
  </si>
  <si>
    <t>CD101+TCF1-</t>
  </si>
  <si>
    <t>CX3CR1+TCF1-</t>
  </si>
  <si>
    <t>AT3 OVA FL</t>
  </si>
  <si>
    <t>TCRseq</t>
  </si>
  <si>
    <t>101-200</t>
  </si>
  <si>
    <t>201-500</t>
  </si>
  <si>
    <t>&gt;500</t>
  </si>
  <si>
    <t>Clonal proportion (%)</t>
  </si>
  <si>
    <t>CCR7+PDL1+DC</t>
  </si>
  <si>
    <t>Figure 3c</t>
  </si>
  <si>
    <t>Figure 3f</t>
  </si>
  <si>
    <t>Figure 2g</t>
  </si>
  <si>
    <t>CD45.1</t>
  </si>
  <si>
    <t>CD45.2</t>
  </si>
  <si>
    <t>Figure 6j</t>
  </si>
  <si>
    <t>&gt;500 copies</t>
  </si>
  <si>
    <t>Figure 6k</t>
  </si>
  <si>
    <t>CCR7-DCs</t>
  </si>
  <si>
    <t>dLN mCherry+ (day9)</t>
  </si>
  <si>
    <t>Counts/dLN</t>
  </si>
  <si>
    <t>rFL</t>
  </si>
  <si>
    <t>CD62L+TCF1+</t>
  </si>
  <si>
    <t>%Tumor OT-I T cells</t>
  </si>
  <si>
    <t>CD62L+SLAMF6+</t>
  </si>
  <si>
    <t>Normalized IFNy+</t>
  </si>
  <si>
    <t>Normalized TNF+</t>
  </si>
  <si>
    <t>Figure 6l</t>
  </si>
  <si>
    <t>501-5000</t>
  </si>
  <si>
    <t>5001-20000</t>
  </si>
  <si>
    <t>&gt;20000</t>
  </si>
  <si>
    <t>FL-FTY</t>
  </si>
  <si>
    <t>%tumor CD8</t>
  </si>
  <si>
    <t>%tumor CD4</t>
  </si>
  <si>
    <t>%tumor CD45.2+</t>
  </si>
  <si>
    <t>Figure 7o</t>
  </si>
  <si>
    <t>Tumour measurement post ICB in AT-3 OVA C</t>
  </si>
  <si>
    <t>aIL21R</t>
  </si>
  <si>
    <t>aCTLA4+aIL21R</t>
  </si>
  <si>
    <t>Tumour measurement post ICB in AT-3 OVA FL</t>
  </si>
  <si>
    <t>CD4+ T cells</t>
  </si>
  <si>
    <t>L01</t>
  </si>
  <si>
    <t>L02</t>
  </si>
  <si>
    <t>L03</t>
  </si>
  <si>
    <t>L04</t>
  </si>
  <si>
    <t>L05</t>
  </si>
  <si>
    <t>CTLA4</t>
  </si>
  <si>
    <t>L06</t>
  </si>
  <si>
    <t>L07</t>
  </si>
  <si>
    <t>L08</t>
  </si>
  <si>
    <t>L09</t>
  </si>
  <si>
    <t>L10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</si>
  <si>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</si>
  <si>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</si>
  <si>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</si>
  <si>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</si>
  <si>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</si>
  <si>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</si>
  <si>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</si>
  <si>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</si>
  <si>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</si>
  <si>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</si>
  <si>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</si>
  <si>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</si>
  <si>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</si>
  <si>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Figure 7d</t>
  </si>
  <si>
    <t>Figure 7g</t>
  </si>
  <si>
    <t>AT3 OVA + rFL</t>
  </si>
  <si>
    <t>Treg Frequency</t>
  </si>
  <si>
    <t>Treg Number/mg</t>
  </si>
  <si>
    <t>25-D1.16 bound</t>
  </si>
  <si>
    <t>Figure 4f</t>
  </si>
  <si>
    <t>Extended Data Figure 2b</t>
  </si>
  <si>
    <t>Extended Data Figure 2d</t>
  </si>
  <si>
    <t>Extended Data Figure 3a</t>
  </si>
  <si>
    <t>Extended Data Figure 3b</t>
  </si>
  <si>
    <t>Extended Data Figure 3c</t>
  </si>
  <si>
    <t>Extended Data Figure 3d</t>
  </si>
  <si>
    <t>Extended Data Figure 3e</t>
  </si>
  <si>
    <t>Extended Data Figure 3g</t>
  </si>
  <si>
    <t>Extended Data Figure 3h</t>
  </si>
  <si>
    <t>Extended Data Figure 4a</t>
  </si>
  <si>
    <t>Extended Data Figure 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</si>
</sst>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rgb="FFFF000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1" xfId="0" applyFont="1" applyFill="1" applyBorder="1"/>
    <xf numFmtId="0" fontId="5" fillId="0" borderId="1" xfId="0" applyFont="1" applyFill="1" applyBorder="1"/>
    <xf numFmtId="0" fontId="6" fillId="0" borderId="1" xfId="0" applyFont="1" applyFill="1" applyBorder="1"/>
    <xf numFmtId="0" fontId="6" fillId="0" borderId="0" xfId="0" applyFont="1" applyFill="1" applyBorder="1"/>
    <xf numFmtId="0" fontId="3" fillId="0" borderId="0" xfId="0" applyFont="1" applyBorder="1" applyAlignment="1"/>
    <xf numFmtId="0" fontId="5" fillId="0" borderId="0" xfId="0" applyFont="1" applyFill="1" applyBorder="1"/>
    <xf numFmtId="0" fontId="0" fillId="0" borderId="0" xfId="0" applyFont="1"/>
    <xf numFmtId="0" fontId="7" fillId="0" borderId="0" xfId="0" applyFont="1"/>
    <xf numFmtId="0" fontId="1" fillId="0" borderId="0" xfId="0" applyFont="1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3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1" fillId="0" borderId="3" xfId="0" applyFont="1" applyFill="1" applyBorder="1"/>
    <xf numFmtId="16" fontId="3" fillId="0" borderId="4" xfId="0" applyNumberFormat="1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0" borderId="1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0" borderId="3" xfId="0" applyFont="1" applyBorder="1"/>
    <xf numFmtId="16" fontId="3" fillId="0" borderId="4" xfId="0" applyNumberFormat="1" applyFont="1" applyBorder="1"/>
    <xf numFmtId="0" fontId="3" fillId="0" borderId="4" xfId="0" applyFont="1" applyFill="1" applyBorder="1"/>
    <xf numFmtId="0" fontId="3" fillId="0" borderId="12" xfId="0" applyFont="1" applyBorder="1"/>
    <xf numFmtId="0" fontId="1" fillId="0" borderId="8" xfId="0" applyFont="1" applyFill="1" applyBorder="1"/>
    <xf numFmtId="0" fontId="3" fillId="0" borderId="4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8" xfId="0" applyFont="1" applyBorder="1"/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/>
    <xf numFmtId="0" fontId="1" fillId="0" borderId="0" xfId="0" applyFont="1" applyFill="1"/>
    <xf numFmtId="0" fontId="8" fillId="0" borderId="0" xfId="0" applyFont="1"/>
    <xf numFmtId="0" fontId="9" fillId="0" borderId="0" xfId="0" applyFon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D28E-EE1B-4B47-95B2-7CEF714F0B41}">
  <dimension ref="A1:W38"/>
  <sheetViews>
    <sheetView zoomScale="71" zoomScaleNormal="71" workbookViewId="0">
      <selection activeCell="E43" sqref="E43"/>
    </sheetView>
  </sheetViews>
  <sheetFormatPr defaultColWidth="10.875" defaultRowHeight="15" x14ac:dyDescent="0.2"/>
  <cols>
    <col min="1" max="16384" width="10.875" style="14"/>
  </cols>
  <sheetData>
    <row r="1" spans="1:23" x14ac:dyDescent="0.2">
      <c r="A1" s="14" t="s">
        <v>0</v>
      </c>
    </row>
    <row r="2" spans="1:23" x14ac:dyDescent="0.2">
      <c r="A2" s="2" t="s">
        <v>23</v>
      </c>
      <c r="B2" s="74" t="s">
        <v>24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 t="s">
        <v>25</v>
      </c>
      <c r="N2" s="76"/>
      <c r="O2" s="76"/>
      <c r="P2" s="76"/>
      <c r="Q2" s="76"/>
      <c r="R2" s="76"/>
      <c r="S2" s="76"/>
      <c r="T2" s="76"/>
      <c r="U2" s="76"/>
      <c r="V2" s="76"/>
      <c r="W2" s="77"/>
    </row>
    <row r="3" spans="1:23" x14ac:dyDescent="0.2">
      <c r="A3" s="3">
        <v>0</v>
      </c>
      <c r="B3" s="4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6">
        <v>0</v>
      </c>
      <c r="M3" s="4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6">
        <v>0</v>
      </c>
    </row>
    <row r="4" spans="1:23" x14ac:dyDescent="0.2">
      <c r="A4" s="3">
        <v>4</v>
      </c>
      <c r="B4" s="7">
        <v>21.42</v>
      </c>
      <c r="C4" s="1">
        <v>18.899999999999999</v>
      </c>
      <c r="D4" s="1">
        <v>19.78</v>
      </c>
      <c r="E4" s="1">
        <v>20.25</v>
      </c>
      <c r="F4" s="1">
        <v>22.54</v>
      </c>
      <c r="G4" s="1">
        <v>26</v>
      </c>
      <c r="H4" s="1">
        <v>16.34</v>
      </c>
      <c r="I4" s="1">
        <v>15.05</v>
      </c>
      <c r="J4" s="1">
        <v>16.34</v>
      </c>
      <c r="K4" s="1">
        <v>14.72</v>
      </c>
      <c r="L4" s="8">
        <v>16.559999999999999</v>
      </c>
      <c r="M4" s="7">
        <v>14.44</v>
      </c>
      <c r="N4" s="1">
        <v>14.4</v>
      </c>
      <c r="O4" s="1">
        <v>14.43</v>
      </c>
      <c r="P4" s="1">
        <v>19</v>
      </c>
      <c r="Q4" s="1">
        <v>19.32</v>
      </c>
      <c r="R4" s="1">
        <v>12.25</v>
      </c>
      <c r="S4" s="1">
        <v>13.6</v>
      </c>
      <c r="T4" s="1">
        <v>14.08</v>
      </c>
      <c r="U4" s="1">
        <v>18.489999999999998</v>
      </c>
      <c r="V4" s="1">
        <v>19.36</v>
      </c>
      <c r="W4" s="8">
        <v>4</v>
      </c>
    </row>
    <row r="5" spans="1:23" x14ac:dyDescent="0.2">
      <c r="A5" s="3">
        <v>7</v>
      </c>
      <c r="B5" s="7">
        <v>27.09</v>
      </c>
      <c r="C5" s="1">
        <v>29.12</v>
      </c>
      <c r="D5" s="1">
        <v>26.66</v>
      </c>
      <c r="E5" s="1">
        <v>26.01</v>
      </c>
      <c r="F5" s="1">
        <v>36.479999999999997</v>
      </c>
      <c r="G5" s="1">
        <v>30.55</v>
      </c>
      <c r="H5" s="1">
        <v>22.79</v>
      </c>
      <c r="I5" s="1">
        <v>27.45</v>
      </c>
      <c r="J5" s="1">
        <v>29.92</v>
      </c>
      <c r="K5" s="1">
        <v>25.96</v>
      </c>
      <c r="L5" s="8">
        <v>22.8</v>
      </c>
      <c r="M5" s="7">
        <v>27.5</v>
      </c>
      <c r="N5" s="1">
        <v>24.94</v>
      </c>
      <c r="O5" s="1">
        <v>23.22</v>
      </c>
      <c r="P5" s="1">
        <v>27.54</v>
      </c>
      <c r="Q5" s="1">
        <v>28.5</v>
      </c>
      <c r="R5" s="1">
        <v>24.08</v>
      </c>
      <c r="S5" s="1">
        <v>20.5</v>
      </c>
      <c r="T5" s="1">
        <v>20.350000000000001</v>
      </c>
      <c r="U5" s="1">
        <v>18.72</v>
      </c>
      <c r="V5" s="1">
        <v>21.93</v>
      </c>
      <c r="W5" s="8">
        <v>19.27</v>
      </c>
    </row>
    <row r="6" spans="1:23" x14ac:dyDescent="0.2">
      <c r="A6" s="3">
        <v>11</v>
      </c>
      <c r="B6" s="7">
        <v>30.08</v>
      </c>
      <c r="C6" s="1">
        <v>29.16</v>
      </c>
      <c r="D6" s="1">
        <v>35.64</v>
      </c>
      <c r="E6" s="1">
        <v>35.1</v>
      </c>
      <c r="F6" s="1">
        <v>38.64</v>
      </c>
      <c r="G6" s="1">
        <v>32.76</v>
      </c>
      <c r="H6" s="1">
        <v>31.5</v>
      </c>
      <c r="I6" s="1">
        <v>31.62</v>
      </c>
      <c r="J6" s="1">
        <v>29.93</v>
      </c>
      <c r="K6" s="1">
        <v>35.36</v>
      </c>
      <c r="L6" s="8">
        <v>22.8</v>
      </c>
      <c r="M6" s="7">
        <v>26.46</v>
      </c>
      <c r="N6" s="1">
        <v>22.96</v>
      </c>
      <c r="O6" s="1">
        <v>16.38</v>
      </c>
      <c r="P6" s="1">
        <v>32.33</v>
      </c>
      <c r="Q6" s="1">
        <v>34.799999999999997</v>
      </c>
      <c r="R6" s="1">
        <v>15.12</v>
      </c>
      <c r="S6" s="1">
        <v>23.2</v>
      </c>
      <c r="T6" s="1">
        <v>25.2</v>
      </c>
      <c r="U6" s="1">
        <v>23.2</v>
      </c>
      <c r="V6" s="1">
        <v>16.2</v>
      </c>
      <c r="W6" s="8">
        <v>9</v>
      </c>
    </row>
    <row r="7" spans="1:23" x14ac:dyDescent="0.2">
      <c r="A7" s="3">
        <v>14</v>
      </c>
      <c r="B7" s="7">
        <v>35.36</v>
      </c>
      <c r="C7" s="1">
        <v>29.5</v>
      </c>
      <c r="D7" s="1">
        <v>35.36</v>
      </c>
      <c r="E7" s="1">
        <v>32.76</v>
      </c>
      <c r="F7" s="1">
        <v>55.9</v>
      </c>
      <c r="G7" s="1">
        <v>40.6</v>
      </c>
      <c r="H7" s="1">
        <v>36.4</v>
      </c>
      <c r="I7" s="1">
        <v>29.28</v>
      </c>
      <c r="J7" s="1">
        <v>32.43</v>
      </c>
      <c r="K7" s="1">
        <v>44.24</v>
      </c>
      <c r="L7" s="8">
        <v>30.36</v>
      </c>
      <c r="M7" s="7">
        <v>27.84</v>
      </c>
      <c r="N7" s="1">
        <v>22.36</v>
      </c>
      <c r="O7" s="1">
        <v>9</v>
      </c>
      <c r="P7" s="1">
        <v>9</v>
      </c>
      <c r="Q7" s="1">
        <v>29.12</v>
      </c>
      <c r="R7" s="1">
        <v>0</v>
      </c>
      <c r="S7" s="1">
        <v>27.73</v>
      </c>
      <c r="T7" s="1">
        <v>19.32</v>
      </c>
      <c r="U7" s="1">
        <v>33.92</v>
      </c>
      <c r="V7" s="1">
        <v>12.92</v>
      </c>
      <c r="W7" s="8">
        <v>9</v>
      </c>
    </row>
    <row r="8" spans="1:23" x14ac:dyDescent="0.2">
      <c r="A8" s="3">
        <v>17</v>
      </c>
      <c r="B8" s="7">
        <v>42</v>
      </c>
      <c r="C8" s="1">
        <v>25.65</v>
      </c>
      <c r="D8" s="1">
        <v>36.04</v>
      </c>
      <c r="E8" s="1">
        <v>34.840000000000003</v>
      </c>
      <c r="F8" s="1">
        <v>56.7</v>
      </c>
      <c r="G8" s="1">
        <v>52.26</v>
      </c>
      <c r="H8" s="1">
        <v>44.66</v>
      </c>
      <c r="I8" s="1">
        <v>29.89</v>
      </c>
      <c r="J8" s="1">
        <v>32.85</v>
      </c>
      <c r="K8" s="1">
        <v>59.4</v>
      </c>
      <c r="L8" s="8">
        <v>32.4</v>
      </c>
      <c r="M8" s="7">
        <v>21.62</v>
      </c>
      <c r="N8" s="1">
        <v>22.88</v>
      </c>
      <c r="O8" s="1">
        <v>0</v>
      </c>
      <c r="P8" s="1">
        <v>0</v>
      </c>
      <c r="Q8" s="1">
        <v>24.38</v>
      </c>
      <c r="R8" s="1">
        <v>0</v>
      </c>
      <c r="S8" s="1">
        <v>17.55</v>
      </c>
      <c r="T8" s="1">
        <v>16.170000000000002</v>
      </c>
      <c r="U8" s="1">
        <v>16.45</v>
      </c>
      <c r="V8" s="1">
        <v>13.3</v>
      </c>
      <c r="W8" s="8">
        <v>0</v>
      </c>
    </row>
    <row r="9" spans="1:23" x14ac:dyDescent="0.2">
      <c r="A9" s="3">
        <v>20</v>
      </c>
      <c r="B9" s="7">
        <v>44.66</v>
      </c>
      <c r="C9" s="1">
        <v>25.37</v>
      </c>
      <c r="D9" s="1">
        <v>39.76</v>
      </c>
      <c r="E9" s="1">
        <v>35.770000000000003</v>
      </c>
      <c r="F9" s="1">
        <v>58.24</v>
      </c>
      <c r="G9" s="1">
        <v>54.4</v>
      </c>
      <c r="H9" s="1">
        <v>53.95</v>
      </c>
      <c r="I9" s="1">
        <v>29.76</v>
      </c>
      <c r="J9" s="1">
        <v>36.75</v>
      </c>
      <c r="K9" s="1">
        <v>86.4</v>
      </c>
      <c r="L9" s="8">
        <v>35.42</v>
      </c>
      <c r="M9" s="7">
        <v>25.76</v>
      </c>
      <c r="N9" s="1">
        <v>28.42</v>
      </c>
      <c r="O9" s="1">
        <v>0</v>
      </c>
      <c r="P9" s="1">
        <v>0</v>
      </c>
      <c r="Q9" s="1">
        <v>4</v>
      </c>
      <c r="R9" s="1">
        <v>0</v>
      </c>
      <c r="S9" s="1">
        <v>0</v>
      </c>
      <c r="T9" s="1">
        <v>16.2</v>
      </c>
      <c r="U9" s="1">
        <v>38.4</v>
      </c>
      <c r="V9" s="1">
        <v>9.9</v>
      </c>
      <c r="W9" s="8">
        <v>0</v>
      </c>
    </row>
    <row r="10" spans="1:23" x14ac:dyDescent="0.2">
      <c r="A10" s="3">
        <v>23</v>
      </c>
      <c r="B10" s="7">
        <v>49.14</v>
      </c>
      <c r="C10" s="1">
        <v>28.5</v>
      </c>
      <c r="D10" s="1">
        <v>42.16</v>
      </c>
      <c r="E10" s="1">
        <v>37.74</v>
      </c>
      <c r="F10" s="1">
        <v>66.430000000000007</v>
      </c>
      <c r="G10" s="1">
        <v>68</v>
      </c>
      <c r="H10" s="1">
        <v>62.16</v>
      </c>
      <c r="I10" s="1">
        <v>28.32</v>
      </c>
      <c r="J10" s="1">
        <v>40.28</v>
      </c>
      <c r="K10" s="1">
        <v>113.68</v>
      </c>
      <c r="L10" s="8">
        <v>39.75</v>
      </c>
      <c r="M10" s="7">
        <v>29.64</v>
      </c>
      <c r="N10" s="1">
        <v>28.42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19</v>
      </c>
      <c r="U10" s="1">
        <v>41.48</v>
      </c>
      <c r="V10" s="1">
        <v>11.55</v>
      </c>
      <c r="W10" s="8">
        <v>0</v>
      </c>
    </row>
    <row r="11" spans="1:23" x14ac:dyDescent="0.2">
      <c r="A11" s="3">
        <v>26</v>
      </c>
      <c r="B11" s="7">
        <v>55.04</v>
      </c>
      <c r="C11" s="1">
        <v>26.55</v>
      </c>
      <c r="D11" s="1">
        <v>26</v>
      </c>
      <c r="E11" s="1">
        <v>58.96</v>
      </c>
      <c r="F11" s="1">
        <v>88.56</v>
      </c>
      <c r="G11" s="1">
        <v>100.8</v>
      </c>
      <c r="H11" s="1">
        <v>97.97</v>
      </c>
      <c r="I11" s="1">
        <v>27.44</v>
      </c>
      <c r="J11" s="1">
        <v>43.74</v>
      </c>
      <c r="K11" s="1"/>
      <c r="L11" s="8">
        <v>41.18</v>
      </c>
      <c r="M11" s="7">
        <v>31.36</v>
      </c>
      <c r="N11" s="1">
        <v>35.340000000000003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16.8</v>
      </c>
      <c r="U11" s="1">
        <v>46.8</v>
      </c>
      <c r="V11" s="1">
        <v>12.92</v>
      </c>
      <c r="W11" s="8">
        <v>0</v>
      </c>
    </row>
    <row r="12" spans="1:23" x14ac:dyDescent="0.2">
      <c r="A12" s="3">
        <v>30</v>
      </c>
      <c r="B12" s="7">
        <v>74.48</v>
      </c>
      <c r="C12" s="1">
        <v>21.28</v>
      </c>
      <c r="D12" s="1">
        <v>28.6</v>
      </c>
      <c r="E12" s="1">
        <v>66.239999999999995</v>
      </c>
      <c r="F12" s="1">
        <v>119</v>
      </c>
      <c r="G12" s="1"/>
      <c r="H12" s="1"/>
      <c r="I12" s="1">
        <v>36.72</v>
      </c>
      <c r="J12" s="1">
        <v>69.3</v>
      </c>
      <c r="K12" s="1"/>
      <c r="L12" s="8">
        <v>51.1</v>
      </c>
      <c r="M12" s="7">
        <v>28.6</v>
      </c>
      <c r="N12" s="1">
        <v>44.73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23.94</v>
      </c>
      <c r="U12" s="1">
        <v>66.88</v>
      </c>
      <c r="V12" s="1">
        <v>17.2</v>
      </c>
      <c r="W12" s="8">
        <v>0</v>
      </c>
    </row>
    <row r="13" spans="1:23" x14ac:dyDescent="0.2">
      <c r="A13" s="3">
        <v>33</v>
      </c>
      <c r="B13" s="7">
        <v>99.75</v>
      </c>
      <c r="C13" s="1">
        <v>25.3</v>
      </c>
      <c r="D13" s="1">
        <v>29.68</v>
      </c>
      <c r="E13" s="1">
        <v>99.51</v>
      </c>
      <c r="F13" s="1"/>
      <c r="G13" s="1"/>
      <c r="H13" s="1"/>
      <c r="I13" s="1">
        <v>43.99</v>
      </c>
      <c r="J13" s="1">
        <v>100.86</v>
      </c>
      <c r="K13" s="1"/>
      <c r="L13" s="8">
        <v>77.349999999999994</v>
      </c>
      <c r="M13" s="7">
        <v>31.35</v>
      </c>
      <c r="N13" s="1">
        <v>58.46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29.61</v>
      </c>
      <c r="U13" s="1">
        <v>95.23</v>
      </c>
      <c r="V13" s="1">
        <v>18.45</v>
      </c>
      <c r="W13" s="8">
        <v>0</v>
      </c>
    </row>
    <row r="14" spans="1:23" x14ac:dyDescent="0.2">
      <c r="A14" s="3">
        <v>37</v>
      </c>
      <c r="B14" s="7"/>
      <c r="C14" s="1">
        <v>32</v>
      </c>
      <c r="D14" s="1">
        <v>29.64</v>
      </c>
      <c r="E14" s="1"/>
      <c r="F14" s="1"/>
      <c r="G14" s="1"/>
      <c r="H14" s="1"/>
      <c r="I14" s="1">
        <v>58.9</v>
      </c>
      <c r="J14" s="9"/>
      <c r="K14" s="1"/>
      <c r="L14" s="8"/>
      <c r="M14" s="7">
        <v>34.72</v>
      </c>
      <c r="N14" s="1">
        <v>82.65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27.84</v>
      </c>
      <c r="U14" s="1">
        <v>103.23</v>
      </c>
      <c r="V14" s="1">
        <v>20.68</v>
      </c>
      <c r="W14" s="8">
        <v>0</v>
      </c>
    </row>
    <row r="15" spans="1:23" x14ac:dyDescent="0.2">
      <c r="A15" s="3">
        <v>40</v>
      </c>
      <c r="B15" s="7"/>
      <c r="C15" s="1">
        <v>32.5</v>
      </c>
      <c r="D15" s="1">
        <v>31.35</v>
      </c>
      <c r="E15" s="1"/>
      <c r="F15" s="1"/>
      <c r="G15" s="1"/>
      <c r="H15" s="1"/>
      <c r="I15" s="1">
        <v>75.48</v>
      </c>
      <c r="J15" s="9"/>
      <c r="K15" s="1"/>
      <c r="L15" s="8"/>
      <c r="M15" s="7">
        <v>39.6</v>
      </c>
      <c r="N15" s="1">
        <v>94.08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29.07</v>
      </c>
      <c r="U15" s="1"/>
      <c r="V15" s="1">
        <v>24.3</v>
      </c>
      <c r="W15" s="8">
        <v>0</v>
      </c>
    </row>
    <row r="16" spans="1:23" x14ac:dyDescent="0.2">
      <c r="A16" s="3">
        <v>44</v>
      </c>
      <c r="B16" s="7"/>
      <c r="C16" s="1"/>
      <c r="D16" s="1"/>
      <c r="E16" s="1"/>
      <c r="F16" s="1"/>
      <c r="G16" s="1"/>
      <c r="H16" s="1"/>
      <c r="I16" s="1">
        <v>102</v>
      </c>
      <c r="J16" s="9"/>
      <c r="K16" s="1"/>
      <c r="L16" s="8"/>
      <c r="M16" s="7"/>
      <c r="N16" s="1"/>
      <c r="O16" s="1"/>
      <c r="P16" s="1"/>
      <c r="Q16" s="1"/>
      <c r="R16" s="1">
        <v>0</v>
      </c>
      <c r="S16" s="1">
        <v>0</v>
      </c>
      <c r="T16" s="1">
        <v>23.03</v>
      </c>
      <c r="U16" s="1"/>
      <c r="V16" s="1">
        <v>23.76</v>
      </c>
      <c r="W16" s="8">
        <v>0</v>
      </c>
    </row>
    <row r="17" spans="1:23" x14ac:dyDescent="0.2">
      <c r="A17" s="3">
        <v>47</v>
      </c>
      <c r="B17" s="10"/>
      <c r="C17" s="11"/>
      <c r="D17" s="11"/>
      <c r="E17" s="11"/>
      <c r="F17" s="11"/>
      <c r="G17" s="11"/>
      <c r="H17" s="11"/>
      <c r="I17" s="11"/>
      <c r="J17" s="12"/>
      <c r="K17" s="11"/>
      <c r="L17" s="13"/>
      <c r="M17" s="10"/>
      <c r="N17" s="11"/>
      <c r="O17" s="11"/>
      <c r="P17" s="11"/>
      <c r="Q17" s="11"/>
      <c r="R17" s="11">
        <v>0</v>
      </c>
      <c r="S17" s="11">
        <v>0</v>
      </c>
      <c r="T17" s="11">
        <v>22</v>
      </c>
      <c r="U17" s="11"/>
      <c r="V17" s="11">
        <v>31.2</v>
      </c>
      <c r="W17" s="13">
        <v>0</v>
      </c>
    </row>
    <row r="19" spans="1:23" x14ac:dyDescent="0.2">
      <c r="A19" s="14" t="s">
        <v>1</v>
      </c>
    </row>
    <row r="20" spans="1:23" x14ac:dyDescent="0.2">
      <c r="A20" s="74" t="s">
        <v>16</v>
      </c>
      <c r="B20" s="74"/>
      <c r="C20" s="74" t="s">
        <v>17</v>
      </c>
      <c r="D20" s="74"/>
      <c r="E20" s="74" t="s">
        <v>18</v>
      </c>
      <c r="F20" s="74"/>
      <c r="G20" s="74" t="s">
        <v>19</v>
      </c>
      <c r="H20" s="74"/>
      <c r="I20" s="74" t="s">
        <v>20</v>
      </c>
      <c r="J20" s="74"/>
      <c r="K20" s="74" t="s">
        <v>21</v>
      </c>
      <c r="L20" s="74"/>
      <c r="M20" s="74" t="s">
        <v>22</v>
      </c>
      <c r="N20" s="74"/>
    </row>
    <row r="21" spans="1:23" x14ac:dyDescent="0.2">
      <c r="A21" s="15" t="s">
        <v>3</v>
      </c>
      <c r="B21" s="15" t="s">
        <v>4</v>
      </c>
      <c r="C21" s="15" t="s">
        <v>3</v>
      </c>
      <c r="D21" s="15" t="s">
        <v>4</v>
      </c>
      <c r="E21" s="15" t="s">
        <v>3</v>
      </c>
      <c r="F21" s="15" t="s">
        <v>4</v>
      </c>
      <c r="G21" s="15" t="s">
        <v>3</v>
      </c>
      <c r="H21" s="15" t="s">
        <v>4</v>
      </c>
      <c r="I21" s="15" t="s">
        <v>3</v>
      </c>
      <c r="J21" s="15" t="s">
        <v>4</v>
      </c>
      <c r="K21" s="15" t="s">
        <v>3</v>
      </c>
      <c r="L21" s="15" t="s">
        <v>4</v>
      </c>
      <c r="M21" s="15" t="s">
        <v>3</v>
      </c>
      <c r="N21" s="15" t="s">
        <v>4</v>
      </c>
    </row>
    <row r="22" spans="1:23" x14ac:dyDescent="0.2">
      <c r="A22" s="3">
        <v>0.32100000000000001</v>
      </c>
      <c r="B22" s="3">
        <v>1.776</v>
      </c>
      <c r="C22" s="3">
        <v>2.8929999999999998</v>
      </c>
      <c r="D22" s="3">
        <v>4.8600000000000003</v>
      </c>
      <c r="E22" s="3">
        <v>0.71199999999999997</v>
      </c>
      <c r="F22" s="3">
        <v>1.8779999999999999</v>
      </c>
      <c r="G22" s="3">
        <v>10.56</v>
      </c>
      <c r="H22" s="3">
        <v>7.1059999999999999</v>
      </c>
      <c r="I22" s="3">
        <v>5.8540000000000001</v>
      </c>
      <c r="J22" s="3">
        <v>7.0419999999999998</v>
      </c>
      <c r="K22" s="3">
        <v>1.9279999999999999</v>
      </c>
      <c r="L22" s="3">
        <v>3.0710000000000002</v>
      </c>
      <c r="M22" s="3">
        <v>0.64300000000000002</v>
      </c>
      <c r="N22" s="3">
        <v>0.40600000000000003</v>
      </c>
    </row>
    <row r="23" spans="1:23" x14ac:dyDescent="0.2">
      <c r="A23" s="3">
        <v>0.53200000000000003</v>
      </c>
      <c r="B23" s="3">
        <v>1.6950000000000001</v>
      </c>
      <c r="C23" s="3">
        <v>1.7350000000000001</v>
      </c>
      <c r="D23" s="3">
        <v>4.4340000000000002</v>
      </c>
      <c r="E23" s="3">
        <v>0.50900000000000001</v>
      </c>
      <c r="F23" s="3">
        <v>3.157</v>
      </c>
      <c r="G23" s="3">
        <v>7.1029999999999998</v>
      </c>
      <c r="H23" s="3">
        <v>6.0350000000000001</v>
      </c>
      <c r="I23" s="3">
        <v>8.6300000000000008</v>
      </c>
      <c r="J23" s="3">
        <v>7.4740000000000002</v>
      </c>
      <c r="K23" s="3">
        <v>3.5630000000000002</v>
      </c>
      <c r="L23" s="3">
        <v>3.4590000000000001</v>
      </c>
      <c r="M23" s="3">
        <v>0.71699999999999997</v>
      </c>
      <c r="N23" s="3">
        <v>0.30199999999999999</v>
      </c>
    </row>
    <row r="24" spans="1:23" x14ac:dyDescent="0.2">
      <c r="A24" s="3">
        <v>0.68500000000000005</v>
      </c>
      <c r="B24" s="3">
        <v>2.0430000000000001</v>
      </c>
      <c r="C24" s="3">
        <v>1.7689999999999999</v>
      </c>
      <c r="D24" s="3">
        <v>3.9</v>
      </c>
      <c r="E24" s="3">
        <v>0.59</v>
      </c>
      <c r="F24" s="3">
        <v>1.645</v>
      </c>
      <c r="G24" s="3">
        <v>8.0269999999999992</v>
      </c>
      <c r="H24" s="3">
        <v>7.7329999999999997</v>
      </c>
      <c r="I24" s="3">
        <v>10.595000000000001</v>
      </c>
      <c r="J24" s="3">
        <v>6.1550000000000002</v>
      </c>
      <c r="K24" s="3">
        <v>4.1470000000000002</v>
      </c>
      <c r="L24" s="3">
        <v>2.3610000000000002</v>
      </c>
      <c r="M24" s="3">
        <v>0.93200000000000005</v>
      </c>
      <c r="N24" s="3">
        <v>0.504</v>
      </c>
    </row>
    <row r="25" spans="1:23" x14ac:dyDescent="0.2">
      <c r="A25" s="3">
        <v>0.36899999999999999</v>
      </c>
      <c r="B25" s="3">
        <v>2.9409999999999998</v>
      </c>
      <c r="C25" s="3">
        <v>2.8460000000000001</v>
      </c>
      <c r="D25" s="3">
        <v>5.2679999999999998</v>
      </c>
      <c r="E25" s="3">
        <v>0.65200000000000002</v>
      </c>
      <c r="F25" s="3">
        <v>2.4689999999999999</v>
      </c>
      <c r="G25" s="3">
        <v>8.3859999999999992</v>
      </c>
      <c r="H25" s="3">
        <v>5.5670000000000002</v>
      </c>
      <c r="I25" s="3">
        <v>7.4950000000000001</v>
      </c>
      <c r="J25" s="3">
        <v>7.077</v>
      </c>
      <c r="K25" s="3">
        <v>2.6070000000000002</v>
      </c>
      <c r="L25" s="3">
        <v>3.302</v>
      </c>
      <c r="M25" s="3">
        <v>0.56499999999999995</v>
      </c>
      <c r="N25" s="3">
        <v>1.022</v>
      </c>
    </row>
    <row r="26" spans="1:23" x14ac:dyDescent="0.2">
      <c r="A26" s="3">
        <v>0.59399999999999997</v>
      </c>
      <c r="B26" s="3">
        <v>1.7989999999999999</v>
      </c>
      <c r="C26" s="3">
        <v>2.5510000000000002</v>
      </c>
      <c r="D26" s="3">
        <v>4.9480000000000004</v>
      </c>
      <c r="E26" s="3">
        <v>0.41899999999999998</v>
      </c>
      <c r="F26" s="3">
        <v>3.1230000000000002</v>
      </c>
      <c r="G26" s="3">
        <v>9.766</v>
      </c>
      <c r="H26" s="3">
        <v>7.5209999999999999</v>
      </c>
      <c r="I26" s="3">
        <v>9.2940000000000005</v>
      </c>
      <c r="J26" s="3">
        <v>7.1710000000000003</v>
      </c>
      <c r="K26" s="3">
        <v>3.581</v>
      </c>
      <c r="L26" s="3">
        <v>2.9239999999999999</v>
      </c>
      <c r="M26" s="3">
        <v>0.69899999999999995</v>
      </c>
      <c r="N26" s="3">
        <v>0.72499999999999998</v>
      </c>
    </row>
    <row r="27" spans="1:2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23" x14ac:dyDescent="0.2">
      <c r="A28" s="14" t="s">
        <v>2</v>
      </c>
    </row>
    <row r="29" spans="1:23" x14ac:dyDescent="0.2">
      <c r="A29" s="74" t="s">
        <v>5</v>
      </c>
      <c r="B29" s="74"/>
      <c r="C29" s="74" t="s">
        <v>6</v>
      </c>
      <c r="D29" s="74"/>
      <c r="E29" s="74" t="s">
        <v>7</v>
      </c>
      <c r="F29" s="74"/>
      <c r="G29" s="74" t="s">
        <v>8</v>
      </c>
      <c r="H29" s="74"/>
      <c r="I29" s="74" t="s">
        <v>9</v>
      </c>
      <c r="J29" s="74"/>
      <c r="K29" s="74" t="s">
        <v>10</v>
      </c>
      <c r="L29" s="74"/>
      <c r="M29" s="74" t="s">
        <v>11</v>
      </c>
      <c r="N29" s="74"/>
      <c r="O29" s="74" t="s">
        <v>12</v>
      </c>
      <c r="P29" s="74"/>
      <c r="Q29" s="74" t="s">
        <v>13</v>
      </c>
      <c r="R29" s="74"/>
      <c r="S29" s="74" t="s">
        <v>14</v>
      </c>
      <c r="T29" s="74"/>
      <c r="U29" s="74" t="s">
        <v>15</v>
      </c>
      <c r="V29" s="74"/>
    </row>
    <row r="30" spans="1:23" x14ac:dyDescent="0.2">
      <c r="A30" s="15" t="s">
        <v>3</v>
      </c>
      <c r="B30" s="15" t="s">
        <v>4</v>
      </c>
      <c r="C30" s="15" t="s">
        <v>3</v>
      </c>
      <c r="D30" s="15" t="s">
        <v>4</v>
      </c>
      <c r="E30" s="15" t="s">
        <v>3</v>
      </c>
      <c r="F30" s="15" t="s">
        <v>4</v>
      </c>
      <c r="G30" s="15" t="s">
        <v>3</v>
      </c>
      <c r="H30" s="15" t="s">
        <v>4</v>
      </c>
      <c r="I30" s="15" t="s">
        <v>3</v>
      </c>
      <c r="J30" s="15" t="s">
        <v>4</v>
      </c>
      <c r="K30" s="15" t="s">
        <v>3</v>
      </c>
      <c r="L30" s="15" t="s">
        <v>4</v>
      </c>
      <c r="M30" s="15" t="s">
        <v>3</v>
      </c>
      <c r="N30" s="15" t="s">
        <v>4</v>
      </c>
      <c r="O30" s="15" t="s">
        <v>3</v>
      </c>
      <c r="P30" s="15" t="s">
        <v>4</v>
      </c>
      <c r="Q30" s="15" t="s">
        <v>3</v>
      </c>
      <c r="R30" s="15" t="s">
        <v>4</v>
      </c>
      <c r="S30" s="15" t="s">
        <v>3</v>
      </c>
      <c r="T30" s="15" t="s">
        <v>4</v>
      </c>
      <c r="U30" s="15" t="s">
        <v>3</v>
      </c>
      <c r="V30" s="15" t="s">
        <v>4</v>
      </c>
    </row>
    <row r="31" spans="1:23" x14ac:dyDescent="0.2">
      <c r="A31" s="3">
        <v>6.1070000000000002</v>
      </c>
      <c r="B31" s="3">
        <v>6.9279999999999999</v>
      </c>
      <c r="C31" s="3">
        <v>7.5529999999999999</v>
      </c>
      <c r="D31" s="3">
        <v>7.9050000000000002</v>
      </c>
      <c r="E31" s="3">
        <v>1.286</v>
      </c>
      <c r="F31" s="3">
        <v>3.6669999999999998</v>
      </c>
      <c r="G31" s="3">
        <v>1.7909999999999999</v>
      </c>
      <c r="H31" s="3">
        <v>1.764</v>
      </c>
      <c r="I31" s="3">
        <v>0.29799999999999999</v>
      </c>
      <c r="J31" s="3">
        <v>0.72299999999999998</v>
      </c>
      <c r="K31" s="3">
        <v>16.850000000000001</v>
      </c>
      <c r="L31" s="3">
        <v>13.552</v>
      </c>
      <c r="M31" s="3">
        <v>12.167</v>
      </c>
      <c r="N31" s="3">
        <v>5.875</v>
      </c>
      <c r="O31" s="3">
        <v>3.375</v>
      </c>
      <c r="P31" s="3">
        <v>2.9060000000000001</v>
      </c>
      <c r="Q31" s="3">
        <v>2.9159999999999999</v>
      </c>
      <c r="R31" s="3">
        <v>1.738</v>
      </c>
      <c r="S31" s="3">
        <v>1.9510000000000001</v>
      </c>
      <c r="T31" s="3">
        <v>1.8140000000000001</v>
      </c>
      <c r="U31" s="3">
        <v>0.55100000000000005</v>
      </c>
      <c r="V31" s="3">
        <v>0.33</v>
      </c>
    </row>
    <row r="32" spans="1:23" x14ac:dyDescent="0.2">
      <c r="A32" s="3">
        <v>5.09</v>
      </c>
      <c r="B32" s="3">
        <v>8.7279999999999998</v>
      </c>
      <c r="C32" s="3">
        <v>4.3499999999999996</v>
      </c>
      <c r="D32" s="3">
        <v>8.6349999999999998</v>
      </c>
      <c r="E32" s="3">
        <v>1.296</v>
      </c>
      <c r="F32" s="3">
        <v>3.5979999999999999</v>
      </c>
      <c r="G32" s="3">
        <v>0.625</v>
      </c>
      <c r="H32" s="3">
        <v>1.8340000000000001</v>
      </c>
      <c r="I32" s="3">
        <v>0.30099999999999999</v>
      </c>
      <c r="J32" s="3">
        <v>0.90500000000000003</v>
      </c>
      <c r="K32" s="3">
        <v>8.8149999999999995</v>
      </c>
      <c r="L32" s="3">
        <v>11.583</v>
      </c>
      <c r="M32" s="3">
        <v>4.3499999999999996</v>
      </c>
      <c r="N32" s="3">
        <v>7.4050000000000002</v>
      </c>
      <c r="O32" s="3">
        <v>1.0409999999999999</v>
      </c>
      <c r="P32" s="3">
        <v>3.319</v>
      </c>
      <c r="Q32" s="3">
        <v>1.458</v>
      </c>
      <c r="R32" s="3">
        <v>2.577</v>
      </c>
      <c r="S32" s="3">
        <v>0.64800000000000002</v>
      </c>
      <c r="T32" s="3">
        <v>1.8109999999999999</v>
      </c>
      <c r="U32" s="3">
        <v>0.11600000000000001</v>
      </c>
      <c r="V32" s="3">
        <v>0.53400000000000003</v>
      </c>
    </row>
    <row r="33" spans="1:22" x14ac:dyDescent="0.2">
      <c r="A33" s="3">
        <v>5.4969999999999999</v>
      </c>
      <c r="B33" s="3">
        <v>8.9</v>
      </c>
      <c r="C33" s="3">
        <v>4.09</v>
      </c>
      <c r="D33" s="3">
        <v>6.6319999999999997</v>
      </c>
      <c r="E33" s="3">
        <v>2.0350000000000001</v>
      </c>
      <c r="F33" s="3">
        <v>3.1040000000000001</v>
      </c>
      <c r="G33" s="3">
        <v>0.47599999999999998</v>
      </c>
      <c r="H33" s="3">
        <v>1.8169999999999999</v>
      </c>
      <c r="I33" s="3">
        <v>0.28499999999999998</v>
      </c>
      <c r="J33" s="3">
        <v>0.56999999999999995</v>
      </c>
      <c r="K33" s="3">
        <v>11.47</v>
      </c>
      <c r="L33" s="3">
        <v>13.039</v>
      </c>
      <c r="M33" s="3">
        <v>6.6769999999999996</v>
      </c>
      <c r="N33" s="3">
        <v>7.11</v>
      </c>
      <c r="O33" s="3">
        <v>5.1360000000000001</v>
      </c>
      <c r="P33" s="3">
        <v>1.512</v>
      </c>
      <c r="Q33" s="3">
        <v>1.4650000000000001</v>
      </c>
      <c r="R33" s="3">
        <v>2.2949999999999999</v>
      </c>
      <c r="S33" s="3">
        <v>2.948</v>
      </c>
      <c r="T33" s="3">
        <v>1.393</v>
      </c>
      <c r="U33" s="3">
        <v>0.22800000000000001</v>
      </c>
      <c r="V33" s="3">
        <v>0.22500000000000001</v>
      </c>
    </row>
    <row r="34" spans="1:22" x14ac:dyDescent="0.2">
      <c r="A34" s="3">
        <v>6.7130000000000001</v>
      </c>
      <c r="B34" s="3">
        <v>12.391999999999999</v>
      </c>
      <c r="C34" s="3">
        <v>3.9969999999999999</v>
      </c>
      <c r="D34" s="3">
        <v>8.0990000000000002</v>
      </c>
      <c r="E34" s="3">
        <v>1.738</v>
      </c>
      <c r="F34" s="3">
        <v>3.806</v>
      </c>
      <c r="G34" s="3">
        <v>0.69499999999999995</v>
      </c>
      <c r="H34" s="3">
        <v>1.573</v>
      </c>
      <c r="I34" s="3">
        <v>0.41299999999999998</v>
      </c>
      <c r="J34" s="3">
        <v>0.86499999999999999</v>
      </c>
      <c r="K34" s="3">
        <v>9.6460000000000008</v>
      </c>
      <c r="L34" s="3">
        <v>9.2149999999999999</v>
      </c>
      <c r="M34" s="3">
        <v>5.6479999999999997</v>
      </c>
      <c r="N34" s="3">
        <v>5.4409999999999998</v>
      </c>
      <c r="O34" s="3">
        <v>3.5630000000000002</v>
      </c>
      <c r="P34" s="3">
        <v>2.17</v>
      </c>
      <c r="Q34" s="3">
        <v>1.6080000000000001</v>
      </c>
      <c r="R34" s="3">
        <v>2.61</v>
      </c>
      <c r="S34" s="3">
        <v>2.1720000000000002</v>
      </c>
      <c r="T34" s="3">
        <v>1.462</v>
      </c>
      <c r="U34" s="3">
        <v>0.109</v>
      </c>
      <c r="V34" s="3">
        <v>0.40899999999999997</v>
      </c>
    </row>
    <row r="35" spans="1:22" x14ac:dyDescent="0.2">
      <c r="A35" s="3">
        <v>4.577</v>
      </c>
      <c r="B35" s="3">
        <v>8.9710000000000001</v>
      </c>
      <c r="C35" s="3">
        <v>3.302</v>
      </c>
      <c r="D35" s="3">
        <v>6.1219999999999999</v>
      </c>
      <c r="E35" s="3">
        <v>1.677</v>
      </c>
      <c r="F35" s="3">
        <v>3.4980000000000002</v>
      </c>
      <c r="G35" s="3">
        <v>0.28000000000000003</v>
      </c>
      <c r="H35" s="3">
        <v>1.6990000000000001</v>
      </c>
      <c r="I35" s="3">
        <v>0.17499999999999999</v>
      </c>
      <c r="J35" s="3">
        <v>0.7</v>
      </c>
      <c r="K35" s="3">
        <v>5.0490000000000004</v>
      </c>
      <c r="L35" s="3">
        <v>11.843999999999999</v>
      </c>
      <c r="M35" s="3">
        <v>4.6470000000000002</v>
      </c>
      <c r="N35" s="3">
        <v>7.1459999999999999</v>
      </c>
      <c r="O35" s="3">
        <v>2.7429999999999999</v>
      </c>
      <c r="P35" s="3">
        <v>2.4990000000000001</v>
      </c>
      <c r="Q35" s="3">
        <v>1.3979999999999999</v>
      </c>
      <c r="R35" s="3">
        <v>2.2490000000000001</v>
      </c>
      <c r="S35" s="3">
        <v>1.52</v>
      </c>
      <c r="T35" s="3">
        <v>1.724</v>
      </c>
      <c r="U35" s="3">
        <v>8.6999999999999994E-2</v>
      </c>
      <c r="V35" s="3">
        <v>0.25</v>
      </c>
    </row>
    <row r="37" spans="1:22" x14ac:dyDescent="0.2">
      <c r="A37" s="16"/>
    </row>
    <row r="38" spans="1:22" x14ac:dyDescent="0.2">
      <c r="A38" s="16"/>
    </row>
  </sheetData>
  <mergeCells count="20">
    <mergeCell ref="A29:B29"/>
    <mergeCell ref="C29:D29"/>
    <mergeCell ref="E29:F29"/>
    <mergeCell ref="G29:H29"/>
    <mergeCell ref="I29:J29"/>
    <mergeCell ref="K29:L29"/>
    <mergeCell ref="K20:L20"/>
    <mergeCell ref="M20:N20"/>
    <mergeCell ref="B2:L2"/>
    <mergeCell ref="M2:W2"/>
    <mergeCell ref="M29:N29"/>
    <mergeCell ref="O29:P29"/>
    <mergeCell ref="Q29:R29"/>
    <mergeCell ref="S29:T29"/>
    <mergeCell ref="U29:V29"/>
    <mergeCell ref="A20:B20"/>
    <mergeCell ref="C20:D20"/>
    <mergeCell ref="E20:F20"/>
    <mergeCell ref="G20:H20"/>
    <mergeCell ref="I20:J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6D34-5661-5D44-8F6A-F64C93F6313A}">
  <dimension ref="A1:Q147"/>
  <sheetViews>
    <sheetView topLeftCell="A106" zoomScale="73" zoomScaleNormal="73" workbookViewId="0">
      <selection activeCell="T141" sqref="T141"/>
    </sheetView>
  </sheetViews>
  <sheetFormatPr defaultColWidth="11" defaultRowHeight="15.75" x14ac:dyDescent="0.25"/>
  <cols>
    <col min="1" max="1" width="17.375" customWidth="1"/>
    <col min="2" max="2" width="11" customWidth="1"/>
    <col min="4" max="4" width="18.5" customWidth="1"/>
    <col min="5" max="5" width="12.5" customWidth="1"/>
  </cols>
  <sheetData>
    <row r="1" spans="1:17" x14ac:dyDescent="0.25">
      <c r="A1" s="68" t="s">
        <v>26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74" t="s">
        <v>34</v>
      </c>
      <c r="B2" s="74"/>
      <c r="C2" s="14"/>
      <c r="D2" s="74" t="s">
        <v>158</v>
      </c>
      <c r="E2" s="74"/>
      <c r="F2" s="14"/>
      <c r="G2" s="15"/>
      <c r="H2" s="15" t="s">
        <v>106</v>
      </c>
      <c r="I2" s="15" t="s">
        <v>4</v>
      </c>
      <c r="J2" s="14"/>
      <c r="K2" s="14"/>
      <c r="L2" s="14"/>
      <c r="M2" s="14"/>
      <c r="N2" s="14"/>
      <c r="O2" s="14"/>
      <c r="P2" s="14"/>
      <c r="Q2" s="14"/>
    </row>
    <row r="3" spans="1:17" s="20" customFormat="1" x14ac:dyDescent="0.25">
      <c r="A3" s="15" t="s">
        <v>106</v>
      </c>
      <c r="B3" s="15" t="s">
        <v>4</v>
      </c>
      <c r="C3" s="21"/>
      <c r="D3" s="15" t="s">
        <v>106</v>
      </c>
      <c r="E3" s="15" t="s">
        <v>4</v>
      </c>
      <c r="F3" s="21"/>
      <c r="G3" s="18" t="s">
        <v>34</v>
      </c>
      <c r="H3" s="23">
        <v>8.420833</v>
      </c>
      <c r="I3" s="23">
        <v>21.95833</v>
      </c>
      <c r="J3" s="21"/>
      <c r="K3" s="21"/>
      <c r="L3" s="21"/>
      <c r="M3" s="21"/>
      <c r="N3" s="21"/>
      <c r="O3" s="21"/>
      <c r="P3" s="21"/>
      <c r="Q3" s="21"/>
    </row>
    <row r="4" spans="1:17" s="20" customFormat="1" x14ac:dyDescent="0.25">
      <c r="A4" s="23">
        <v>445.12729999999999</v>
      </c>
      <c r="B4" s="23">
        <v>340.35309999999998</v>
      </c>
      <c r="C4" s="21"/>
      <c r="D4" s="23">
        <v>170.1182</v>
      </c>
      <c r="E4" s="23">
        <v>100.8296</v>
      </c>
      <c r="F4" s="21"/>
      <c r="G4" s="18" t="s">
        <v>35</v>
      </c>
      <c r="H4" s="23">
        <v>14.0025</v>
      </c>
      <c r="I4" s="23">
        <v>11.942500000000001</v>
      </c>
      <c r="J4" s="21"/>
      <c r="K4" s="21"/>
      <c r="L4" s="21"/>
      <c r="M4" s="21"/>
      <c r="N4" s="21"/>
      <c r="O4" s="21"/>
      <c r="P4" s="21"/>
      <c r="Q4" s="21"/>
    </row>
    <row r="5" spans="1:17" s="20" customFormat="1" x14ac:dyDescent="0.25">
      <c r="A5" s="23">
        <v>142.12899999999999</v>
      </c>
      <c r="B5" s="23">
        <v>661.40719999999999</v>
      </c>
      <c r="C5" s="21"/>
      <c r="D5" s="23">
        <v>127.3198</v>
      </c>
      <c r="E5" s="23">
        <v>224.6403</v>
      </c>
      <c r="F5" s="21"/>
      <c r="G5" s="18" t="s">
        <v>37</v>
      </c>
      <c r="H5" s="23">
        <v>5.5366669999999996</v>
      </c>
      <c r="I5" s="23">
        <v>10.39917</v>
      </c>
      <c r="J5" s="21"/>
      <c r="K5" s="21"/>
      <c r="L5" s="21"/>
      <c r="M5" s="21"/>
      <c r="N5" s="21"/>
      <c r="O5" s="21"/>
      <c r="P5" s="21"/>
      <c r="Q5" s="21"/>
    </row>
    <row r="6" spans="1:17" x14ac:dyDescent="0.25">
      <c r="A6" s="23">
        <v>71.706720000000004</v>
      </c>
      <c r="B6" s="23">
        <v>1135.511</v>
      </c>
      <c r="C6" s="21"/>
      <c r="D6" s="23">
        <v>141.613</v>
      </c>
      <c r="E6" s="23">
        <v>462.9228</v>
      </c>
      <c r="F6" s="14"/>
      <c r="G6" s="18" t="s">
        <v>38</v>
      </c>
      <c r="H6" s="23">
        <v>72.040000000000006</v>
      </c>
      <c r="I6" s="23">
        <v>55.7</v>
      </c>
      <c r="J6" s="14"/>
      <c r="K6" s="14"/>
      <c r="L6" s="14"/>
      <c r="M6" s="14"/>
      <c r="N6" s="14"/>
      <c r="O6" s="14"/>
      <c r="P6" s="14"/>
      <c r="Q6" s="14"/>
    </row>
    <row r="7" spans="1:17" s="20" customFormat="1" x14ac:dyDescent="0.25">
      <c r="A7" s="23">
        <v>431.91120000000001</v>
      </c>
      <c r="B7" s="23">
        <v>387.78899999999999</v>
      </c>
      <c r="C7" s="21"/>
      <c r="D7" s="23">
        <v>320.81020000000001</v>
      </c>
      <c r="E7" s="23">
        <v>212.458</v>
      </c>
      <c r="F7" s="21"/>
      <c r="G7" s="66"/>
      <c r="H7" s="67"/>
      <c r="I7" s="67"/>
      <c r="J7" s="21"/>
      <c r="K7" s="21"/>
      <c r="L7" s="21"/>
      <c r="M7" s="21"/>
      <c r="N7" s="21"/>
      <c r="O7" s="21"/>
      <c r="P7" s="21"/>
      <c r="Q7" s="21"/>
    </row>
    <row r="8" spans="1:17" s="20" customFormat="1" x14ac:dyDescent="0.25">
      <c r="A8" s="23">
        <v>45.533259999999999</v>
      </c>
      <c r="B8" s="23">
        <v>1011.5549999999999</v>
      </c>
      <c r="C8" s="21"/>
      <c r="D8" s="23">
        <v>64.837299999999999</v>
      </c>
      <c r="E8" s="23">
        <v>454.75279999999998</v>
      </c>
      <c r="F8" s="21"/>
      <c r="G8" s="66"/>
      <c r="H8" s="67"/>
      <c r="I8" s="67"/>
      <c r="J8" s="21"/>
      <c r="K8" s="21"/>
      <c r="L8" s="21"/>
      <c r="M8" s="21"/>
      <c r="N8" s="21"/>
      <c r="O8" s="21"/>
      <c r="P8" s="21"/>
      <c r="Q8" s="21"/>
    </row>
    <row r="9" spans="1:17" s="20" customFormat="1" x14ac:dyDescent="0.25">
      <c r="A9" s="23">
        <v>118.3955</v>
      </c>
      <c r="B9" s="23">
        <v>55.810490000000001</v>
      </c>
      <c r="C9" s="21"/>
      <c r="D9" s="23">
        <v>78.826130000000006</v>
      </c>
      <c r="E9" s="23">
        <v>47.542270000000002</v>
      </c>
      <c r="F9" s="21"/>
      <c r="G9" s="66"/>
      <c r="H9" s="67"/>
      <c r="I9" s="67"/>
      <c r="J9" s="21"/>
      <c r="K9" s="21"/>
      <c r="L9" s="21"/>
      <c r="M9" s="21"/>
      <c r="N9" s="21"/>
      <c r="O9" s="21"/>
      <c r="P9" s="21"/>
      <c r="Q9" s="21"/>
    </row>
    <row r="10" spans="1:17" s="20" customFormat="1" x14ac:dyDescent="0.25">
      <c r="A10" s="23">
        <v>136.90209999999999</v>
      </c>
      <c r="B10" s="23">
        <v>1033.769</v>
      </c>
      <c r="C10" s="21"/>
      <c r="D10" s="23">
        <v>104.4051</v>
      </c>
      <c r="E10" s="23">
        <v>430.00779999999997</v>
      </c>
      <c r="F10" s="21"/>
      <c r="G10" s="66"/>
      <c r="H10" s="67"/>
      <c r="I10" s="67"/>
      <c r="J10" s="21"/>
      <c r="K10" s="21"/>
      <c r="L10" s="21"/>
      <c r="M10" s="21"/>
      <c r="N10" s="21"/>
      <c r="O10" s="21"/>
      <c r="P10" s="21"/>
      <c r="Q10" s="21"/>
    </row>
    <row r="11" spans="1:17" s="20" customFormat="1" x14ac:dyDescent="0.25">
      <c r="A11" s="23">
        <v>246.6602</v>
      </c>
      <c r="B11" s="23">
        <v>376.71249999999998</v>
      </c>
      <c r="C11" s="21"/>
      <c r="D11" s="23">
        <v>66.56268</v>
      </c>
      <c r="E11" s="23">
        <v>98.244249999999994</v>
      </c>
      <c r="F11" s="21"/>
      <c r="G11" s="66"/>
      <c r="H11" s="67"/>
      <c r="I11" s="67"/>
      <c r="J11" s="21"/>
      <c r="K11" s="21"/>
      <c r="L11" s="21"/>
      <c r="M11" s="21"/>
      <c r="N11" s="21"/>
      <c r="O11" s="21"/>
      <c r="P11" s="21"/>
      <c r="Q11" s="21"/>
    </row>
    <row r="12" spans="1:17" s="20" customFormat="1" x14ac:dyDescent="0.25">
      <c r="A12" s="23">
        <v>233.4222</v>
      </c>
      <c r="B12" s="23">
        <v>192.73349999999999</v>
      </c>
      <c r="C12" s="21"/>
      <c r="D12" s="23">
        <v>63.43918</v>
      </c>
      <c r="E12" s="23">
        <v>162.1267</v>
      </c>
      <c r="F12" s="21"/>
      <c r="G12" s="66"/>
      <c r="H12" s="67"/>
      <c r="I12" s="67"/>
      <c r="J12" s="21"/>
      <c r="K12" s="21"/>
      <c r="L12" s="21"/>
      <c r="M12" s="21"/>
      <c r="N12" s="21"/>
      <c r="O12" s="21"/>
      <c r="P12" s="21"/>
      <c r="Q12" s="21"/>
    </row>
    <row r="13" spans="1:17" s="20" customFormat="1" x14ac:dyDescent="0.25">
      <c r="A13" s="23">
        <v>24.38748</v>
      </c>
      <c r="B13" s="23">
        <v>617.78219999999999</v>
      </c>
      <c r="C13" s="21"/>
      <c r="D13" s="23">
        <v>79.826629999999994</v>
      </c>
      <c r="E13" s="23">
        <v>356.06319999999999</v>
      </c>
      <c r="F13" s="21"/>
      <c r="G13" s="66"/>
      <c r="H13" s="67"/>
      <c r="I13" s="67"/>
      <c r="J13" s="21"/>
      <c r="K13" s="21"/>
      <c r="L13" s="21"/>
      <c r="M13" s="21"/>
      <c r="N13" s="21"/>
      <c r="O13" s="21"/>
      <c r="P13" s="21"/>
      <c r="Q13" s="21"/>
    </row>
    <row r="14" spans="1:17" s="20" customFormat="1" x14ac:dyDescent="0.25">
      <c r="A14" s="23">
        <v>17.965430000000001</v>
      </c>
      <c r="B14" s="23">
        <v>1085.3810000000001</v>
      </c>
      <c r="C14" s="21"/>
      <c r="D14" s="23">
        <v>95.691299999999998</v>
      </c>
      <c r="E14" s="23">
        <v>473.73020000000002</v>
      </c>
      <c r="F14" s="21"/>
      <c r="G14" s="66"/>
      <c r="H14" s="67"/>
      <c r="I14" s="67"/>
      <c r="J14" s="21"/>
      <c r="K14" s="21"/>
      <c r="L14" s="21"/>
      <c r="M14" s="21"/>
      <c r="N14" s="21"/>
      <c r="O14" s="21"/>
      <c r="P14" s="21"/>
      <c r="Q14" s="21"/>
    </row>
    <row r="15" spans="1:17" s="20" customFormat="1" x14ac:dyDescent="0.25">
      <c r="A15" s="23">
        <v>9.7581749999999996</v>
      </c>
      <c r="B15" s="23">
        <v>598.01710000000003</v>
      </c>
      <c r="C15" s="21"/>
      <c r="D15" s="23">
        <v>136.5385</v>
      </c>
      <c r="E15" s="23">
        <v>239.7088</v>
      </c>
      <c r="F15" s="21"/>
      <c r="G15" s="66"/>
      <c r="H15" s="67"/>
      <c r="I15" s="67"/>
      <c r="J15" s="21"/>
      <c r="K15" s="21"/>
      <c r="L15" s="21"/>
      <c r="M15" s="21"/>
      <c r="N15" s="21"/>
      <c r="O15" s="21"/>
      <c r="P15" s="21"/>
      <c r="Q15" s="21"/>
    </row>
    <row r="16" spans="1:17" s="20" customFormat="1" x14ac:dyDescent="0.25">
      <c r="A16" s="23">
        <v>137.38659999999999</v>
      </c>
      <c r="B16" s="23">
        <v>226.5506</v>
      </c>
      <c r="C16" s="21"/>
      <c r="D16" s="23">
        <v>49.596299999999999</v>
      </c>
      <c r="E16" s="23">
        <v>186.8432</v>
      </c>
      <c r="F16" s="21"/>
      <c r="G16" s="66"/>
      <c r="H16" s="67"/>
      <c r="I16" s="67"/>
      <c r="J16" s="21"/>
      <c r="K16" s="21"/>
      <c r="L16" s="21"/>
      <c r="M16" s="21"/>
      <c r="N16" s="21"/>
      <c r="O16" s="21"/>
      <c r="P16" s="21"/>
      <c r="Q16" s="21"/>
    </row>
    <row r="17" spans="1:17" s="20" customFormat="1" x14ac:dyDescent="0.25">
      <c r="A17" s="23">
        <v>26.752269999999999</v>
      </c>
      <c r="B17" s="23">
        <v>166.4785</v>
      </c>
      <c r="C17" s="21"/>
      <c r="D17" s="23">
        <v>30.140350000000002</v>
      </c>
      <c r="E17" s="23">
        <v>486.14569999999998</v>
      </c>
      <c r="F17" s="21"/>
      <c r="G17" s="66"/>
      <c r="H17" s="67"/>
      <c r="I17" s="67"/>
      <c r="J17" s="21"/>
      <c r="K17" s="21"/>
      <c r="L17" s="21"/>
      <c r="M17" s="21"/>
      <c r="N17" s="21"/>
      <c r="O17" s="21"/>
      <c r="P17" s="21"/>
      <c r="Q17" s="21"/>
    </row>
    <row r="18" spans="1:17" s="20" customFormat="1" x14ac:dyDescent="0.25">
      <c r="A18" s="23">
        <v>33.146050000000002</v>
      </c>
      <c r="B18" s="23">
        <v>2091.931</v>
      </c>
      <c r="C18" s="21"/>
      <c r="D18" s="23">
        <v>30.97833</v>
      </c>
      <c r="E18" s="23">
        <v>2388.52</v>
      </c>
      <c r="F18" s="21"/>
      <c r="G18" s="66"/>
      <c r="H18" s="67"/>
      <c r="I18" s="67"/>
      <c r="J18" s="21"/>
      <c r="K18" s="21"/>
      <c r="L18" s="21"/>
      <c r="M18" s="21"/>
      <c r="N18" s="21"/>
      <c r="O18" s="21"/>
      <c r="P18" s="21"/>
      <c r="Q18" s="21"/>
    </row>
    <row r="19" spans="1:17" s="20" customFormat="1" x14ac:dyDescent="0.25">
      <c r="A19" s="23">
        <v>71.047510000000003</v>
      </c>
      <c r="B19" s="23">
        <v>717.11490000000003</v>
      </c>
      <c r="C19" s="21"/>
      <c r="D19" s="23">
        <v>373.23739999999998</v>
      </c>
      <c r="E19" s="23">
        <v>864.87390000000005</v>
      </c>
      <c r="F19" s="21"/>
      <c r="G19" s="66"/>
      <c r="H19" s="67"/>
      <c r="I19" s="67"/>
      <c r="J19" s="21"/>
      <c r="K19" s="21"/>
      <c r="L19" s="21"/>
      <c r="M19" s="21"/>
      <c r="N19" s="21"/>
      <c r="O19" s="21"/>
      <c r="P19" s="21"/>
      <c r="Q19" s="21"/>
    </row>
    <row r="20" spans="1:17" s="20" customFormat="1" x14ac:dyDescent="0.25">
      <c r="A20" s="23">
        <v>69.269869999999997</v>
      </c>
      <c r="B20" s="23">
        <v>1174.163</v>
      </c>
      <c r="C20" s="21"/>
      <c r="D20" s="23">
        <v>74.270300000000006</v>
      </c>
      <c r="E20" s="23">
        <v>1119.212</v>
      </c>
      <c r="F20" s="21"/>
      <c r="G20" s="66"/>
      <c r="H20" s="67"/>
      <c r="I20" s="67"/>
      <c r="J20" s="21"/>
      <c r="K20" s="21"/>
      <c r="L20" s="21"/>
      <c r="M20" s="21"/>
      <c r="N20" s="21"/>
      <c r="O20" s="21"/>
      <c r="P20" s="21"/>
      <c r="Q20" s="21"/>
    </row>
    <row r="21" spans="1:17" s="20" customFormat="1" x14ac:dyDescent="0.25">
      <c r="A21" s="23">
        <v>128.68369999999999</v>
      </c>
      <c r="B21" s="23">
        <v>195.33879999999999</v>
      </c>
      <c r="C21" s="21"/>
      <c r="D21" s="23">
        <v>70.572950000000006</v>
      </c>
      <c r="E21" s="23">
        <v>178.7681</v>
      </c>
      <c r="F21" s="21"/>
      <c r="G21" s="66"/>
      <c r="H21" s="67"/>
      <c r="I21" s="67"/>
      <c r="J21" s="21"/>
      <c r="K21" s="21"/>
      <c r="L21" s="21"/>
      <c r="M21" s="21"/>
      <c r="N21" s="21"/>
      <c r="O21" s="21"/>
      <c r="P21" s="21"/>
      <c r="Q21" s="21"/>
    </row>
    <row r="22" spans="1:17" s="20" customFormat="1" x14ac:dyDescent="0.25">
      <c r="A22" s="23">
        <v>205.01910000000001</v>
      </c>
      <c r="B22" s="23">
        <v>444.82569999999998</v>
      </c>
      <c r="C22" s="21"/>
      <c r="D22" s="23">
        <v>114.7552</v>
      </c>
      <c r="E22" s="23">
        <v>586.97770000000003</v>
      </c>
      <c r="F22" s="21"/>
      <c r="G22" s="66"/>
      <c r="H22" s="67"/>
      <c r="I22" s="67"/>
      <c r="J22" s="21"/>
      <c r="K22" s="21"/>
      <c r="L22" s="21"/>
      <c r="M22" s="21"/>
      <c r="N22" s="21"/>
      <c r="O22" s="21"/>
      <c r="P22" s="21"/>
      <c r="Q22" s="21"/>
    </row>
    <row r="23" spans="1:17" s="20" customFormat="1" x14ac:dyDescent="0.25">
      <c r="A23" s="23">
        <v>51.162039999999998</v>
      </c>
      <c r="B23" s="23">
        <v>572.40120000000002</v>
      </c>
      <c r="C23" s="21"/>
      <c r="D23" s="23">
        <v>211.64019999999999</v>
      </c>
      <c r="E23" s="23">
        <v>539.69820000000004</v>
      </c>
      <c r="F23" s="21"/>
      <c r="G23" s="66"/>
      <c r="H23" s="67"/>
      <c r="I23" s="67"/>
      <c r="J23" s="21"/>
      <c r="K23" s="21"/>
      <c r="L23" s="21"/>
      <c r="M23" s="21"/>
      <c r="N23" s="21"/>
      <c r="O23" s="21"/>
      <c r="P23" s="21"/>
      <c r="Q23" s="21"/>
    </row>
    <row r="24" spans="1:17" s="20" customFormat="1" x14ac:dyDescent="0.25">
      <c r="A24" s="23">
        <v>128.50299999999999</v>
      </c>
      <c r="B24" s="23">
        <v>385.45670000000001</v>
      </c>
      <c r="C24" s="21"/>
      <c r="D24" s="23">
        <v>90.774190000000004</v>
      </c>
      <c r="E24" s="23">
        <v>197.3965</v>
      </c>
      <c r="F24" s="21"/>
      <c r="G24" s="66"/>
      <c r="H24" s="67"/>
      <c r="I24" s="67"/>
      <c r="J24" s="21"/>
      <c r="K24" s="21"/>
      <c r="L24" s="21"/>
      <c r="M24" s="21"/>
      <c r="N24" s="21"/>
      <c r="O24" s="21"/>
      <c r="P24" s="21"/>
      <c r="Q24" s="21"/>
    </row>
    <row r="25" spans="1:17" s="20" customFormat="1" x14ac:dyDescent="0.25">
      <c r="A25" s="23">
        <v>213.14599999999999</v>
      </c>
      <c r="B25" s="23">
        <v>757.74879999999996</v>
      </c>
      <c r="C25" s="21"/>
      <c r="D25" s="23">
        <v>108.8295</v>
      </c>
      <c r="E25" s="23">
        <v>586.94179999999994</v>
      </c>
      <c r="F25" s="21"/>
      <c r="G25" s="66"/>
      <c r="H25" s="67"/>
      <c r="I25" s="67"/>
      <c r="J25" s="21"/>
      <c r="K25" s="21"/>
      <c r="L25" s="21"/>
      <c r="M25" s="21"/>
      <c r="N25" s="21"/>
      <c r="O25" s="21"/>
      <c r="P25" s="21"/>
      <c r="Q25" s="21"/>
    </row>
    <row r="26" spans="1:17" s="20" customFormat="1" x14ac:dyDescent="0.25">
      <c r="A26" s="23">
        <v>167.23490000000001</v>
      </c>
      <c r="B26" s="23">
        <v>1200.8040000000001</v>
      </c>
      <c r="C26" s="21"/>
      <c r="D26" s="23">
        <v>34.293390000000002</v>
      </c>
      <c r="E26" s="23">
        <v>403.75049999999999</v>
      </c>
      <c r="F26" s="21"/>
      <c r="G26" s="66"/>
      <c r="H26" s="67"/>
      <c r="I26" s="67"/>
      <c r="J26" s="21"/>
      <c r="K26" s="21"/>
      <c r="L26" s="21"/>
      <c r="M26" s="21"/>
      <c r="N26" s="21"/>
      <c r="O26" s="21"/>
      <c r="P26" s="21"/>
      <c r="Q26" s="21"/>
    </row>
    <row r="27" spans="1:17" s="20" customFormat="1" x14ac:dyDescent="0.25">
      <c r="A27" s="21"/>
      <c r="B27" s="21"/>
      <c r="C27" s="21"/>
      <c r="D27" s="23">
        <v>136.9777</v>
      </c>
      <c r="E27" s="15"/>
      <c r="F27" s="21"/>
      <c r="G27" s="66"/>
      <c r="H27" s="67"/>
      <c r="I27" s="67"/>
      <c r="J27" s="21"/>
      <c r="K27" s="21"/>
      <c r="L27" s="21"/>
      <c r="M27" s="21"/>
      <c r="N27" s="21"/>
      <c r="O27" s="21"/>
      <c r="P27" s="21"/>
      <c r="Q27" s="21"/>
    </row>
    <row r="28" spans="1:17" s="20" customFormat="1" x14ac:dyDescent="0.25">
      <c r="A28" s="21"/>
      <c r="B28" s="21"/>
      <c r="C28" s="21"/>
      <c r="D28" s="23">
        <v>195.2851</v>
      </c>
      <c r="E28" s="15"/>
      <c r="F28" s="21"/>
      <c r="G28" s="66"/>
      <c r="H28" s="67"/>
      <c r="I28" s="67"/>
      <c r="J28" s="21"/>
      <c r="K28" s="21"/>
      <c r="L28" s="21"/>
      <c r="M28" s="21"/>
      <c r="N28" s="21"/>
      <c r="O28" s="21"/>
      <c r="P28" s="21"/>
      <c r="Q28" s="21"/>
    </row>
    <row r="29" spans="1:17" s="20" customFormat="1" x14ac:dyDescent="0.25">
      <c r="A29" s="21"/>
      <c r="B29" s="21"/>
      <c r="C29" s="21"/>
      <c r="D29" s="23">
        <v>147.90620000000001</v>
      </c>
      <c r="E29" s="15"/>
      <c r="F29" s="21"/>
      <c r="G29" s="66"/>
      <c r="H29" s="67"/>
      <c r="I29" s="67"/>
      <c r="J29" s="21"/>
      <c r="K29" s="21"/>
      <c r="L29" s="21"/>
      <c r="M29" s="21"/>
      <c r="N29" s="21"/>
      <c r="O29" s="21"/>
      <c r="P29" s="21"/>
      <c r="Q29" s="21"/>
    </row>
    <row r="30" spans="1:17" s="20" customFormat="1" x14ac:dyDescent="0.25">
      <c r="A30" s="21"/>
      <c r="B30" s="21"/>
      <c r="C30" s="21"/>
      <c r="D30" s="21"/>
      <c r="E30" s="21"/>
      <c r="F30" s="21"/>
      <c r="G30" s="66"/>
      <c r="H30" s="67"/>
      <c r="I30" s="67"/>
      <c r="J30" s="21"/>
      <c r="K30" s="21"/>
      <c r="L30" s="21"/>
      <c r="M30" s="21"/>
      <c r="N30" s="21"/>
      <c r="O30" s="21"/>
      <c r="P30" s="21"/>
      <c r="Q30" s="21"/>
    </row>
    <row r="31" spans="1:17" x14ac:dyDescent="0.25">
      <c r="A31" s="14" t="s">
        <v>28</v>
      </c>
      <c r="B31" s="14" t="s">
        <v>29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17" x14ac:dyDescent="0.25">
      <c r="A32" s="74" t="s">
        <v>30</v>
      </c>
      <c r="B32" s="74"/>
      <c r="C32" s="14"/>
      <c r="D32" s="74" t="s">
        <v>31</v>
      </c>
      <c r="E32" s="7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7" x14ac:dyDescent="0.25">
      <c r="A33" s="15" t="s">
        <v>27</v>
      </c>
      <c r="B33" s="15" t="s">
        <v>4</v>
      </c>
      <c r="C33" s="14"/>
      <c r="D33" s="15" t="s">
        <v>27</v>
      </c>
      <c r="E33" s="15" t="s">
        <v>4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x14ac:dyDescent="0.25">
      <c r="A34" s="3">
        <v>3.33</v>
      </c>
      <c r="B34" s="3">
        <v>15.8</v>
      </c>
      <c r="C34" s="14"/>
      <c r="D34" s="3">
        <v>1.73</v>
      </c>
      <c r="E34" s="3">
        <v>7.51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x14ac:dyDescent="0.25">
      <c r="A35" s="3">
        <v>3.75</v>
      </c>
      <c r="B35" s="3">
        <v>11.7</v>
      </c>
      <c r="C35" s="14"/>
      <c r="D35" s="3">
        <v>2.19</v>
      </c>
      <c r="E35" s="3">
        <v>5.52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x14ac:dyDescent="0.25">
      <c r="A36" s="3">
        <v>6.8</v>
      </c>
      <c r="B36" s="3">
        <v>4.8899999999999997</v>
      </c>
      <c r="C36" s="14"/>
      <c r="D36" s="3">
        <v>3.26</v>
      </c>
      <c r="E36" s="3">
        <v>3.34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x14ac:dyDescent="0.25">
      <c r="A37" s="3">
        <v>7.48</v>
      </c>
      <c r="B37" s="3">
        <v>8.1</v>
      </c>
      <c r="C37" s="14"/>
      <c r="D37" s="3">
        <v>4.4000000000000004</v>
      </c>
      <c r="E37" s="3">
        <v>2.46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3">
        <v>4.57</v>
      </c>
      <c r="B38" s="3">
        <v>12.7</v>
      </c>
      <c r="C38" s="14"/>
      <c r="D38" s="3">
        <v>2.69</v>
      </c>
      <c r="E38" s="3">
        <v>8.84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3">
        <v>3.25</v>
      </c>
      <c r="B39" s="3">
        <v>6.63</v>
      </c>
      <c r="C39" s="14"/>
      <c r="D39" s="3">
        <v>1.25</v>
      </c>
      <c r="E39" s="3">
        <v>3.44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x14ac:dyDescent="0.25">
      <c r="A40" s="3">
        <v>9.36</v>
      </c>
      <c r="B40" s="3">
        <v>6.18</v>
      </c>
      <c r="C40" s="14"/>
      <c r="D40" s="3">
        <v>4.32</v>
      </c>
      <c r="E40" s="3">
        <v>4.67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x14ac:dyDescent="0.25">
      <c r="A41" s="3">
        <v>5.6</v>
      </c>
      <c r="B41" s="3">
        <v>11.4</v>
      </c>
      <c r="C41" s="14"/>
      <c r="D41" s="3">
        <v>3.05</v>
      </c>
      <c r="E41" s="3">
        <v>8.91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x14ac:dyDescent="0.25">
      <c r="A42" s="3">
        <v>4.9000000000000004</v>
      </c>
      <c r="B42" s="3">
        <v>11.4</v>
      </c>
      <c r="C42" s="14"/>
      <c r="D42" s="3">
        <v>3.17</v>
      </c>
      <c r="E42" s="3">
        <v>7.31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x14ac:dyDescent="0.25">
      <c r="A43" s="3">
        <v>4.8499999999999996</v>
      </c>
      <c r="B43" s="3">
        <v>9.3699999999999992</v>
      </c>
      <c r="C43" s="14"/>
      <c r="D43" s="3">
        <v>2.2400000000000002</v>
      </c>
      <c r="E43" s="3">
        <v>4.99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x14ac:dyDescent="0.25">
      <c r="A44" s="3">
        <v>8.0299999999999994</v>
      </c>
      <c r="B44" s="3">
        <v>12.1</v>
      </c>
      <c r="C44" s="14"/>
      <c r="D44" s="3">
        <v>4.59</v>
      </c>
      <c r="E44" s="3">
        <v>6.77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x14ac:dyDescent="0.25">
      <c r="A45" s="3">
        <v>19.3</v>
      </c>
      <c r="B45" s="3">
        <v>7.51</v>
      </c>
      <c r="C45" s="14"/>
      <c r="D45" s="3">
        <v>7.9</v>
      </c>
      <c r="E45" s="3">
        <v>2.72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x14ac:dyDescent="0.25">
      <c r="A46" s="3">
        <v>12.8</v>
      </c>
      <c r="B46" s="3">
        <v>5.44</v>
      </c>
      <c r="C46" s="14"/>
      <c r="D46" s="3">
        <v>5.43</v>
      </c>
      <c r="E46" s="3">
        <v>1.7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x14ac:dyDescent="0.25">
      <c r="A47" s="3">
        <v>8.1999999999999993</v>
      </c>
      <c r="B47" s="3">
        <v>9.36</v>
      </c>
      <c r="C47" s="14"/>
      <c r="D47" s="3">
        <v>5.37</v>
      </c>
      <c r="E47" s="3">
        <v>4.37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x14ac:dyDescent="0.25">
      <c r="A48" s="3">
        <v>11.8</v>
      </c>
      <c r="B48" s="3">
        <v>17.7</v>
      </c>
      <c r="C48" s="14"/>
      <c r="D48" s="3">
        <v>6.23</v>
      </c>
      <c r="E48" s="3">
        <v>12.4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x14ac:dyDescent="0.25">
      <c r="A49" s="3">
        <v>4.17</v>
      </c>
      <c r="B49" s="3">
        <v>7.5</v>
      </c>
      <c r="C49" s="14"/>
      <c r="D49" s="3">
        <v>2.1</v>
      </c>
      <c r="E49" s="3">
        <v>3.66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x14ac:dyDescent="0.25">
      <c r="A50" s="3">
        <v>11.4</v>
      </c>
      <c r="B50" s="3">
        <v>18.7</v>
      </c>
      <c r="C50" s="14"/>
      <c r="D50" s="3">
        <v>5.14</v>
      </c>
      <c r="E50" s="3">
        <v>12.7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x14ac:dyDescent="0.25">
      <c r="A51" s="3">
        <v>2.99</v>
      </c>
      <c r="B51" s="3">
        <v>19</v>
      </c>
      <c r="C51" s="14"/>
      <c r="D51" s="3">
        <v>1.28</v>
      </c>
      <c r="E51" s="3">
        <v>19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x14ac:dyDescent="0.25">
      <c r="A52" s="3">
        <v>16.8</v>
      </c>
      <c r="B52" s="3">
        <v>9.8699999999999992</v>
      </c>
      <c r="C52" s="14"/>
      <c r="D52" s="3">
        <v>9.02</v>
      </c>
      <c r="E52" s="3">
        <v>5.36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x14ac:dyDescent="0.25">
      <c r="A53" s="3">
        <v>8.6</v>
      </c>
      <c r="B53" s="3">
        <v>9.24</v>
      </c>
      <c r="C53" s="14"/>
      <c r="D53" s="3">
        <v>5.1100000000000003</v>
      </c>
      <c r="E53" s="3">
        <v>5.0999999999999996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1:17" x14ac:dyDescent="0.25">
      <c r="A54" s="3">
        <v>7.49</v>
      </c>
      <c r="B54" s="3">
        <v>8.42</v>
      </c>
      <c r="C54" s="14"/>
      <c r="D54" s="3">
        <v>4.62</v>
      </c>
      <c r="E54" s="3">
        <v>4.29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1:17" x14ac:dyDescent="0.25">
      <c r="A55" s="3">
        <v>7.04</v>
      </c>
      <c r="B55" s="3">
        <v>28.7</v>
      </c>
      <c r="C55" s="14"/>
      <c r="D55" s="3">
        <v>4.41</v>
      </c>
      <c r="E55" s="3">
        <v>16.600000000000001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spans="1:17" x14ac:dyDescent="0.25">
      <c r="A56" s="3">
        <v>5.49</v>
      </c>
      <c r="B56" s="3">
        <v>18.8</v>
      </c>
      <c r="C56" s="14"/>
      <c r="D56" s="3">
        <v>2.74</v>
      </c>
      <c r="E56" s="3">
        <v>12.9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1:17" x14ac:dyDescent="0.25">
      <c r="A57" s="15"/>
      <c r="B57" s="3">
        <v>14.3</v>
      </c>
      <c r="C57" s="14"/>
      <c r="D57" s="15"/>
      <c r="E57" s="3">
        <v>8.0299999999999994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7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spans="1:17" x14ac:dyDescent="0.25">
      <c r="A59" s="14" t="s">
        <v>32</v>
      </c>
      <c r="B59" s="14" t="s">
        <v>29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x14ac:dyDescent="0.25">
      <c r="A60" s="74" t="s">
        <v>30</v>
      </c>
      <c r="B60" s="7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x14ac:dyDescent="0.25">
      <c r="A61" s="15" t="s">
        <v>27</v>
      </c>
      <c r="B61" s="15" t="s">
        <v>4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x14ac:dyDescent="0.25">
      <c r="A62" s="3">
        <v>3.38</v>
      </c>
      <c r="B62" s="3">
        <v>3.78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spans="1:17" x14ac:dyDescent="0.25">
      <c r="A63" s="3">
        <v>3.83</v>
      </c>
      <c r="B63" s="3">
        <v>4.9400000000000004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spans="1:17" x14ac:dyDescent="0.25">
      <c r="A64" s="3">
        <v>2.93</v>
      </c>
      <c r="B64" s="3">
        <v>2.92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spans="1:17" x14ac:dyDescent="0.25">
      <c r="A65" s="3">
        <v>2.14</v>
      </c>
      <c r="B65" s="3">
        <v>5.74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spans="1:17" x14ac:dyDescent="0.25">
      <c r="A66" s="3">
        <v>2.82</v>
      </c>
      <c r="B66" s="3">
        <v>6.54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spans="1:17" x14ac:dyDescent="0.25">
      <c r="A67" s="3">
        <v>1.96</v>
      </c>
      <c r="B67" s="3">
        <v>4.1900000000000004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 x14ac:dyDescent="0.25">
      <c r="A68" s="3">
        <v>3.18</v>
      </c>
      <c r="B68" s="3">
        <v>4.3099999999999996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 x14ac:dyDescent="0.25">
      <c r="A69" s="3">
        <v>1.1299999999999999</v>
      </c>
      <c r="B69" s="3">
        <v>4.6500000000000004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 x14ac:dyDescent="0.25">
      <c r="A70" s="3">
        <v>2.2200000000000002</v>
      </c>
      <c r="B70" s="15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spans="1:17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spans="1:17" x14ac:dyDescent="0.25">
      <c r="A72" s="14" t="s">
        <v>33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spans="1:17" x14ac:dyDescent="0.25">
      <c r="A73" s="74" t="s">
        <v>34</v>
      </c>
      <c r="B73" s="74"/>
      <c r="C73" s="14"/>
      <c r="D73" s="75" t="s">
        <v>36</v>
      </c>
      <c r="E73" s="77"/>
      <c r="F73" s="21"/>
      <c r="G73" s="15"/>
      <c r="H73" s="15" t="s">
        <v>27</v>
      </c>
      <c r="I73" s="15" t="s">
        <v>4</v>
      </c>
      <c r="M73" s="14"/>
      <c r="N73" s="14"/>
      <c r="O73" s="14"/>
      <c r="P73" s="14"/>
      <c r="Q73" s="14"/>
    </row>
    <row r="74" spans="1:17" x14ac:dyDescent="0.25">
      <c r="A74" s="15" t="s">
        <v>27</v>
      </c>
      <c r="B74" s="15" t="s">
        <v>4</v>
      </c>
      <c r="C74" s="14"/>
      <c r="D74" s="15" t="s">
        <v>27</v>
      </c>
      <c r="E74" s="15" t="s">
        <v>4</v>
      </c>
      <c r="F74" s="21"/>
      <c r="G74" s="18" t="s">
        <v>34</v>
      </c>
      <c r="H74" s="19">
        <v>9.9260000000000002</v>
      </c>
      <c r="I74" s="19">
        <v>36.266666700000002</v>
      </c>
      <c r="M74" s="14"/>
      <c r="N74" s="14"/>
      <c r="O74" s="14"/>
      <c r="P74" s="14"/>
      <c r="Q74" s="14"/>
    </row>
    <row r="75" spans="1:17" x14ac:dyDescent="0.25">
      <c r="A75" s="3">
        <v>16.97</v>
      </c>
      <c r="B75" s="3">
        <v>121.79</v>
      </c>
      <c r="C75" s="1"/>
      <c r="D75" s="23">
        <v>3.49</v>
      </c>
      <c r="E75" s="23">
        <v>14.69</v>
      </c>
      <c r="F75" s="1"/>
      <c r="G75" s="18" t="s">
        <v>35</v>
      </c>
      <c r="H75" s="19">
        <v>37.69</v>
      </c>
      <c r="I75" s="19">
        <v>33.566666699999999</v>
      </c>
      <c r="M75" s="14"/>
      <c r="N75" s="14"/>
      <c r="O75" s="14"/>
      <c r="P75" s="14"/>
      <c r="Q75" s="14"/>
    </row>
    <row r="76" spans="1:17" x14ac:dyDescent="0.25">
      <c r="A76" s="3">
        <v>2.4900000000000002</v>
      </c>
      <c r="B76" s="3">
        <v>131.72</v>
      </c>
      <c r="C76" s="1"/>
      <c r="D76" s="23">
        <v>0</v>
      </c>
      <c r="E76" s="23">
        <v>26.54</v>
      </c>
      <c r="F76" s="1"/>
      <c r="G76" s="18" t="s">
        <v>37</v>
      </c>
      <c r="H76" s="19">
        <v>2.8069999999999999</v>
      </c>
      <c r="I76" s="19">
        <v>3.2522222200000002</v>
      </c>
      <c r="M76" s="14"/>
      <c r="N76" s="14"/>
      <c r="O76" s="14"/>
      <c r="P76" s="14"/>
      <c r="Q76" s="14"/>
    </row>
    <row r="77" spans="1:17" x14ac:dyDescent="0.25">
      <c r="A77" s="3">
        <v>64.959999999999994</v>
      </c>
      <c r="B77" s="3">
        <v>49.85</v>
      </c>
      <c r="C77" s="14"/>
      <c r="D77" s="23">
        <v>11.11</v>
      </c>
      <c r="E77" s="23">
        <v>11.74</v>
      </c>
      <c r="F77" s="21"/>
      <c r="G77" s="18" t="s">
        <v>38</v>
      </c>
      <c r="H77" s="19">
        <v>49.576999999999998</v>
      </c>
      <c r="I77" s="19">
        <v>26.914444400000001</v>
      </c>
      <c r="M77" s="14"/>
      <c r="N77" s="14"/>
      <c r="O77" s="14"/>
      <c r="P77" s="14"/>
      <c r="Q77" s="14"/>
    </row>
    <row r="78" spans="1:17" x14ac:dyDescent="0.25">
      <c r="A78" s="3">
        <v>21.56</v>
      </c>
      <c r="B78" s="3">
        <v>70</v>
      </c>
      <c r="C78" s="14"/>
      <c r="D78" s="23">
        <v>2.2799999999999998</v>
      </c>
      <c r="E78" s="23">
        <v>7.1</v>
      </c>
      <c r="F78" s="21"/>
      <c r="G78" s="14"/>
      <c r="H78" s="14"/>
      <c r="I78" s="14"/>
      <c r="M78" s="14"/>
      <c r="N78" s="14"/>
      <c r="O78" s="14"/>
      <c r="P78" s="14"/>
      <c r="Q78" s="14"/>
    </row>
    <row r="79" spans="1:17" x14ac:dyDescent="0.25">
      <c r="A79" s="3">
        <v>34.5</v>
      </c>
      <c r="B79" s="3">
        <v>89.6</v>
      </c>
      <c r="C79" s="14"/>
      <c r="D79" s="23">
        <v>3.4</v>
      </c>
      <c r="E79" s="23">
        <v>4.9000000000000004</v>
      </c>
      <c r="F79" s="21"/>
      <c r="G79" s="14"/>
      <c r="H79" s="14"/>
      <c r="I79" s="14"/>
      <c r="M79" s="14"/>
      <c r="N79" s="14"/>
      <c r="O79" s="14"/>
      <c r="P79" s="14"/>
      <c r="Q79" s="14"/>
    </row>
    <row r="80" spans="1:17" x14ac:dyDescent="0.25">
      <c r="A80" s="3">
        <v>20.5</v>
      </c>
      <c r="B80" s="3">
        <v>89.2</v>
      </c>
      <c r="C80" s="14"/>
      <c r="D80" s="23">
        <v>1.3</v>
      </c>
      <c r="E80" s="23">
        <v>1.4</v>
      </c>
      <c r="F80" s="21"/>
      <c r="G80" s="14"/>
      <c r="H80" s="14"/>
      <c r="I80" s="14"/>
      <c r="M80" s="14"/>
      <c r="N80" s="14"/>
      <c r="O80" s="14"/>
      <c r="P80" s="14"/>
      <c r="Q80" s="14"/>
    </row>
    <row r="81" spans="1:17" x14ac:dyDescent="0.25">
      <c r="A81" s="3">
        <v>32.4</v>
      </c>
      <c r="B81" s="3">
        <v>225.1</v>
      </c>
      <c r="C81" s="14"/>
      <c r="D81" s="23">
        <v>1.9</v>
      </c>
      <c r="E81" s="23">
        <v>16.100000000000001</v>
      </c>
      <c r="F81" s="21"/>
      <c r="G81" s="14"/>
      <c r="H81" s="14"/>
      <c r="I81" s="14"/>
      <c r="M81" s="14"/>
      <c r="N81" s="14"/>
      <c r="O81" s="14"/>
      <c r="P81" s="14"/>
      <c r="Q81" s="14"/>
    </row>
    <row r="82" spans="1:17" x14ac:dyDescent="0.25">
      <c r="A82" s="3">
        <v>43.3</v>
      </c>
      <c r="B82" s="3">
        <v>231.9</v>
      </c>
      <c r="C82" s="14"/>
      <c r="D82" s="23">
        <v>2.6</v>
      </c>
      <c r="E82" s="23">
        <v>7.8</v>
      </c>
      <c r="F82" s="21"/>
      <c r="G82" s="14"/>
      <c r="H82" s="14"/>
      <c r="I82" s="14"/>
      <c r="M82" s="14"/>
      <c r="N82" s="14"/>
      <c r="O82" s="14"/>
      <c r="P82" s="14"/>
      <c r="Q82" s="14"/>
    </row>
    <row r="83" spans="1:17" x14ac:dyDescent="0.25">
      <c r="A83" s="3">
        <v>16.899999999999999</v>
      </c>
      <c r="B83" s="15"/>
      <c r="C83" s="14"/>
      <c r="D83" s="23">
        <v>0.6</v>
      </c>
      <c r="E83" s="23"/>
      <c r="F83" s="21"/>
      <c r="G83" s="14"/>
      <c r="H83" s="14"/>
      <c r="I83" s="14"/>
      <c r="M83" s="14"/>
      <c r="N83" s="14"/>
      <c r="O83" s="14"/>
      <c r="P83" s="14"/>
      <c r="Q83" s="14"/>
    </row>
    <row r="84" spans="1:17" x14ac:dyDescent="0.25">
      <c r="A84" s="3">
        <v>78.400000000000006</v>
      </c>
      <c r="B84" s="15"/>
      <c r="C84" s="14"/>
      <c r="D84" s="23">
        <v>10.199999999999999</v>
      </c>
      <c r="E84" s="23"/>
      <c r="F84" s="21"/>
      <c r="G84" s="14"/>
      <c r="H84" s="14"/>
      <c r="I84" s="14"/>
      <c r="M84" s="14"/>
      <c r="N84" s="14"/>
      <c r="O84" s="14"/>
      <c r="P84" s="14"/>
      <c r="Q84" s="14"/>
    </row>
    <row r="85" spans="1:17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spans="1:17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spans="1:17" x14ac:dyDescent="0.25">
      <c r="A87" s="17" t="s">
        <v>161</v>
      </c>
      <c r="B87" s="14" t="s">
        <v>29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spans="1:17" x14ac:dyDescent="0.25">
      <c r="A88" s="74" t="s">
        <v>30</v>
      </c>
      <c r="B88" s="74"/>
      <c r="C88" s="14"/>
      <c r="D88" s="74" t="s">
        <v>31</v>
      </c>
      <c r="E88" s="7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spans="1:17" x14ac:dyDescent="0.25">
      <c r="A89" s="15" t="s">
        <v>27</v>
      </c>
      <c r="B89" s="15" t="s">
        <v>4</v>
      </c>
      <c r="C89" s="14"/>
      <c r="D89" s="15" t="s">
        <v>27</v>
      </c>
      <c r="E89" s="15" t="s">
        <v>4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spans="1:17" x14ac:dyDescent="0.25">
      <c r="A90" s="3">
        <v>4.58</v>
      </c>
      <c r="B90" s="3">
        <v>13.6</v>
      </c>
      <c r="C90" s="14"/>
      <c r="D90" s="3">
        <v>9.15</v>
      </c>
      <c r="E90" s="3">
        <v>10.1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spans="1:17" x14ac:dyDescent="0.25">
      <c r="A91" s="3">
        <v>6.3</v>
      </c>
      <c r="B91" s="3">
        <v>11.2</v>
      </c>
      <c r="C91" s="14"/>
      <c r="D91" s="3">
        <v>3.83</v>
      </c>
      <c r="E91" s="3">
        <v>11.8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spans="1:17" x14ac:dyDescent="0.25">
      <c r="A92" s="3">
        <v>11.3</v>
      </c>
      <c r="B92" s="3">
        <v>15.6</v>
      </c>
      <c r="C92" s="14"/>
      <c r="D92" s="3">
        <v>1.48</v>
      </c>
      <c r="E92" s="3">
        <v>8.5299999999999994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spans="1:17" x14ac:dyDescent="0.25">
      <c r="A93" s="3">
        <v>5.91</v>
      </c>
      <c r="B93" s="3">
        <v>19.8</v>
      </c>
      <c r="C93" s="14"/>
      <c r="D93" s="3">
        <v>4.3499999999999996</v>
      </c>
      <c r="E93" s="3">
        <v>8.75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spans="1:17" x14ac:dyDescent="0.25">
      <c r="A94" s="3">
        <v>1.73</v>
      </c>
      <c r="B94" s="3">
        <v>10.6</v>
      </c>
      <c r="C94" s="14"/>
      <c r="D94" s="3">
        <v>4.8600000000000003</v>
      </c>
      <c r="E94" s="3">
        <v>4.74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spans="1:17" x14ac:dyDescent="0.25">
      <c r="A95" s="3">
        <v>3.01</v>
      </c>
      <c r="B95" s="3">
        <v>3.12</v>
      </c>
      <c r="C95" s="14"/>
      <c r="D95" s="3">
        <v>5.92</v>
      </c>
      <c r="E95" s="3">
        <v>7.72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spans="1:17" x14ac:dyDescent="0.25">
      <c r="A96" s="3">
        <v>3.76</v>
      </c>
      <c r="B96" s="3">
        <v>9.07</v>
      </c>
      <c r="C96" s="14"/>
      <c r="D96" s="3">
        <v>6.19</v>
      </c>
      <c r="E96" s="3">
        <v>9.64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spans="1:17" x14ac:dyDescent="0.25">
      <c r="A97" s="3">
        <v>2.88</v>
      </c>
      <c r="B97" s="3">
        <v>5.62</v>
      </c>
      <c r="C97" s="14"/>
      <c r="D97" s="3">
        <v>5.99</v>
      </c>
      <c r="E97" s="3">
        <v>12.8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spans="1:17" x14ac:dyDescent="0.25">
      <c r="A98" s="3">
        <v>5.05</v>
      </c>
      <c r="B98" s="3">
        <v>4.5</v>
      </c>
      <c r="C98" s="14"/>
      <c r="D98" s="3">
        <v>2.19</v>
      </c>
      <c r="E98" s="3">
        <v>9.0399999999999991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spans="1:17" x14ac:dyDescent="0.25">
      <c r="A99" s="3">
        <v>10.3</v>
      </c>
      <c r="B99" s="3">
        <v>16.2</v>
      </c>
      <c r="C99" s="14"/>
      <c r="D99" s="3">
        <v>3.43</v>
      </c>
      <c r="E99" s="3">
        <v>11.3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 spans="1:17" x14ac:dyDescent="0.25">
      <c r="A100" s="3"/>
      <c r="B100" s="3">
        <v>5.52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 spans="1:17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</row>
    <row r="102" spans="1:17" x14ac:dyDescent="0.25">
      <c r="A102" s="14" t="s">
        <v>39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</row>
    <row r="103" spans="1:17" x14ac:dyDescent="0.25">
      <c r="A103" s="74" t="s">
        <v>42</v>
      </c>
      <c r="B103" s="74"/>
      <c r="C103" s="74"/>
      <c r="D103" s="74"/>
      <c r="E103" s="14"/>
      <c r="F103" s="74" t="s">
        <v>43</v>
      </c>
      <c r="G103" s="74"/>
      <c r="H103" s="74"/>
      <c r="I103" s="74"/>
      <c r="J103" s="14"/>
      <c r="K103" s="74" t="s">
        <v>44</v>
      </c>
      <c r="L103" s="74"/>
      <c r="M103" s="74"/>
      <c r="N103" s="74"/>
      <c r="O103" s="14"/>
      <c r="P103" s="14"/>
      <c r="Q103" s="14"/>
    </row>
    <row r="104" spans="1:17" x14ac:dyDescent="0.25">
      <c r="A104" s="74" t="s">
        <v>27</v>
      </c>
      <c r="B104" s="74"/>
      <c r="C104" s="74" t="s">
        <v>4</v>
      </c>
      <c r="D104" s="74"/>
      <c r="E104" s="14"/>
      <c r="F104" s="74" t="s">
        <v>27</v>
      </c>
      <c r="G104" s="74"/>
      <c r="H104" s="74" t="s">
        <v>4</v>
      </c>
      <c r="I104" s="74"/>
      <c r="J104" s="14"/>
      <c r="K104" s="74" t="s">
        <v>27</v>
      </c>
      <c r="L104" s="74"/>
      <c r="M104" s="74" t="s">
        <v>4</v>
      </c>
      <c r="N104" s="74"/>
      <c r="O104" s="14"/>
      <c r="P104" s="14"/>
      <c r="Q104" s="14"/>
    </row>
    <row r="105" spans="1:17" x14ac:dyDescent="0.25">
      <c r="A105" s="15" t="s">
        <v>40</v>
      </c>
      <c r="B105" s="15" t="s">
        <v>41</v>
      </c>
      <c r="C105" s="15" t="s">
        <v>40</v>
      </c>
      <c r="D105" s="15" t="s">
        <v>41</v>
      </c>
      <c r="E105" s="14"/>
      <c r="F105" s="15" t="s">
        <v>40</v>
      </c>
      <c r="G105" s="15" t="s">
        <v>41</v>
      </c>
      <c r="H105" s="15" t="s">
        <v>40</v>
      </c>
      <c r="I105" s="15" t="s">
        <v>41</v>
      </c>
      <c r="J105" s="14"/>
      <c r="K105" s="15" t="s">
        <v>40</v>
      </c>
      <c r="L105" s="15" t="s">
        <v>41</v>
      </c>
      <c r="M105" s="15" t="s">
        <v>40</v>
      </c>
      <c r="N105" s="15" t="s">
        <v>41</v>
      </c>
      <c r="O105" s="14"/>
      <c r="P105" s="14"/>
      <c r="Q105" s="14"/>
    </row>
    <row r="106" spans="1:17" x14ac:dyDescent="0.25">
      <c r="A106" s="3">
        <v>9.8000000000000007</v>
      </c>
      <c r="B106" s="3">
        <v>20.9</v>
      </c>
      <c r="C106" s="3">
        <v>1062.3</v>
      </c>
      <c r="D106" s="3">
        <v>76.099999999999994</v>
      </c>
      <c r="E106" s="14"/>
      <c r="F106" s="3">
        <v>235.7</v>
      </c>
      <c r="G106" s="3">
        <v>561.4</v>
      </c>
      <c r="H106" s="3">
        <v>2989.5</v>
      </c>
      <c r="I106" s="3">
        <v>1239</v>
      </c>
      <c r="J106" s="14"/>
      <c r="K106" s="3">
        <v>8.5</v>
      </c>
      <c r="L106" s="3">
        <v>15</v>
      </c>
      <c r="M106" s="3">
        <v>129.19999999999999</v>
      </c>
      <c r="N106" s="3">
        <v>46.4</v>
      </c>
      <c r="O106" s="14"/>
      <c r="P106" s="14"/>
      <c r="Q106" s="14"/>
    </row>
    <row r="107" spans="1:17" x14ac:dyDescent="0.25">
      <c r="A107" s="3">
        <v>26.6</v>
      </c>
      <c r="B107" s="3">
        <v>11.5</v>
      </c>
      <c r="C107" s="3">
        <v>1270.9000000000001</v>
      </c>
      <c r="D107" s="3">
        <v>171.2</v>
      </c>
      <c r="E107" s="14"/>
      <c r="F107" s="3">
        <v>351.8</v>
      </c>
      <c r="G107" s="3">
        <v>494</v>
      </c>
      <c r="H107" s="3">
        <v>2785.7</v>
      </c>
      <c r="I107" s="3">
        <v>1887.5</v>
      </c>
      <c r="J107" s="14"/>
      <c r="K107" s="3">
        <v>14.5</v>
      </c>
      <c r="L107" s="3">
        <v>12.6</v>
      </c>
      <c r="M107" s="3">
        <v>177.1</v>
      </c>
      <c r="N107" s="3">
        <v>74.2</v>
      </c>
      <c r="O107" s="14"/>
      <c r="P107" s="14"/>
      <c r="Q107" s="14"/>
    </row>
    <row r="108" spans="1:17" x14ac:dyDescent="0.25">
      <c r="A108" s="3">
        <v>66.8</v>
      </c>
      <c r="B108" s="3">
        <v>16.899999999999999</v>
      </c>
      <c r="C108" s="3">
        <v>574</v>
      </c>
      <c r="D108" s="3">
        <v>358.43729999999999</v>
      </c>
      <c r="E108" s="14"/>
      <c r="F108" s="3">
        <v>627.29999999999995</v>
      </c>
      <c r="G108" s="3">
        <v>450.2</v>
      </c>
      <c r="H108" s="3">
        <v>1494.7</v>
      </c>
      <c r="I108" s="3">
        <v>1776.653</v>
      </c>
      <c r="J108" s="14"/>
      <c r="K108" s="3">
        <v>16.899999999999999</v>
      </c>
      <c r="L108" s="3">
        <v>10.4</v>
      </c>
      <c r="M108" s="3">
        <v>77.8</v>
      </c>
      <c r="N108" s="3">
        <v>115.9753</v>
      </c>
      <c r="O108" s="14"/>
      <c r="P108" s="14"/>
      <c r="Q108" s="14"/>
    </row>
    <row r="109" spans="1:17" x14ac:dyDescent="0.25">
      <c r="A109" s="3">
        <v>49.7</v>
      </c>
      <c r="B109" s="3">
        <v>25.9</v>
      </c>
      <c r="C109" s="3">
        <v>361.4</v>
      </c>
      <c r="D109" s="3">
        <v>421.96249999999998</v>
      </c>
      <c r="E109" s="14"/>
      <c r="F109" s="3">
        <v>468.8</v>
      </c>
      <c r="G109" s="3">
        <v>1453.1</v>
      </c>
      <c r="H109" s="3">
        <v>1453.6</v>
      </c>
      <c r="I109" s="3">
        <v>2202.1640000000002</v>
      </c>
      <c r="J109" s="14"/>
      <c r="K109" s="3">
        <v>18.600000000000001</v>
      </c>
      <c r="L109" s="3">
        <v>43.2</v>
      </c>
      <c r="M109" s="3">
        <v>129.9</v>
      </c>
      <c r="N109" s="3">
        <v>88.652929999999998</v>
      </c>
      <c r="O109" s="14"/>
      <c r="P109" s="14"/>
      <c r="Q109" s="14"/>
    </row>
    <row r="110" spans="1:17" x14ac:dyDescent="0.25">
      <c r="A110" s="3">
        <v>31.9</v>
      </c>
      <c r="B110" s="3">
        <v>15.05904</v>
      </c>
      <c r="C110" s="3">
        <v>2236.3000000000002</v>
      </c>
      <c r="D110" s="3">
        <v>463.7287</v>
      </c>
      <c r="E110" s="14"/>
      <c r="F110" s="3">
        <v>294.5</v>
      </c>
      <c r="G110" s="3">
        <v>192.72810000000001</v>
      </c>
      <c r="H110" s="3">
        <v>4104.8999999999996</v>
      </c>
      <c r="I110" s="3">
        <v>3303.7469999999998</v>
      </c>
      <c r="J110" s="14"/>
      <c r="K110" s="3">
        <v>9.6</v>
      </c>
      <c r="L110" s="3">
        <v>6.6315059999999999</v>
      </c>
      <c r="M110" s="3">
        <v>237.1</v>
      </c>
      <c r="N110" s="3">
        <v>106.6202</v>
      </c>
      <c r="O110" s="14"/>
      <c r="P110" s="14"/>
      <c r="Q110" s="14"/>
    </row>
    <row r="111" spans="1:17" x14ac:dyDescent="0.25">
      <c r="A111" s="3">
        <v>61.797789999999999</v>
      </c>
      <c r="B111" s="3">
        <v>16.34901</v>
      </c>
      <c r="C111" s="3">
        <v>1069.7670000000001</v>
      </c>
      <c r="D111" s="3">
        <v>204.8364</v>
      </c>
      <c r="E111" s="14"/>
      <c r="F111" s="3">
        <v>344.1266</v>
      </c>
      <c r="G111" s="3">
        <v>201.9145</v>
      </c>
      <c r="H111" s="3">
        <v>2326.0390000000002</v>
      </c>
      <c r="I111" s="3">
        <v>2175.8220000000001</v>
      </c>
      <c r="J111" s="14"/>
      <c r="K111" s="3">
        <v>28.640899999999998</v>
      </c>
      <c r="L111" s="3">
        <v>17.344889999999999</v>
      </c>
      <c r="M111" s="3">
        <v>329.27539999999999</v>
      </c>
      <c r="N111" s="3">
        <v>122.2127</v>
      </c>
      <c r="O111" s="14"/>
      <c r="P111" s="14"/>
      <c r="Q111" s="14"/>
    </row>
    <row r="112" spans="1:17" x14ac:dyDescent="0.25">
      <c r="A112" s="3">
        <v>28.503219999999999</v>
      </c>
      <c r="B112" s="3">
        <v>23.892880000000002</v>
      </c>
      <c r="C112" s="3">
        <v>1531.3440000000001</v>
      </c>
      <c r="D112" s="3">
        <v>237.9237</v>
      </c>
      <c r="E112" s="14"/>
      <c r="F112" s="3">
        <v>278.15710000000001</v>
      </c>
      <c r="G112" s="3">
        <v>345.17090000000002</v>
      </c>
      <c r="H112" s="3">
        <v>3509.0920000000001</v>
      </c>
      <c r="I112" s="3">
        <v>2011.162</v>
      </c>
      <c r="J112" s="14"/>
      <c r="K112" s="3">
        <v>51.133920000000003</v>
      </c>
      <c r="L112" s="3">
        <v>26.44454</v>
      </c>
      <c r="M112" s="3">
        <v>415.7004</v>
      </c>
      <c r="N112" s="3">
        <v>86.767560000000003</v>
      </c>
      <c r="O112" s="14"/>
      <c r="P112" s="14"/>
      <c r="Q112" s="14"/>
    </row>
    <row r="113" spans="1:17" x14ac:dyDescent="0.25">
      <c r="A113" s="3">
        <v>29.777460000000001</v>
      </c>
      <c r="B113" s="3"/>
      <c r="C113" s="3"/>
      <c r="D113" s="3"/>
      <c r="E113" s="14"/>
      <c r="F113" s="3">
        <v>343.04849999999999</v>
      </c>
      <c r="G113" s="3"/>
      <c r="H113" s="3"/>
      <c r="I113" s="3"/>
      <c r="J113" s="14"/>
      <c r="K113" s="3">
        <v>44.818109999999997</v>
      </c>
      <c r="L113" s="3"/>
      <c r="M113" s="3"/>
      <c r="N113" s="3"/>
      <c r="O113" s="14"/>
      <c r="P113" s="14"/>
      <c r="Q113" s="14"/>
    </row>
    <row r="114" spans="1:17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</row>
    <row r="115" spans="1:17" x14ac:dyDescent="0.25">
      <c r="A115" s="14" t="s">
        <v>45</v>
      </c>
      <c r="B115" s="14" t="s">
        <v>29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</row>
    <row r="116" spans="1:17" x14ac:dyDescent="0.25">
      <c r="A116" s="74" t="s">
        <v>46</v>
      </c>
      <c r="B116" s="74"/>
      <c r="C116" s="74"/>
      <c r="D116" s="7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</row>
    <row r="117" spans="1:17" x14ac:dyDescent="0.25">
      <c r="A117" s="74" t="s">
        <v>27</v>
      </c>
      <c r="B117" s="74"/>
      <c r="C117" s="74" t="s">
        <v>4</v>
      </c>
      <c r="D117" s="7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</row>
    <row r="118" spans="1:17" x14ac:dyDescent="0.25">
      <c r="A118" s="15" t="s">
        <v>40</v>
      </c>
      <c r="B118" s="15" t="s">
        <v>41</v>
      </c>
      <c r="C118" s="15" t="s">
        <v>40</v>
      </c>
      <c r="D118" s="15" t="s">
        <v>41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</row>
    <row r="119" spans="1:17" x14ac:dyDescent="0.25">
      <c r="A119" s="3">
        <v>1.73</v>
      </c>
      <c r="B119" s="3">
        <v>1.07</v>
      </c>
      <c r="C119" s="3">
        <v>3.26</v>
      </c>
      <c r="D119" s="3">
        <v>1.04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</row>
    <row r="120" spans="1:17" x14ac:dyDescent="0.25">
      <c r="A120" s="3">
        <v>2.21</v>
      </c>
      <c r="B120" s="3">
        <v>1.71</v>
      </c>
      <c r="C120" s="3">
        <v>4.62</v>
      </c>
      <c r="D120" s="3">
        <v>0.93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1" spans="1:17" x14ac:dyDescent="0.25">
      <c r="A121" s="3">
        <v>1.21</v>
      </c>
      <c r="B121" s="3">
        <v>2.2599999999999998</v>
      </c>
      <c r="C121" s="3">
        <v>3.12</v>
      </c>
      <c r="D121" s="3">
        <v>4.04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</row>
    <row r="122" spans="1:17" x14ac:dyDescent="0.25">
      <c r="A122" s="3">
        <v>1.83</v>
      </c>
      <c r="B122" s="3">
        <v>0.5</v>
      </c>
      <c r="C122" s="3">
        <v>5.08</v>
      </c>
      <c r="D122" s="3">
        <v>1.91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</row>
    <row r="123" spans="1:17" x14ac:dyDescent="0.25">
      <c r="A123" s="3">
        <v>2.79</v>
      </c>
      <c r="B123" s="3">
        <v>1.96</v>
      </c>
      <c r="C123" s="3">
        <v>2.87</v>
      </c>
      <c r="D123" s="3">
        <v>3.93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</row>
    <row r="124" spans="1:17" x14ac:dyDescent="0.25">
      <c r="A124" s="3">
        <v>1.93</v>
      </c>
      <c r="B124" s="3">
        <v>2.65</v>
      </c>
      <c r="C124" s="3">
        <v>5.95</v>
      </c>
      <c r="D124" s="3">
        <v>1.61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</row>
    <row r="125" spans="1:17" x14ac:dyDescent="0.25">
      <c r="A125" s="3">
        <v>1.4</v>
      </c>
      <c r="B125" s="3">
        <v>3.53</v>
      </c>
      <c r="C125" s="3">
        <v>7.69</v>
      </c>
      <c r="D125" s="3">
        <v>2.65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</row>
    <row r="126" spans="1:17" x14ac:dyDescent="0.25">
      <c r="A126" s="3">
        <v>6.3</v>
      </c>
      <c r="B126" s="3">
        <v>2.78</v>
      </c>
      <c r="C126" s="3">
        <v>5.64</v>
      </c>
      <c r="D126" s="3">
        <v>4.33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</row>
    <row r="127" spans="1:17" x14ac:dyDescent="0.25">
      <c r="A127" s="3">
        <v>3.68</v>
      </c>
      <c r="B127" s="3">
        <v>3.74</v>
      </c>
      <c r="C127" s="3"/>
      <c r="D127" s="3">
        <v>4.22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</row>
    <row r="128" spans="1:17" x14ac:dyDescent="0.25">
      <c r="A128" s="3"/>
      <c r="B128" s="3"/>
      <c r="C128" s="3"/>
      <c r="D128" s="3">
        <v>3.58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</row>
    <row r="129" spans="1:17" x14ac:dyDescent="0.25">
      <c r="A129" s="3"/>
      <c r="B129" s="3"/>
      <c r="C129" s="3"/>
      <c r="D129" s="3">
        <v>3.41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</row>
    <row r="130" spans="1:17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</row>
    <row r="131" spans="1:17" x14ac:dyDescent="0.25">
      <c r="A131" s="14" t="s">
        <v>47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</row>
    <row r="132" spans="1:17" x14ac:dyDescent="0.25">
      <c r="A132" s="2" t="s">
        <v>30</v>
      </c>
      <c r="B132" s="2" t="s">
        <v>34</v>
      </c>
      <c r="C132" s="15" t="s">
        <v>35</v>
      </c>
      <c r="D132" s="15" t="s">
        <v>36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3" spans="1:17" x14ac:dyDescent="0.25">
      <c r="A133" s="3">
        <v>2.21</v>
      </c>
      <c r="B133" s="3">
        <v>0.11</v>
      </c>
      <c r="C133" s="3">
        <v>2.5299999999999998</v>
      </c>
      <c r="D133" s="3">
        <v>9.0999999999999998E-2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</row>
    <row r="134" spans="1:17" x14ac:dyDescent="0.25">
      <c r="A134" s="3">
        <v>1.21</v>
      </c>
      <c r="B134" s="3">
        <v>0.14000000000000001</v>
      </c>
      <c r="C134" s="3">
        <v>1.86</v>
      </c>
      <c r="D134" s="3">
        <v>7.6999999999999999E-2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</row>
    <row r="135" spans="1:17" x14ac:dyDescent="0.25">
      <c r="A135" s="3">
        <v>1.83</v>
      </c>
      <c r="B135" s="3">
        <v>0.15</v>
      </c>
      <c r="C135" s="3">
        <v>1.42</v>
      </c>
      <c r="D135" s="3">
        <v>3.7999999999999999E-2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</row>
    <row r="136" spans="1:17" x14ac:dyDescent="0.25">
      <c r="A136" s="3">
        <v>2.79</v>
      </c>
      <c r="B136" s="3">
        <v>0.26</v>
      </c>
      <c r="C136" s="3">
        <v>2.44</v>
      </c>
      <c r="D136" s="3">
        <v>9.7000000000000003E-2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25">
      <c r="A137" s="3">
        <v>1.93</v>
      </c>
      <c r="B137" s="3">
        <v>0.2</v>
      </c>
      <c r="C137" s="3">
        <v>1.8</v>
      </c>
      <c r="D137" s="3">
        <v>5.8999999999999997E-2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</row>
    <row r="138" spans="1:17" x14ac:dyDescent="0.25">
      <c r="A138" s="3">
        <v>6.3</v>
      </c>
      <c r="B138" s="3">
        <v>0.32</v>
      </c>
      <c r="C138" s="3">
        <v>1.78</v>
      </c>
      <c r="D138" s="3">
        <v>0.15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</row>
    <row r="139" spans="1:17" x14ac:dyDescent="0.25">
      <c r="A139" s="3">
        <v>3.68</v>
      </c>
      <c r="B139" s="3">
        <v>0.11</v>
      </c>
      <c r="C139" s="3">
        <v>1.1100000000000001</v>
      </c>
      <c r="D139" s="3">
        <v>0.2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</row>
    <row r="140" spans="1:17" x14ac:dyDescent="0.25">
      <c r="A140" s="3">
        <v>2.92</v>
      </c>
      <c r="B140" s="3">
        <v>0.21</v>
      </c>
      <c r="C140" s="3">
        <v>2.37</v>
      </c>
      <c r="D140" s="3">
        <v>0.31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</row>
    <row r="141" spans="1:17" x14ac:dyDescent="0.25">
      <c r="A141" s="3">
        <v>3.26</v>
      </c>
      <c r="B141" s="3">
        <v>2.37</v>
      </c>
      <c r="C141" s="3">
        <v>6.66</v>
      </c>
      <c r="D141" s="3">
        <v>0.28999999999999998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</row>
    <row r="142" spans="1:17" x14ac:dyDescent="0.25">
      <c r="A142" s="3">
        <v>4.62</v>
      </c>
      <c r="B142" s="3">
        <v>2.88</v>
      </c>
      <c r="C142" s="3">
        <v>6.31</v>
      </c>
      <c r="D142" s="3">
        <v>0.4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</row>
    <row r="143" spans="1:17" x14ac:dyDescent="0.25">
      <c r="A143" s="3">
        <v>3.12</v>
      </c>
      <c r="B143" s="3">
        <v>2.0699999999999998</v>
      </c>
      <c r="C143" s="3">
        <v>5.38</v>
      </c>
      <c r="D143" s="3">
        <v>0.28000000000000003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</row>
    <row r="144" spans="1:17" x14ac:dyDescent="0.25">
      <c r="A144" s="3">
        <v>5.08</v>
      </c>
      <c r="B144" s="3">
        <v>1.1200000000000001</v>
      </c>
      <c r="C144" s="3">
        <v>4.5199999999999996</v>
      </c>
      <c r="D144" s="3">
        <v>0.4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</row>
    <row r="145" spans="1:17" x14ac:dyDescent="0.25">
      <c r="A145" s="3">
        <v>2.87</v>
      </c>
      <c r="B145" s="3">
        <v>5.26</v>
      </c>
      <c r="C145" s="3">
        <v>9.65</v>
      </c>
      <c r="D145" s="3">
        <v>0.56000000000000005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</row>
    <row r="146" spans="1:17" x14ac:dyDescent="0.25">
      <c r="A146" s="3">
        <v>5.95</v>
      </c>
      <c r="B146" s="3">
        <v>4.21</v>
      </c>
      <c r="C146" s="3">
        <v>9.14</v>
      </c>
      <c r="D146" s="3">
        <v>1.29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</row>
    <row r="147" spans="1:17" x14ac:dyDescent="0.25">
      <c r="A147" s="3">
        <v>5.64</v>
      </c>
      <c r="B147" s="3">
        <v>4.22</v>
      </c>
      <c r="C147" s="3">
        <v>9.66</v>
      </c>
      <c r="D147" s="3">
        <v>1.1399999999999999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</row>
  </sheetData>
  <mergeCells count="21">
    <mergeCell ref="K103:N103"/>
    <mergeCell ref="K104:L104"/>
    <mergeCell ref="M104:N104"/>
    <mergeCell ref="A116:D116"/>
    <mergeCell ref="F103:I103"/>
    <mergeCell ref="F104:G104"/>
    <mergeCell ref="H104:I104"/>
    <mergeCell ref="A73:B73"/>
    <mergeCell ref="D73:E73"/>
    <mergeCell ref="A117:B117"/>
    <mergeCell ref="C117:D117"/>
    <mergeCell ref="A88:B88"/>
    <mergeCell ref="D88:E88"/>
    <mergeCell ref="A104:B104"/>
    <mergeCell ref="C104:D104"/>
    <mergeCell ref="A103:D103"/>
    <mergeCell ref="A2:B2"/>
    <mergeCell ref="D2:E2"/>
    <mergeCell ref="A32:B32"/>
    <mergeCell ref="D32:E32"/>
    <mergeCell ref="A60:B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9A30-10BB-9A45-BC3E-C669F46A29AE}">
  <dimension ref="A1:H42"/>
  <sheetViews>
    <sheetView zoomScale="73" zoomScaleNormal="73" workbookViewId="0">
      <selection activeCell="F19" sqref="F19"/>
    </sheetView>
  </sheetViews>
  <sheetFormatPr defaultColWidth="10.875" defaultRowHeight="15" x14ac:dyDescent="0.2"/>
  <cols>
    <col min="1" max="16384" width="10.875" style="14"/>
  </cols>
  <sheetData>
    <row r="1" spans="1:8" x14ac:dyDescent="0.2">
      <c r="A1" s="14" t="s">
        <v>159</v>
      </c>
      <c r="B1" s="14" t="s">
        <v>53</v>
      </c>
    </row>
    <row r="2" spans="1:8" x14ac:dyDescent="0.2">
      <c r="A2" s="74" t="s">
        <v>30</v>
      </c>
      <c r="B2" s="74"/>
    </row>
    <row r="3" spans="1:8" x14ac:dyDescent="0.2">
      <c r="A3" s="15" t="s">
        <v>27</v>
      </c>
      <c r="B3" s="15" t="s">
        <v>4</v>
      </c>
    </row>
    <row r="4" spans="1:8" x14ac:dyDescent="0.2">
      <c r="A4" s="3">
        <v>1.92</v>
      </c>
      <c r="B4" s="3">
        <v>11.1</v>
      </c>
    </row>
    <row r="5" spans="1:8" x14ac:dyDescent="0.2">
      <c r="A5" s="3">
        <v>0.89</v>
      </c>
      <c r="B5" s="3">
        <v>7.72</v>
      </c>
    </row>
    <row r="6" spans="1:8" x14ac:dyDescent="0.2">
      <c r="A6" s="3">
        <v>3.29</v>
      </c>
      <c r="B6" s="3">
        <v>7.83</v>
      </c>
    </row>
    <row r="7" spans="1:8" x14ac:dyDescent="0.2">
      <c r="A7" s="3">
        <v>6.55</v>
      </c>
      <c r="B7" s="3">
        <v>6.8</v>
      </c>
    </row>
    <row r="8" spans="1:8" x14ac:dyDescent="0.2">
      <c r="A8" s="3">
        <v>2.1800000000000002</v>
      </c>
      <c r="B8" s="3">
        <v>9.7100000000000009</v>
      </c>
    </row>
    <row r="9" spans="1:8" x14ac:dyDescent="0.2">
      <c r="A9" s="3">
        <v>8.59</v>
      </c>
      <c r="B9" s="3">
        <v>11.1</v>
      </c>
    </row>
    <row r="10" spans="1:8" x14ac:dyDescent="0.2">
      <c r="A10" s="3">
        <v>6.04</v>
      </c>
      <c r="B10" s="3">
        <v>2.7</v>
      </c>
    </row>
    <row r="11" spans="1:8" x14ac:dyDescent="0.2">
      <c r="A11" s="3">
        <v>3.01</v>
      </c>
      <c r="B11" s="3">
        <v>8.6</v>
      </c>
    </row>
    <row r="12" spans="1:8" x14ac:dyDescent="0.2">
      <c r="A12" s="3"/>
      <c r="B12" s="3">
        <v>6.55</v>
      </c>
    </row>
    <row r="14" spans="1:8" x14ac:dyDescent="0.2">
      <c r="A14" s="14" t="s">
        <v>160</v>
      </c>
      <c r="B14" s="14" t="s">
        <v>53</v>
      </c>
    </row>
    <row r="15" spans="1:8" x14ac:dyDescent="0.2">
      <c r="A15" s="74" t="s">
        <v>30</v>
      </c>
      <c r="B15" s="74"/>
      <c r="C15" s="74"/>
      <c r="D15" s="74"/>
      <c r="E15" s="74"/>
      <c r="F15" s="74"/>
      <c r="G15" s="74"/>
      <c r="H15" s="74"/>
    </row>
    <row r="16" spans="1:8" x14ac:dyDescent="0.2">
      <c r="A16" s="74" t="s">
        <v>54</v>
      </c>
      <c r="B16" s="74"/>
      <c r="C16" s="74" t="s">
        <v>55</v>
      </c>
      <c r="D16" s="74"/>
      <c r="E16" s="74" t="s">
        <v>56</v>
      </c>
      <c r="F16" s="74"/>
      <c r="G16" s="74" t="s">
        <v>57</v>
      </c>
      <c r="H16" s="74"/>
    </row>
    <row r="17" spans="1:8" x14ac:dyDescent="0.2">
      <c r="A17" s="15" t="s">
        <v>27</v>
      </c>
      <c r="B17" s="15" t="s">
        <v>4</v>
      </c>
      <c r="C17" s="15" t="s">
        <v>27</v>
      </c>
      <c r="D17" s="15" t="s">
        <v>4</v>
      </c>
      <c r="E17" s="15" t="s">
        <v>27</v>
      </c>
      <c r="F17" s="15" t="s">
        <v>4</v>
      </c>
      <c r="G17" s="15" t="s">
        <v>27</v>
      </c>
      <c r="H17" s="15" t="s">
        <v>4</v>
      </c>
    </row>
    <row r="18" spans="1:8" x14ac:dyDescent="0.2">
      <c r="A18" s="3">
        <v>0.92</v>
      </c>
      <c r="B18" s="3">
        <v>7.19</v>
      </c>
      <c r="C18" s="3">
        <v>2.09</v>
      </c>
      <c r="D18" s="3">
        <v>1.19</v>
      </c>
      <c r="E18" s="3">
        <v>0.44</v>
      </c>
      <c r="F18" s="3">
        <v>1.78</v>
      </c>
      <c r="G18" s="3">
        <v>4.74</v>
      </c>
      <c r="H18" s="3">
        <v>2.66</v>
      </c>
    </row>
    <row r="19" spans="1:8" x14ac:dyDescent="0.2">
      <c r="A19" s="3">
        <v>3.59</v>
      </c>
      <c r="B19" s="3">
        <v>5.53</v>
      </c>
      <c r="C19" s="3">
        <v>2.0499999999999998</v>
      </c>
      <c r="D19" s="3">
        <v>2.2200000000000002</v>
      </c>
      <c r="E19" s="3">
        <v>1.02</v>
      </c>
      <c r="F19" s="3">
        <v>2.61</v>
      </c>
      <c r="G19" s="3">
        <v>8.06</v>
      </c>
      <c r="H19" s="3">
        <v>5.03</v>
      </c>
    </row>
    <row r="20" spans="1:8" x14ac:dyDescent="0.2">
      <c r="A20" s="3">
        <v>2.04</v>
      </c>
      <c r="B20" s="3">
        <v>14.8</v>
      </c>
      <c r="C20" s="3">
        <v>1</v>
      </c>
      <c r="D20" s="3">
        <v>0.92</v>
      </c>
      <c r="E20" s="3">
        <v>4.13</v>
      </c>
      <c r="F20" s="3">
        <v>2.16</v>
      </c>
      <c r="G20" s="3">
        <v>1.0900000000000001</v>
      </c>
      <c r="H20" s="3">
        <v>5.1100000000000003</v>
      </c>
    </row>
    <row r="21" spans="1:8" x14ac:dyDescent="0.2">
      <c r="A21" s="3">
        <v>3.91</v>
      </c>
      <c r="B21" s="3">
        <v>7.22</v>
      </c>
      <c r="C21" s="3">
        <v>0.14000000000000001</v>
      </c>
      <c r="D21" s="3">
        <v>0.99</v>
      </c>
      <c r="E21" s="3">
        <v>2.14</v>
      </c>
      <c r="F21" s="3">
        <v>0</v>
      </c>
      <c r="G21" s="3">
        <v>0.44</v>
      </c>
      <c r="H21" s="3">
        <v>5.18</v>
      </c>
    </row>
    <row r="22" spans="1:8" x14ac:dyDescent="0.2">
      <c r="A22" s="3">
        <v>3.9</v>
      </c>
      <c r="B22" s="3">
        <v>12.3</v>
      </c>
      <c r="C22" s="3">
        <v>0.28999999999999998</v>
      </c>
      <c r="D22" s="3">
        <v>3.31</v>
      </c>
      <c r="E22" s="3">
        <v>0.33</v>
      </c>
      <c r="F22" s="3">
        <v>4.07</v>
      </c>
      <c r="G22" s="3">
        <v>5.47</v>
      </c>
      <c r="H22" s="3">
        <v>3.31</v>
      </c>
    </row>
    <row r="23" spans="1:8" x14ac:dyDescent="0.2">
      <c r="A23" s="3">
        <v>4.16</v>
      </c>
      <c r="B23" s="3">
        <v>6.43</v>
      </c>
      <c r="C23" s="3">
        <v>0.88</v>
      </c>
      <c r="D23" s="3">
        <v>0.81</v>
      </c>
      <c r="E23" s="3">
        <v>1.93</v>
      </c>
      <c r="F23" s="3">
        <v>1.27</v>
      </c>
      <c r="G23" s="3">
        <v>1.1200000000000001</v>
      </c>
      <c r="H23" s="3">
        <v>3.61</v>
      </c>
    </row>
    <row r="24" spans="1:8" x14ac:dyDescent="0.2">
      <c r="A24" s="3">
        <v>4.18</v>
      </c>
      <c r="B24" s="3">
        <v>4.95</v>
      </c>
      <c r="C24" s="3">
        <v>0.84</v>
      </c>
      <c r="D24" s="3">
        <v>0.84</v>
      </c>
      <c r="E24" s="3">
        <v>5.21</v>
      </c>
      <c r="F24" s="3">
        <v>1.53</v>
      </c>
      <c r="G24" s="3">
        <v>2.61</v>
      </c>
      <c r="H24" s="3">
        <v>9.2100000000000009</v>
      </c>
    </row>
    <row r="25" spans="1:8" x14ac:dyDescent="0.2">
      <c r="A25" s="3"/>
      <c r="B25" s="3">
        <v>16.399999999999999</v>
      </c>
      <c r="C25" s="3">
        <v>2.09</v>
      </c>
      <c r="D25" s="3">
        <v>3.7</v>
      </c>
      <c r="E25" s="3">
        <v>7.08</v>
      </c>
      <c r="F25" s="3">
        <v>2.91</v>
      </c>
      <c r="G25" s="3">
        <v>1.1000000000000001</v>
      </c>
      <c r="H25" s="3">
        <v>13.9</v>
      </c>
    </row>
    <row r="26" spans="1:8" x14ac:dyDescent="0.2">
      <c r="A26" s="3"/>
      <c r="B26" s="3">
        <v>16.3</v>
      </c>
      <c r="C26" s="3">
        <v>2.73</v>
      </c>
      <c r="D26" s="3">
        <v>2.75</v>
      </c>
      <c r="E26" s="3">
        <v>1.07</v>
      </c>
      <c r="F26" s="3">
        <v>4.34</v>
      </c>
      <c r="G26" s="3">
        <v>9.7799999999999994</v>
      </c>
      <c r="H26" s="3">
        <v>10.9</v>
      </c>
    </row>
    <row r="27" spans="1:8" x14ac:dyDescent="0.2">
      <c r="A27" s="3"/>
      <c r="B27" s="3"/>
      <c r="C27" s="3">
        <v>1.76</v>
      </c>
      <c r="D27" s="3">
        <v>5.26</v>
      </c>
      <c r="E27" s="3">
        <v>0.67</v>
      </c>
      <c r="F27" s="3">
        <v>7.58</v>
      </c>
      <c r="G27" s="3">
        <v>1.96</v>
      </c>
      <c r="H27" s="3"/>
    </row>
    <row r="29" spans="1:8" x14ac:dyDescent="0.2">
      <c r="A29" s="14" t="s">
        <v>48</v>
      </c>
      <c r="B29" s="14" t="s">
        <v>49</v>
      </c>
    </row>
    <row r="30" spans="1:8" x14ac:dyDescent="0.2">
      <c r="A30" s="74" t="s">
        <v>50</v>
      </c>
      <c r="B30" s="74"/>
      <c r="C30" s="74"/>
      <c r="D30" s="74"/>
    </row>
    <row r="31" spans="1:8" x14ac:dyDescent="0.2">
      <c r="A31" s="74" t="s">
        <v>51</v>
      </c>
      <c r="B31" s="74"/>
      <c r="C31" s="74" t="s">
        <v>52</v>
      </c>
      <c r="D31" s="74"/>
    </row>
    <row r="32" spans="1:8" x14ac:dyDescent="0.2">
      <c r="A32" s="15" t="s">
        <v>27</v>
      </c>
      <c r="B32" s="15" t="s">
        <v>4</v>
      </c>
      <c r="C32" s="15" t="s">
        <v>27</v>
      </c>
      <c r="D32" s="15" t="s">
        <v>4</v>
      </c>
    </row>
    <row r="33" spans="1:4" x14ac:dyDescent="0.2">
      <c r="A33" s="3">
        <v>6.12</v>
      </c>
      <c r="B33" s="3">
        <v>11</v>
      </c>
      <c r="C33" s="3">
        <v>13.1</v>
      </c>
      <c r="D33" s="3">
        <v>40</v>
      </c>
    </row>
    <row r="34" spans="1:4" x14ac:dyDescent="0.2">
      <c r="A34" s="3">
        <v>4.18</v>
      </c>
      <c r="B34" s="3">
        <v>14.4</v>
      </c>
      <c r="C34" s="3">
        <v>15.3</v>
      </c>
      <c r="D34" s="3">
        <v>32</v>
      </c>
    </row>
    <row r="35" spans="1:4" x14ac:dyDescent="0.2">
      <c r="A35" s="3">
        <v>2.5299999999999998</v>
      </c>
      <c r="B35" s="3">
        <v>23.6</v>
      </c>
      <c r="C35" s="3">
        <v>23</v>
      </c>
      <c r="D35" s="3">
        <v>35</v>
      </c>
    </row>
    <row r="36" spans="1:4" x14ac:dyDescent="0.2">
      <c r="A36" s="3">
        <v>3.57</v>
      </c>
      <c r="B36" s="3">
        <v>16.5</v>
      </c>
      <c r="C36" s="3">
        <v>16.7</v>
      </c>
      <c r="D36" s="3">
        <v>23.1</v>
      </c>
    </row>
    <row r="37" spans="1:4" x14ac:dyDescent="0.2">
      <c r="A37" s="3">
        <v>2.0699999999999998</v>
      </c>
      <c r="B37" s="3">
        <v>3.6</v>
      </c>
      <c r="C37" s="3">
        <v>15.6</v>
      </c>
      <c r="D37" s="3">
        <v>23.5</v>
      </c>
    </row>
    <row r="38" spans="1:4" x14ac:dyDescent="0.2">
      <c r="A38" s="3">
        <v>3.96</v>
      </c>
      <c r="B38" s="3">
        <v>11.6</v>
      </c>
      <c r="C38" s="3">
        <v>25.9</v>
      </c>
      <c r="D38" s="3">
        <v>18.5</v>
      </c>
    </row>
    <row r="39" spans="1:4" x14ac:dyDescent="0.2">
      <c r="A39" s="3">
        <v>2.46</v>
      </c>
      <c r="B39" s="3">
        <v>10</v>
      </c>
      <c r="C39" s="3">
        <v>10.8</v>
      </c>
      <c r="D39" s="3">
        <v>23.1</v>
      </c>
    </row>
    <row r="40" spans="1:4" x14ac:dyDescent="0.2">
      <c r="A40" s="3">
        <v>8.4700000000000006</v>
      </c>
      <c r="B40" s="3">
        <v>13.3</v>
      </c>
      <c r="C40" s="3">
        <v>15.8</v>
      </c>
      <c r="D40" s="3">
        <v>12.5</v>
      </c>
    </row>
    <row r="41" spans="1:4" x14ac:dyDescent="0.2">
      <c r="A41" s="3">
        <v>1.1200000000000001</v>
      </c>
      <c r="B41" s="3">
        <v>14.5</v>
      </c>
      <c r="C41" s="3">
        <v>6.67</v>
      </c>
      <c r="D41" s="3">
        <v>20</v>
      </c>
    </row>
    <row r="42" spans="1:4" x14ac:dyDescent="0.2">
      <c r="A42" s="3">
        <v>4.55</v>
      </c>
      <c r="B42" s="3"/>
      <c r="C42" s="3"/>
      <c r="D42" s="3"/>
    </row>
  </sheetData>
  <mergeCells count="9">
    <mergeCell ref="A2:B2"/>
    <mergeCell ref="A30:D30"/>
    <mergeCell ref="A31:B31"/>
    <mergeCell ref="C31:D31"/>
    <mergeCell ref="A15:H15"/>
    <mergeCell ref="A16:B16"/>
    <mergeCell ref="C16:D16"/>
    <mergeCell ref="E16:F16"/>
    <mergeCell ref="G16:H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55181-31E1-F049-861B-38BBC6C11F3D}">
  <dimension ref="A1:S48"/>
  <sheetViews>
    <sheetView zoomScale="77" zoomScaleNormal="77" workbookViewId="0">
      <selection activeCell="G39" sqref="G39"/>
    </sheetView>
  </sheetViews>
  <sheetFormatPr defaultColWidth="10.875" defaultRowHeight="15" x14ac:dyDescent="0.2"/>
  <cols>
    <col min="1" max="16384" width="10.875" style="14"/>
  </cols>
  <sheetData>
    <row r="1" spans="1:19" x14ac:dyDescent="0.2">
      <c r="A1" s="14" t="s">
        <v>58</v>
      </c>
      <c r="B1" s="14" t="s">
        <v>29</v>
      </c>
      <c r="K1" s="14" t="s">
        <v>65</v>
      </c>
    </row>
    <row r="2" spans="1:19" x14ac:dyDescent="0.2">
      <c r="A2" s="74" t="s">
        <v>30</v>
      </c>
      <c r="B2" s="74"/>
      <c r="C2" s="74"/>
      <c r="D2" s="74"/>
      <c r="F2" s="74" t="s">
        <v>62</v>
      </c>
      <c r="G2" s="74"/>
      <c r="H2" s="74"/>
      <c r="I2" s="74"/>
      <c r="K2" s="74" t="s">
        <v>30</v>
      </c>
      <c r="L2" s="74"/>
      <c r="M2" s="74"/>
      <c r="N2" s="74"/>
      <c r="P2" s="74" t="s">
        <v>62</v>
      </c>
      <c r="Q2" s="74"/>
      <c r="R2" s="74"/>
      <c r="S2" s="74"/>
    </row>
    <row r="3" spans="1:19" x14ac:dyDescent="0.2">
      <c r="A3" s="74" t="s">
        <v>60</v>
      </c>
      <c r="B3" s="74"/>
      <c r="C3" s="74" t="s">
        <v>61</v>
      </c>
      <c r="D3" s="74"/>
      <c r="F3" s="74" t="s">
        <v>60</v>
      </c>
      <c r="G3" s="74"/>
      <c r="H3" s="74" t="s">
        <v>61</v>
      </c>
      <c r="I3" s="74"/>
      <c r="K3" s="74" t="s">
        <v>60</v>
      </c>
      <c r="L3" s="74"/>
      <c r="M3" s="74" t="s">
        <v>61</v>
      </c>
      <c r="N3" s="74"/>
      <c r="P3" s="74" t="s">
        <v>60</v>
      </c>
      <c r="Q3" s="74"/>
      <c r="R3" s="74" t="s">
        <v>61</v>
      </c>
      <c r="S3" s="74"/>
    </row>
    <row r="4" spans="1:19" x14ac:dyDescent="0.2">
      <c r="A4" s="15" t="s">
        <v>27</v>
      </c>
      <c r="B4" s="15" t="s">
        <v>4</v>
      </c>
      <c r="C4" s="15" t="s">
        <v>27</v>
      </c>
      <c r="D4" s="15" t="s">
        <v>4</v>
      </c>
      <c r="F4" s="15" t="s">
        <v>27</v>
      </c>
      <c r="G4" s="15" t="s">
        <v>4</v>
      </c>
      <c r="H4" s="15" t="s">
        <v>27</v>
      </c>
      <c r="I4" s="15" t="s">
        <v>4</v>
      </c>
      <c r="K4" s="15" t="s">
        <v>27</v>
      </c>
      <c r="L4" s="15" t="s">
        <v>4</v>
      </c>
      <c r="M4" s="15" t="s">
        <v>27</v>
      </c>
      <c r="N4" s="15" t="s">
        <v>4</v>
      </c>
      <c r="P4" s="15" t="s">
        <v>27</v>
      </c>
      <c r="Q4" s="15" t="s">
        <v>4</v>
      </c>
      <c r="R4" s="15" t="s">
        <v>27</v>
      </c>
      <c r="S4" s="15" t="s">
        <v>4</v>
      </c>
    </row>
    <row r="5" spans="1:19" x14ac:dyDescent="0.2">
      <c r="A5" s="3">
        <v>4.0599999999999996</v>
      </c>
      <c r="B5" s="3">
        <v>6.42</v>
      </c>
      <c r="C5" s="3">
        <v>2.75</v>
      </c>
      <c r="D5" s="3">
        <v>3.17</v>
      </c>
      <c r="F5" s="3">
        <v>2.25</v>
      </c>
      <c r="G5" s="3">
        <v>4.62</v>
      </c>
      <c r="H5" s="3">
        <v>1.48</v>
      </c>
      <c r="I5" s="3">
        <v>2.2200000000000002</v>
      </c>
      <c r="K5" s="3">
        <v>6440.5458099999996</v>
      </c>
      <c r="L5" s="3">
        <v>3830.06907</v>
      </c>
      <c r="M5" s="3">
        <v>184.412307</v>
      </c>
      <c r="N5" s="3">
        <v>721.36680000000001</v>
      </c>
      <c r="P5" s="3">
        <v>3571.1500999999998</v>
      </c>
      <c r="Q5" s="3">
        <v>2755.2275500000001</v>
      </c>
      <c r="R5" s="3">
        <v>99.000291200000007</v>
      </c>
      <c r="S5" s="3">
        <v>506.22231599999998</v>
      </c>
    </row>
    <row r="6" spans="1:19" x14ac:dyDescent="0.2">
      <c r="A6" s="3">
        <v>11.3</v>
      </c>
      <c r="B6" s="3">
        <v>7.42</v>
      </c>
      <c r="C6" s="3">
        <v>2.25</v>
      </c>
      <c r="D6" s="3">
        <v>6.78</v>
      </c>
      <c r="F6" s="3">
        <v>6.21</v>
      </c>
      <c r="G6" s="3">
        <v>4.96</v>
      </c>
      <c r="H6" s="3">
        <v>1.64</v>
      </c>
      <c r="I6" s="3">
        <v>5.18</v>
      </c>
      <c r="K6" s="3">
        <v>2655.1145900000001</v>
      </c>
      <c r="L6" s="3">
        <v>2465.3551699999998</v>
      </c>
      <c r="M6" s="3">
        <v>661.15702499999998</v>
      </c>
      <c r="N6" s="3">
        <v>2696.9802199999999</v>
      </c>
      <c r="P6" s="3">
        <v>1458.9156</v>
      </c>
      <c r="Q6" s="3">
        <v>1647.4464599999999</v>
      </c>
      <c r="R6" s="3">
        <v>481.58351199999998</v>
      </c>
      <c r="S6" s="3">
        <v>2061.7840999999999</v>
      </c>
    </row>
    <row r="7" spans="1:19" x14ac:dyDescent="0.2">
      <c r="A7" s="3">
        <v>8.39</v>
      </c>
      <c r="B7" s="3">
        <v>12.2</v>
      </c>
      <c r="C7" s="3">
        <v>3.06</v>
      </c>
      <c r="D7" s="3">
        <v>4.99</v>
      </c>
      <c r="F7" s="3">
        <v>4.91</v>
      </c>
      <c r="G7" s="3">
        <v>8.01</v>
      </c>
      <c r="H7" s="3">
        <v>1.67</v>
      </c>
      <c r="I7" s="3">
        <v>3.46</v>
      </c>
      <c r="K7" s="3">
        <v>460.27301399999999</v>
      </c>
      <c r="L7" s="3">
        <v>13847.8261</v>
      </c>
      <c r="M7" s="3">
        <v>876.51221199999998</v>
      </c>
      <c r="N7" s="3">
        <v>2218.69328</v>
      </c>
      <c r="P7" s="3">
        <v>269.51347600000003</v>
      </c>
      <c r="Q7" s="3">
        <v>9065.2173899999998</v>
      </c>
      <c r="R7" s="3">
        <v>479.34261600000002</v>
      </c>
      <c r="S7" s="3">
        <v>1538.1125199999999</v>
      </c>
    </row>
    <row r="8" spans="1:19" x14ac:dyDescent="0.2">
      <c r="A8" s="3">
        <v>4.29</v>
      </c>
      <c r="B8" s="3">
        <v>7.63</v>
      </c>
      <c r="C8" s="3">
        <v>7.9</v>
      </c>
      <c r="D8" s="3">
        <v>1.89</v>
      </c>
      <c r="F8" s="3">
        <v>2.0299999999999998</v>
      </c>
      <c r="G8" s="3">
        <v>6.04</v>
      </c>
      <c r="H8" s="3">
        <v>5.08</v>
      </c>
      <c r="I8" s="3">
        <v>1.45</v>
      </c>
      <c r="K8" s="3">
        <v>2127.1525999999999</v>
      </c>
      <c r="L8" s="3">
        <v>3173.82258</v>
      </c>
      <c r="M8" s="3">
        <v>2780.64453</v>
      </c>
      <c r="N8" s="3">
        <v>1320.7710300000001</v>
      </c>
      <c r="P8" s="3">
        <v>1009.42272</v>
      </c>
      <c r="Q8" s="3">
        <v>2511.8214499999999</v>
      </c>
      <c r="R8" s="3">
        <v>1787.5572</v>
      </c>
      <c r="S8" s="3">
        <v>1016.50964</v>
      </c>
    </row>
    <row r="9" spans="1:19" x14ac:dyDescent="0.2">
      <c r="A9" s="3">
        <v>5.6</v>
      </c>
      <c r="B9" s="3">
        <v>21.3</v>
      </c>
      <c r="C9" s="3">
        <v>2.57</v>
      </c>
      <c r="D9" s="3">
        <v>2.2200000000000002</v>
      </c>
      <c r="F9" s="3">
        <v>3.02</v>
      </c>
      <c r="G9" s="3">
        <v>16.899999999999999</v>
      </c>
      <c r="H9" s="3">
        <v>1.43</v>
      </c>
      <c r="I9" s="3">
        <v>1.08</v>
      </c>
      <c r="K9" s="3">
        <v>3680.06304</v>
      </c>
      <c r="L9" s="3">
        <v>10148.0921</v>
      </c>
      <c r="M9" s="3">
        <v>790.07343600000002</v>
      </c>
      <c r="N9" s="3">
        <v>204.39560399999999</v>
      </c>
      <c r="P9" s="3">
        <v>1985.8155999999999</v>
      </c>
      <c r="Q9" s="3">
        <v>8012.1067999999996</v>
      </c>
      <c r="R9" s="3">
        <v>440.61787800000002</v>
      </c>
      <c r="S9" s="3">
        <v>98.901098899999994</v>
      </c>
    </row>
    <row r="10" spans="1:19" x14ac:dyDescent="0.2">
      <c r="A10" s="3">
        <v>4.6900000000000004</v>
      </c>
      <c r="B10" s="3">
        <v>7.9</v>
      </c>
      <c r="C10" s="3">
        <v>12.6</v>
      </c>
      <c r="D10" s="3">
        <v>7</v>
      </c>
      <c r="F10" s="3">
        <v>2.88</v>
      </c>
      <c r="G10" s="3">
        <v>5.92</v>
      </c>
      <c r="H10" s="3">
        <v>8.81</v>
      </c>
      <c r="I10" s="3">
        <v>4.99</v>
      </c>
      <c r="K10" s="3">
        <v>4463.4772999999996</v>
      </c>
      <c r="L10" s="3">
        <v>15753.1227</v>
      </c>
      <c r="M10" s="3">
        <v>1646.7184</v>
      </c>
      <c r="N10" s="3">
        <v>3246.0623799999998</v>
      </c>
      <c r="P10" s="3">
        <v>2745.6258400000002</v>
      </c>
      <c r="Q10" s="3">
        <v>11814.842000000001</v>
      </c>
      <c r="R10" s="3">
        <v>1152.17677</v>
      </c>
      <c r="S10" s="3">
        <v>2311.46344</v>
      </c>
    </row>
    <row r="11" spans="1:19" x14ac:dyDescent="0.2">
      <c r="A11" s="3">
        <v>6.11</v>
      </c>
      <c r="B11" s="3">
        <v>11.6</v>
      </c>
      <c r="C11" s="3">
        <v>0.83</v>
      </c>
      <c r="D11" s="3">
        <v>5.88</v>
      </c>
      <c r="F11" s="3">
        <v>2.88</v>
      </c>
      <c r="G11" s="3">
        <v>8.73</v>
      </c>
      <c r="H11" s="3">
        <v>0.5</v>
      </c>
      <c r="I11" s="3">
        <v>4.74</v>
      </c>
      <c r="K11" s="3">
        <v>2636.4366</v>
      </c>
      <c r="L11" s="3">
        <v>11179.135200000001</v>
      </c>
      <c r="M11" s="3">
        <v>409.96305599999999</v>
      </c>
      <c r="N11" s="3">
        <v>3580.5292399999998</v>
      </c>
      <c r="P11" s="3">
        <v>1243.98074</v>
      </c>
      <c r="Q11" s="3">
        <v>8400.8236099999995</v>
      </c>
      <c r="R11" s="3">
        <v>247.884638</v>
      </c>
      <c r="S11" s="3">
        <v>2887.9451199999999</v>
      </c>
    </row>
    <row r="12" spans="1:19" x14ac:dyDescent="0.2">
      <c r="A12" s="3">
        <v>10.6</v>
      </c>
      <c r="B12" s="3">
        <v>8.11</v>
      </c>
      <c r="C12" s="3">
        <v>2.31</v>
      </c>
      <c r="D12" s="3">
        <v>3.55</v>
      </c>
      <c r="F12" s="3">
        <v>5.47</v>
      </c>
      <c r="G12" s="3">
        <v>4.66</v>
      </c>
      <c r="H12" s="3">
        <v>1.42</v>
      </c>
      <c r="I12" s="3">
        <v>2.72</v>
      </c>
      <c r="K12" s="3">
        <v>5162.7343099999998</v>
      </c>
      <c r="L12" s="3">
        <v>19877.991600000001</v>
      </c>
      <c r="M12" s="3">
        <v>911.75686499999995</v>
      </c>
      <c r="N12" s="3">
        <v>3890.51289</v>
      </c>
      <c r="P12" s="3">
        <v>2670.8943399999998</v>
      </c>
      <c r="Q12" s="3">
        <v>11403.097100000001</v>
      </c>
      <c r="R12" s="3">
        <v>559.85070599999995</v>
      </c>
      <c r="S12" s="3">
        <v>2981.6635700000002</v>
      </c>
    </row>
    <row r="13" spans="1:19" x14ac:dyDescent="0.2">
      <c r="A13" s="3">
        <v>2.71</v>
      </c>
      <c r="B13" s="3">
        <v>7.4</v>
      </c>
      <c r="C13" s="3">
        <v>1.43</v>
      </c>
      <c r="D13" s="3">
        <v>3.44</v>
      </c>
      <c r="F13" s="3">
        <v>1.1200000000000001</v>
      </c>
      <c r="G13" s="3">
        <v>4.9000000000000004</v>
      </c>
      <c r="H13" s="3">
        <v>0.97</v>
      </c>
      <c r="I13" s="3">
        <v>1.9</v>
      </c>
      <c r="K13" s="3">
        <v>1011.98402</v>
      </c>
      <c r="L13" s="3">
        <v>4900.5326699999996</v>
      </c>
      <c r="M13" s="3">
        <v>539.69250099999999</v>
      </c>
      <c r="N13" s="3">
        <v>1670.60286</v>
      </c>
      <c r="P13" s="3">
        <v>418.48963300000003</v>
      </c>
      <c r="Q13" s="3">
        <v>3243.8308499999998</v>
      </c>
      <c r="R13" s="3">
        <v>363.97866299999998</v>
      </c>
      <c r="S13" s="3">
        <v>924.79801099999997</v>
      </c>
    </row>
    <row r="14" spans="1:19" x14ac:dyDescent="0.2">
      <c r="A14" s="3">
        <v>7.48</v>
      </c>
      <c r="B14" s="3">
        <v>19.899999999999999</v>
      </c>
      <c r="C14" s="3">
        <v>3.86</v>
      </c>
      <c r="D14" s="3">
        <v>7.3</v>
      </c>
      <c r="F14" s="3">
        <v>4.2300000000000004</v>
      </c>
      <c r="G14" s="3">
        <v>16.2</v>
      </c>
      <c r="H14" s="3">
        <v>2.66</v>
      </c>
      <c r="I14" s="3">
        <v>5.8</v>
      </c>
      <c r="K14" s="3">
        <v>8202.5819300000003</v>
      </c>
      <c r="L14" s="3">
        <v>11067.3822</v>
      </c>
      <c r="M14" s="3">
        <v>1997.3833400000001</v>
      </c>
      <c r="N14" s="3">
        <v>1704.14201</v>
      </c>
      <c r="P14" s="3">
        <v>4637.5372399999997</v>
      </c>
      <c r="Q14" s="3">
        <v>9043.9276499999996</v>
      </c>
      <c r="R14" s="3">
        <v>1378.1072799999999</v>
      </c>
      <c r="S14" s="3">
        <v>1353.8461500000001</v>
      </c>
    </row>
    <row r="15" spans="1:19" x14ac:dyDescent="0.2">
      <c r="A15" s="3"/>
      <c r="B15" s="3"/>
      <c r="C15" s="3">
        <v>0.78</v>
      </c>
      <c r="D15" s="3">
        <v>3.79</v>
      </c>
      <c r="F15" s="3"/>
      <c r="G15" s="3"/>
      <c r="H15" s="3">
        <v>0.11</v>
      </c>
      <c r="I15" s="3">
        <v>2.77</v>
      </c>
      <c r="K15" s="3"/>
      <c r="L15" s="3"/>
      <c r="M15" s="3">
        <v>92.399075999999994</v>
      </c>
      <c r="N15" s="3">
        <v>1725.3251700000001</v>
      </c>
      <c r="P15" s="3"/>
      <c r="Q15" s="3"/>
      <c r="R15" s="3">
        <v>13.199868</v>
      </c>
      <c r="S15" s="3">
        <v>1258.6075000000001</v>
      </c>
    </row>
    <row r="17" spans="1:19" x14ac:dyDescent="0.2">
      <c r="A17" s="14" t="s">
        <v>59</v>
      </c>
      <c r="B17" s="14" t="s">
        <v>29</v>
      </c>
      <c r="K17" s="14" t="s">
        <v>65</v>
      </c>
    </row>
    <row r="18" spans="1:19" x14ac:dyDescent="0.2">
      <c r="A18" s="74" t="s">
        <v>63</v>
      </c>
      <c r="B18" s="74"/>
      <c r="C18" s="74"/>
      <c r="D18" s="74"/>
      <c r="F18" s="74" t="s">
        <v>64</v>
      </c>
      <c r="G18" s="74"/>
      <c r="H18" s="74"/>
      <c r="I18" s="74"/>
      <c r="K18" s="74" t="s">
        <v>63</v>
      </c>
      <c r="L18" s="74"/>
      <c r="M18" s="74"/>
      <c r="N18" s="74"/>
      <c r="P18" s="74" t="s">
        <v>64</v>
      </c>
      <c r="Q18" s="74"/>
      <c r="R18" s="74"/>
      <c r="S18" s="74"/>
    </row>
    <row r="19" spans="1:19" x14ac:dyDescent="0.2">
      <c r="A19" s="74" t="s">
        <v>60</v>
      </c>
      <c r="B19" s="74"/>
      <c r="C19" s="74" t="s">
        <v>61</v>
      </c>
      <c r="D19" s="74"/>
      <c r="F19" s="74" t="s">
        <v>60</v>
      </c>
      <c r="G19" s="74"/>
      <c r="H19" s="74" t="s">
        <v>61</v>
      </c>
      <c r="I19" s="74"/>
      <c r="K19" s="74" t="s">
        <v>60</v>
      </c>
      <c r="L19" s="74"/>
      <c r="M19" s="74" t="s">
        <v>61</v>
      </c>
      <c r="N19" s="74"/>
      <c r="P19" s="74" t="s">
        <v>60</v>
      </c>
      <c r="Q19" s="74"/>
      <c r="R19" s="74" t="s">
        <v>61</v>
      </c>
      <c r="S19" s="74"/>
    </row>
    <row r="20" spans="1:19" x14ac:dyDescent="0.2">
      <c r="A20" s="15" t="s">
        <v>27</v>
      </c>
      <c r="B20" s="15" t="s">
        <v>4</v>
      </c>
      <c r="C20" s="15" t="s">
        <v>27</v>
      </c>
      <c r="D20" s="15" t="s">
        <v>4</v>
      </c>
      <c r="F20" s="15" t="s">
        <v>27</v>
      </c>
      <c r="G20" s="15" t="s">
        <v>4</v>
      </c>
      <c r="H20" s="15" t="s">
        <v>27</v>
      </c>
      <c r="I20" s="15" t="s">
        <v>4</v>
      </c>
      <c r="K20" s="15" t="s">
        <v>27</v>
      </c>
      <c r="L20" s="15" t="s">
        <v>4</v>
      </c>
      <c r="M20" s="15" t="s">
        <v>27</v>
      </c>
      <c r="N20" s="15" t="s">
        <v>4</v>
      </c>
      <c r="P20" s="15" t="s">
        <v>27</v>
      </c>
      <c r="Q20" s="15" t="s">
        <v>4</v>
      </c>
      <c r="R20" s="15" t="s">
        <v>27</v>
      </c>
      <c r="S20" s="15" t="s">
        <v>4</v>
      </c>
    </row>
    <row r="21" spans="1:19" x14ac:dyDescent="0.2">
      <c r="A21" s="3">
        <v>0.71</v>
      </c>
      <c r="B21" s="3">
        <v>0.6</v>
      </c>
      <c r="C21" s="3">
        <v>0</v>
      </c>
      <c r="D21" s="3">
        <v>5.6000000000000001E-2</v>
      </c>
      <c r="F21" s="3">
        <v>36.9</v>
      </c>
      <c r="G21" s="3">
        <v>27.2</v>
      </c>
      <c r="H21" s="3">
        <v>47.9</v>
      </c>
      <c r="I21" s="3">
        <v>38.1</v>
      </c>
      <c r="K21" s="3">
        <v>1122.80702</v>
      </c>
      <c r="L21" s="3">
        <v>355.75740400000001</v>
      </c>
      <c r="M21" s="3">
        <v>0</v>
      </c>
      <c r="N21" s="3">
        <v>12.6555579</v>
      </c>
      <c r="P21" s="3">
        <v>58541.910300000003</v>
      </c>
      <c r="Q21" s="3">
        <v>16190.746499999999</v>
      </c>
      <c r="R21" s="3">
        <v>3206.8329600000002</v>
      </c>
      <c r="S21" s="3">
        <v>8681.7127199999995</v>
      </c>
    </row>
    <row r="22" spans="1:19" x14ac:dyDescent="0.2">
      <c r="A22" s="3">
        <v>1.3</v>
      </c>
      <c r="B22" s="3">
        <v>0.35</v>
      </c>
      <c r="C22" s="3">
        <v>5.6000000000000001E-2</v>
      </c>
      <c r="D22" s="3">
        <v>7.9000000000000001E-2</v>
      </c>
      <c r="F22" s="3">
        <v>7.32</v>
      </c>
      <c r="G22" s="3">
        <v>34.5</v>
      </c>
      <c r="H22" s="3">
        <v>32.200000000000003</v>
      </c>
      <c r="I22" s="3">
        <v>31.2</v>
      </c>
      <c r="K22" s="3">
        <v>307.43432100000001</v>
      </c>
      <c r="L22" s="3">
        <v>116.29033800000001</v>
      </c>
      <c r="M22" s="3">
        <v>16.3248648</v>
      </c>
      <c r="N22" s="3">
        <v>31.239153099999999</v>
      </c>
      <c r="P22" s="3">
        <v>1727.22191</v>
      </c>
      <c r="Q22" s="3">
        <v>11466.2273</v>
      </c>
      <c r="R22" s="3">
        <v>9435.7718600000007</v>
      </c>
      <c r="S22" s="3">
        <v>12433.1829</v>
      </c>
    </row>
    <row r="23" spans="1:19" x14ac:dyDescent="0.2">
      <c r="A23" s="3">
        <v>0.61</v>
      </c>
      <c r="B23" s="3">
        <v>0.79</v>
      </c>
      <c r="C23" s="3">
        <v>4.8000000000000001E-2</v>
      </c>
      <c r="D23" s="3">
        <v>0.12</v>
      </c>
      <c r="F23" s="3">
        <v>20.100000000000001</v>
      </c>
      <c r="G23" s="3">
        <v>16.899999999999999</v>
      </c>
      <c r="H23" s="3">
        <v>37.299999999999997</v>
      </c>
      <c r="I23" s="3">
        <v>31.7</v>
      </c>
      <c r="K23" s="3">
        <v>33.251662600000003</v>
      </c>
      <c r="L23" s="3">
        <v>891.304348</v>
      </c>
      <c r="M23" s="3">
        <v>13.6955033</v>
      </c>
      <c r="N23" s="3">
        <v>54.446460999999999</v>
      </c>
      <c r="P23" s="3">
        <v>1100.80504</v>
      </c>
      <c r="Q23" s="3">
        <v>19173.913</v>
      </c>
      <c r="R23" s="3">
        <v>10696.188099999999</v>
      </c>
      <c r="S23" s="3">
        <v>14115.245000000001</v>
      </c>
    </row>
    <row r="24" spans="1:19" x14ac:dyDescent="0.2">
      <c r="A24" s="3">
        <v>0.42</v>
      </c>
      <c r="B24" s="3">
        <v>0.46</v>
      </c>
      <c r="C24" s="3">
        <v>0</v>
      </c>
      <c r="D24" s="3">
        <v>0.04</v>
      </c>
      <c r="F24" s="3">
        <v>32.6</v>
      </c>
      <c r="G24" s="3">
        <v>45.7</v>
      </c>
      <c r="H24" s="3">
        <v>35.5</v>
      </c>
      <c r="I24" s="3">
        <v>16.3</v>
      </c>
      <c r="K24" s="3">
        <v>207.94974500000001</v>
      </c>
      <c r="L24" s="3">
        <v>192.92604499999999</v>
      </c>
      <c r="M24" s="3">
        <v>0</v>
      </c>
      <c r="N24" s="3">
        <v>27.660126200000001</v>
      </c>
      <c r="P24" s="3">
        <v>16189.7541</v>
      </c>
      <c r="Q24" s="3">
        <v>19012.672600000002</v>
      </c>
      <c r="R24" s="3">
        <v>12489.533600000001</v>
      </c>
      <c r="S24" s="3">
        <v>11361.3968</v>
      </c>
    </row>
    <row r="25" spans="1:19" x14ac:dyDescent="0.2">
      <c r="A25" s="3">
        <v>0.45</v>
      </c>
      <c r="B25" s="3">
        <v>0.44</v>
      </c>
      <c r="C25" s="3">
        <v>3.3000000000000002E-2</v>
      </c>
      <c r="D25" s="3">
        <v>4.8000000000000001E-2</v>
      </c>
      <c r="F25" s="3">
        <v>32.200000000000003</v>
      </c>
      <c r="G25" s="3">
        <v>20.9</v>
      </c>
      <c r="H25" s="3">
        <v>32.6</v>
      </c>
      <c r="I25" s="3">
        <v>38.700000000000003</v>
      </c>
      <c r="K25" s="3">
        <v>295.50827399999997</v>
      </c>
      <c r="L25" s="3">
        <v>207.54513</v>
      </c>
      <c r="M25" s="3">
        <v>10.1291466</v>
      </c>
      <c r="N25" s="3">
        <v>4.3956043999999999</v>
      </c>
      <c r="P25" s="3">
        <v>21150.512200000001</v>
      </c>
      <c r="Q25" s="3">
        <v>9918.9276800000007</v>
      </c>
      <c r="R25" s="3">
        <v>10012.661400000001</v>
      </c>
      <c r="S25" s="3">
        <v>3560.4395599999998</v>
      </c>
    </row>
    <row r="26" spans="1:19" x14ac:dyDescent="0.2">
      <c r="A26" s="3">
        <v>1.05</v>
      </c>
      <c r="B26" s="3">
        <v>0.26</v>
      </c>
      <c r="C26" s="3">
        <v>0.36</v>
      </c>
      <c r="D26" s="3">
        <v>0.2</v>
      </c>
      <c r="F26" s="3">
        <v>29.4</v>
      </c>
      <c r="G26" s="3">
        <v>40.9</v>
      </c>
      <c r="H26" s="3">
        <v>29.6</v>
      </c>
      <c r="I26" s="3">
        <v>40.299999999999997</v>
      </c>
      <c r="K26" s="3">
        <v>998.40939700000001</v>
      </c>
      <c r="L26" s="3">
        <v>512.22840299999996</v>
      </c>
      <c r="M26" s="3">
        <v>47.349730399999999</v>
      </c>
      <c r="N26" s="3">
        <v>91.790966900000001</v>
      </c>
      <c r="P26" s="3">
        <v>27955.463100000001</v>
      </c>
      <c r="Q26" s="3">
        <v>81603.862699999998</v>
      </c>
      <c r="R26" s="3">
        <v>3866.8946500000002</v>
      </c>
      <c r="S26" s="3">
        <v>18691.9787</v>
      </c>
    </row>
    <row r="27" spans="1:19" x14ac:dyDescent="0.2">
      <c r="A27" s="3">
        <v>0.45</v>
      </c>
      <c r="B27" s="3">
        <v>0.26</v>
      </c>
      <c r="C27" s="3">
        <v>1.9E-2</v>
      </c>
      <c r="D27" s="3">
        <v>0.17</v>
      </c>
      <c r="F27" s="3">
        <v>31.7</v>
      </c>
      <c r="G27" s="3">
        <v>19.399999999999999</v>
      </c>
      <c r="H27" s="3">
        <v>38.700000000000003</v>
      </c>
      <c r="I27" s="3">
        <v>22.9</v>
      </c>
      <c r="K27" s="3">
        <v>192.61637200000001</v>
      </c>
      <c r="L27" s="3">
        <v>252.57378199999999</v>
      </c>
      <c r="M27" s="3">
        <v>9.5340245499999998</v>
      </c>
      <c r="N27" s="3">
        <v>104.541</v>
      </c>
      <c r="P27" s="3">
        <v>13675.7624</v>
      </c>
      <c r="Q27" s="3">
        <v>18657.5154</v>
      </c>
      <c r="R27" s="3">
        <v>19201.525399999999</v>
      </c>
      <c r="S27" s="3">
        <v>13917.0206</v>
      </c>
    </row>
    <row r="28" spans="1:19" x14ac:dyDescent="0.2">
      <c r="A28" s="3">
        <v>0.5</v>
      </c>
      <c r="B28" s="3">
        <v>0.33</v>
      </c>
      <c r="C28" s="3">
        <v>4.1000000000000002E-2</v>
      </c>
      <c r="D28" s="3">
        <v>2.9000000000000001E-2</v>
      </c>
      <c r="F28" s="3">
        <v>18</v>
      </c>
      <c r="G28" s="3">
        <v>13.1</v>
      </c>
      <c r="H28" s="3">
        <v>38.1</v>
      </c>
      <c r="I28" s="3">
        <v>33.4</v>
      </c>
      <c r="K28" s="3">
        <v>246.199758</v>
      </c>
      <c r="L28" s="3">
        <v>807.13280199999997</v>
      </c>
      <c r="M28" s="3">
        <v>15.995734499999999</v>
      </c>
      <c r="N28" s="3">
        <v>31.889449899999999</v>
      </c>
      <c r="P28" s="3">
        <v>8803.50648</v>
      </c>
      <c r="Q28" s="3">
        <v>32153.918300000001</v>
      </c>
      <c r="R28" s="3">
        <v>15035.990400000001</v>
      </c>
      <c r="S28" s="3">
        <v>36672.867400000003</v>
      </c>
    </row>
    <row r="29" spans="1:19" x14ac:dyDescent="0.2">
      <c r="A29" s="3">
        <v>0.56999999999999995</v>
      </c>
      <c r="B29" s="3">
        <v>0.24</v>
      </c>
      <c r="C29" s="3">
        <v>0.17</v>
      </c>
      <c r="D29" s="3">
        <v>6.0999999999999999E-2</v>
      </c>
      <c r="F29" s="3">
        <v>41.3</v>
      </c>
      <c r="G29" s="3">
        <v>20.3</v>
      </c>
      <c r="H29" s="3">
        <v>37.200000000000003</v>
      </c>
      <c r="I29" s="3">
        <v>35.6</v>
      </c>
      <c r="K29" s="3">
        <v>213.04926800000001</v>
      </c>
      <c r="L29" s="3">
        <v>160.88705300000001</v>
      </c>
      <c r="M29" s="3">
        <v>62.754942</v>
      </c>
      <c r="N29" s="3">
        <v>29.8321939</v>
      </c>
      <c r="P29" s="3">
        <v>15438.463</v>
      </c>
      <c r="Q29" s="3">
        <v>13444.939700000001</v>
      </c>
      <c r="R29" s="3">
        <v>13994.3521</v>
      </c>
      <c r="S29" s="3">
        <v>17287.756399999998</v>
      </c>
    </row>
    <row r="30" spans="1:19" x14ac:dyDescent="0.2">
      <c r="A30" s="3">
        <v>0.5</v>
      </c>
      <c r="B30" s="3">
        <v>1.1000000000000001</v>
      </c>
      <c r="C30" s="3">
        <v>7.5999999999999998E-2</v>
      </c>
      <c r="D30" s="3">
        <v>0.16</v>
      </c>
      <c r="F30" s="3">
        <v>30.9</v>
      </c>
      <c r="G30" s="3">
        <v>17.5</v>
      </c>
      <c r="H30" s="3">
        <v>37</v>
      </c>
      <c r="I30" s="3">
        <v>32.4</v>
      </c>
      <c r="K30" s="3">
        <v>546.17676300000005</v>
      </c>
      <c r="L30" s="3">
        <v>612.20433300000002</v>
      </c>
      <c r="M30" s="3">
        <v>39.249890999999998</v>
      </c>
      <c r="N30" s="3">
        <v>37.869822499999998</v>
      </c>
      <c r="P30" s="3">
        <v>33872.889799999997</v>
      </c>
      <c r="Q30" s="3">
        <v>9751.5404500000004</v>
      </c>
      <c r="R30" s="3">
        <v>19184.4745</v>
      </c>
      <c r="S30" s="3">
        <v>7573.9645</v>
      </c>
    </row>
    <row r="31" spans="1:19" x14ac:dyDescent="0.2">
      <c r="A31" s="3"/>
      <c r="B31" s="3"/>
      <c r="C31" s="3">
        <v>0</v>
      </c>
      <c r="D31" s="3">
        <v>3.4000000000000002E-2</v>
      </c>
      <c r="F31" s="3"/>
      <c r="G31" s="3"/>
      <c r="H31" s="3">
        <v>34.6</v>
      </c>
      <c r="I31" s="3">
        <v>45.2</v>
      </c>
      <c r="K31" s="3"/>
      <c r="L31" s="3"/>
      <c r="M31" s="3">
        <v>0</v>
      </c>
      <c r="N31" s="3">
        <v>15.3022188</v>
      </c>
      <c r="P31" s="3"/>
      <c r="Q31" s="3"/>
      <c r="R31" s="3">
        <v>4078.7592100000002</v>
      </c>
      <c r="S31" s="3">
        <v>20547.0543</v>
      </c>
    </row>
    <row r="33" spans="1:4" x14ac:dyDescent="0.2">
      <c r="A33" s="21" t="s">
        <v>220</v>
      </c>
      <c r="B33" s="14" t="s">
        <v>172</v>
      </c>
    </row>
    <row r="34" spans="1:4" x14ac:dyDescent="0.2">
      <c r="A34" s="74" t="s">
        <v>171</v>
      </c>
      <c r="B34" s="74"/>
      <c r="C34" s="74"/>
      <c r="D34" s="74"/>
    </row>
    <row r="35" spans="1:4" x14ac:dyDescent="0.2">
      <c r="A35" s="74" t="s">
        <v>106</v>
      </c>
      <c r="B35" s="74"/>
      <c r="C35" s="74" t="s">
        <v>91</v>
      </c>
      <c r="D35" s="74"/>
    </row>
    <row r="36" spans="1:4" x14ac:dyDescent="0.2">
      <c r="A36" s="15" t="s">
        <v>27</v>
      </c>
      <c r="B36" s="15" t="s">
        <v>170</v>
      </c>
      <c r="C36" s="15" t="s">
        <v>27</v>
      </c>
      <c r="D36" s="15" t="s">
        <v>170</v>
      </c>
    </row>
    <row r="37" spans="1:4" x14ac:dyDescent="0.2">
      <c r="A37" s="23">
        <v>1.73</v>
      </c>
      <c r="B37" s="23">
        <v>11.5</v>
      </c>
      <c r="C37" s="23">
        <v>1.25</v>
      </c>
      <c r="D37" s="23">
        <v>5.18</v>
      </c>
    </row>
    <row r="38" spans="1:4" x14ac:dyDescent="0.2">
      <c r="A38" s="23">
        <v>1.27</v>
      </c>
      <c r="B38" s="23">
        <v>4.3899999999999997</v>
      </c>
      <c r="C38" s="23">
        <v>1.07</v>
      </c>
      <c r="D38" s="23">
        <v>0.92</v>
      </c>
    </row>
    <row r="39" spans="1:4" x14ac:dyDescent="0.2">
      <c r="A39" s="23">
        <v>0.83</v>
      </c>
      <c r="B39" s="23">
        <v>3.37</v>
      </c>
      <c r="C39" s="23">
        <v>1.72</v>
      </c>
      <c r="D39" s="23">
        <v>1.02</v>
      </c>
    </row>
    <row r="40" spans="1:4" x14ac:dyDescent="0.2">
      <c r="A40" s="23">
        <v>1.1299999999999999</v>
      </c>
      <c r="B40" s="23">
        <v>5.22</v>
      </c>
      <c r="C40" s="23">
        <v>1.21</v>
      </c>
      <c r="D40" s="23">
        <v>1.43</v>
      </c>
    </row>
    <row r="41" spans="1:4" x14ac:dyDescent="0.2">
      <c r="A41" s="23">
        <v>1.37</v>
      </c>
      <c r="B41" s="23">
        <v>11.1</v>
      </c>
      <c r="C41" s="23">
        <v>1.57</v>
      </c>
      <c r="D41" s="23">
        <v>0.71</v>
      </c>
    </row>
    <row r="42" spans="1:4" x14ac:dyDescent="0.2">
      <c r="A42" s="23"/>
      <c r="B42" s="23">
        <v>6.06</v>
      </c>
      <c r="C42" s="23">
        <v>0.4</v>
      </c>
    </row>
    <row r="43" spans="1:4" s="21" customFormat="1" x14ac:dyDescent="0.2">
      <c r="A43" s="24"/>
      <c r="B43" s="24"/>
      <c r="C43" s="24"/>
      <c r="D43" s="24"/>
    </row>
    <row r="48" spans="1:4" x14ac:dyDescent="0.2">
      <c r="B48" s="21"/>
    </row>
  </sheetData>
  <mergeCells count="27">
    <mergeCell ref="F19:G19"/>
    <mergeCell ref="H19:I19"/>
    <mergeCell ref="K2:N2"/>
    <mergeCell ref="P2:S2"/>
    <mergeCell ref="K3:L3"/>
    <mergeCell ref="M3:N3"/>
    <mergeCell ref="P3:Q3"/>
    <mergeCell ref="R3:S3"/>
    <mergeCell ref="K18:N18"/>
    <mergeCell ref="P18:S18"/>
    <mergeCell ref="K19:L19"/>
    <mergeCell ref="M19:N19"/>
    <mergeCell ref="P19:Q19"/>
    <mergeCell ref="R19:S19"/>
    <mergeCell ref="A2:D2"/>
    <mergeCell ref="F2:I2"/>
    <mergeCell ref="F3:G3"/>
    <mergeCell ref="H3:I3"/>
    <mergeCell ref="A18:D18"/>
    <mergeCell ref="F18:I18"/>
    <mergeCell ref="A34:D34"/>
    <mergeCell ref="A35:B35"/>
    <mergeCell ref="C35:D35"/>
    <mergeCell ref="C3:D3"/>
    <mergeCell ref="A3:B3"/>
    <mergeCell ref="A19:B19"/>
    <mergeCell ref="C19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B05C-CA4E-9348-B839-27D2EC7E222C}">
  <dimension ref="A1:H48"/>
  <sheetViews>
    <sheetView zoomScale="73" zoomScaleNormal="73" workbookViewId="0">
      <selection activeCell="F9" sqref="F9"/>
    </sheetView>
  </sheetViews>
  <sheetFormatPr defaultColWidth="10.875" defaultRowHeight="15" x14ac:dyDescent="0.2"/>
  <cols>
    <col min="1" max="16384" width="10.875" style="14"/>
  </cols>
  <sheetData>
    <row r="1" spans="1:4" x14ac:dyDescent="0.2">
      <c r="A1" s="1" t="s">
        <v>86</v>
      </c>
    </row>
    <row r="2" spans="1:4" s="21" customFormat="1" x14ac:dyDescent="0.2">
      <c r="A2" s="15"/>
      <c r="B2" s="75" t="s">
        <v>95</v>
      </c>
      <c r="C2" s="77"/>
    </row>
    <row r="3" spans="1:4" x14ac:dyDescent="0.2">
      <c r="A3" s="15"/>
      <c r="B3" s="15" t="s">
        <v>3</v>
      </c>
      <c r="C3" s="15" t="s">
        <v>91</v>
      </c>
    </row>
    <row r="4" spans="1:4" x14ac:dyDescent="0.2">
      <c r="A4" s="15" t="s">
        <v>162</v>
      </c>
      <c r="B4" s="23">
        <v>13.585710000000001</v>
      </c>
      <c r="C4" s="23">
        <v>21.38571</v>
      </c>
    </row>
    <row r="5" spans="1:4" s="21" customFormat="1" x14ac:dyDescent="0.2">
      <c r="A5" s="15" t="s">
        <v>163</v>
      </c>
      <c r="B5" s="23">
        <v>83.071430000000007</v>
      </c>
      <c r="C5" s="23">
        <v>73.428569999999993</v>
      </c>
    </row>
    <row r="7" spans="1:4" x14ac:dyDescent="0.2">
      <c r="A7" s="1" t="s">
        <v>87</v>
      </c>
      <c r="B7" s="21" t="s">
        <v>95</v>
      </c>
    </row>
    <row r="8" spans="1:4" x14ac:dyDescent="0.2">
      <c r="A8" s="74" t="s">
        <v>92</v>
      </c>
      <c r="B8" s="74"/>
      <c r="D8" s="21"/>
    </row>
    <row r="9" spans="1:4" x14ac:dyDescent="0.2">
      <c r="A9" s="15" t="s">
        <v>3</v>
      </c>
      <c r="B9" s="15" t="s">
        <v>91</v>
      </c>
      <c r="D9" s="21"/>
    </row>
    <row r="10" spans="1:4" x14ac:dyDescent="0.2">
      <c r="A10" s="23">
        <v>22.3</v>
      </c>
      <c r="B10" s="23">
        <v>4.57</v>
      </c>
      <c r="D10" s="21"/>
    </row>
    <row r="11" spans="1:4" x14ac:dyDescent="0.2">
      <c r="A11" s="23">
        <v>27.8</v>
      </c>
      <c r="B11" s="23">
        <v>2.5499999999999998</v>
      </c>
    </row>
    <row r="12" spans="1:4" s="21" customFormat="1" x14ac:dyDescent="0.2">
      <c r="A12" s="23">
        <v>16.2</v>
      </c>
      <c r="B12" s="23">
        <v>3.17</v>
      </c>
    </row>
    <row r="13" spans="1:4" s="21" customFormat="1" x14ac:dyDescent="0.2">
      <c r="A13" s="23">
        <v>30.2</v>
      </c>
      <c r="B13" s="23">
        <v>1.89</v>
      </c>
    </row>
    <row r="14" spans="1:4" s="21" customFormat="1" x14ac:dyDescent="0.2">
      <c r="A14" s="23">
        <v>14.8</v>
      </c>
      <c r="B14" s="23">
        <v>3.18</v>
      </c>
    </row>
    <row r="15" spans="1:4" s="21" customFormat="1" x14ac:dyDescent="0.2">
      <c r="A15" s="23">
        <v>20.8</v>
      </c>
      <c r="B15" s="23">
        <v>6.77</v>
      </c>
    </row>
    <row r="17" spans="1:8" x14ac:dyDescent="0.2">
      <c r="A17" s="1" t="s">
        <v>66</v>
      </c>
      <c r="B17" s="14" t="s">
        <v>90</v>
      </c>
      <c r="G17" s="25"/>
      <c r="H17" s="25"/>
    </row>
    <row r="18" spans="1:8" x14ac:dyDescent="0.2">
      <c r="A18" s="74" t="s">
        <v>93</v>
      </c>
      <c r="B18" s="74"/>
      <c r="D18" s="74" t="s">
        <v>94</v>
      </c>
      <c r="E18" s="74"/>
      <c r="G18" s="25"/>
      <c r="H18" s="25"/>
    </row>
    <row r="19" spans="1:8" x14ac:dyDescent="0.2">
      <c r="A19" s="15" t="s">
        <v>3</v>
      </c>
      <c r="B19" s="15" t="s">
        <v>91</v>
      </c>
      <c r="D19" s="15" t="s">
        <v>3</v>
      </c>
      <c r="E19" s="15" t="s">
        <v>91</v>
      </c>
    </row>
    <row r="20" spans="1:8" s="21" customFormat="1" x14ac:dyDescent="0.2">
      <c r="A20" s="23">
        <v>1873.874</v>
      </c>
      <c r="B20" s="23">
        <v>3282.4630000000002</v>
      </c>
      <c r="D20" s="23">
        <v>463.964</v>
      </c>
      <c r="E20" s="23">
        <v>1046.854</v>
      </c>
    </row>
    <row r="21" spans="1:8" s="21" customFormat="1" x14ac:dyDescent="0.2">
      <c r="A21" s="23">
        <v>1134.222</v>
      </c>
      <c r="B21" s="23">
        <v>468.89089999999999</v>
      </c>
      <c r="D21" s="23">
        <v>167.11109999999999</v>
      </c>
      <c r="E21" s="23">
        <v>67.628489999999999</v>
      </c>
    </row>
    <row r="22" spans="1:8" s="21" customFormat="1" x14ac:dyDescent="0.2">
      <c r="A22" s="23">
        <v>24851.56</v>
      </c>
      <c r="B22" s="23">
        <v>2338.471</v>
      </c>
      <c r="D22" s="23">
        <v>3992.2759999999998</v>
      </c>
      <c r="E22" s="23">
        <v>644.55859999999996</v>
      </c>
    </row>
    <row r="23" spans="1:8" s="21" customFormat="1" x14ac:dyDescent="0.2">
      <c r="A23" s="23">
        <v>12675.62</v>
      </c>
      <c r="B23" s="23">
        <v>1960.7840000000001</v>
      </c>
      <c r="D23" s="23">
        <v>2821.5610000000001</v>
      </c>
      <c r="E23" s="23">
        <v>591.44970000000001</v>
      </c>
    </row>
    <row r="24" spans="1:8" s="21" customFormat="1" x14ac:dyDescent="0.2">
      <c r="A24" s="23">
        <v>7954.9840000000004</v>
      </c>
      <c r="B24" s="23">
        <v>1217.2339999999999</v>
      </c>
      <c r="D24" s="23">
        <v>2237.942</v>
      </c>
      <c r="E24" s="23">
        <v>156.6737</v>
      </c>
    </row>
    <row r="25" spans="1:8" s="21" customFormat="1" x14ac:dyDescent="0.2">
      <c r="A25" s="23">
        <v>4524.808</v>
      </c>
      <c r="B25" s="23">
        <v>270.5061</v>
      </c>
      <c r="D25" s="23">
        <v>499.6506</v>
      </c>
      <c r="E25" s="23">
        <v>34.90401</v>
      </c>
    </row>
    <row r="26" spans="1:8" x14ac:dyDescent="0.2">
      <c r="A26" s="23">
        <v>1946.3779999999999</v>
      </c>
      <c r="B26" s="23">
        <v>1093.7739999999999</v>
      </c>
      <c r="D26" s="23">
        <v>263.66460000000001</v>
      </c>
      <c r="E26" s="23">
        <v>207.0137</v>
      </c>
    </row>
    <row r="27" spans="1:8" x14ac:dyDescent="0.2">
      <c r="A27" s="23">
        <v>2018.43</v>
      </c>
      <c r="B27" s="23">
        <v>5030.87</v>
      </c>
      <c r="D27" s="23">
        <v>329.96429999999998</v>
      </c>
      <c r="E27" s="23">
        <v>971.91790000000003</v>
      </c>
    </row>
    <row r="28" spans="1:8" x14ac:dyDescent="0.2">
      <c r="A28" s="23">
        <v>26509.24</v>
      </c>
      <c r="B28" s="23">
        <v>3874.98</v>
      </c>
      <c r="D28" s="23">
        <v>4311.5600000000004</v>
      </c>
      <c r="E28" s="23">
        <v>494.339</v>
      </c>
    </row>
    <row r="29" spans="1:8" x14ac:dyDescent="0.2">
      <c r="A29" s="23">
        <v>18541.37</v>
      </c>
      <c r="B29" s="23">
        <v>5789.741</v>
      </c>
      <c r="D29" s="23">
        <v>2289.5859999999998</v>
      </c>
      <c r="E29" s="23">
        <v>1097.0039999999999</v>
      </c>
    </row>
    <row r="30" spans="1:8" x14ac:dyDescent="0.2">
      <c r="A30" s="23">
        <v>23664.9</v>
      </c>
      <c r="B30" s="23">
        <v>68.836939999999998</v>
      </c>
      <c r="D30" s="23">
        <v>5079.4939999999997</v>
      </c>
      <c r="E30" s="23">
        <v>5.7364119999999996</v>
      </c>
    </row>
    <row r="31" spans="1:8" x14ac:dyDescent="0.2">
      <c r="A31" s="23">
        <v>19981.009999999998</v>
      </c>
      <c r="B31" s="15"/>
      <c r="D31" s="23">
        <v>3092.1179999999999</v>
      </c>
      <c r="E31" s="15"/>
    </row>
    <row r="33" spans="1:2" x14ac:dyDescent="0.2">
      <c r="A33" s="1" t="s">
        <v>67</v>
      </c>
      <c r="B33" s="14" t="s">
        <v>89</v>
      </c>
    </row>
    <row r="34" spans="1:2" x14ac:dyDescent="0.2">
      <c r="A34" s="74" t="s">
        <v>88</v>
      </c>
      <c r="B34" s="74"/>
    </row>
    <row r="35" spans="1:2" x14ac:dyDescent="0.2">
      <c r="A35" s="23" t="s">
        <v>3</v>
      </c>
      <c r="B35" s="15" t="s">
        <v>4</v>
      </c>
    </row>
    <row r="36" spans="1:2" x14ac:dyDescent="0.2">
      <c r="A36" s="23">
        <v>6.84</v>
      </c>
      <c r="B36" s="23">
        <v>0.44</v>
      </c>
    </row>
    <row r="37" spans="1:2" x14ac:dyDescent="0.2">
      <c r="A37" s="23">
        <v>4.1100000000000003</v>
      </c>
      <c r="B37" s="23">
        <v>0</v>
      </c>
    </row>
    <row r="38" spans="1:2" x14ac:dyDescent="0.2">
      <c r="A38" s="23">
        <v>3.05</v>
      </c>
      <c r="B38" s="23">
        <v>0.96</v>
      </c>
    </row>
    <row r="39" spans="1:2" x14ac:dyDescent="0.2">
      <c r="A39" s="23">
        <v>6.88</v>
      </c>
      <c r="B39" s="23">
        <v>2.87</v>
      </c>
    </row>
    <row r="40" spans="1:2" x14ac:dyDescent="0.2">
      <c r="A40" s="23">
        <v>2.29</v>
      </c>
      <c r="B40" s="23">
        <v>1.06</v>
      </c>
    </row>
    <row r="41" spans="1:2" x14ac:dyDescent="0.2">
      <c r="A41" s="23">
        <v>0.48</v>
      </c>
      <c r="B41" s="23">
        <v>0.72</v>
      </c>
    </row>
    <row r="42" spans="1:2" x14ac:dyDescent="0.2">
      <c r="A42" s="23">
        <v>3.02</v>
      </c>
      <c r="B42" s="23">
        <v>1.2</v>
      </c>
    </row>
    <row r="43" spans="1:2" x14ac:dyDescent="0.2">
      <c r="A43" s="23">
        <v>14.5</v>
      </c>
      <c r="B43" s="23">
        <v>3.38</v>
      </c>
    </row>
    <row r="44" spans="1:2" x14ac:dyDescent="0.2">
      <c r="A44" s="23">
        <v>11.2</v>
      </c>
      <c r="B44" s="23">
        <v>3.38</v>
      </c>
    </row>
    <row r="45" spans="1:2" x14ac:dyDescent="0.2">
      <c r="A45" s="23">
        <v>13.5</v>
      </c>
      <c r="B45" s="23">
        <v>7.23</v>
      </c>
    </row>
    <row r="46" spans="1:2" x14ac:dyDescent="0.2">
      <c r="A46" s="23">
        <v>12.8</v>
      </c>
      <c r="B46" s="23">
        <v>6.95</v>
      </c>
    </row>
    <row r="47" spans="1:2" x14ac:dyDescent="0.2">
      <c r="A47" s="23">
        <v>5.38</v>
      </c>
      <c r="B47" s="23">
        <v>5.51</v>
      </c>
    </row>
    <row r="48" spans="1:2" x14ac:dyDescent="0.2">
      <c r="A48" s="23">
        <v>6.69</v>
      </c>
      <c r="B48" s="23">
        <v>8.3000000000000007</v>
      </c>
    </row>
  </sheetData>
  <mergeCells count="5">
    <mergeCell ref="B2:C2"/>
    <mergeCell ref="A34:B34"/>
    <mergeCell ref="A18:B18"/>
    <mergeCell ref="D18:E18"/>
    <mergeCell ref="A8:B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D5AC-C259-724B-9DF0-5E510DDB33CC}">
  <dimension ref="A1:Q279"/>
  <sheetViews>
    <sheetView zoomScale="80" zoomScaleNormal="80" workbookViewId="0">
      <selection activeCell="E52" sqref="E52"/>
    </sheetView>
  </sheetViews>
  <sheetFormatPr defaultColWidth="10.875" defaultRowHeight="15" x14ac:dyDescent="0.2"/>
  <cols>
    <col min="1" max="13" width="10.875" style="25"/>
    <col min="14" max="16384" width="10.875" style="14"/>
  </cols>
  <sheetData>
    <row r="1" spans="1:10" x14ac:dyDescent="0.2">
      <c r="A1" s="24" t="s">
        <v>68</v>
      </c>
      <c r="B1" s="25" t="s">
        <v>102</v>
      </c>
    </row>
    <row r="2" spans="1:10" s="20" customFormat="1" ht="15.75" x14ac:dyDescent="0.25">
      <c r="A2" s="28" t="s">
        <v>103</v>
      </c>
      <c r="B2" s="29">
        <v>0</v>
      </c>
      <c r="C2" s="29">
        <v>3</v>
      </c>
      <c r="D2" s="29">
        <v>7</v>
      </c>
      <c r="E2" s="29">
        <v>10</v>
      </c>
      <c r="F2" s="29">
        <v>12</v>
      </c>
      <c r="G2" s="29">
        <v>14</v>
      </c>
      <c r="H2" s="29">
        <v>16</v>
      </c>
      <c r="I2" s="29">
        <v>18</v>
      </c>
      <c r="J2" s="29">
        <v>21</v>
      </c>
    </row>
    <row r="3" spans="1:10" s="20" customFormat="1" ht="15.75" x14ac:dyDescent="0.25">
      <c r="A3" s="74" t="s">
        <v>96</v>
      </c>
      <c r="B3" s="28">
        <f>3.6*5.7</f>
        <v>20.52</v>
      </c>
      <c r="C3" s="28">
        <f>7.3*4.4</f>
        <v>32.120000000000005</v>
      </c>
      <c r="D3" s="28">
        <f>9.7*5.6</f>
        <v>54.319999999999993</v>
      </c>
      <c r="E3" s="28">
        <f>12.3*7.4</f>
        <v>91.02000000000001</v>
      </c>
      <c r="F3" s="28">
        <f>13.1*8.3</f>
        <v>108.73</v>
      </c>
      <c r="G3" s="30">
        <f>14.2*8.9</f>
        <v>126.38</v>
      </c>
      <c r="H3" s="31"/>
      <c r="I3" s="26"/>
      <c r="J3" s="26"/>
    </row>
    <row r="4" spans="1:10" s="20" customFormat="1" ht="15.75" x14ac:dyDescent="0.25">
      <c r="A4" s="74"/>
      <c r="B4" s="28">
        <f>3.7*6.5</f>
        <v>24.05</v>
      </c>
      <c r="C4" s="28">
        <f>7.1*5</f>
        <v>35.5</v>
      </c>
      <c r="D4" s="28">
        <f>7.1*5.2</f>
        <v>36.92</v>
      </c>
      <c r="E4" s="28">
        <f>9.7*7.3</f>
        <v>70.809999999999988</v>
      </c>
      <c r="F4" s="28">
        <f>9.9*7.8</f>
        <v>77.22</v>
      </c>
      <c r="G4" s="30">
        <f>8.3*11.1</f>
        <v>92.13000000000001</v>
      </c>
      <c r="H4" s="31"/>
      <c r="I4" s="26"/>
      <c r="J4" s="26"/>
    </row>
    <row r="5" spans="1:10" s="20" customFormat="1" ht="15.75" x14ac:dyDescent="0.25">
      <c r="A5" s="74"/>
      <c r="B5" s="28">
        <f>3.3*5.2</f>
        <v>17.16</v>
      </c>
      <c r="C5" s="28">
        <f>4.1*6.4</f>
        <v>26.24</v>
      </c>
      <c r="D5" s="28">
        <f>8.2*5.3</f>
        <v>43.459999999999994</v>
      </c>
      <c r="E5" s="28">
        <f>6.2*9.5</f>
        <v>58.9</v>
      </c>
      <c r="F5" s="28">
        <f>10.4*6.6</f>
        <v>68.64</v>
      </c>
      <c r="G5" s="30">
        <f>8*10.1</f>
        <v>80.8</v>
      </c>
      <c r="H5" s="31"/>
      <c r="I5" s="26"/>
      <c r="J5" s="26"/>
    </row>
    <row r="6" spans="1:10" s="20" customFormat="1" ht="15.75" x14ac:dyDescent="0.25">
      <c r="A6" s="74"/>
      <c r="B6" s="28">
        <f>3.7*5.8</f>
        <v>21.46</v>
      </c>
      <c r="C6" s="28">
        <f>7.2*4.7</f>
        <v>33.840000000000003</v>
      </c>
      <c r="D6" s="28">
        <f>7.6*5.5</f>
        <v>41.8</v>
      </c>
      <c r="E6" s="28">
        <f>10.5*7.1</f>
        <v>74.55</v>
      </c>
      <c r="F6" s="28">
        <f>11.8*6.6</f>
        <v>77.88</v>
      </c>
      <c r="G6" s="30">
        <f>12.5*7.6</f>
        <v>95</v>
      </c>
      <c r="H6" s="31"/>
      <c r="I6" s="26"/>
      <c r="J6" s="26"/>
    </row>
    <row r="7" spans="1:10" s="20" customFormat="1" ht="15.75" x14ac:dyDescent="0.25">
      <c r="A7" s="74"/>
      <c r="B7" s="28">
        <f>6*4.1</f>
        <v>24.599999999999998</v>
      </c>
      <c r="C7" s="28">
        <f>5.2*6.5</f>
        <v>33.800000000000004</v>
      </c>
      <c r="D7" s="28">
        <f>7.7*6.6</f>
        <v>50.82</v>
      </c>
      <c r="E7" s="28">
        <f>7.6*8.8</f>
        <v>66.88</v>
      </c>
      <c r="F7" s="28">
        <f>8.6*9.7</f>
        <v>83.419999999999987</v>
      </c>
      <c r="G7" s="30">
        <f>9.4*9.9</f>
        <v>93.06</v>
      </c>
      <c r="H7" s="31"/>
      <c r="I7" s="26"/>
      <c r="J7" s="26"/>
    </row>
    <row r="8" spans="1:10" s="20" customFormat="1" ht="15.75" x14ac:dyDescent="0.25">
      <c r="A8" s="74"/>
      <c r="B8" s="28">
        <f>3.7*7.4</f>
        <v>27.380000000000003</v>
      </c>
      <c r="C8" s="28">
        <f>10*5.4</f>
        <v>54</v>
      </c>
      <c r="D8" s="28">
        <f>10.7*5.6</f>
        <v>59.919999999999995</v>
      </c>
      <c r="E8" s="28">
        <f>13.6*7.6</f>
        <v>103.36</v>
      </c>
      <c r="F8" s="28">
        <f>14.9*8.7</f>
        <v>129.63</v>
      </c>
      <c r="G8" s="30">
        <f>15.7*9.3</f>
        <v>146.01</v>
      </c>
      <c r="H8" s="31"/>
      <c r="I8" s="26"/>
      <c r="J8" s="26"/>
    </row>
    <row r="9" spans="1:10" s="20" customFormat="1" ht="15.75" x14ac:dyDescent="0.25">
      <c r="A9" s="74"/>
      <c r="B9" s="28">
        <f>7.9*4</f>
        <v>31.6</v>
      </c>
      <c r="C9" s="28">
        <f>8.2*5</f>
        <v>41</v>
      </c>
      <c r="D9" s="28">
        <f>9.5*5.7</f>
        <v>54.15</v>
      </c>
      <c r="E9" s="28">
        <f>11.9*6.6</f>
        <v>78.539999999999992</v>
      </c>
      <c r="F9" s="28">
        <f>13.4*7.4</f>
        <v>99.160000000000011</v>
      </c>
      <c r="G9" s="30">
        <f>14.3*8.5</f>
        <v>121.55000000000001</v>
      </c>
      <c r="H9" s="31"/>
      <c r="I9" s="26"/>
      <c r="J9" s="26"/>
    </row>
    <row r="10" spans="1:10" s="20" customFormat="1" ht="15.75" x14ac:dyDescent="0.25">
      <c r="A10" s="74"/>
      <c r="B10" s="28">
        <f>7*3.9</f>
        <v>27.3</v>
      </c>
      <c r="C10" s="28">
        <f>5.2*8.3</f>
        <v>43.160000000000004</v>
      </c>
      <c r="D10" s="28">
        <f>6*10</f>
        <v>60</v>
      </c>
      <c r="E10" s="28">
        <f>6.2*11.9</f>
        <v>73.78</v>
      </c>
      <c r="F10" s="28">
        <f>7*12.9</f>
        <v>90.3</v>
      </c>
      <c r="G10" s="30">
        <f>6.9*14.7</f>
        <v>101.43</v>
      </c>
      <c r="H10" s="31"/>
      <c r="I10" s="26"/>
      <c r="J10" s="26"/>
    </row>
    <row r="11" spans="1:10" s="20" customFormat="1" ht="15.75" x14ac:dyDescent="0.25">
      <c r="A11" s="74"/>
      <c r="B11" s="28">
        <v>27.930000000000003</v>
      </c>
      <c r="C11" s="28">
        <v>27.5</v>
      </c>
      <c r="D11" s="28">
        <v>44.400000000000006</v>
      </c>
      <c r="E11" s="28">
        <v>46.97</v>
      </c>
      <c r="F11" s="28">
        <v>71.610000000000014</v>
      </c>
      <c r="G11" s="28">
        <v>77.759999999999991</v>
      </c>
      <c r="H11" s="26"/>
      <c r="I11" s="26"/>
      <c r="J11" s="26"/>
    </row>
    <row r="12" spans="1:10" s="20" customFormat="1" ht="15.75" x14ac:dyDescent="0.25">
      <c r="A12" s="74"/>
      <c r="B12" s="28">
        <v>22.090000000000003</v>
      </c>
      <c r="C12" s="28">
        <v>37.699999999999996</v>
      </c>
      <c r="D12" s="28">
        <v>64.8</v>
      </c>
      <c r="E12" s="28">
        <v>97.76</v>
      </c>
      <c r="F12" s="28">
        <v>87.2</v>
      </c>
      <c r="G12" s="28">
        <v>106.25</v>
      </c>
      <c r="H12" s="26"/>
      <c r="I12" s="26"/>
      <c r="J12" s="26"/>
    </row>
    <row r="13" spans="1:10" s="20" customFormat="1" ht="15.75" x14ac:dyDescent="0.25">
      <c r="A13" s="74"/>
      <c r="B13" s="28">
        <v>18.859999999999996</v>
      </c>
      <c r="C13" s="28">
        <v>26.5</v>
      </c>
      <c r="D13" s="28">
        <v>51.2</v>
      </c>
      <c r="E13" s="28">
        <v>56.16</v>
      </c>
      <c r="F13" s="28">
        <v>69.720000000000013</v>
      </c>
      <c r="G13" s="28">
        <v>98.79</v>
      </c>
      <c r="H13" s="26"/>
      <c r="I13" s="26"/>
      <c r="J13" s="26"/>
    </row>
    <row r="14" spans="1:10" s="20" customFormat="1" ht="15.75" x14ac:dyDescent="0.25">
      <c r="A14" s="74"/>
      <c r="B14" s="28">
        <v>18.480000000000004</v>
      </c>
      <c r="C14" s="28">
        <v>30.780000000000005</v>
      </c>
      <c r="D14" s="28">
        <v>42.21</v>
      </c>
      <c r="E14" s="28">
        <v>52.56</v>
      </c>
      <c r="F14" s="28">
        <v>63.839999999999996</v>
      </c>
      <c r="G14" s="28">
        <v>64.8</v>
      </c>
      <c r="H14" s="26"/>
      <c r="I14" s="26"/>
      <c r="J14" s="26"/>
    </row>
    <row r="15" spans="1:10" s="20" customFormat="1" ht="15.75" x14ac:dyDescent="0.25">
      <c r="A15" s="74"/>
      <c r="B15" s="28">
        <v>24.8</v>
      </c>
      <c r="C15" s="28">
        <v>31.96</v>
      </c>
      <c r="D15" s="28">
        <v>53.199999999999996</v>
      </c>
      <c r="E15" s="28">
        <v>79.8</v>
      </c>
      <c r="F15" s="28">
        <v>77.760000000000005</v>
      </c>
      <c r="G15" s="28">
        <v>92.4</v>
      </c>
      <c r="H15" s="26"/>
      <c r="I15" s="26"/>
      <c r="J15" s="26"/>
    </row>
    <row r="16" spans="1:10" s="20" customFormat="1" ht="15.75" x14ac:dyDescent="0.25">
      <c r="A16" s="74"/>
      <c r="B16" s="28">
        <v>23.03</v>
      </c>
      <c r="C16" s="28">
        <v>32</v>
      </c>
      <c r="D16" s="28">
        <v>45.14</v>
      </c>
      <c r="E16" s="28">
        <v>54.269999999999996</v>
      </c>
      <c r="F16" s="28">
        <v>62.310000000000009</v>
      </c>
      <c r="G16" s="28">
        <v>78.75</v>
      </c>
      <c r="H16" s="26"/>
      <c r="I16" s="26"/>
      <c r="J16" s="26"/>
    </row>
    <row r="17" spans="1:10" s="20" customFormat="1" ht="15.75" x14ac:dyDescent="0.25">
      <c r="A17" s="74"/>
      <c r="B17" s="28">
        <v>25.200000000000003</v>
      </c>
      <c r="C17" s="28">
        <v>39.75</v>
      </c>
      <c r="D17" s="28">
        <v>55.9</v>
      </c>
      <c r="E17" s="28">
        <v>70.809999999999988</v>
      </c>
      <c r="F17" s="28">
        <v>67.62</v>
      </c>
      <c r="G17" s="28">
        <v>93.79000000000002</v>
      </c>
      <c r="H17" s="26"/>
      <c r="I17" s="26"/>
      <c r="J17" s="26"/>
    </row>
    <row r="18" spans="1:10" s="20" customFormat="1" ht="15.75" x14ac:dyDescent="0.25">
      <c r="A18" s="74"/>
      <c r="B18" s="28">
        <v>30.680000000000003</v>
      </c>
      <c r="C18" s="28">
        <v>46.199999999999996</v>
      </c>
      <c r="D18" s="28">
        <v>65.28</v>
      </c>
      <c r="E18" s="28">
        <v>79.2</v>
      </c>
      <c r="F18" s="28">
        <v>89.04</v>
      </c>
      <c r="G18" s="28">
        <v>122.2</v>
      </c>
      <c r="H18" s="26"/>
      <c r="I18" s="26"/>
      <c r="J18" s="26"/>
    </row>
    <row r="19" spans="1:10" s="20" customFormat="1" ht="15.75" x14ac:dyDescent="0.25">
      <c r="A19" s="74" t="s">
        <v>97</v>
      </c>
      <c r="B19" s="28">
        <f>4.2*7.3</f>
        <v>30.66</v>
      </c>
      <c r="C19" s="28">
        <f>5*8.1</f>
        <v>40.5</v>
      </c>
      <c r="D19" s="28">
        <f>8.5*6.1</f>
        <v>51.849999999999994</v>
      </c>
      <c r="E19" s="28">
        <f>7.4*11.1</f>
        <v>82.14</v>
      </c>
      <c r="F19" s="28">
        <f>11.9*6.7</f>
        <v>79.73</v>
      </c>
      <c r="G19" s="30">
        <f>12.8*8.5</f>
        <v>108.80000000000001</v>
      </c>
      <c r="H19" s="30">
        <f>13.8*8.8</f>
        <v>121.44000000000001</v>
      </c>
      <c r="I19" s="28">
        <f>15.1*9.5</f>
        <v>143.44999999999999</v>
      </c>
      <c r="J19" s="26"/>
    </row>
    <row r="20" spans="1:10" s="20" customFormat="1" ht="15.75" x14ac:dyDescent="0.25">
      <c r="A20" s="74"/>
      <c r="B20" s="28">
        <f>4.2*5.7</f>
        <v>23.94</v>
      </c>
      <c r="C20" s="28">
        <f>5.6*6.8</f>
        <v>38.08</v>
      </c>
      <c r="D20" s="28">
        <f>7.5*6.3</f>
        <v>47.25</v>
      </c>
      <c r="E20" s="28">
        <f>7*7.3</f>
        <v>51.1</v>
      </c>
      <c r="F20" s="28">
        <f>7*7.7</f>
        <v>53.9</v>
      </c>
      <c r="G20" s="30">
        <f>8.1*8.7</f>
        <v>70.469999999999985</v>
      </c>
      <c r="H20" s="30">
        <f>8.6*9.4</f>
        <v>80.84</v>
      </c>
      <c r="I20" s="28">
        <f>8.8*9.9</f>
        <v>87.12</v>
      </c>
      <c r="J20" s="26"/>
    </row>
    <row r="21" spans="1:10" s="20" customFormat="1" ht="15.75" x14ac:dyDescent="0.25">
      <c r="A21" s="74"/>
      <c r="B21" s="28">
        <f>6.2*4.4</f>
        <v>27.280000000000005</v>
      </c>
      <c r="C21" s="28">
        <f>7.2*5.5</f>
        <v>39.6</v>
      </c>
      <c r="D21" s="28">
        <f>7.7*5.3</f>
        <v>40.81</v>
      </c>
      <c r="E21" s="28">
        <f>5.4*5.2</f>
        <v>28.080000000000002</v>
      </c>
      <c r="F21" s="28">
        <f>7.6*5.3</f>
        <v>40.279999999999994</v>
      </c>
      <c r="G21" s="30">
        <f>7.6*5.4</f>
        <v>41.04</v>
      </c>
      <c r="H21" s="30">
        <f>6.1*6.6</f>
        <v>40.26</v>
      </c>
      <c r="I21" s="28">
        <f>6.9*6.2</f>
        <v>42.78</v>
      </c>
      <c r="J21" s="26"/>
    </row>
    <row r="22" spans="1:10" s="20" customFormat="1" ht="15.75" x14ac:dyDescent="0.25">
      <c r="A22" s="74"/>
      <c r="B22" s="28">
        <f>6*3.6</f>
        <v>21.6</v>
      </c>
      <c r="C22" s="28">
        <f>6.5*4.3</f>
        <v>27.95</v>
      </c>
      <c r="D22" s="28">
        <f>6.7*4.4</f>
        <v>29.480000000000004</v>
      </c>
      <c r="E22" s="28">
        <f>6.4*4.2</f>
        <v>26.880000000000003</v>
      </c>
      <c r="F22" s="28">
        <f>6.8*3.5</f>
        <v>23.8</v>
      </c>
      <c r="G22" s="30">
        <f>7*3.6</f>
        <v>25.2</v>
      </c>
      <c r="H22" s="30">
        <f>6.8*3.2</f>
        <v>21.76</v>
      </c>
      <c r="I22" s="28">
        <f>7.2*3.7</f>
        <v>26.64</v>
      </c>
      <c r="J22" s="26"/>
    </row>
    <row r="23" spans="1:10" s="20" customFormat="1" ht="15.75" x14ac:dyDescent="0.25">
      <c r="A23" s="74"/>
      <c r="B23" s="28">
        <f>6.5*3.8</f>
        <v>24.7</v>
      </c>
      <c r="C23" s="28">
        <f>4.7*7.6</f>
        <v>35.72</v>
      </c>
      <c r="D23" s="28">
        <f>8.5*5.7</f>
        <v>48.45</v>
      </c>
      <c r="E23" s="28">
        <f>7.2*6.4</f>
        <v>46.080000000000005</v>
      </c>
      <c r="F23" s="28">
        <f>10*6.3</f>
        <v>63</v>
      </c>
      <c r="G23" s="30">
        <f>11.2*6.8</f>
        <v>76.16</v>
      </c>
      <c r="H23" s="30">
        <f>11.9*7.5</f>
        <v>89.25</v>
      </c>
      <c r="I23" s="28">
        <f>12.9*7.8</f>
        <v>100.62</v>
      </c>
      <c r="J23" s="26"/>
    </row>
    <row r="24" spans="1:10" s="20" customFormat="1" ht="15.75" x14ac:dyDescent="0.25">
      <c r="A24" s="74"/>
      <c r="B24" s="28">
        <f>4*5</f>
        <v>20</v>
      </c>
      <c r="C24" s="28">
        <f>4.3*5.7</f>
        <v>24.509999999999998</v>
      </c>
      <c r="D24" s="28">
        <f>5*5.7</f>
        <v>28.5</v>
      </c>
      <c r="E24" s="28">
        <f>3.9*4.1</f>
        <v>15.989999999999998</v>
      </c>
      <c r="F24" s="28">
        <f>3.5*3.9</f>
        <v>13.65</v>
      </c>
      <c r="G24" s="30">
        <f>4.1*3.6</f>
        <v>14.76</v>
      </c>
      <c r="H24" s="30">
        <f>3.4*3.7</f>
        <v>12.58</v>
      </c>
      <c r="I24" s="28">
        <f>4.5*4.1</f>
        <v>18.45</v>
      </c>
      <c r="J24" s="26"/>
    </row>
    <row r="25" spans="1:10" s="20" customFormat="1" ht="15.75" x14ac:dyDescent="0.25">
      <c r="A25" s="74"/>
      <c r="B25" s="28">
        <v>21.150000000000002</v>
      </c>
      <c r="C25" s="28">
        <v>32.129999999999995</v>
      </c>
      <c r="D25" s="28">
        <v>36.180000000000007</v>
      </c>
      <c r="E25" s="28">
        <v>31.919999999999998</v>
      </c>
      <c r="F25" s="28">
        <v>33.32</v>
      </c>
      <c r="G25" s="28">
        <v>40.200000000000003</v>
      </c>
      <c r="H25" s="28">
        <v>45.599999999999994</v>
      </c>
      <c r="I25" s="28">
        <v>52.199999999999996</v>
      </c>
      <c r="J25" s="26"/>
    </row>
    <row r="26" spans="1:10" s="20" customFormat="1" ht="15.75" x14ac:dyDescent="0.25">
      <c r="A26" s="74"/>
      <c r="B26" s="28">
        <v>24.38</v>
      </c>
      <c r="C26" s="28">
        <v>28.799999999999997</v>
      </c>
      <c r="D26" s="28">
        <v>31</v>
      </c>
      <c r="E26" s="28">
        <v>20.239999999999998</v>
      </c>
      <c r="F26" s="28">
        <v>16.399999999999999</v>
      </c>
      <c r="G26" s="28">
        <v>17.099999999999998</v>
      </c>
      <c r="H26" s="28">
        <v>22</v>
      </c>
      <c r="I26" s="28">
        <v>24</v>
      </c>
      <c r="J26" s="26"/>
    </row>
    <row r="27" spans="1:10" s="20" customFormat="1" ht="15.75" x14ac:dyDescent="0.25">
      <c r="A27" s="74"/>
      <c r="B27" s="28">
        <v>23.65</v>
      </c>
      <c r="C27" s="28">
        <v>40.15</v>
      </c>
      <c r="D27" s="28">
        <v>40.32</v>
      </c>
      <c r="E27" s="28">
        <v>24.78</v>
      </c>
      <c r="F27" s="28">
        <v>24.939999999999998</v>
      </c>
      <c r="G27" s="28">
        <v>28.6</v>
      </c>
      <c r="H27" s="28">
        <v>36.72</v>
      </c>
      <c r="I27" s="28">
        <v>34.31</v>
      </c>
      <c r="J27" s="26"/>
    </row>
    <row r="28" spans="1:10" s="20" customFormat="1" ht="15.75" x14ac:dyDescent="0.25">
      <c r="A28" s="74"/>
      <c r="B28" s="28">
        <v>20.669999999999998</v>
      </c>
      <c r="C28" s="28">
        <v>32.129999999999995</v>
      </c>
      <c r="D28" s="28">
        <v>34.979999999999997</v>
      </c>
      <c r="E28" s="28">
        <v>38.08</v>
      </c>
      <c r="F28" s="28">
        <v>43.52</v>
      </c>
      <c r="G28" s="28">
        <v>51.029999999999994</v>
      </c>
      <c r="H28" s="28">
        <v>65.25</v>
      </c>
      <c r="I28" s="28">
        <v>71.339999999999989</v>
      </c>
      <c r="J28" s="26"/>
    </row>
    <row r="29" spans="1:10" s="20" customFormat="1" ht="15.75" x14ac:dyDescent="0.25">
      <c r="A29" s="74"/>
      <c r="B29" s="28">
        <v>18.45</v>
      </c>
      <c r="C29" s="28">
        <v>16.559999999999999</v>
      </c>
      <c r="D29" s="28">
        <v>14.700000000000001</v>
      </c>
      <c r="E29" s="28">
        <v>1</v>
      </c>
      <c r="F29" s="28">
        <v>1</v>
      </c>
      <c r="G29" s="28">
        <v>1</v>
      </c>
      <c r="H29" s="28">
        <v>1</v>
      </c>
      <c r="I29" s="28">
        <v>1</v>
      </c>
      <c r="J29" s="26"/>
    </row>
    <row r="30" spans="1:10" s="20" customFormat="1" ht="15.75" x14ac:dyDescent="0.25">
      <c r="A30" s="74"/>
      <c r="B30" s="28">
        <v>26.679999999999996</v>
      </c>
      <c r="C30" s="28">
        <v>54.809999999999995</v>
      </c>
      <c r="D30" s="28">
        <v>51.66</v>
      </c>
      <c r="E30" s="28">
        <v>36.57</v>
      </c>
      <c r="F30" s="28">
        <v>44.55</v>
      </c>
      <c r="G30" s="28">
        <v>49.879999999999995</v>
      </c>
      <c r="H30" s="28">
        <v>54</v>
      </c>
      <c r="I30" s="28">
        <v>60.800000000000004</v>
      </c>
      <c r="J30" s="26"/>
    </row>
    <row r="31" spans="1:10" s="20" customFormat="1" ht="15.75" x14ac:dyDescent="0.25">
      <c r="A31" s="74"/>
      <c r="B31" s="28">
        <v>32.129999999999995</v>
      </c>
      <c r="C31" s="28">
        <v>34.79</v>
      </c>
      <c r="D31" s="28">
        <v>39.42</v>
      </c>
      <c r="E31" s="28">
        <v>31.680000000000003</v>
      </c>
      <c r="F31" s="28">
        <v>32.830000000000005</v>
      </c>
      <c r="G31" s="28">
        <v>36.180000000000007</v>
      </c>
      <c r="H31" s="28">
        <v>40.15</v>
      </c>
      <c r="I31" s="28">
        <v>32.9</v>
      </c>
      <c r="J31" s="26"/>
    </row>
    <row r="32" spans="1:10" s="20" customFormat="1" ht="15.75" x14ac:dyDescent="0.25">
      <c r="A32" s="74" t="s">
        <v>98</v>
      </c>
      <c r="B32" s="28">
        <f>3.4*6.4</f>
        <v>21.76</v>
      </c>
      <c r="C32" s="28">
        <f>7.3*4.2</f>
        <v>30.66</v>
      </c>
      <c r="D32" s="28">
        <f>7.7*6</f>
        <v>46.2</v>
      </c>
      <c r="E32" s="28">
        <f>7.4*9.2</f>
        <v>68.08</v>
      </c>
      <c r="F32" s="28">
        <f>8.6*10</f>
        <v>86</v>
      </c>
      <c r="G32" s="30">
        <f>9.7*10.1</f>
        <v>97.969999999999985</v>
      </c>
      <c r="H32" s="30">
        <f>9.8*10.8</f>
        <v>105.84000000000002</v>
      </c>
      <c r="I32" s="28">
        <f>11.2*12</f>
        <v>134.39999999999998</v>
      </c>
      <c r="J32" s="25"/>
    </row>
    <row r="33" spans="1:10" s="20" customFormat="1" ht="15.75" x14ac:dyDescent="0.25">
      <c r="A33" s="74"/>
      <c r="B33" s="28">
        <f>4.9*4</f>
        <v>19.600000000000001</v>
      </c>
      <c r="C33" s="28">
        <f>5.9*4.1</f>
        <v>24.189999999999998</v>
      </c>
      <c r="D33" s="28">
        <f>7.1*5.1</f>
        <v>36.209999999999994</v>
      </c>
      <c r="E33" s="28">
        <f>9.7*6.2</f>
        <v>60.14</v>
      </c>
      <c r="F33" s="28">
        <f>10.5*7.1</f>
        <v>74.55</v>
      </c>
      <c r="G33" s="30">
        <f>11.1*7.5</f>
        <v>83.25</v>
      </c>
      <c r="H33" s="30">
        <f>12.2*7.5</f>
        <v>91.5</v>
      </c>
      <c r="I33" s="28">
        <f>12.9*8.6</f>
        <v>110.94</v>
      </c>
      <c r="J33" s="25"/>
    </row>
    <row r="34" spans="1:10" s="20" customFormat="1" ht="15.75" x14ac:dyDescent="0.25">
      <c r="A34" s="74"/>
      <c r="B34" s="28">
        <f>6.9*4.4</f>
        <v>30.360000000000003</v>
      </c>
      <c r="C34" s="28">
        <f>4.8*8.2</f>
        <v>39.359999999999992</v>
      </c>
      <c r="D34" s="28">
        <f>8.7*4.1</f>
        <v>35.669999999999995</v>
      </c>
      <c r="E34" s="28">
        <f>5.6*10.1</f>
        <v>56.559999999999995</v>
      </c>
      <c r="F34" s="28">
        <f>10.8*6</f>
        <v>64.800000000000011</v>
      </c>
      <c r="G34" s="30">
        <f>6.8*11.5</f>
        <v>78.2</v>
      </c>
      <c r="H34" s="30">
        <f>12.2*7.4</f>
        <v>90.28</v>
      </c>
      <c r="I34" s="28">
        <f>8*13.3</f>
        <v>106.4</v>
      </c>
      <c r="J34" s="25"/>
    </row>
    <row r="35" spans="1:10" s="20" customFormat="1" ht="15.75" x14ac:dyDescent="0.25">
      <c r="A35" s="74"/>
      <c r="B35" s="28">
        <f>6.8*4</f>
        <v>27.2</v>
      </c>
      <c r="C35" s="28">
        <f>4.8*8.1</f>
        <v>38.879999999999995</v>
      </c>
      <c r="D35" s="28">
        <f>9.8*6.6</f>
        <v>64.680000000000007</v>
      </c>
      <c r="E35" s="28">
        <f>11.2*7.9</f>
        <v>88.48</v>
      </c>
      <c r="F35" s="28">
        <f>7.9*13</f>
        <v>102.7</v>
      </c>
      <c r="G35" s="30">
        <f>8.7*13.8</f>
        <v>120.06</v>
      </c>
      <c r="H35" s="30">
        <f>14*8.7</f>
        <v>121.79999999999998</v>
      </c>
      <c r="I35" s="28">
        <f>15.2*9.4</f>
        <v>142.88</v>
      </c>
      <c r="J35" s="25"/>
    </row>
    <row r="36" spans="1:10" s="20" customFormat="1" ht="15.75" x14ac:dyDescent="0.25">
      <c r="A36" s="74"/>
      <c r="B36" s="28">
        <f>7.1*3.9</f>
        <v>27.689999999999998</v>
      </c>
      <c r="C36" s="28">
        <f>4.8*6.7</f>
        <v>32.159999999999997</v>
      </c>
      <c r="D36" s="28">
        <f>8.1*5.2</f>
        <v>42.12</v>
      </c>
      <c r="E36" s="28">
        <f>8.7*6.5</f>
        <v>56.55</v>
      </c>
      <c r="F36" s="28">
        <f>7*10.8</f>
        <v>75.600000000000009</v>
      </c>
      <c r="G36" s="30">
        <f>7.5*12</f>
        <v>90</v>
      </c>
      <c r="H36" s="30">
        <f>12.9*8.1</f>
        <v>104.49</v>
      </c>
      <c r="I36" s="28">
        <f>14.9*8.5</f>
        <v>126.65</v>
      </c>
      <c r="J36" s="25"/>
    </row>
    <row r="37" spans="1:10" s="20" customFormat="1" ht="15.75" x14ac:dyDescent="0.25">
      <c r="A37" s="74"/>
      <c r="B37" s="28">
        <f>4.5*5.7</f>
        <v>25.650000000000002</v>
      </c>
      <c r="C37" s="28">
        <f>4.8*6.5</f>
        <v>31.2</v>
      </c>
      <c r="D37" s="28">
        <f>7.1*6.4</f>
        <v>45.44</v>
      </c>
      <c r="E37" s="28">
        <f>5.4*7.1</f>
        <v>38.340000000000003</v>
      </c>
      <c r="F37" s="28">
        <f>5.9*7.1</f>
        <v>41.89</v>
      </c>
      <c r="G37" s="30">
        <f>6.2*8.5</f>
        <v>52.7</v>
      </c>
      <c r="H37" s="30">
        <f>6.7*8.6</f>
        <v>57.62</v>
      </c>
      <c r="I37" s="28">
        <f>6.6*7.8</f>
        <v>51.48</v>
      </c>
      <c r="J37" s="25"/>
    </row>
    <row r="38" spans="1:10" s="20" customFormat="1" ht="15.75" x14ac:dyDescent="0.25">
      <c r="A38" s="74"/>
      <c r="B38" s="28">
        <f>3.4*5.6</f>
        <v>19.04</v>
      </c>
      <c r="C38" s="28">
        <f>7.3*4.7</f>
        <v>34.31</v>
      </c>
      <c r="D38" s="28">
        <f>8.1*5.4</f>
        <v>43.74</v>
      </c>
      <c r="E38" s="28">
        <f>6.4*9.5</f>
        <v>60.800000000000004</v>
      </c>
      <c r="F38" s="28">
        <f>6.6*10</f>
        <v>66</v>
      </c>
      <c r="G38" s="30">
        <f>11.1*4.5</f>
        <v>49.949999999999996</v>
      </c>
      <c r="H38" s="30">
        <f>7.7*12</f>
        <v>92.4</v>
      </c>
      <c r="I38" s="28">
        <f>12.8*9.2</f>
        <v>117.75999999999999</v>
      </c>
      <c r="J38" s="25"/>
    </row>
    <row r="39" spans="1:10" s="20" customFormat="1" ht="15.75" x14ac:dyDescent="0.25">
      <c r="A39" s="74"/>
      <c r="B39" s="28">
        <f>6*3.9</f>
        <v>23.4</v>
      </c>
      <c r="C39" s="28">
        <f>8.3*5</f>
        <v>41.5</v>
      </c>
      <c r="D39" s="28">
        <f>9.5*5.2</f>
        <v>49.4</v>
      </c>
      <c r="E39" s="28">
        <f>7.6*11.5</f>
        <v>87.399999999999991</v>
      </c>
      <c r="F39" s="28">
        <f>7*12.5</f>
        <v>87.5</v>
      </c>
      <c r="G39" s="30">
        <f>13.3*8</f>
        <v>106.4</v>
      </c>
      <c r="H39" s="30">
        <f>8.3*14.4</f>
        <v>119.52000000000001</v>
      </c>
      <c r="I39" s="28">
        <f>15.8*9.2</f>
        <v>145.35999999999999</v>
      </c>
      <c r="J39" s="25"/>
    </row>
    <row r="40" spans="1:10" s="20" customFormat="1" ht="15.75" x14ac:dyDescent="0.25">
      <c r="A40" s="74" t="s">
        <v>99</v>
      </c>
      <c r="B40" s="28">
        <f>3.9*4.2</f>
        <v>16.38</v>
      </c>
      <c r="C40" s="28">
        <f>4.6*5</f>
        <v>23</v>
      </c>
      <c r="D40" s="28">
        <f>5.8*6</f>
        <v>34.799999999999997</v>
      </c>
      <c r="E40" s="28">
        <f>6.9*7.5</f>
        <v>51.75</v>
      </c>
      <c r="F40" s="28">
        <f>7.5*8.1</f>
        <v>60.75</v>
      </c>
      <c r="G40" s="30">
        <f>8*8.7</f>
        <v>69.599999999999994</v>
      </c>
      <c r="H40" s="30">
        <f>9.2*10.2</f>
        <v>93.839999999999989</v>
      </c>
      <c r="I40" s="28">
        <f>10*10.1</f>
        <v>101</v>
      </c>
      <c r="J40" s="26"/>
    </row>
    <row r="41" spans="1:10" s="20" customFormat="1" ht="15.75" x14ac:dyDescent="0.25">
      <c r="A41" s="74"/>
      <c r="B41" s="28">
        <f>4.5*5.4</f>
        <v>24.3</v>
      </c>
      <c r="C41" s="28">
        <f>5.8*7.4</f>
        <v>42.92</v>
      </c>
      <c r="D41" s="28">
        <f>8.1*7.3</f>
        <v>59.129999999999995</v>
      </c>
      <c r="E41" s="28">
        <f>8.5*10.7</f>
        <v>90.949999999999989</v>
      </c>
      <c r="F41" s="28">
        <f>8.9*11.7</f>
        <v>104.13</v>
      </c>
      <c r="G41" s="30">
        <f>9.1*13.1</f>
        <v>119.21</v>
      </c>
      <c r="H41" s="30">
        <f>9.7*13.5</f>
        <v>130.94999999999999</v>
      </c>
      <c r="I41" s="28">
        <f>9.5*13.5</f>
        <v>128.25</v>
      </c>
      <c r="J41" s="26"/>
    </row>
    <row r="42" spans="1:10" s="20" customFormat="1" ht="15.75" x14ac:dyDescent="0.25">
      <c r="A42" s="74"/>
      <c r="B42" s="28">
        <f>3.7*3.5</f>
        <v>12.950000000000001</v>
      </c>
      <c r="C42" s="28">
        <f>4.2*4.4</f>
        <v>18.480000000000004</v>
      </c>
      <c r="D42" s="28">
        <f>5.6*4.9</f>
        <v>27.44</v>
      </c>
      <c r="E42" s="28">
        <f>5.5*6</f>
        <v>33</v>
      </c>
      <c r="F42" s="28">
        <f>7.4*6.8</f>
        <v>50.32</v>
      </c>
      <c r="G42" s="30">
        <f>6.9*7.7</f>
        <v>53.13</v>
      </c>
      <c r="H42" s="30">
        <f>8*8.5</f>
        <v>68</v>
      </c>
      <c r="I42" s="28">
        <f>8.5*10.4</f>
        <v>88.4</v>
      </c>
      <c r="J42" s="26"/>
    </row>
    <row r="43" spans="1:10" s="20" customFormat="1" ht="15.75" x14ac:dyDescent="0.25">
      <c r="A43" s="74"/>
      <c r="B43" s="28">
        <f>3.2*3.5</f>
        <v>11.200000000000001</v>
      </c>
      <c r="C43" s="28">
        <f>4.4*4.6</f>
        <v>20.239999999999998</v>
      </c>
      <c r="D43" s="28">
        <f>5.1*5.1</f>
        <v>26.009999999999998</v>
      </c>
      <c r="E43" s="28">
        <f>5.7*5.9</f>
        <v>33.630000000000003</v>
      </c>
      <c r="F43" s="28">
        <f>5.9*6.6</f>
        <v>38.94</v>
      </c>
      <c r="G43" s="30">
        <f>5.7*6.3</f>
        <v>35.909999999999997</v>
      </c>
      <c r="H43" s="30">
        <f>7.4*7.2</f>
        <v>53.28</v>
      </c>
      <c r="I43" s="28">
        <f>7.6*7.2</f>
        <v>54.72</v>
      </c>
      <c r="J43" s="26"/>
    </row>
    <row r="44" spans="1:10" s="20" customFormat="1" ht="15.75" x14ac:dyDescent="0.25">
      <c r="A44" s="74"/>
      <c r="B44" s="28">
        <f>3.8*4.3</f>
        <v>16.34</v>
      </c>
      <c r="C44" s="28">
        <f>3.7*4.9</f>
        <v>18.130000000000003</v>
      </c>
      <c r="D44" s="28">
        <f>5.4*4.6</f>
        <v>24.84</v>
      </c>
      <c r="E44" s="28">
        <f>6.2*5.1</f>
        <v>31.619999999999997</v>
      </c>
      <c r="F44" s="28">
        <f>6.3*5.9</f>
        <v>37.17</v>
      </c>
      <c r="G44" s="30">
        <f>7.4*7</f>
        <v>51.800000000000004</v>
      </c>
      <c r="H44" s="30">
        <f>7.8*6.5</f>
        <v>50.699999999999996</v>
      </c>
      <c r="I44" s="28">
        <f>8.3*7.4</f>
        <v>61.420000000000009</v>
      </c>
      <c r="J44" s="26"/>
    </row>
    <row r="45" spans="1:10" s="20" customFormat="1" ht="15.75" x14ac:dyDescent="0.25">
      <c r="A45" s="74"/>
      <c r="B45" s="28">
        <f>4.2*3.2</f>
        <v>13.440000000000001</v>
      </c>
      <c r="C45" s="28">
        <f>5.7*3.8</f>
        <v>21.66</v>
      </c>
      <c r="D45" s="28">
        <f>6.3*4.7</f>
        <v>29.61</v>
      </c>
      <c r="E45" s="28">
        <f>8*6.1</f>
        <v>48.8</v>
      </c>
      <c r="F45" s="28">
        <f>6.3*8.8</f>
        <v>55.440000000000005</v>
      </c>
      <c r="G45" s="30">
        <f>9.4*7.5</f>
        <v>70.5</v>
      </c>
      <c r="H45" s="30">
        <f>10.4*7.5</f>
        <v>78</v>
      </c>
      <c r="I45" s="28">
        <f>11.5*8.3</f>
        <v>95.45</v>
      </c>
      <c r="J45" s="26"/>
    </row>
    <row r="46" spans="1:10" s="20" customFormat="1" ht="15.75" x14ac:dyDescent="0.25">
      <c r="A46" s="74"/>
      <c r="B46" s="28">
        <f>3.2*3.6</f>
        <v>11.520000000000001</v>
      </c>
      <c r="C46" s="28">
        <f>4.2*3.9</f>
        <v>16.38</v>
      </c>
      <c r="D46" s="28">
        <f>5.9*5.1</f>
        <v>30.09</v>
      </c>
      <c r="E46" s="28">
        <f>6*6.2</f>
        <v>37.200000000000003</v>
      </c>
      <c r="F46" s="28">
        <f>6.6*7.3</f>
        <v>48.18</v>
      </c>
      <c r="G46" s="30">
        <f>7.2*7.9</f>
        <v>56.88</v>
      </c>
      <c r="H46" s="30">
        <f>7.4*8.3</f>
        <v>61.420000000000009</v>
      </c>
      <c r="I46" s="28">
        <f>9.5*8.8</f>
        <v>83.600000000000009</v>
      </c>
      <c r="J46" s="26"/>
    </row>
    <row r="47" spans="1:10" s="20" customFormat="1" ht="15.75" x14ac:dyDescent="0.25">
      <c r="A47" s="74"/>
      <c r="B47" s="28">
        <v>16.8</v>
      </c>
      <c r="C47" s="28">
        <v>16.8</v>
      </c>
      <c r="D47" s="28">
        <v>25.299999999999997</v>
      </c>
      <c r="E47" s="28">
        <v>38.35</v>
      </c>
      <c r="F47" s="28">
        <v>39.42</v>
      </c>
      <c r="G47" s="28">
        <v>40.279999999999994</v>
      </c>
      <c r="H47" s="28">
        <v>59.8</v>
      </c>
      <c r="I47" s="28">
        <v>74.69</v>
      </c>
      <c r="J47" s="26"/>
    </row>
    <row r="48" spans="1:10" s="20" customFormat="1" ht="15.75" x14ac:dyDescent="0.25">
      <c r="A48" s="74"/>
      <c r="B48" s="28">
        <v>7.839999999999999</v>
      </c>
      <c r="C48" s="28">
        <v>11.9</v>
      </c>
      <c r="D48" s="28">
        <v>21.599999999999998</v>
      </c>
      <c r="E48" s="28">
        <v>24.509999999999998</v>
      </c>
      <c r="F48" s="28">
        <v>33.15</v>
      </c>
      <c r="G48" s="28">
        <v>39.330000000000005</v>
      </c>
      <c r="H48" s="28">
        <v>38.76</v>
      </c>
      <c r="I48" s="28">
        <v>58.519999999999996</v>
      </c>
      <c r="J48" s="26"/>
    </row>
    <row r="49" spans="1:10" s="20" customFormat="1" ht="15.75" x14ac:dyDescent="0.25">
      <c r="A49" s="74"/>
      <c r="B49" s="28">
        <v>14.819999999999999</v>
      </c>
      <c r="C49" s="28">
        <v>16.8</v>
      </c>
      <c r="D49" s="28">
        <v>23.03</v>
      </c>
      <c r="E49" s="28">
        <v>29.15</v>
      </c>
      <c r="F49" s="28">
        <v>30.599999999999998</v>
      </c>
      <c r="G49" s="28">
        <v>36.299999999999997</v>
      </c>
      <c r="H49" s="28">
        <v>42.480000000000004</v>
      </c>
      <c r="I49" s="28">
        <v>42.25</v>
      </c>
      <c r="J49" s="26"/>
    </row>
    <row r="50" spans="1:10" s="20" customFormat="1" ht="15.75" x14ac:dyDescent="0.25">
      <c r="A50" s="74"/>
      <c r="B50" s="28">
        <v>24.44</v>
      </c>
      <c r="C50" s="28">
        <v>25.2</v>
      </c>
      <c r="D50" s="28">
        <v>38.35</v>
      </c>
      <c r="E50" s="28">
        <v>43.8</v>
      </c>
      <c r="F50" s="28">
        <v>47.12</v>
      </c>
      <c r="G50" s="28">
        <v>48.599999999999994</v>
      </c>
      <c r="H50" s="28">
        <v>67.16</v>
      </c>
      <c r="I50" s="28">
        <v>77</v>
      </c>
      <c r="J50" s="26"/>
    </row>
    <row r="51" spans="1:10" s="20" customFormat="1" ht="15.75" x14ac:dyDescent="0.25">
      <c r="A51" s="74"/>
      <c r="B51" s="28">
        <v>19.600000000000001</v>
      </c>
      <c r="C51" s="28">
        <v>30</v>
      </c>
      <c r="D51" s="28">
        <v>24.84</v>
      </c>
      <c r="E51" s="28">
        <v>37.24</v>
      </c>
      <c r="F51" s="28">
        <v>35.64</v>
      </c>
      <c r="G51" s="28">
        <v>37.629999999999995</v>
      </c>
      <c r="H51" s="28">
        <v>57</v>
      </c>
      <c r="I51" s="28">
        <v>62.720000000000006</v>
      </c>
      <c r="J51" s="26"/>
    </row>
    <row r="52" spans="1:10" s="20" customFormat="1" ht="15.75" x14ac:dyDescent="0.25">
      <c r="A52" s="74" t="s">
        <v>100</v>
      </c>
      <c r="B52" s="28">
        <f>3.4*3.2</f>
        <v>10.88</v>
      </c>
      <c r="C52" s="28">
        <f>3.9*4</f>
        <v>15.6</v>
      </c>
      <c r="D52" s="28">
        <f>6*4.9</f>
        <v>29.400000000000002</v>
      </c>
      <c r="E52" s="28">
        <f>4.8*5</f>
        <v>24</v>
      </c>
      <c r="F52" s="28">
        <f>4.9*5.5</f>
        <v>26.950000000000003</v>
      </c>
      <c r="G52" s="30">
        <f>4.3*5.1</f>
        <v>21.929999999999996</v>
      </c>
      <c r="H52" s="30">
        <f>5.3*5.9</f>
        <v>31.27</v>
      </c>
      <c r="I52" s="28">
        <f>6.8*6.6</f>
        <v>44.879999999999995</v>
      </c>
      <c r="J52" s="15">
        <f>6.8*7.6</f>
        <v>51.68</v>
      </c>
    </row>
    <row r="53" spans="1:10" s="20" customFormat="1" ht="15.75" x14ac:dyDescent="0.25">
      <c r="A53" s="74"/>
      <c r="B53" s="28">
        <f>4*3.4</f>
        <v>13.6</v>
      </c>
      <c r="C53" s="28">
        <f>3.7*4.5</f>
        <v>16.650000000000002</v>
      </c>
      <c r="D53" s="28">
        <f>3.5*4.5</f>
        <v>15.75</v>
      </c>
      <c r="E53" s="28">
        <f>3.4*4.1</f>
        <v>13.939999999999998</v>
      </c>
      <c r="F53" s="28">
        <f>3.1*2.9</f>
        <v>8.99</v>
      </c>
      <c r="G53" s="30">
        <f>2.8*2.9</f>
        <v>8.1199999999999992</v>
      </c>
      <c r="H53" s="30">
        <f>3*2.8</f>
        <v>8.3999999999999986</v>
      </c>
      <c r="I53" s="28">
        <f>3.9*3.2</f>
        <v>12.48</v>
      </c>
      <c r="J53" s="15">
        <f>3*3</f>
        <v>9</v>
      </c>
    </row>
    <row r="54" spans="1:10" s="20" customFormat="1" ht="15.75" x14ac:dyDescent="0.25">
      <c r="A54" s="74"/>
      <c r="B54" s="28">
        <f>4.7*2.7</f>
        <v>12.690000000000001</v>
      </c>
      <c r="C54" s="28">
        <f>4.6*3.4</f>
        <v>15.639999999999999</v>
      </c>
      <c r="D54" s="28">
        <f>3.4*3.8</f>
        <v>12.92</v>
      </c>
      <c r="E54" s="28">
        <f>4.4*3.3</f>
        <v>14.52</v>
      </c>
      <c r="F54" s="28">
        <f>4.8*3.3</f>
        <v>15.839999999999998</v>
      </c>
      <c r="G54" s="30">
        <f>4.8*3.6</f>
        <v>17.28</v>
      </c>
      <c r="H54" s="30">
        <f>5.4*3.8</f>
        <v>20.52</v>
      </c>
      <c r="I54" s="28">
        <f>6.4*4.4</f>
        <v>28.160000000000004</v>
      </c>
      <c r="J54" s="15">
        <f>7.1*4.4</f>
        <v>31.240000000000002</v>
      </c>
    </row>
    <row r="55" spans="1:10" s="20" customFormat="1" ht="15.75" x14ac:dyDescent="0.25">
      <c r="A55" s="74"/>
      <c r="B55" s="28">
        <f>5.4*4.3</f>
        <v>23.22</v>
      </c>
      <c r="C55" s="28">
        <f>5.7*7.3</f>
        <v>41.61</v>
      </c>
      <c r="D55" s="28">
        <f>8.1*5.9</f>
        <v>47.79</v>
      </c>
      <c r="E55" s="28">
        <f>7.7*8.5</f>
        <v>65.45</v>
      </c>
      <c r="F55" s="28">
        <f>8.1*9.6</f>
        <v>77.759999999999991</v>
      </c>
      <c r="G55" s="30">
        <f>9.9*8.4</f>
        <v>83.160000000000011</v>
      </c>
      <c r="H55" s="30">
        <f>8.8*10.9</f>
        <v>95.920000000000016</v>
      </c>
      <c r="I55" s="28">
        <f>7.7*9.6</f>
        <v>73.92</v>
      </c>
      <c r="J55" s="15">
        <f>7.9*10.4</f>
        <v>82.160000000000011</v>
      </c>
    </row>
    <row r="56" spans="1:10" s="20" customFormat="1" ht="15.75" x14ac:dyDescent="0.25">
      <c r="A56" s="74"/>
      <c r="B56" s="28">
        <f>4.9*3.3</f>
        <v>16.170000000000002</v>
      </c>
      <c r="C56" s="28">
        <f>4.3*5.8</f>
        <v>24.939999999999998</v>
      </c>
      <c r="D56" s="28">
        <f>5.6*4.7</f>
        <v>26.32</v>
      </c>
      <c r="E56" s="28">
        <f>4.5*6</f>
        <v>27</v>
      </c>
      <c r="F56" s="28">
        <f>4.7*5.8</f>
        <v>27.26</v>
      </c>
      <c r="G56" s="30">
        <f>3.7*5</f>
        <v>18.5</v>
      </c>
      <c r="H56" s="30">
        <f>4*5.4</f>
        <v>21.6</v>
      </c>
      <c r="I56" s="28">
        <f>4*5</f>
        <v>20</v>
      </c>
      <c r="J56" s="15">
        <f>3.3*4</f>
        <v>13.2</v>
      </c>
    </row>
    <row r="57" spans="1:10" s="20" customFormat="1" ht="15.75" x14ac:dyDescent="0.25">
      <c r="A57" s="74"/>
      <c r="B57" s="28">
        <f>5*3.4</f>
        <v>17</v>
      </c>
      <c r="C57" s="28">
        <f>5.7*3.8</f>
        <v>21.66</v>
      </c>
      <c r="D57" s="28">
        <f>6.4*4.5</f>
        <v>28.8</v>
      </c>
      <c r="E57" s="28">
        <f>5.4*6.8</f>
        <v>36.72</v>
      </c>
      <c r="F57" s="28">
        <f>5.9*6.5</f>
        <v>38.35</v>
      </c>
      <c r="G57" s="30">
        <f>5.8*7.6</f>
        <v>44.08</v>
      </c>
      <c r="H57" s="30">
        <f>6.1*8</f>
        <v>48.8</v>
      </c>
      <c r="I57" s="28">
        <f>6.9*9.6</f>
        <v>66.239999999999995</v>
      </c>
      <c r="J57" s="15">
        <f>7*9.9</f>
        <v>69.3</v>
      </c>
    </row>
    <row r="58" spans="1:10" s="20" customFormat="1" ht="15.75" x14ac:dyDescent="0.25">
      <c r="A58" s="74"/>
      <c r="B58" s="28">
        <f>3.2*3.2</f>
        <v>10.240000000000002</v>
      </c>
      <c r="C58" s="28">
        <f>3.6*3.6</f>
        <v>12.96</v>
      </c>
      <c r="D58" s="28">
        <f>4*3.4</f>
        <v>13.6</v>
      </c>
      <c r="E58" s="28">
        <f>3.5*3.7</f>
        <v>12.950000000000001</v>
      </c>
      <c r="F58" s="28">
        <f>3.6*3.6</f>
        <v>12.96</v>
      </c>
      <c r="G58" s="30">
        <f>3.4*3.9</f>
        <v>13.26</v>
      </c>
      <c r="H58" s="30">
        <f>3.9*3.9</f>
        <v>15.209999999999999</v>
      </c>
      <c r="I58" s="28">
        <f>3.9*4.5</f>
        <v>17.55</v>
      </c>
      <c r="J58" s="15">
        <f>4.8*4.4</f>
        <v>21.12</v>
      </c>
    </row>
    <row r="59" spans="1:10" s="20" customFormat="1" ht="15.75" x14ac:dyDescent="0.25">
      <c r="A59" s="74"/>
      <c r="B59" s="28">
        <f>3.2*3.7</f>
        <v>11.840000000000002</v>
      </c>
      <c r="C59" s="28">
        <f>3.6*4.4</f>
        <v>15.840000000000002</v>
      </c>
      <c r="D59" s="28">
        <f>5.1*4.2</f>
        <v>21.419999999999998</v>
      </c>
      <c r="E59" s="28">
        <f>3.6*4.2</f>
        <v>15.120000000000001</v>
      </c>
      <c r="F59" s="28">
        <f>4.1*4.6</f>
        <v>18.859999999999996</v>
      </c>
      <c r="G59" s="30">
        <f>4*4.2</f>
        <v>16.8</v>
      </c>
      <c r="H59" s="30">
        <f>4*4.4</f>
        <v>17.600000000000001</v>
      </c>
      <c r="I59" s="28">
        <f>4.3*4.5</f>
        <v>19.349999999999998</v>
      </c>
      <c r="J59" s="15">
        <f>3.7*4.8</f>
        <v>17.760000000000002</v>
      </c>
    </row>
    <row r="60" spans="1:10" s="20" customFormat="1" ht="15.75" x14ac:dyDescent="0.25">
      <c r="A60" s="74"/>
      <c r="B60" s="28">
        <v>12.209999999999999</v>
      </c>
      <c r="C60" s="28">
        <v>18.399999999999999</v>
      </c>
      <c r="D60" s="28">
        <v>19.8</v>
      </c>
      <c r="E60" s="28">
        <v>16</v>
      </c>
      <c r="F60" s="28">
        <v>14.8</v>
      </c>
      <c r="G60" s="28">
        <v>12.24</v>
      </c>
      <c r="H60" s="28">
        <v>15.959999999999999</v>
      </c>
      <c r="I60" s="28">
        <v>19.600000000000001</v>
      </c>
      <c r="J60" s="15">
        <v>15.6</v>
      </c>
    </row>
    <row r="61" spans="1:10" s="20" customFormat="1" ht="15.75" x14ac:dyDescent="0.25">
      <c r="A61" s="74"/>
      <c r="B61" s="28">
        <v>11.200000000000001</v>
      </c>
      <c r="C61" s="28">
        <v>18.059999999999999</v>
      </c>
      <c r="D61" s="28">
        <v>16.28</v>
      </c>
      <c r="E61" s="28">
        <v>17.2</v>
      </c>
      <c r="F61" s="28">
        <v>16.34</v>
      </c>
      <c r="G61" s="28">
        <v>17.2</v>
      </c>
      <c r="H61" s="28">
        <v>23.849999999999998</v>
      </c>
      <c r="I61" s="28">
        <v>27.26</v>
      </c>
      <c r="J61" s="15">
        <v>19.779999999999998</v>
      </c>
    </row>
    <row r="62" spans="1:10" s="20" customFormat="1" ht="15.75" x14ac:dyDescent="0.25">
      <c r="A62" s="74"/>
      <c r="B62" s="28">
        <v>17.600000000000001</v>
      </c>
      <c r="C62" s="28">
        <v>22.56</v>
      </c>
      <c r="D62" s="28">
        <v>12.25</v>
      </c>
      <c r="E62" s="28">
        <v>14.4</v>
      </c>
      <c r="F62" s="28">
        <v>9</v>
      </c>
      <c r="G62" s="28">
        <v>9</v>
      </c>
      <c r="H62" s="28">
        <v>4</v>
      </c>
      <c r="I62" s="28">
        <v>10.5</v>
      </c>
      <c r="J62" s="15">
        <v>10.8</v>
      </c>
    </row>
    <row r="63" spans="1:10" s="20" customFormat="1" ht="15.75" x14ac:dyDescent="0.25">
      <c r="A63" s="74"/>
      <c r="B63" s="28">
        <v>17.2</v>
      </c>
      <c r="C63" s="28">
        <v>24.38</v>
      </c>
      <c r="D63" s="28">
        <v>19.779999999999998</v>
      </c>
      <c r="E63" s="28">
        <v>21.12</v>
      </c>
      <c r="F63" s="28">
        <v>24.99</v>
      </c>
      <c r="G63" s="28">
        <v>16.34</v>
      </c>
      <c r="H63" s="28">
        <v>19.32</v>
      </c>
      <c r="I63" s="28">
        <v>25.85</v>
      </c>
      <c r="J63" s="15">
        <v>28.6</v>
      </c>
    </row>
    <row r="64" spans="1:10" s="20" customFormat="1" ht="15.75" x14ac:dyDescent="0.25">
      <c r="A64" s="74" t="s">
        <v>101</v>
      </c>
      <c r="B64" s="28">
        <f>3*4.6</f>
        <v>13.799999999999999</v>
      </c>
      <c r="C64" s="28">
        <f>3.6*5.6</f>
        <v>20.16</v>
      </c>
      <c r="D64" s="28">
        <f>3.8*5.2</f>
        <v>19.759999999999998</v>
      </c>
      <c r="E64" s="28">
        <f>4.1*5.4</f>
        <v>22.14</v>
      </c>
      <c r="F64" s="28">
        <f>4.4*5.9</f>
        <v>25.960000000000004</v>
      </c>
      <c r="G64" s="30">
        <f>4.8*7</f>
        <v>33.6</v>
      </c>
      <c r="H64" s="30">
        <f>4*7.2</f>
        <v>28.8</v>
      </c>
      <c r="I64" s="28">
        <f>8.2*4.9</f>
        <v>40.18</v>
      </c>
      <c r="J64" s="15">
        <f>8.6*4.9</f>
        <v>42.14</v>
      </c>
    </row>
    <row r="65" spans="1:17" s="20" customFormat="1" ht="15.75" x14ac:dyDescent="0.25">
      <c r="A65" s="74"/>
      <c r="B65" s="28">
        <f>3.4*3.2</f>
        <v>10.88</v>
      </c>
      <c r="C65" s="28">
        <f>4*3.2</f>
        <v>12.8</v>
      </c>
      <c r="D65" s="28">
        <f>4.7*4.9</f>
        <v>23.03</v>
      </c>
      <c r="E65" s="28">
        <f>5.5*4.3</f>
        <v>23.65</v>
      </c>
      <c r="F65" s="28">
        <f>6.7*5.1</f>
        <v>34.17</v>
      </c>
      <c r="G65" s="30">
        <f>5.4*6.6</f>
        <v>35.64</v>
      </c>
      <c r="H65" s="30">
        <f>6.4*5.6</f>
        <v>35.839999999999996</v>
      </c>
      <c r="I65" s="28">
        <f>7.4*6.2</f>
        <v>45.88</v>
      </c>
      <c r="J65" s="15">
        <f>7.9*6.5</f>
        <v>51.35</v>
      </c>
    </row>
    <row r="66" spans="1:17" s="20" customFormat="1" ht="15.75" x14ac:dyDescent="0.25">
      <c r="A66" s="74"/>
      <c r="B66" s="28">
        <f>4.4*3.6</f>
        <v>15.840000000000002</v>
      </c>
      <c r="C66" s="28">
        <f>4*5.2</f>
        <v>20.8</v>
      </c>
      <c r="D66" s="28">
        <f>5.4*4.4</f>
        <v>23.760000000000005</v>
      </c>
      <c r="E66" s="28">
        <f>6.3*5.3</f>
        <v>33.39</v>
      </c>
      <c r="F66" s="28">
        <f>5.7*6.4</f>
        <v>36.480000000000004</v>
      </c>
      <c r="G66" s="30">
        <f>5.6*6.6</f>
        <v>36.959999999999994</v>
      </c>
      <c r="H66" s="30">
        <f>5.8*6.5</f>
        <v>37.699999999999996</v>
      </c>
      <c r="I66" s="28">
        <f>7.2*7.2</f>
        <v>51.84</v>
      </c>
      <c r="J66" s="15">
        <f>7.3*6.6</f>
        <v>48.18</v>
      </c>
    </row>
    <row r="67" spans="1:17" s="20" customFormat="1" ht="15.75" x14ac:dyDescent="0.25">
      <c r="A67" s="74"/>
      <c r="B67" s="28">
        <f>3.8*4.5</f>
        <v>17.099999999999998</v>
      </c>
      <c r="C67" s="28">
        <f>4.7*4.9</f>
        <v>23.03</v>
      </c>
      <c r="D67" s="28">
        <f>4.7*5.5</f>
        <v>25.85</v>
      </c>
      <c r="E67" s="28">
        <f>5.6*5.3</f>
        <v>29.679999999999996</v>
      </c>
      <c r="F67" s="28">
        <f>5.2*6</f>
        <v>31.200000000000003</v>
      </c>
      <c r="G67" s="30">
        <f>6.7*6.6</f>
        <v>44.22</v>
      </c>
      <c r="H67" s="30">
        <f>7.1*6.3</f>
        <v>44.73</v>
      </c>
      <c r="I67" s="28">
        <f>8.4*7.2</f>
        <v>60.480000000000004</v>
      </c>
      <c r="J67" s="15">
        <f>8.6*8.1</f>
        <v>69.66</v>
      </c>
    </row>
    <row r="68" spans="1:17" s="20" customFormat="1" ht="15.75" x14ac:dyDescent="0.25">
      <c r="A68" s="74"/>
      <c r="B68" s="28">
        <f>4*3.1</f>
        <v>12.4</v>
      </c>
      <c r="C68" s="28">
        <f>4.1*5.3</f>
        <v>21.729999999999997</v>
      </c>
      <c r="D68" s="28">
        <f>6.8*5.5</f>
        <v>37.4</v>
      </c>
      <c r="E68" s="28">
        <f>4.9*6.8</f>
        <v>33.32</v>
      </c>
      <c r="F68" s="28">
        <f>4.7*7.6</f>
        <v>35.72</v>
      </c>
      <c r="G68" s="30">
        <f>8.2*5.2</f>
        <v>42.64</v>
      </c>
      <c r="H68" s="30">
        <f>5.9*9</f>
        <v>53.1</v>
      </c>
      <c r="I68" s="28">
        <f>9.7*6.6</f>
        <v>64.02</v>
      </c>
      <c r="J68" s="15">
        <f>10.4*8.6</f>
        <v>89.44</v>
      </c>
    </row>
    <row r="69" spans="1:17" s="20" customFormat="1" ht="15.75" x14ac:dyDescent="0.25">
      <c r="A69" s="74"/>
      <c r="B69" s="28">
        <f>4.8*3.9</f>
        <v>18.72</v>
      </c>
      <c r="C69" s="28">
        <f>5.3*5.2</f>
        <v>27.56</v>
      </c>
      <c r="D69" s="28">
        <f>6.6*6</f>
        <v>39.599999999999994</v>
      </c>
      <c r="E69" s="28">
        <f>5.9*6</f>
        <v>35.400000000000006</v>
      </c>
      <c r="F69" s="28">
        <f>6.3*6.9</f>
        <v>43.47</v>
      </c>
      <c r="G69" s="30">
        <f>7.2*8.1</f>
        <v>58.32</v>
      </c>
      <c r="H69" s="30">
        <f>8*9.4</f>
        <v>75.2</v>
      </c>
      <c r="I69" s="28">
        <f>11.3*8.8</f>
        <v>99.440000000000012</v>
      </c>
      <c r="J69" s="28">
        <f>13.4*9.7</f>
        <v>129.97999999999999</v>
      </c>
    </row>
    <row r="70" spans="1:17" s="20" customFormat="1" ht="15.75" x14ac:dyDescent="0.25">
      <c r="A70" s="74"/>
      <c r="B70" s="28">
        <f>3.7*2.8</f>
        <v>10.36</v>
      </c>
      <c r="C70" s="28">
        <f>3.9*4</f>
        <v>15.6</v>
      </c>
      <c r="D70" s="28">
        <f>4.2*3.6</f>
        <v>15.120000000000001</v>
      </c>
      <c r="E70" s="28">
        <f>4*4.2</f>
        <v>16.8</v>
      </c>
      <c r="F70" s="28">
        <f>4.2*4.9</f>
        <v>20.580000000000002</v>
      </c>
      <c r="G70" s="30">
        <f>5.2*4.8</f>
        <v>24.96</v>
      </c>
      <c r="H70" s="30">
        <f>4.7*4.9</f>
        <v>23.03</v>
      </c>
      <c r="I70" s="28">
        <f>6.3*5.8</f>
        <v>36.54</v>
      </c>
      <c r="J70" s="15">
        <f>6.8*6</f>
        <v>40.799999999999997</v>
      </c>
    </row>
    <row r="71" spans="1:17" s="20" customFormat="1" ht="15.75" x14ac:dyDescent="0.25">
      <c r="A71" s="74"/>
      <c r="B71" s="28">
        <f>3.3*3.6</f>
        <v>11.879999999999999</v>
      </c>
      <c r="C71" s="28">
        <f>4.8*4.5</f>
        <v>21.599999999999998</v>
      </c>
      <c r="D71" s="28">
        <f>6.6*3.8</f>
        <v>25.08</v>
      </c>
      <c r="E71" s="28">
        <f>4.9*5.6</f>
        <v>27.44</v>
      </c>
      <c r="F71" s="28">
        <f>4.7*6.1</f>
        <v>28.669999999999998</v>
      </c>
      <c r="G71" s="30">
        <f>7.4*5.3</f>
        <v>39.22</v>
      </c>
      <c r="H71" s="30">
        <f>8*5.9</f>
        <v>47.2</v>
      </c>
      <c r="I71" s="28">
        <f>9.2*6.5</f>
        <v>59.8</v>
      </c>
      <c r="J71" s="15">
        <f>9.3*7.1</f>
        <v>66.03</v>
      </c>
    </row>
    <row r="72" spans="1:17" s="20" customFormat="1" ht="15.75" x14ac:dyDescent="0.25">
      <c r="A72" s="27"/>
      <c r="B72" s="26"/>
      <c r="C72" s="26"/>
      <c r="D72" s="26"/>
      <c r="E72" s="26"/>
      <c r="F72" s="26"/>
      <c r="G72" s="31"/>
      <c r="H72" s="31"/>
      <c r="I72" s="26"/>
      <c r="J72" s="25"/>
    </row>
    <row r="73" spans="1:17" s="21" customFormat="1" x14ac:dyDescent="0.2">
      <c r="A73" s="32" t="s">
        <v>69</v>
      </c>
      <c r="B73" s="26" t="s">
        <v>109</v>
      </c>
      <c r="C73" s="26"/>
      <c r="D73" s="26"/>
      <c r="E73" s="26"/>
      <c r="F73" s="26"/>
      <c r="G73" s="36"/>
      <c r="H73" s="36"/>
      <c r="I73" s="26"/>
      <c r="J73" s="25"/>
    </row>
    <row r="74" spans="1:17" s="21" customFormat="1" x14ac:dyDescent="0.2">
      <c r="A74" s="78" t="s">
        <v>140</v>
      </c>
      <c r="B74" s="78"/>
      <c r="C74" s="78" t="s">
        <v>141</v>
      </c>
      <c r="D74" s="78"/>
      <c r="E74" s="78" t="s">
        <v>142</v>
      </c>
      <c r="F74" s="78"/>
      <c r="G74" s="78" t="s">
        <v>143</v>
      </c>
      <c r="H74" s="78"/>
      <c r="I74" s="26"/>
      <c r="J74" s="78" t="s">
        <v>140</v>
      </c>
      <c r="K74" s="78"/>
      <c r="L74" s="78" t="s">
        <v>145</v>
      </c>
      <c r="M74" s="78"/>
      <c r="N74" s="78" t="s">
        <v>142</v>
      </c>
      <c r="O74" s="78"/>
      <c r="P74" s="78" t="s">
        <v>146</v>
      </c>
      <c r="Q74" s="78"/>
    </row>
    <row r="75" spans="1:17" s="21" customFormat="1" x14ac:dyDescent="0.2">
      <c r="A75" s="28" t="s">
        <v>144</v>
      </c>
      <c r="B75" s="28"/>
      <c r="C75" s="28" t="s">
        <v>144</v>
      </c>
      <c r="D75" s="28"/>
      <c r="E75" s="28" t="s">
        <v>144</v>
      </c>
      <c r="F75" s="28"/>
      <c r="G75" s="28" t="s">
        <v>144</v>
      </c>
      <c r="H75" s="28"/>
      <c r="I75" s="26"/>
      <c r="J75" s="28" t="s">
        <v>144</v>
      </c>
      <c r="K75" s="28"/>
      <c r="L75" s="28" t="s">
        <v>144</v>
      </c>
      <c r="M75" s="28"/>
      <c r="N75" s="28" t="s">
        <v>144</v>
      </c>
      <c r="O75" s="28"/>
      <c r="P75" s="28" t="s">
        <v>144</v>
      </c>
      <c r="Q75" s="28"/>
    </row>
    <row r="76" spans="1:17" s="21" customFormat="1" x14ac:dyDescent="0.2">
      <c r="A76" s="28">
        <v>12</v>
      </c>
      <c r="B76" s="28">
        <v>1</v>
      </c>
      <c r="C76" s="28">
        <v>14</v>
      </c>
      <c r="D76" s="28">
        <v>1</v>
      </c>
      <c r="E76" s="23">
        <v>18</v>
      </c>
      <c r="F76" s="23">
        <v>1</v>
      </c>
      <c r="G76" s="23">
        <v>46</v>
      </c>
      <c r="H76" s="23">
        <v>1</v>
      </c>
      <c r="I76" s="26"/>
      <c r="J76" s="28">
        <v>12</v>
      </c>
      <c r="K76" s="28">
        <v>1</v>
      </c>
      <c r="L76" s="23">
        <v>16</v>
      </c>
      <c r="M76" s="23">
        <v>1</v>
      </c>
      <c r="N76" s="23">
        <v>18</v>
      </c>
      <c r="O76" s="23">
        <v>1</v>
      </c>
      <c r="P76" s="23">
        <v>38</v>
      </c>
      <c r="Q76" s="23">
        <v>1</v>
      </c>
    </row>
    <row r="77" spans="1:17" s="21" customFormat="1" x14ac:dyDescent="0.2">
      <c r="A77" s="28">
        <v>16</v>
      </c>
      <c r="B77" s="28">
        <v>1</v>
      </c>
      <c r="C77" s="28">
        <v>23</v>
      </c>
      <c r="D77" s="28">
        <v>1</v>
      </c>
      <c r="E77" s="23">
        <v>12</v>
      </c>
      <c r="F77" s="23">
        <v>1</v>
      </c>
      <c r="G77" s="23">
        <v>72</v>
      </c>
      <c r="H77" s="23">
        <v>1</v>
      </c>
      <c r="I77" s="26"/>
      <c r="J77" s="28">
        <v>16</v>
      </c>
      <c r="K77" s="28">
        <v>1</v>
      </c>
      <c r="L77" s="23">
        <v>18</v>
      </c>
      <c r="M77" s="23">
        <v>1</v>
      </c>
      <c r="N77" s="23">
        <v>12</v>
      </c>
      <c r="O77" s="23">
        <v>1</v>
      </c>
      <c r="P77" s="23">
        <v>32</v>
      </c>
      <c r="Q77" s="23">
        <v>1</v>
      </c>
    </row>
    <row r="78" spans="1:17" s="21" customFormat="1" x14ac:dyDescent="0.2">
      <c r="A78" s="28">
        <v>18</v>
      </c>
      <c r="B78" s="28">
        <v>1</v>
      </c>
      <c r="C78" s="28">
        <v>28</v>
      </c>
      <c r="D78" s="28">
        <v>1</v>
      </c>
      <c r="E78" s="23">
        <v>23</v>
      </c>
      <c r="F78" s="23">
        <v>1</v>
      </c>
      <c r="G78" s="23">
        <v>38</v>
      </c>
      <c r="H78" s="23">
        <v>1</v>
      </c>
      <c r="I78" s="26"/>
      <c r="J78" s="28">
        <v>18</v>
      </c>
      <c r="K78" s="28">
        <v>1</v>
      </c>
      <c r="L78" s="23">
        <v>18</v>
      </c>
      <c r="M78" s="23">
        <v>1</v>
      </c>
      <c r="N78" s="23">
        <v>23</v>
      </c>
      <c r="O78" s="23">
        <v>1</v>
      </c>
      <c r="P78" s="23">
        <v>32</v>
      </c>
      <c r="Q78" s="23">
        <v>1</v>
      </c>
    </row>
    <row r="79" spans="1:17" s="21" customFormat="1" x14ac:dyDescent="0.2">
      <c r="A79" s="28">
        <v>16</v>
      </c>
      <c r="B79" s="28">
        <v>1</v>
      </c>
      <c r="C79" s="28">
        <v>38</v>
      </c>
      <c r="D79" s="28">
        <v>1</v>
      </c>
      <c r="E79" s="23">
        <v>32</v>
      </c>
      <c r="F79" s="23">
        <v>1</v>
      </c>
      <c r="G79" s="23">
        <v>32</v>
      </c>
      <c r="H79" s="23">
        <v>1</v>
      </c>
      <c r="I79" s="26"/>
      <c r="J79" s="28">
        <v>16</v>
      </c>
      <c r="K79" s="28">
        <v>1</v>
      </c>
      <c r="L79" s="23">
        <v>12</v>
      </c>
      <c r="M79" s="23">
        <v>1</v>
      </c>
      <c r="N79" s="23">
        <v>32</v>
      </c>
      <c r="O79" s="23">
        <v>1</v>
      </c>
      <c r="P79" s="23">
        <v>30</v>
      </c>
      <c r="Q79" s="23">
        <v>1</v>
      </c>
    </row>
    <row r="80" spans="1:17" s="21" customFormat="1" x14ac:dyDescent="0.2">
      <c r="A80" s="28">
        <v>16</v>
      </c>
      <c r="B80" s="28">
        <v>1</v>
      </c>
      <c r="C80" s="28">
        <v>18</v>
      </c>
      <c r="D80" s="28">
        <v>1</v>
      </c>
      <c r="E80" s="23">
        <v>30</v>
      </c>
      <c r="F80" s="23">
        <v>1</v>
      </c>
      <c r="G80" s="23">
        <v>74</v>
      </c>
      <c r="H80" s="23">
        <v>0</v>
      </c>
      <c r="I80" s="26"/>
      <c r="J80" s="28">
        <v>16</v>
      </c>
      <c r="K80" s="28">
        <v>1</v>
      </c>
      <c r="L80" s="23">
        <v>16</v>
      </c>
      <c r="M80" s="23">
        <v>1</v>
      </c>
      <c r="N80" s="23">
        <v>30</v>
      </c>
      <c r="O80" s="23">
        <v>1</v>
      </c>
      <c r="P80" s="23">
        <v>28</v>
      </c>
      <c r="Q80" s="23">
        <v>1</v>
      </c>
    </row>
    <row r="81" spans="1:17" s="21" customFormat="1" x14ac:dyDescent="0.2">
      <c r="A81" s="28">
        <v>10</v>
      </c>
      <c r="B81" s="28">
        <v>1</v>
      </c>
      <c r="C81" s="28">
        <v>59</v>
      </c>
      <c r="D81" s="28">
        <v>1</v>
      </c>
      <c r="E81" s="23">
        <v>21</v>
      </c>
      <c r="F81" s="23">
        <v>1</v>
      </c>
      <c r="G81" s="23">
        <v>28</v>
      </c>
      <c r="H81" s="23">
        <v>1</v>
      </c>
      <c r="I81" s="26"/>
      <c r="J81" s="28">
        <v>10</v>
      </c>
      <c r="K81" s="28">
        <v>1</v>
      </c>
      <c r="L81" s="23">
        <v>28</v>
      </c>
      <c r="M81" s="23">
        <v>1</v>
      </c>
      <c r="N81" s="23">
        <v>21</v>
      </c>
      <c r="O81" s="23">
        <v>1</v>
      </c>
      <c r="P81" s="23">
        <v>21</v>
      </c>
      <c r="Q81" s="23">
        <v>1</v>
      </c>
    </row>
    <row r="82" spans="1:17" s="21" customFormat="1" x14ac:dyDescent="0.2">
      <c r="A82" s="28">
        <v>14</v>
      </c>
      <c r="B82" s="28">
        <v>1</v>
      </c>
      <c r="C82" s="28">
        <v>28</v>
      </c>
      <c r="D82" s="28">
        <v>1</v>
      </c>
      <c r="E82" s="23">
        <v>21</v>
      </c>
      <c r="F82" s="23">
        <v>1</v>
      </c>
      <c r="G82" s="23">
        <v>46</v>
      </c>
      <c r="H82" s="23">
        <v>1</v>
      </c>
      <c r="I82" s="26"/>
      <c r="J82" s="28">
        <v>14</v>
      </c>
      <c r="K82" s="28">
        <v>1</v>
      </c>
      <c r="L82" s="23">
        <v>18</v>
      </c>
      <c r="M82" s="23">
        <v>1</v>
      </c>
      <c r="N82" s="23">
        <v>21</v>
      </c>
      <c r="O82" s="23">
        <v>1</v>
      </c>
      <c r="P82" s="23">
        <v>42</v>
      </c>
      <c r="Q82" s="23">
        <v>1</v>
      </c>
    </row>
    <row r="83" spans="1:17" s="21" customFormat="1" x14ac:dyDescent="0.2">
      <c r="A83" s="28">
        <v>14</v>
      </c>
      <c r="B83" s="28">
        <v>1</v>
      </c>
      <c r="C83" s="28">
        <v>46</v>
      </c>
      <c r="D83" s="28">
        <v>1</v>
      </c>
      <c r="E83" s="23">
        <v>25</v>
      </c>
      <c r="F83" s="23">
        <v>1</v>
      </c>
      <c r="G83" s="23">
        <v>56</v>
      </c>
      <c r="H83" s="23">
        <v>1</v>
      </c>
      <c r="I83" s="26"/>
      <c r="J83" s="28">
        <v>14</v>
      </c>
      <c r="K83" s="28">
        <v>1</v>
      </c>
      <c r="L83" s="23">
        <v>14</v>
      </c>
      <c r="M83" s="23">
        <v>1</v>
      </c>
      <c r="N83" s="23">
        <v>25</v>
      </c>
      <c r="O83" s="23">
        <v>1</v>
      </c>
      <c r="P83" s="23">
        <v>28</v>
      </c>
      <c r="Q83" s="23">
        <v>1</v>
      </c>
    </row>
    <row r="84" spans="1:17" s="21" customFormat="1" x14ac:dyDescent="0.2">
      <c r="A84" s="28">
        <v>18</v>
      </c>
      <c r="B84" s="28">
        <v>1</v>
      </c>
      <c r="C84" s="28">
        <v>39</v>
      </c>
      <c r="D84" s="28">
        <v>1</v>
      </c>
      <c r="E84" s="23">
        <v>30</v>
      </c>
      <c r="F84" s="23">
        <v>1</v>
      </c>
      <c r="G84" s="23">
        <v>56</v>
      </c>
      <c r="H84" s="23">
        <v>1</v>
      </c>
      <c r="I84" s="26"/>
      <c r="J84" s="28">
        <v>18</v>
      </c>
      <c r="K84" s="28">
        <v>1</v>
      </c>
      <c r="L84" s="28"/>
      <c r="M84" s="28"/>
      <c r="N84" s="23">
        <v>30</v>
      </c>
      <c r="O84" s="23">
        <v>1</v>
      </c>
      <c r="P84" s="28"/>
      <c r="Q84" s="28"/>
    </row>
    <row r="85" spans="1:17" s="21" customFormat="1" x14ac:dyDescent="0.2">
      <c r="A85" s="28">
        <v>14</v>
      </c>
      <c r="B85" s="28">
        <v>1</v>
      </c>
      <c r="C85" s="28">
        <v>21</v>
      </c>
      <c r="D85" s="28">
        <v>1</v>
      </c>
      <c r="E85" s="23">
        <v>30</v>
      </c>
      <c r="F85" s="23">
        <v>1</v>
      </c>
      <c r="G85" s="23">
        <v>51</v>
      </c>
      <c r="H85" s="23">
        <v>1</v>
      </c>
      <c r="I85" s="26"/>
      <c r="J85" s="28">
        <v>14</v>
      </c>
      <c r="K85" s="28">
        <v>1</v>
      </c>
      <c r="L85" s="28"/>
      <c r="M85" s="28"/>
      <c r="N85" s="23">
        <v>30</v>
      </c>
      <c r="O85" s="23">
        <v>1</v>
      </c>
      <c r="P85" s="28"/>
      <c r="Q85" s="28"/>
    </row>
    <row r="86" spans="1:17" s="21" customFormat="1" x14ac:dyDescent="0.2">
      <c r="A86" s="28">
        <v>16</v>
      </c>
      <c r="B86" s="28">
        <v>1</v>
      </c>
      <c r="C86" s="28">
        <v>65</v>
      </c>
      <c r="D86" s="28">
        <v>0</v>
      </c>
      <c r="E86" s="23">
        <v>23</v>
      </c>
      <c r="F86" s="23">
        <v>1</v>
      </c>
      <c r="G86" s="23">
        <v>65</v>
      </c>
      <c r="H86" s="23">
        <v>1</v>
      </c>
      <c r="I86" s="26"/>
      <c r="J86" s="28">
        <v>16</v>
      </c>
      <c r="K86" s="28">
        <v>1</v>
      </c>
      <c r="L86" s="28"/>
      <c r="M86" s="28"/>
      <c r="N86" s="23">
        <v>23</v>
      </c>
      <c r="O86" s="23">
        <v>1</v>
      </c>
      <c r="P86" s="28"/>
      <c r="Q86" s="28"/>
    </row>
    <row r="87" spans="1:17" s="21" customFormat="1" x14ac:dyDescent="0.2">
      <c r="A87" s="28">
        <v>18</v>
      </c>
      <c r="B87" s="28">
        <v>1</v>
      </c>
      <c r="C87" s="28">
        <v>25</v>
      </c>
      <c r="D87" s="28">
        <v>1</v>
      </c>
      <c r="E87" s="23">
        <v>23</v>
      </c>
      <c r="F87" s="23">
        <v>1</v>
      </c>
      <c r="G87" s="23">
        <v>39</v>
      </c>
      <c r="H87" s="23">
        <v>1</v>
      </c>
      <c r="I87" s="26"/>
      <c r="J87" s="28">
        <v>18</v>
      </c>
      <c r="K87" s="28">
        <v>1</v>
      </c>
      <c r="L87" s="28"/>
      <c r="M87" s="28"/>
      <c r="N87" s="23">
        <v>23</v>
      </c>
      <c r="O87" s="23">
        <v>1</v>
      </c>
      <c r="P87" s="28"/>
      <c r="Q87" s="28"/>
    </row>
    <row r="88" spans="1:17" s="21" customFormat="1" x14ac:dyDescent="0.2">
      <c r="A88" s="28">
        <v>16</v>
      </c>
      <c r="B88" s="28">
        <v>1</v>
      </c>
      <c r="C88" s="28">
        <v>39</v>
      </c>
      <c r="D88" s="28">
        <v>1</v>
      </c>
      <c r="E88" s="28"/>
      <c r="F88" s="28"/>
      <c r="G88" s="28"/>
      <c r="H88" s="28"/>
      <c r="I88" s="26"/>
      <c r="J88" s="28">
        <v>16</v>
      </c>
      <c r="K88" s="28">
        <v>1</v>
      </c>
      <c r="L88" s="28"/>
      <c r="M88" s="28"/>
      <c r="N88" s="28"/>
      <c r="O88" s="28"/>
      <c r="P88" s="28"/>
      <c r="Q88" s="28"/>
    </row>
    <row r="89" spans="1:17" s="21" customFormat="1" x14ac:dyDescent="0.2">
      <c r="A89" s="28">
        <v>16</v>
      </c>
      <c r="B89" s="28">
        <v>1</v>
      </c>
      <c r="C89" s="28"/>
      <c r="D89" s="28"/>
      <c r="E89" s="28"/>
      <c r="F89" s="28"/>
      <c r="G89" s="28"/>
      <c r="H89" s="28"/>
      <c r="I89" s="26"/>
      <c r="J89" s="28">
        <v>16</v>
      </c>
      <c r="K89" s="28">
        <v>1</v>
      </c>
      <c r="L89" s="28"/>
      <c r="M89" s="28"/>
      <c r="N89" s="28"/>
      <c r="O89" s="28"/>
      <c r="P89" s="28"/>
      <c r="Q89" s="28"/>
    </row>
    <row r="90" spans="1:17" s="21" customFormat="1" x14ac:dyDescent="0.2">
      <c r="A90" s="28">
        <v>16</v>
      </c>
      <c r="B90" s="28">
        <v>1</v>
      </c>
      <c r="C90" s="28"/>
      <c r="D90" s="28"/>
      <c r="E90" s="28"/>
      <c r="F90" s="28"/>
      <c r="G90" s="28"/>
      <c r="H90" s="28"/>
      <c r="I90" s="26"/>
      <c r="J90" s="28">
        <v>16</v>
      </c>
      <c r="K90" s="28">
        <v>1</v>
      </c>
      <c r="L90" s="28"/>
      <c r="M90" s="28"/>
      <c r="N90" s="28"/>
      <c r="O90" s="28"/>
      <c r="P90" s="28"/>
      <c r="Q90" s="28"/>
    </row>
    <row r="91" spans="1:17" s="21" customFormat="1" x14ac:dyDescent="0.2">
      <c r="A91" s="28">
        <v>14</v>
      </c>
      <c r="B91" s="28">
        <v>1</v>
      </c>
      <c r="C91" s="28"/>
      <c r="D91" s="28"/>
      <c r="E91" s="28"/>
      <c r="F91" s="28"/>
      <c r="G91" s="28"/>
      <c r="H91" s="28"/>
      <c r="I91" s="1"/>
      <c r="J91" s="28">
        <v>14</v>
      </c>
      <c r="K91" s="28">
        <v>1</v>
      </c>
      <c r="L91" s="28"/>
      <c r="M91" s="28"/>
      <c r="N91" s="28"/>
      <c r="O91" s="28"/>
      <c r="P91" s="28"/>
      <c r="Q91" s="28"/>
    </row>
    <row r="92" spans="1:17" s="20" customFormat="1" ht="15.75" x14ac:dyDescent="0.25">
      <c r="A92" s="26"/>
      <c r="B92" s="33"/>
      <c r="C92" s="26"/>
      <c r="D92" s="33"/>
      <c r="E92" s="26"/>
      <c r="F92" s="33"/>
      <c r="G92" s="26"/>
      <c r="H92" s="33"/>
      <c r="I92" s="35"/>
      <c r="J92" s="26"/>
      <c r="K92" s="33"/>
      <c r="L92" s="26"/>
      <c r="M92" s="33"/>
      <c r="N92" s="26"/>
      <c r="O92" s="33"/>
      <c r="P92" s="26"/>
      <c r="Q92" s="33"/>
    </row>
    <row r="93" spans="1:17" x14ac:dyDescent="0.2">
      <c r="A93" s="25" t="s">
        <v>70</v>
      </c>
      <c r="B93" s="25" t="s">
        <v>104</v>
      </c>
      <c r="I93" s="35"/>
    </row>
    <row r="94" spans="1:17" x14ac:dyDescent="0.2">
      <c r="A94" s="74" t="s">
        <v>105</v>
      </c>
      <c r="B94" s="74"/>
      <c r="C94" s="74"/>
      <c r="D94" s="74"/>
      <c r="I94" s="35"/>
    </row>
    <row r="95" spans="1:17" x14ac:dyDescent="0.2">
      <c r="A95" s="74" t="s">
        <v>27</v>
      </c>
      <c r="B95" s="74"/>
      <c r="C95" s="74" t="s">
        <v>107</v>
      </c>
      <c r="D95" s="74"/>
      <c r="I95" s="35"/>
    </row>
    <row r="96" spans="1:17" x14ac:dyDescent="0.2">
      <c r="A96" s="15" t="s">
        <v>106</v>
      </c>
      <c r="B96" s="15" t="s">
        <v>4</v>
      </c>
      <c r="C96" s="15" t="s">
        <v>106</v>
      </c>
      <c r="D96" s="15" t="s">
        <v>4</v>
      </c>
      <c r="I96" s="35"/>
    </row>
    <row r="97" spans="1:9" x14ac:dyDescent="0.2">
      <c r="A97" s="15">
        <v>79.128097939683485</v>
      </c>
      <c r="B97" s="15">
        <v>170.01295336787564</v>
      </c>
      <c r="C97" s="15">
        <v>392.71811010339826</v>
      </c>
      <c r="D97" s="15">
        <v>345.47461368653427</v>
      </c>
      <c r="I97" s="35"/>
    </row>
    <row r="98" spans="1:9" x14ac:dyDescent="0.2">
      <c r="A98" s="15">
        <v>79.992800647941692</v>
      </c>
      <c r="B98" s="15">
        <v>47.478370964338467</v>
      </c>
      <c r="C98" s="15">
        <v>262.46719160104988</v>
      </c>
      <c r="D98" s="15">
        <v>515.59680329981961</v>
      </c>
      <c r="I98" s="35"/>
    </row>
    <row r="99" spans="1:9" x14ac:dyDescent="0.2">
      <c r="A99" s="15">
        <v>362.42567202319526</v>
      </c>
      <c r="B99" s="15">
        <v>66.027769393299124</v>
      </c>
      <c r="C99" s="15">
        <v>126.56641604010026</v>
      </c>
      <c r="D99" s="15">
        <v>89.010464157005771</v>
      </c>
      <c r="I99" s="35"/>
    </row>
    <row r="100" spans="1:9" x14ac:dyDescent="0.2">
      <c r="A100" s="15">
        <v>44.992801151815705</v>
      </c>
      <c r="B100" s="15">
        <v>21.541950113378686</v>
      </c>
      <c r="C100" s="15">
        <v>300.51249563444685</v>
      </c>
      <c r="D100" s="15">
        <v>106.60071635681392</v>
      </c>
      <c r="I100" s="35"/>
    </row>
    <row r="101" spans="1:9" x14ac:dyDescent="0.2">
      <c r="A101" s="15">
        <v>118.30319418624305</v>
      </c>
      <c r="B101" s="15">
        <v>147.78448513388273</v>
      </c>
      <c r="C101" s="15">
        <v>160.55045871559633</v>
      </c>
      <c r="D101" s="15">
        <v>459.51156812339332</v>
      </c>
      <c r="I101" s="35"/>
    </row>
    <row r="102" spans="1:9" x14ac:dyDescent="0.2">
      <c r="A102" s="15">
        <v>28.146361077603537</v>
      </c>
      <c r="B102" s="15">
        <v>10.560901196902135</v>
      </c>
      <c r="C102" s="15">
        <v>242.63192392166783</v>
      </c>
      <c r="D102" s="15">
        <v>275.42024039397069</v>
      </c>
      <c r="I102" s="35"/>
    </row>
    <row r="103" spans="1:9" x14ac:dyDescent="0.2">
      <c r="A103" s="15">
        <v>7.8100593564511103</v>
      </c>
      <c r="B103" s="15">
        <v>76.260762607626077</v>
      </c>
      <c r="C103" s="15">
        <v>65.06506506506507</v>
      </c>
      <c r="D103" s="15">
        <v>686.40861646148346</v>
      </c>
    </row>
    <row r="104" spans="1:9" x14ac:dyDescent="0.2">
      <c r="A104" s="15">
        <v>105.51807645736031</v>
      </c>
      <c r="B104" s="15">
        <v>99.011281708014337</v>
      </c>
      <c r="C104" s="15">
        <v>111.29431162407255</v>
      </c>
      <c r="D104" s="15">
        <v>1569.2659743002994</v>
      </c>
    </row>
    <row r="105" spans="1:9" x14ac:dyDescent="0.2">
      <c r="A105" s="15">
        <v>46.834020232296744</v>
      </c>
      <c r="B105" s="15">
        <v>9.300217211739767</v>
      </c>
      <c r="C105" s="15">
        <v>20.202020202020204</v>
      </c>
      <c r="D105" s="15">
        <v>62.418725617685297</v>
      </c>
    </row>
    <row r="106" spans="1:9" x14ac:dyDescent="0.2">
      <c r="A106" s="15">
        <v>53.882213481329813</v>
      </c>
      <c r="B106" s="15">
        <v>46.30033118354541</v>
      </c>
      <c r="C106" s="15">
        <v>37.944328081838329</v>
      </c>
      <c r="D106" s="15">
        <v>195.23727305327188</v>
      </c>
    </row>
    <row r="107" spans="1:9" x14ac:dyDescent="0.2">
      <c r="A107" s="15">
        <v>286.86226873481593</v>
      </c>
      <c r="B107" s="15">
        <v>110.26431003729526</v>
      </c>
      <c r="C107" s="15">
        <v>88.410737111205805</v>
      </c>
      <c r="D107" s="15">
        <v>201.29481529840595</v>
      </c>
    </row>
    <row r="108" spans="1:9" x14ac:dyDescent="0.2">
      <c r="A108" s="15">
        <v>47.877393554694883</v>
      </c>
      <c r="B108" s="15">
        <v>104.61842806056455</v>
      </c>
      <c r="C108" s="15">
        <v>710.93226022803492</v>
      </c>
      <c r="D108" s="15">
        <v>681.91444303261335</v>
      </c>
    </row>
    <row r="109" spans="1:9" x14ac:dyDescent="0.2">
      <c r="A109" s="15">
        <v>18.112853733378792</v>
      </c>
      <c r="B109" s="15">
        <v>69.366329208848896</v>
      </c>
      <c r="C109" s="15">
        <v>303.72305682560415</v>
      </c>
      <c r="D109" s="15">
        <v>183.66958507803577</v>
      </c>
    </row>
    <row r="110" spans="1:9" x14ac:dyDescent="0.2">
      <c r="A110" s="15">
        <v>168.86227544910179</v>
      </c>
      <c r="B110" s="15">
        <v>334.79904343130443</v>
      </c>
      <c r="C110" s="15">
        <v>283.73505408996016</v>
      </c>
      <c r="D110" s="15">
        <v>348.23284823284826</v>
      </c>
    </row>
    <row r="111" spans="1:9" x14ac:dyDescent="0.2">
      <c r="A111" s="15">
        <v>237.08917714249588</v>
      </c>
      <c r="B111" s="15">
        <v>238.49378582961768</v>
      </c>
      <c r="C111" s="15">
        <v>228.20891880642432</v>
      </c>
      <c r="D111" s="15">
        <v>3460.2577935563218</v>
      </c>
    </row>
    <row r="112" spans="1:9" x14ac:dyDescent="0.2">
      <c r="A112" s="15">
        <v>189.26359256710253</v>
      </c>
      <c r="B112" s="15">
        <v>241.18867019832356</v>
      </c>
      <c r="C112" s="15">
        <v>369.9265110847947</v>
      </c>
      <c r="D112" s="15">
        <v>973.21395817553673</v>
      </c>
    </row>
    <row r="113" spans="1:13" x14ac:dyDescent="0.2">
      <c r="A113" s="15">
        <v>238.02017654476671</v>
      </c>
      <c r="B113" s="15">
        <v>309.01773315015657</v>
      </c>
      <c r="C113" s="15">
        <v>390.22838758608873</v>
      </c>
      <c r="D113" s="15">
        <v>1696.2013494898556</v>
      </c>
    </row>
    <row r="114" spans="1:13" x14ac:dyDescent="0.2">
      <c r="A114" s="15">
        <v>182.86522529804003</v>
      </c>
      <c r="B114" s="15">
        <v>504.49793338195957</v>
      </c>
      <c r="C114" s="15">
        <v>139.74164300961687</v>
      </c>
      <c r="D114" s="15">
        <v>974.30650295588896</v>
      </c>
    </row>
    <row r="115" spans="1:13" x14ac:dyDescent="0.2">
      <c r="A115" s="15">
        <v>197.60372548890456</v>
      </c>
      <c r="B115" s="15">
        <v>337.62685402029666</v>
      </c>
      <c r="C115" s="15">
        <v>76.56069797293334</v>
      </c>
      <c r="D115" s="15">
        <v>313.84175015334284</v>
      </c>
    </row>
    <row r="116" spans="1:13" x14ac:dyDescent="0.2">
      <c r="A116" s="15">
        <v>240.25157232704402</v>
      </c>
      <c r="C116" s="15">
        <v>299.82182017543863</v>
      </c>
    </row>
    <row r="117" spans="1:13" x14ac:dyDescent="0.2">
      <c r="A117" s="15">
        <v>179.46161515453639</v>
      </c>
      <c r="C117" s="15">
        <v>276.43959882803699</v>
      </c>
    </row>
    <row r="118" spans="1:13" x14ac:dyDescent="0.2">
      <c r="A118" s="15">
        <v>132.16647622425472</v>
      </c>
      <c r="C118" s="15">
        <v>258.53405124072071</v>
      </c>
    </row>
    <row r="120" spans="1:13" x14ac:dyDescent="0.2">
      <c r="A120" s="25" t="s">
        <v>71</v>
      </c>
      <c r="B120" s="14"/>
    </row>
    <row r="121" spans="1:13" s="21" customFormat="1" x14ac:dyDescent="0.2">
      <c r="A121" s="74" t="s">
        <v>108</v>
      </c>
      <c r="B121" s="74"/>
      <c r="C121" s="74"/>
      <c r="D121" s="74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1:13" x14ac:dyDescent="0.2">
      <c r="A122" s="74" t="s">
        <v>27</v>
      </c>
      <c r="B122" s="74"/>
      <c r="C122" s="74" t="s">
        <v>107</v>
      </c>
      <c r="D122" s="74"/>
    </row>
    <row r="123" spans="1:13" x14ac:dyDescent="0.2">
      <c r="A123" s="15" t="s">
        <v>106</v>
      </c>
      <c r="B123" s="15" t="s">
        <v>4</v>
      </c>
      <c r="C123" s="15" t="s">
        <v>106</v>
      </c>
      <c r="D123" s="15" t="s">
        <v>4</v>
      </c>
    </row>
    <row r="124" spans="1:13" x14ac:dyDescent="0.2">
      <c r="A124" s="15">
        <v>69.400000000000006</v>
      </c>
      <c r="B124" s="15">
        <v>21.2</v>
      </c>
      <c r="C124" s="15">
        <v>47</v>
      </c>
      <c r="D124" s="15">
        <v>5.2</v>
      </c>
    </row>
    <row r="125" spans="1:13" x14ac:dyDescent="0.2">
      <c r="A125" s="15">
        <v>76.900000000000006</v>
      </c>
      <c r="B125" s="15">
        <v>42.8</v>
      </c>
      <c r="C125" s="15">
        <v>35.4</v>
      </c>
      <c r="D125" s="15">
        <v>16.8</v>
      </c>
    </row>
    <row r="126" spans="1:13" x14ac:dyDescent="0.2">
      <c r="A126" s="15">
        <v>158.19999999999999</v>
      </c>
      <c r="B126" s="15">
        <v>43.4</v>
      </c>
      <c r="C126" s="15">
        <v>55.4</v>
      </c>
      <c r="D126" s="15">
        <v>2.2999999999999998</v>
      </c>
    </row>
    <row r="127" spans="1:13" x14ac:dyDescent="0.2">
      <c r="A127" s="15">
        <v>52.4</v>
      </c>
      <c r="B127" s="15">
        <v>31.6</v>
      </c>
      <c r="C127" s="15">
        <v>70.2</v>
      </c>
      <c r="D127" s="15">
        <v>25.8</v>
      </c>
    </row>
    <row r="128" spans="1:13" x14ac:dyDescent="0.2">
      <c r="A128" s="15">
        <v>177.5</v>
      </c>
      <c r="B128" s="15">
        <v>10.9</v>
      </c>
      <c r="C128" s="15">
        <v>7.4</v>
      </c>
      <c r="D128" s="15">
        <v>26.3</v>
      </c>
    </row>
    <row r="129" spans="1:4" x14ac:dyDescent="0.2">
      <c r="A129" s="15">
        <v>76.8</v>
      </c>
      <c r="B129" s="15">
        <v>16.7</v>
      </c>
      <c r="C129" s="15">
        <v>32.6</v>
      </c>
      <c r="D129" s="15">
        <v>18.7</v>
      </c>
    </row>
    <row r="130" spans="1:4" x14ac:dyDescent="0.2">
      <c r="A130" s="15">
        <v>180</v>
      </c>
      <c r="B130" s="15">
        <v>35</v>
      </c>
      <c r="C130" s="15">
        <v>73.2</v>
      </c>
      <c r="D130" s="15">
        <v>26.7</v>
      </c>
    </row>
    <row r="131" spans="1:4" x14ac:dyDescent="0.2">
      <c r="A131" s="15">
        <v>71.2</v>
      </c>
      <c r="B131" s="15">
        <v>40.200000000000003</v>
      </c>
      <c r="C131" s="15">
        <v>224.6</v>
      </c>
      <c r="D131" s="15">
        <v>21.6</v>
      </c>
    </row>
    <row r="132" spans="1:4" x14ac:dyDescent="0.2">
      <c r="A132" s="15">
        <v>87.3</v>
      </c>
      <c r="B132" s="15">
        <v>37.799999999999997</v>
      </c>
      <c r="C132" s="15">
        <v>138.6</v>
      </c>
      <c r="D132" s="15">
        <v>63</v>
      </c>
    </row>
    <row r="133" spans="1:4" x14ac:dyDescent="0.2">
      <c r="A133" s="15">
        <v>162.4</v>
      </c>
      <c r="B133" s="15">
        <v>103</v>
      </c>
      <c r="C133" s="15">
        <v>28</v>
      </c>
      <c r="D133" s="15">
        <v>49.1</v>
      </c>
    </row>
    <row r="134" spans="1:4" x14ac:dyDescent="0.2">
      <c r="A134" s="15">
        <v>77.599999999999994</v>
      </c>
      <c r="B134" s="15">
        <v>67.099999999999994</v>
      </c>
      <c r="C134" s="15">
        <v>55.9</v>
      </c>
      <c r="D134" s="15">
        <v>56</v>
      </c>
    </row>
    <row r="135" spans="1:4" x14ac:dyDescent="0.2">
      <c r="A135" s="15">
        <v>117</v>
      </c>
      <c r="B135" s="15">
        <v>34.700000000000003</v>
      </c>
      <c r="C135" s="15">
        <v>64.099999999999994</v>
      </c>
      <c r="D135" s="15">
        <v>48.5</v>
      </c>
    </row>
    <row r="136" spans="1:4" x14ac:dyDescent="0.2">
      <c r="A136" s="15">
        <v>152.5</v>
      </c>
      <c r="B136" s="15">
        <v>18.2</v>
      </c>
      <c r="C136" s="15">
        <v>32.9</v>
      </c>
      <c r="D136" s="15">
        <v>19.8</v>
      </c>
    </row>
    <row r="137" spans="1:4" x14ac:dyDescent="0.2">
      <c r="A137" s="15">
        <v>95.8</v>
      </c>
      <c r="B137" s="15">
        <v>129.5</v>
      </c>
      <c r="C137" s="15">
        <v>20.3</v>
      </c>
      <c r="D137" s="15">
        <v>17.7</v>
      </c>
    </row>
    <row r="138" spans="1:4" x14ac:dyDescent="0.2">
      <c r="A138" s="15">
        <v>20.3</v>
      </c>
      <c r="B138" s="15">
        <v>36.5</v>
      </c>
      <c r="C138" s="15">
        <v>35</v>
      </c>
      <c r="D138" s="15">
        <v>15.3</v>
      </c>
    </row>
    <row r="139" spans="1:4" x14ac:dyDescent="0.2">
      <c r="A139" s="15">
        <v>76.7</v>
      </c>
      <c r="B139" s="15">
        <v>32.799999999999997</v>
      </c>
      <c r="C139" s="15">
        <v>17</v>
      </c>
      <c r="D139" s="15">
        <v>12.4</v>
      </c>
    </row>
    <row r="140" spans="1:4" x14ac:dyDescent="0.2">
      <c r="A140" s="15">
        <v>116.5</v>
      </c>
      <c r="B140" s="15">
        <v>32.299999999999997</v>
      </c>
      <c r="C140" s="15">
        <v>150.9</v>
      </c>
      <c r="D140" s="15">
        <v>16.100000000000001</v>
      </c>
    </row>
    <row r="141" spans="1:4" x14ac:dyDescent="0.2">
      <c r="A141" s="15">
        <v>88.7</v>
      </c>
      <c r="B141" s="15">
        <v>36.4</v>
      </c>
      <c r="C141" s="15">
        <v>23</v>
      </c>
      <c r="D141" s="15">
        <v>15.5</v>
      </c>
    </row>
    <row r="142" spans="1:4" x14ac:dyDescent="0.2">
      <c r="A142" s="15">
        <v>147.5</v>
      </c>
      <c r="B142" s="15">
        <v>36.9</v>
      </c>
      <c r="C142" s="15">
        <v>135.30000000000001</v>
      </c>
      <c r="D142" s="15">
        <v>35.799999999999997</v>
      </c>
    </row>
    <row r="143" spans="1:4" x14ac:dyDescent="0.2">
      <c r="A143" s="15">
        <v>76.3</v>
      </c>
      <c r="B143" s="15">
        <v>22.2</v>
      </c>
      <c r="C143" s="15">
        <v>84.1</v>
      </c>
      <c r="D143" s="15">
        <v>13.2</v>
      </c>
    </row>
    <row r="144" spans="1:4" x14ac:dyDescent="0.2">
      <c r="A144" s="15">
        <v>125.7</v>
      </c>
      <c r="B144" s="15">
        <v>52.8</v>
      </c>
      <c r="C144" s="15">
        <v>178.7</v>
      </c>
      <c r="D144" s="15">
        <v>42.8</v>
      </c>
    </row>
    <row r="145" spans="1:4" x14ac:dyDescent="0.2">
      <c r="A145" s="15">
        <v>167.7</v>
      </c>
      <c r="B145" s="15">
        <v>54.5</v>
      </c>
      <c r="C145" s="15">
        <v>112.4</v>
      </c>
      <c r="D145" s="15">
        <v>18.600000000000001</v>
      </c>
    </row>
    <row r="146" spans="1:4" x14ac:dyDescent="0.2">
      <c r="A146" s="15">
        <v>205.5</v>
      </c>
      <c r="B146" s="15">
        <v>21.9</v>
      </c>
      <c r="C146" s="15">
        <v>129.9</v>
      </c>
      <c r="D146" s="15">
        <v>33.799999999999997</v>
      </c>
    </row>
    <row r="147" spans="1:4" x14ac:dyDescent="0.2">
      <c r="A147" s="15">
        <v>141.1</v>
      </c>
      <c r="B147" s="15">
        <v>54.4</v>
      </c>
      <c r="C147" s="15">
        <v>38</v>
      </c>
      <c r="D147" s="15">
        <v>43.1</v>
      </c>
    </row>
    <row r="149" spans="1:4" x14ac:dyDescent="0.2">
      <c r="A149" s="25" t="s">
        <v>72</v>
      </c>
      <c r="B149" s="25" t="s">
        <v>110</v>
      </c>
    </row>
    <row r="150" spans="1:4" x14ac:dyDescent="0.2">
      <c r="A150" s="74" t="s">
        <v>105</v>
      </c>
      <c r="B150" s="74"/>
      <c r="C150" s="74"/>
      <c r="D150" s="74"/>
    </row>
    <row r="151" spans="1:4" x14ac:dyDescent="0.2">
      <c r="A151" s="74" t="s">
        <v>27</v>
      </c>
      <c r="B151" s="74"/>
      <c r="C151" s="74" t="s">
        <v>107</v>
      </c>
      <c r="D151" s="74"/>
    </row>
    <row r="152" spans="1:4" x14ac:dyDescent="0.2">
      <c r="A152" s="15" t="s">
        <v>106</v>
      </c>
      <c r="B152" s="15" t="s">
        <v>4</v>
      </c>
      <c r="C152" s="15" t="s">
        <v>106</v>
      </c>
      <c r="D152" s="15" t="s">
        <v>4</v>
      </c>
    </row>
    <row r="153" spans="1:4" x14ac:dyDescent="0.2">
      <c r="A153" s="15">
        <v>0.18</v>
      </c>
      <c r="B153" s="15">
        <v>0.66</v>
      </c>
      <c r="C153" s="15">
        <v>0.45</v>
      </c>
      <c r="D153" s="15">
        <v>0.98</v>
      </c>
    </row>
    <row r="154" spans="1:4" x14ac:dyDescent="0.2">
      <c r="A154" s="15">
        <v>0.23</v>
      </c>
      <c r="B154" s="15">
        <v>0.57999999999999996</v>
      </c>
      <c r="C154" s="15">
        <v>0.63</v>
      </c>
      <c r="D154" s="15">
        <v>0.47</v>
      </c>
    </row>
    <row r="155" spans="1:4" x14ac:dyDescent="0.2">
      <c r="A155" s="15">
        <v>0.16</v>
      </c>
      <c r="B155" s="15">
        <v>0.37</v>
      </c>
      <c r="C155" s="15">
        <v>0.24</v>
      </c>
      <c r="D155" s="15">
        <v>0.81</v>
      </c>
    </row>
    <row r="156" spans="1:4" x14ac:dyDescent="0.2">
      <c r="A156" s="15">
        <v>0.2</v>
      </c>
      <c r="B156" s="15">
        <v>0.38</v>
      </c>
      <c r="C156" s="15">
        <v>0.28000000000000003</v>
      </c>
      <c r="D156" s="15">
        <v>0.73</v>
      </c>
    </row>
    <row r="157" spans="1:4" x14ac:dyDescent="0.2">
      <c r="A157" s="15">
        <v>0.27</v>
      </c>
      <c r="B157" s="15">
        <v>0.31</v>
      </c>
      <c r="C157" s="15">
        <v>0.23</v>
      </c>
      <c r="D157" s="15">
        <v>1.6</v>
      </c>
    </row>
    <row r="158" spans="1:4" x14ac:dyDescent="0.2">
      <c r="A158" s="15">
        <v>0.25</v>
      </c>
      <c r="B158" s="15">
        <v>0.21</v>
      </c>
      <c r="C158" s="15">
        <v>0.32</v>
      </c>
      <c r="D158" s="15">
        <v>0.66</v>
      </c>
    </row>
    <row r="159" spans="1:4" x14ac:dyDescent="0.2">
      <c r="A159" s="15">
        <v>8.7999999999999995E-2</v>
      </c>
      <c r="B159" s="15">
        <v>0.36</v>
      </c>
      <c r="C159" s="15">
        <v>0.06</v>
      </c>
      <c r="D159" s="15">
        <v>0.8</v>
      </c>
    </row>
    <row r="160" spans="1:4" x14ac:dyDescent="0.2">
      <c r="A160" s="15">
        <v>5.3999999999999999E-2</v>
      </c>
      <c r="B160" s="15">
        <v>0.99</v>
      </c>
      <c r="C160" s="15">
        <v>6.8000000000000005E-2</v>
      </c>
      <c r="D160" s="15">
        <v>0.61</v>
      </c>
    </row>
    <row r="161" spans="1:4" x14ac:dyDescent="0.2">
      <c r="A161" s="15">
        <v>6.2E-2</v>
      </c>
      <c r="B161" s="15">
        <v>0.36</v>
      </c>
      <c r="C161" s="15">
        <v>9.9000000000000005E-2</v>
      </c>
      <c r="D161" s="15">
        <v>0.27</v>
      </c>
    </row>
    <row r="162" spans="1:4" x14ac:dyDescent="0.2">
      <c r="A162" s="15">
        <v>0.18</v>
      </c>
      <c r="B162" s="15">
        <v>0.31</v>
      </c>
      <c r="C162" s="15">
        <v>6.5000000000000002E-2</v>
      </c>
      <c r="D162" s="15">
        <v>0.54</v>
      </c>
    </row>
    <row r="163" spans="1:4" x14ac:dyDescent="0.2">
      <c r="A163" s="15">
        <v>0.28999999999999998</v>
      </c>
      <c r="B163" s="15">
        <v>0.17</v>
      </c>
      <c r="C163" s="15">
        <v>7.6999999999999999E-2</v>
      </c>
      <c r="D163" s="15">
        <v>0.31</v>
      </c>
    </row>
    <row r="164" spans="1:4" x14ac:dyDescent="0.2">
      <c r="A164" s="15">
        <v>0.13</v>
      </c>
      <c r="B164" s="15">
        <v>0.34</v>
      </c>
      <c r="C164" s="15">
        <v>0.36</v>
      </c>
      <c r="D164" s="15">
        <v>0.42</v>
      </c>
    </row>
    <row r="166" spans="1:4" x14ac:dyDescent="0.2">
      <c r="A166" s="25" t="s">
        <v>73</v>
      </c>
      <c r="B166" s="25" t="s">
        <v>111</v>
      </c>
    </row>
    <row r="167" spans="1:4" x14ac:dyDescent="0.2">
      <c r="A167" s="74" t="s">
        <v>112</v>
      </c>
      <c r="B167" s="74"/>
      <c r="C167" s="74"/>
      <c r="D167" s="74"/>
    </row>
    <row r="168" spans="1:4" x14ac:dyDescent="0.2">
      <c r="A168" s="74" t="s">
        <v>27</v>
      </c>
      <c r="B168" s="74"/>
      <c r="C168" s="74" t="s">
        <v>107</v>
      </c>
      <c r="D168" s="74"/>
    </row>
    <row r="169" spans="1:4" x14ac:dyDescent="0.2">
      <c r="A169" s="15" t="s">
        <v>106</v>
      </c>
      <c r="B169" s="15" t="s">
        <v>4</v>
      </c>
      <c r="C169" s="15" t="s">
        <v>106</v>
      </c>
      <c r="D169" s="15" t="s">
        <v>4</v>
      </c>
    </row>
    <row r="170" spans="1:4" x14ac:dyDescent="0.2">
      <c r="A170" s="15">
        <v>9.48</v>
      </c>
      <c r="B170" s="15">
        <v>22.6</v>
      </c>
      <c r="C170" s="15">
        <v>5.48</v>
      </c>
      <c r="D170" s="15">
        <v>1.25</v>
      </c>
    </row>
    <row r="171" spans="1:4" x14ac:dyDescent="0.2">
      <c r="A171" s="15">
        <v>13.6</v>
      </c>
      <c r="B171" s="15">
        <v>12.5</v>
      </c>
      <c r="C171" s="15">
        <v>4.7699999999999996</v>
      </c>
      <c r="D171" s="15">
        <v>5.79</v>
      </c>
    </row>
    <row r="172" spans="1:4" x14ac:dyDescent="0.2">
      <c r="A172" s="15">
        <v>9.9</v>
      </c>
      <c r="B172" s="15">
        <v>16.8</v>
      </c>
      <c r="C172" s="15">
        <v>6.86</v>
      </c>
      <c r="D172" s="15">
        <v>2.97</v>
      </c>
    </row>
    <row r="173" spans="1:4" x14ac:dyDescent="0.2">
      <c r="A173" s="15">
        <v>8.23</v>
      </c>
      <c r="B173" s="15">
        <v>13.7</v>
      </c>
      <c r="C173" s="15">
        <v>4.75</v>
      </c>
      <c r="D173" s="15">
        <v>8.27</v>
      </c>
    </row>
    <row r="174" spans="1:4" x14ac:dyDescent="0.2">
      <c r="A174" s="15">
        <v>7.31</v>
      </c>
      <c r="B174" s="15">
        <v>15.9</v>
      </c>
      <c r="C174" s="15">
        <v>0.73</v>
      </c>
      <c r="D174" s="15">
        <v>2.63</v>
      </c>
    </row>
    <row r="175" spans="1:4" x14ac:dyDescent="0.2">
      <c r="A175" s="15">
        <v>10.4</v>
      </c>
      <c r="B175" s="15">
        <v>11.1</v>
      </c>
      <c r="C175" s="15">
        <v>9.1</v>
      </c>
      <c r="D175" s="15">
        <v>16.5</v>
      </c>
    </row>
    <row r="176" spans="1:4" x14ac:dyDescent="0.2">
      <c r="A176" s="15">
        <v>11.9</v>
      </c>
      <c r="B176" s="15">
        <v>17</v>
      </c>
      <c r="C176" s="15">
        <v>3.95</v>
      </c>
      <c r="D176" s="15">
        <v>3.29</v>
      </c>
    </row>
    <row r="177" spans="1:4" x14ac:dyDescent="0.2">
      <c r="A177" s="15">
        <v>8</v>
      </c>
      <c r="B177" s="15">
        <v>14.1</v>
      </c>
      <c r="C177" s="15">
        <v>3.85</v>
      </c>
      <c r="D177" s="15">
        <v>5.59</v>
      </c>
    </row>
    <row r="178" spans="1:4" x14ac:dyDescent="0.2">
      <c r="A178" s="15">
        <v>8.3000000000000007</v>
      </c>
      <c r="B178" s="15">
        <v>22.4</v>
      </c>
      <c r="C178" s="15">
        <v>7.86</v>
      </c>
      <c r="D178" s="15">
        <v>5.57</v>
      </c>
    </row>
    <row r="179" spans="1:4" x14ac:dyDescent="0.2">
      <c r="A179" s="15">
        <v>15.2</v>
      </c>
      <c r="B179" s="15">
        <v>17</v>
      </c>
      <c r="C179" s="15">
        <v>3.29</v>
      </c>
      <c r="D179" s="15">
        <v>6.44</v>
      </c>
    </row>
    <row r="180" spans="1:4" x14ac:dyDescent="0.2">
      <c r="A180" s="15">
        <v>7.12</v>
      </c>
      <c r="B180" s="15">
        <v>17.600000000000001</v>
      </c>
      <c r="C180" s="15">
        <v>9.9499999999999993</v>
      </c>
      <c r="D180" s="15">
        <v>3.59</v>
      </c>
    </row>
    <row r="181" spans="1:4" x14ac:dyDescent="0.2">
      <c r="A181" s="15">
        <v>7.77</v>
      </c>
      <c r="B181" s="15">
        <v>16.600000000000001</v>
      </c>
      <c r="C181" s="15">
        <v>5.18</v>
      </c>
      <c r="D181" s="15">
        <v>3.93</v>
      </c>
    </row>
    <row r="182" spans="1:4" x14ac:dyDescent="0.2">
      <c r="A182" s="15">
        <v>7.57</v>
      </c>
      <c r="B182" s="15">
        <v>19.2</v>
      </c>
      <c r="C182" s="15">
        <v>5.55</v>
      </c>
      <c r="D182" s="15">
        <v>29.7</v>
      </c>
    </row>
    <row r="183" spans="1:4" x14ac:dyDescent="0.2">
      <c r="A183" s="15">
        <v>7.87</v>
      </c>
      <c r="B183" s="15">
        <v>12.2</v>
      </c>
      <c r="C183" s="15">
        <v>8</v>
      </c>
      <c r="D183" s="15">
        <v>2.88</v>
      </c>
    </row>
    <row r="184" spans="1:4" x14ac:dyDescent="0.2">
      <c r="A184" s="15">
        <v>6.21</v>
      </c>
      <c r="B184" s="15">
        <v>18.7</v>
      </c>
      <c r="C184" s="15">
        <v>8.32</v>
      </c>
      <c r="D184" s="15">
        <v>20.3</v>
      </c>
    </row>
    <row r="185" spans="1:4" x14ac:dyDescent="0.2">
      <c r="A185" s="15">
        <v>13.3</v>
      </c>
      <c r="B185" s="15">
        <v>21</v>
      </c>
      <c r="C185" s="15">
        <v>12.4</v>
      </c>
      <c r="D185" s="15">
        <v>24.6</v>
      </c>
    </row>
    <row r="186" spans="1:4" x14ac:dyDescent="0.2">
      <c r="A186" s="15">
        <v>16.399999999999999</v>
      </c>
      <c r="B186" s="15">
        <v>26.6</v>
      </c>
      <c r="C186" s="15">
        <v>12.4</v>
      </c>
      <c r="D186" s="15">
        <v>13.7</v>
      </c>
    </row>
    <row r="187" spans="1:4" x14ac:dyDescent="0.2">
      <c r="A187" s="15">
        <v>14</v>
      </c>
      <c r="B187" s="15">
        <v>30.7</v>
      </c>
      <c r="C187" s="15">
        <v>9.3800000000000008</v>
      </c>
      <c r="D187" s="15">
        <v>20.2</v>
      </c>
    </row>
    <row r="189" spans="1:4" x14ac:dyDescent="0.2">
      <c r="A189" s="25" t="s">
        <v>74</v>
      </c>
      <c r="B189" s="25" t="s">
        <v>113</v>
      </c>
    </row>
    <row r="190" spans="1:4" x14ac:dyDescent="0.2">
      <c r="A190" s="74" t="s">
        <v>114</v>
      </c>
      <c r="B190" s="74"/>
      <c r="C190" s="74"/>
      <c r="D190" s="74"/>
    </row>
    <row r="191" spans="1:4" x14ac:dyDescent="0.2">
      <c r="A191" s="74" t="s">
        <v>27</v>
      </c>
      <c r="B191" s="74"/>
      <c r="C191" s="74" t="s">
        <v>107</v>
      </c>
      <c r="D191" s="74"/>
    </row>
    <row r="192" spans="1:4" x14ac:dyDescent="0.2">
      <c r="A192" s="15" t="s">
        <v>106</v>
      </c>
      <c r="B192" s="15" t="s">
        <v>4</v>
      </c>
      <c r="C192" s="15" t="s">
        <v>106</v>
      </c>
      <c r="D192" s="15" t="s">
        <v>4</v>
      </c>
    </row>
    <row r="193" spans="1:4" x14ac:dyDescent="0.2">
      <c r="A193" s="15">
        <v>5.25</v>
      </c>
      <c r="B193" s="15">
        <v>2.65</v>
      </c>
      <c r="C193" s="15">
        <v>20.5</v>
      </c>
      <c r="D193" s="15">
        <v>8.1199999999999992</v>
      </c>
    </row>
    <row r="194" spans="1:4" x14ac:dyDescent="0.2">
      <c r="A194" s="15">
        <v>4.63</v>
      </c>
      <c r="B194" s="15">
        <v>4.1399999999999997</v>
      </c>
      <c r="C194" s="15">
        <v>18.600000000000001</v>
      </c>
      <c r="D194" s="15">
        <v>3.12</v>
      </c>
    </row>
    <row r="195" spans="1:4" x14ac:dyDescent="0.2">
      <c r="A195" s="15">
        <v>9.44</v>
      </c>
      <c r="B195" s="15">
        <v>2.5499999999999998</v>
      </c>
      <c r="C195" s="15">
        <v>11.2</v>
      </c>
      <c r="D195" s="15">
        <v>6.98</v>
      </c>
    </row>
    <row r="196" spans="1:4" x14ac:dyDescent="0.2">
      <c r="A196" s="15">
        <v>6.52</v>
      </c>
      <c r="B196" s="15">
        <v>1.42</v>
      </c>
      <c r="C196" s="15">
        <v>22.1</v>
      </c>
      <c r="D196" s="15">
        <v>15.3</v>
      </c>
    </row>
    <row r="197" spans="1:4" x14ac:dyDescent="0.2">
      <c r="A197" s="15">
        <v>6.61</v>
      </c>
      <c r="B197" s="15">
        <v>2.33</v>
      </c>
      <c r="C197" s="15">
        <v>15.8</v>
      </c>
      <c r="D197" s="15">
        <v>15.4</v>
      </c>
    </row>
    <row r="198" spans="1:4" x14ac:dyDescent="0.2">
      <c r="A198" s="15">
        <v>10.5</v>
      </c>
      <c r="B198" s="15">
        <v>5.59</v>
      </c>
      <c r="C198" s="15">
        <v>8.65</v>
      </c>
      <c r="D198" s="15">
        <v>4.09</v>
      </c>
    </row>
    <row r="199" spans="1:4" x14ac:dyDescent="0.2">
      <c r="A199" s="15">
        <v>4.71</v>
      </c>
      <c r="B199" s="15">
        <v>3.5</v>
      </c>
      <c r="C199" s="15">
        <v>14.6</v>
      </c>
      <c r="D199" s="15">
        <v>20.6</v>
      </c>
    </row>
    <row r="200" spans="1:4" x14ac:dyDescent="0.2">
      <c r="A200" s="15">
        <v>8.8000000000000007</v>
      </c>
      <c r="B200" s="15">
        <v>4.55</v>
      </c>
      <c r="C200" s="15">
        <v>9.5299999999999994</v>
      </c>
      <c r="D200" s="15">
        <v>8.1999999999999993</v>
      </c>
    </row>
    <row r="201" spans="1:4" x14ac:dyDescent="0.2">
      <c r="A201" s="15">
        <v>5.88</v>
      </c>
      <c r="B201" s="15">
        <v>2.84</v>
      </c>
      <c r="C201" s="15">
        <v>7.52</v>
      </c>
      <c r="D201" s="15">
        <v>7.71</v>
      </c>
    </row>
    <row r="202" spans="1:4" x14ac:dyDescent="0.2">
      <c r="A202" s="15">
        <v>5.83</v>
      </c>
      <c r="B202" s="15">
        <v>5.97</v>
      </c>
      <c r="C202" s="15">
        <v>7.21</v>
      </c>
      <c r="D202" s="15">
        <v>5.0599999999999996</v>
      </c>
    </row>
    <row r="203" spans="1:4" x14ac:dyDescent="0.2">
      <c r="A203" s="15">
        <v>8.33</v>
      </c>
      <c r="B203" s="15">
        <v>3.18</v>
      </c>
      <c r="C203" s="15">
        <v>8.36</v>
      </c>
      <c r="D203" s="15">
        <v>19.600000000000001</v>
      </c>
    </row>
    <row r="204" spans="1:4" x14ac:dyDescent="0.2">
      <c r="A204" s="15">
        <v>11.6</v>
      </c>
      <c r="B204" s="15">
        <v>4.88</v>
      </c>
      <c r="C204" s="15">
        <v>13.9</v>
      </c>
      <c r="D204" s="15">
        <v>17.3</v>
      </c>
    </row>
    <row r="205" spans="1:4" x14ac:dyDescent="0.2">
      <c r="A205" s="15">
        <v>4.24</v>
      </c>
      <c r="B205" s="15">
        <v>2.39</v>
      </c>
      <c r="C205" s="15">
        <v>5.95</v>
      </c>
      <c r="D205" s="15">
        <v>3.02</v>
      </c>
    </row>
    <row r="206" spans="1:4" x14ac:dyDescent="0.2">
      <c r="A206" s="15">
        <v>2.94</v>
      </c>
      <c r="B206" s="15">
        <v>12</v>
      </c>
      <c r="C206" s="15">
        <v>5.27</v>
      </c>
      <c r="D206" s="15">
        <v>0</v>
      </c>
    </row>
    <row r="207" spans="1:4" x14ac:dyDescent="0.2">
      <c r="A207" s="15">
        <v>1.62</v>
      </c>
      <c r="B207" s="15">
        <v>4.05</v>
      </c>
      <c r="C207" s="15">
        <v>3.37</v>
      </c>
      <c r="D207" s="15">
        <v>4.4400000000000004</v>
      </c>
    </row>
    <row r="208" spans="1:4" x14ac:dyDescent="0.2">
      <c r="A208" s="15">
        <v>2.56</v>
      </c>
      <c r="B208" s="15">
        <v>1.84</v>
      </c>
      <c r="C208" s="15">
        <v>2.29</v>
      </c>
      <c r="D208" s="15">
        <v>1.32</v>
      </c>
    </row>
    <row r="209" spans="1:4" x14ac:dyDescent="0.2">
      <c r="A209" s="15">
        <v>1.18</v>
      </c>
      <c r="B209" s="15">
        <v>0.94</v>
      </c>
      <c r="C209" s="15">
        <v>2.94</v>
      </c>
      <c r="D209" s="15">
        <v>6.5</v>
      </c>
    </row>
    <row r="210" spans="1:4" x14ac:dyDescent="0.2">
      <c r="A210" s="15">
        <v>2.77</v>
      </c>
      <c r="B210" s="15">
        <v>2.59</v>
      </c>
      <c r="C210" s="15">
        <v>3.37</v>
      </c>
      <c r="D210" s="15">
        <v>2.2599999999999998</v>
      </c>
    </row>
    <row r="212" spans="1:4" x14ac:dyDescent="0.2">
      <c r="A212" s="25" t="s">
        <v>75</v>
      </c>
      <c r="B212" s="25" t="s">
        <v>111</v>
      </c>
    </row>
    <row r="213" spans="1:4" x14ac:dyDescent="0.2">
      <c r="A213" s="74" t="s">
        <v>115</v>
      </c>
      <c r="B213" s="74"/>
      <c r="C213" s="74"/>
      <c r="D213" s="74"/>
    </row>
    <row r="214" spans="1:4" x14ac:dyDescent="0.2">
      <c r="A214" s="74" t="s">
        <v>27</v>
      </c>
      <c r="B214" s="74"/>
      <c r="C214" s="74" t="s">
        <v>107</v>
      </c>
      <c r="D214" s="74"/>
    </row>
    <row r="215" spans="1:4" x14ac:dyDescent="0.2">
      <c r="A215" s="15" t="s">
        <v>106</v>
      </c>
      <c r="B215" s="15" t="s">
        <v>4</v>
      </c>
      <c r="C215" s="15" t="s">
        <v>106</v>
      </c>
      <c r="D215" s="15" t="s">
        <v>4</v>
      </c>
    </row>
    <row r="216" spans="1:4" x14ac:dyDescent="0.2">
      <c r="A216" s="15">
        <v>7.98</v>
      </c>
      <c r="B216" s="15">
        <v>12.5</v>
      </c>
      <c r="C216" s="15">
        <v>43.1</v>
      </c>
      <c r="D216" s="15">
        <v>85.9</v>
      </c>
    </row>
    <row r="217" spans="1:4" x14ac:dyDescent="0.2">
      <c r="A217" s="15">
        <v>9.64</v>
      </c>
      <c r="B217" s="15">
        <v>15.2</v>
      </c>
      <c r="C217" s="15">
        <v>48</v>
      </c>
      <c r="D217" s="15">
        <v>29.3</v>
      </c>
    </row>
    <row r="218" spans="1:4" x14ac:dyDescent="0.2">
      <c r="A218" s="15">
        <v>15.4</v>
      </c>
      <c r="B218" s="15">
        <v>7.15</v>
      </c>
      <c r="C218" s="15">
        <v>26.9</v>
      </c>
      <c r="D218" s="15">
        <v>42.1</v>
      </c>
    </row>
    <row r="219" spans="1:4" x14ac:dyDescent="0.2">
      <c r="A219" s="15">
        <v>14.7</v>
      </c>
      <c r="B219" s="15">
        <v>14.5</v>
      </c>
      <c r="C219" s="15">
        <v>30.9</v>
      </c>
      <c r="D219" s="15">
        <v>22.9</v>
      </c>
    </row>
    <row r="220" spans="1:4" x14ac:dyDescent="0.2">
      <c r="A220" s="15">
        <v>11.6</v>
      </c>
      <c r="B220" s="15">
        <v>16</v>
      </c>
      <c r="C220" s="15">
        <v>35.1</v>
      </c>
      <c r="D220" s="15">
        <v>65.3</v>
      </c>
    </row>
    <row r="221" spans="1:4" x14ac:dyDescent="0.2">
      <c r="A221" s="15">
        <v>10.5</v>
      </c>
      <c r="B221" s="15">
        <v>10</v>
      </c>
      <c r="C221" s="15">
        <v>37.700000000000003</v>
      </c>
      <c r="D221" s="15">
        <v>23.6</v>
      </c>
    </row>
    <row r="222" spans="1:4" x14ac:dyDescent="0.2">
      <c r="A222" s="15">
        <v>3.75</v>
      </c>
      <c r="B222" s="15">
        <v>7.31</v>
      </c>
      <c r="C222" s="15">
        <v>26.5</v>
      </c>
      <c r="D222" s="15">
        <v>27.5</v>
      </c>
    </row>
    <row r="223" spans="1:4" x14ac:dyDescent="0.2">
      <c r="A223" s="15">
        <v>4.09</v>
      </c>
      <c r="B223" s="15">
        <v>9.26</v>
      </c>
      <c r="C223" s="15">
        <v>12</v>
      </c>
      <c r="D223" s="15">
        <v>11.8</v>
      </c>
    </row>
    <row r="224" spans="1:4" x14ac:dyDescent="0.2">
      <c r="A224" s="15">
        <v>7.62</v>
      </c>
      <c r="B224" s="15">
        <v>4.4400000000000004</v>
      </c>
      <c r="C224" s="15">
        <v>11.2</v>
      </c>
      <c r="D224" s="15">
        <v>7.74</v>
      </c>
    </row>
    <row r="225" spans="1:9" x14ac:dyDescent="0.2">
      <c r="A225" s="15">
        <v>7.32</v>
      </c>
      <c r="B225" s="15">
        <v>6.42</v>
      </c>
      <c r="C225" s="15">
        <v>4.22</v>
      </c>
      <c r="D225" s="15">
        <v>11.5</v>
      </c>
    </row>
    <row r="226" spans="1:9" x14ac:dyDescent="0.2">
      <c r="A226" s="15">
        <v>5.67</v>
      </c>
      <c r="B226" s="15">
        <v>3.71</v>
      </c>
      <c r="C226" s="15">
        <v>3.42</v>
      </c>
      <c r="D226" s="15">
        <v>11.8</v>
      </c>
    </row>
    <row r="227" spans="1:9" x14ac:dyDescent="0.2">
      <c r="A227" s="15">
        <v>5.29</v>
      </c>
      <c r="B227" s="15">
        <v>4.05</v>
      </c>
      <c r="C227" s="15">
        <v>8.31</v>
      </c>
      <c r="D227" s="15">
        <v>8.18</v>
      </c>
    </row>
    <row r="228" spans="1:9" x14ac:dyDescent="0.2">
      <c r="A228" s="15">
        <v>23.5</v>
      </c>
      <c r="B228" s="15">
        <v>12.4</v>
      </c>
      <c r="C228" s="15">
        <v>26.1</v>
      </c>
      <c r="D228" s="15">
        <v>10.1</v>
      </c>
    </row>
    <row r="229" spans="1:9" x14ac:dyDescent="0.2">
      <c r="A229" s="15">
        <v>6.87</v>
      </c>
      <c r="B229" s="15">
        <v>38.799999999999997</v>
      </c>
      <c r="C229" s="15">
        <v>13.3</v>
      </c>
      <c r="D229" s="15">
        <v>2.31</v>
      </c>
    </row>
    <row r="230" spans="1:9" x14ac:dyDescent="0.2">
      <c r="A230" s="15">
        <v>8.9499999999999993</v>
      </c>
      <c r="B230" s="15">
        <v>19.2</v>
      </c>
      <c r="C230" s="15">
        <v>13.6</v>
      </c>
      <c r="D230" s="15">
        <v>17.7</v>
      </c>
    </row>
    <row r="231" spans="1:9" x14ac:dyDescent="0.2">
      <c r="A231" s="15">
        <v>4.38</v>
      </c>
      <c r="B231" s="15">
        <v>13.1</v>
      </c>
      <c r="C231" s="15">
        <v>15.6</v>
      </c>
      <c r="D231" s="15">
        <v>5.42</v>
      </c>
    </row>
    <row r="232" spans="1:9" x14ac:dyDescent="0.2">
      <c r="A232" s="15">
        <v>8.1199999999999992</v>
      </c>
      <c r="B232" s="15">
        <v>6.05</v>
      </c>
      <c r="C232" s="15">
        <v>6.05</v>
      </c>
      <c r="D232" s="15">
        <v>35.299999999999997</v>
      </c>
    </row>
    <row r="233" spans="1:9" x14ac:dyDescent="0.2">
      <c r="A233" s="15">
        <v>13.1</v>
      </c>
      <c r="B233" s="15">
        <v>5.95</v>
      </c>
      <c r="C233" s="15">
        <v>12</v>
      </c>
      <c r="D233" s="15">
        <v>13.8</v>
      </c>
    </row>
    <row r="235" spans="1:9" x14ac:dyDescent="0.2">
      <c r="A235" s="25" t="s">
        <v>116</v>
      </c>
      <c r="B235" s="25" t="s">
        <v>111</v>
      </c>
    </row>
    <row r="236" spans="1:9" x14ac:dyDescent="0.2">
      <c r="A236" s="74" t="s">
        <v>147</v>
      </c>
      <c r="B236" s="74"/>
      <c r="C236" s="74"/>
      <c r="D236" s="74"/>
      <c r="F236" s="74" t="s">
        <v>148</v>
      </c>
      <c r="G236" s="74"/>
      <c r="H236" s="74"/>
      <c r="I236" s="74"/>
    </row>
    <row r="237" spans="1:9" x14ac:dyDescent="0.2">
      <c r="A237" s="74" t="s">
        <v>27</v>
      </c>
      <c r="B237" s="74"/>
      <c r="C237" s="74" t="s">
        <v>107</v>
      </c>
      <c r="D237" s="74"/>
      <c r="F237" s="74" t="s">
        <v>27</v>
      </c>
      <c r="G237" s="74"/>
      <c r="H237" s="74" t="s">
        <v>107</v>
      </c>
      <c r="I237" s="74"/>
    </row>
    <row r="238" spans="1:9" x14ac:dyDescent="0.2">
      <c r="A238" s="15" t="s">
        <v>106</v>
      </c>
      <c r="B238" s="15" t="s">
        <v>4</v>
      </c>
      <c r="C238" s="15" t="s">
        <v>106</v>
      </c>
      <c r="D238" s="15" t="s">
        <v>4</v>
      </c>
      <c r="F238" s="15" t="s">
        <v>106</v>
      </c>
      <c r="G238" s="15" t="s">
        <v>4</v>
      </c>
      <c r="H238" s="15" t="s">
        <v>106</v>
      </c>
      <c r="I238" s="15" t="s">
        <v>4</v>
      </c>
    </row>
    <row r="239" spans="1:9" x14ac:dyDescent="0.2">
      <c r="A239" s="23">
        <v>8.5713999999999999E-2</v>
      </c>
      <c r="B239" s="23">
        <v>1.782313</v>
      </c>
      <c r="C239" s="23">
        <v>7.3061220000000002</v>
      </c>
      <c r="D239" s="23">
        <v>6.0272110000000003</v>
      </c>
      <c r="F239" s="23">
        <v>0.20385700000000001</v>
      </c>
      <c r="G239" s="23">
        <v>1.8916440000000001</v>
      </c>
      <c r="H239" s="23">
        <v>5.1882460000000004</v>
      </c>
      <c r="I239" s="23">
        <v>3.9302109999999999</v>
      </c>
    </row>
    <row r="240" spans="1:9" x14ac:dyDescent="0.2">
      <c r="A240" s="23">
        <v>0.37006800000000001</v>
      </c>
      <c r="B240" s="23">
        <v>3.4014000000000003E-2</v>
      </c>
      <c r="C240" s="23">
        <v>7.5102039999999999</v>
      </c>
      <c r="D240" s="23">
        <v>7.0476190000000001</v>
      </c>
      <c r="F240" s="23">
        <v>0.38659300000000002</v>
      </c>
      <c r="G240" s="23">
        <v>0.23691499999999999</v>
      </c>
      <c r="H240" s="23">
        <v>6.4003670000000001</v>
      </c>
      <c r="I240" s="23">
        <v>5.8861340000000002</v>
      </c>
    </row>
    <row r="241" spans="1:9" x14ac:dyDescent="0.2">
      <c r="A241" s="23">
        <v>3.319728</v>
      </c>
      <c r="B241" s="23">
        <v>0.42448999999999998</v>
      </c>
      <c r="C241" s="23">
        <v>6.3265310000000001</v>
      </c>
      <c r="D241" s="23">
        <v>6.1360539999999997</v>
      </c>
      <c r="F241" s="23">
        <v>3.351699</v>
      </c>
      <c r="G241" s="23">
        <v>0.85215799999999997</v>
      </c>
      <c r="H241" s="23">
        <v>4.4260789999999997</v>
      </c>
      <c r="I241" s="23">
        <v>5.3810840000000004</v>
      </c>
    </row>
    <row r="242" spans="1:9" x14ac:dyDescent="0.2">
      <c r="A242" s="23">
        <v>0.75374099999999999</v>
      </c>
      <c r="B242" s="23">
        <v>1.2258500000000001</v>
      </c>
      <c r="C242" s="23">
        <v>5.5238100000000001</v>
      </c>
      <c r="D242" s="23">
        <v>4.8571429999999998</v>
      </c>
      <c r="F242" s="23">
        <v>0.80440800000000001</v>
      </c>
      <c r="G242" s="23">
        <v>1.469238</v>
      </c>
      <c r="H242" s="23">
        <v>5.4453630000000004</v>
      </c>
      <c r="I242" s="23">
        <v>4.2883380000000004</v>
      </c>
    </row>
    <row r="243" spans="1:9" x14ac:dyDescent="0.2">
      <c r="A243" s="23">
        <v>0.40680300000000003</v>
      </c>
      <c r="B243" s="23">
        <v>0.60272099999999995</v>
      </c>
      <c r="C243" s="23">
        <v>0.33877600000000002</v>
      </c>
      <c r="D243" s="23">
        <v>9.0884350000000005</v>
      </c>
      <c r="F243" s="23">
        <v>0.41322300000000001</v>
      </c>
      <c r="G243" s="23">
        <v>0.95500499999999999</v>
      </c>
      <c r="H243" s="23">
        <v>0.33149699999999999</v>
      </c>
      <c r="I243" s="23">
        <v>5.417815</v>
      </c>
    </row>
    <row r="244" spans="1:9" x14ac:dyDescent="0.2">
      <c r="A244" s="23">
        <v>1.0639460000000001</v>
      </c>
      <c r="B244" s="23">
        <v>2.4217689999999998</v>
      </c>
      <c r="C244" s="23">
        <v>8.8979590000000002</v>
      </c>
      <c r="D244" s="23">
        <v>10.61224</v>
      </c>
      <c r="F244" s="23">
        <v>0.84021999999999997</v>
      </c>
      <c r="G244" s="23">
        <v>1.6804410000000001</v>
      </c>
      <c r="H244" s="23">
        <v>6.4279159999999997</v>
      </c>
      <c r="I244" s="23">
        <v>6.4003670000000001</v>
      </c>
    </row>
    <row r="245" spans="1:9" x14ac:dyDescent="0.2">
      <c r="A245" s="23">
        <v>0.89600900000000006</v>
      </c>
      <c r="B245" s="23">
        <v>3.184904</v>
      </c>
      <c r="C245" s="23">
        <v>0.22400200000000001</v>
      </c>
      <c r="D245" s="23">
        <v>2.525115</v>
      </c>
      <c r="F245" s="23">
        <v>0.69339600000000001</v>
      </c>
      <c r="G245" s="23">
        <v>3.3647800000000001</v>
      </c>
      <c r="H245" s="23">
        <v>0.108491</v>
      </c>
      <c r="I245" s="23">
        <v>2.1069179999999998</v>
      </c>
    </row>
    <row r="246" spans="1:9" x14ac:dyDescent="0.2">
      <c r="A246" s="23">
        <v>2.7124630000000001</v>
      </c>
      <c r="B246" s="23">
        <v>0.73391300000000004</v>
      </c>
      <c r="C246" s="23">
        <v>0.65245699999999995</v>
      </c>
      <c r="D246" s="23">
        <v>4.5533530000000004</v>
      </c>
      <c r="F246" s="23">
        <v>2.6100629999999998</v>
      </c>
      <c r="G246" s="23">
        <v>0.66823900000000003</v>
      </c>
      <c r="H246" s="23">
        <v>0.41037699999999999</v>
      </c>
      <c r="I246" s="23">
        <v>10.14151</v>
      </c>
    </row>
    <row r="247" spans="1:9" x14ac:dyDescent="0.2">
      <c r="A247" s="23">
        <v>1.5069239999999999</v>
      </c>
      <c r="B247" s="23">
        <v>1.7675810000000001</v>
      </c>
      <c r="C247" s="23">
        <v>0.93673600000000001</v>
      </c>
      <c r="D247" s="23">
        <v>2.4192230000000001</v>
      </c>
      <c r="F247" s="23">
        <v>1.949686</v>
      </c>
      <c r="G247" s="23">
        <v>1.839623</v>
      </c>
      <c r="H247" s="23">
        <v>0.922956</v>
      </c>
      <c r="I247" s="23">
        <v>1.58805</v>
      </c>
    </row>
    <row r="248" spans="1:9" x14ac:dyDescent="0.2">
      <c r="A248" s="23">
        <v>0.20038</v>
      </c>
      <c r="B248" s="23">
        <v>3.0057019999999999</v>
      </c>
      <c r="C248" s="23">
        <v>1.726853</v>
      </c>
      <c r="D248" s="23">
        <v>4.50448</v>
      </c>
      <c r="F248" s="23">
        <v>0.22012599999999999</v>
      </c>
      <c r="G248" s="23">
        <v>3.2389939999999999</v>
      </c>
      <c r="H248" s="23">
        <v>1.3050310000000001</v>
      </c>
      <c r="I248" s="23">
        <v>6.3050309999999996</v>
      </c>
    </row>
    <row r="249" spans="1:9" x14ac:dyDescent="0.2">
      <c r="A249" s="23">
        <v>0.103448</v>
      </c>
      <c r="B249" s="23">
        <v>0.26304100000000002</v>
      </c>
      <c r="C249" s="23">
        <v>1.07521</v>
      </c>
      <c r="D249" s="23">
        <v>2.3377680000000001</v>
      </c>
      <c r="F249" s="23">
        <v>3.6164000000000002E-2</v>
      </c>
      <c r="G249" s="23">
        <v>2.072165</v>
      </c>
      <c r="H249" s="23">
        <v>0.88679200000000002</v>
      </c>
      <c r="I249" s="23">
        <v>1.212264</v>
      </c>
    </row>
    <row r="250" spans="1:9" x14ac:dyDescent="0.2">
      <c r="A250" s="23">
        <v>0.58077699999999999</v>
      </c>
      <c r="B250" s="23">
        <v>8.6569999999999994E-2</v>
      </c>
      <c r="C250" s="23">
        <v>4.0727669999999998</v>
      </c>
      <c r="D250" s="23">
        <v>1.9378470000000001</v>
      </c>
      <c r="F250" s="23">
        <v>0.490566</v>
      </c>
      <c r="G250" s="23">
        <v>3.6288659999999999</v>
      </c>
      <c r="H250" s="23">
        <v>4.5125789999999997</v>
      </c>
      <c r="I250" s="23">
        <v>1.278351</v>
      </c>
    </row>
    <row r="251" spans="1:9" x14ac:dyDescent="0.2">
      <c r="A251" s="23">
        <v>3.6625999999999999E-2</v>
      </c>
      <c r="B251" s="23">
        <v>6.6592999999999999E-2</v>
      </c>
      <c r="C251" s="23">
        <v>6.6592999999999999E-2</v>
      </c>
      <c r="D251" s="23">
        <v>5.6603770000000004</v>
      </c>
      <c r="F251" s="23">
        <v>2.8762889999999999</v>
      </c>
      <c r="G251" s="23">
        <v>3.0103089999999999</v>
      </c>
      <c r="H251" s="23">
        <v>2.6494849999999999</v>
      </c>
      <c r="I251" s="23">
        <v>11.907220000000001</v>
      </c>
    </row>
    <row r="252" spans="1:9" x14ac:dyDescent="0.2">
      <c r="A252" s="23">
        <v>1.3052159999999999</v>
      </c>
      <c r="B252" s="23">
        <v>0.376249</v>
      </c>
      <c r="C252" s="23">
        <v>0.53607099999999996</v>
      </c>
      <c r="D252" s="23">
        <v>4.8612650000000004</v>
      </c>
      <c r="F252" s="23">
        <v>0.365979</v>
      </c>
      <c r="G252" s="23">
        <v>2.5051549999999998</v>
      </c>
      <c r="H252" s="23">
        <v>2.4381439999999999</v>
      </c>
      <c r="I252" s="23">
        <v>2.6030929999999999</v>
      </c>
    </row>
    <row r="253" spans="1:9" x14ac:dyDescent="0.2">
      <c r="A253" s="23">
        <v>1.528302</v>
      </c>
      <c r="B253" s="23">
        <v>0.21642600000000001</v>
      </c>
      <c r="C253" s="23">
        <v>4.6614870000000002</v>
      </c>
      <c r="D253" s="23">
        <v>4.7946730000000004</v>
      </c>
      <c r="F253" s="23">
        <v>0.329897</v>
      </c>
      <c r="G253" s="23">
        <v>2.046392</v>
      </c>
      <c r="H253" s="23">
        <v>1.9020619999999999</v>
      </c>
      <c r="I253" s="23">
        <v>15</v>
      </c>
    </row>
    <row r="254" spans="1:9" x14ac:dyDescent="0.2">
      <c r="A254" s="23">
        <v>1.9311879999999999</v>
      </c>
      <c r="B254" s="23">
        <v>3.6625999999999999E-2</v>
      </c>
      <c r="C254" s="23">
        <v>0.44617099999999998</v>
      </c>
      <c r="D254" s="23">
        <v>3.2497229999999999</v>
      </c>
      <c r="F254" s="23">
        <v>0.53092799999999996</v>
      </c>
      <c r="G254" s="23">
        <v>2.9226800000000002</v>
      </c>
      <c r="H254" s="23">
        <v>2.0154640000000001</v>
      </c>
      <c r="I254" s="23">
        <v>0.92783499999999997</v>
      </c>
    </row>
    <row r="255" spans="1:9" x14ac:dyDescent="0.2">
      <c r="A255" s="23">
        <v>0.45948899999999998</v>
      </c>
      <c r="B255" s="15"/>
      <c r="C255" s="23">
        <v>3.2230850000000002</v>
      </c>
      <c r="D255" s="15"/>
      <c r="F255" s="23">
        <v>1.3041240000000001</v>
      </c>
      <c r="G255" s="15"/>
      <c r="H255" s="23">
        <v>0.86597900000000005</v>
      </c>
      <c r="I255" s="15"/>
    </row>
    <row r="256" spans="1:9" x14ac:dyDescent="0.2">
      <c r="A256" s="23">
        <v>0.73917900000000003</v>
      </c>
      <c r="B256" s="15"/>
      <c r="C256" s="15"/>
      <c r="D256" s="15"/>
      <c r="F256" s="23">
        <v>0.59278399999999998</v>
      </c>
      <c r="G256" s="15"/>
      <c r="H256" s="15"/>
      <c r="I256" s="15"/>
    </row>
    <row r="257" spans="1:13" s="21" customFormat="1" x14ac:dyDescent="0.2">
      <c r="A257" s="35"/>
      <c r="B257" s="25"/>
      <c r="C257" s="25"/>
      <c r="D257" s="25"/>
      <c r="E257" s="25"/>
      <c r="J257" s="25"/>
      <c r="K257" s="25"/>
      <c r="L257" s="25"/>
      <c r="M257" s="25"/>
    </row>
    <row r="258" spans="1:13" x14ac:dyDescent="0.2">
      <c r="A258" s="24" t="s">
        <v>164</v>
      </c>
      <c r="B258" s="25" t="s">
        <v>153</v>
      </c>
    </row>
    <row r="259" spans="1:13" x14ac:dyDescent="0.2">
      <c r="A259" s="74" t="s">
        <v>165</v>
      </c>
      <c r="B259" s="74"/>
      <c r="C259" s="74"/>
      <c r="D259" s="74"/>
    </row>
    <row r="260" spans="1:13" x14ac:dyDescent="0.2">
      <c r="A260" s="74" t="s">
        <v>27</v>
      </c>
      <c r="B260" s="74"/>
      <c r="C260" s="74" t="s">
        <v>107</v>
      </c>
      <c r="D260" s="74"/>
    </row>
    <row r="261" spans="1:13" x14ac:dyDescent="0.2">
      <c r="A261" s="15" t="s">
        <v>106</v>
      </c>
      <c r="B261" s="15" t="s">
        <v>4</v>
      </c>
      <c r="C261" s="15" t="s">
        <v>106</v>
      </c>
      <c r="D261" s="15" t="s">
        <v>4</v>
      </c>
    </row>
    <row r="262" spans="1:13" x14ac:dyDescent="0.2">
      <c r="A262" s="15">
        <v>18</v>
      </c>
      <c r="B262" s="15">
        <v>38</v>
      </c>
      <c r="C262" s="15">
        <v>48</v>
      </c>
      <c r="D262" s="15">
        <v>107</v>
      </c>
    </row>
    <row r="263" spans="1:13" x14ac:dyDescent="0.2">
      <c r="A263" s="15">
        <v>12</v>
      </c>
      <c r="B263" s="15">
        <v>2</v>
      </c>
      <c r="C263" s="15">
        <v>19</v>
      </c>
      <c r="D263" s="15">
        <v>52</v>
      </c>
    </row>
    <row r="264" spans="1:13" x14ac:dyDescent="0.2">
      <c r="A264" s="15"/>
      <c r="B264" s="15"/>
      <c r="C264" s="15">
        <v>8</v>
      </c>
      <c r="D264" s="15">
        <v>47</v>
      </c>
    </row>
    <row r="265" spans="1:13" x14ac:dyDescent="0.2">
      <c r="A265" s="15"/>
      <c r="B265" s="15"/>
      <c r="C265" s="15">
        <v>17</v>
      </c>
      <c r="D265" s="15">
        <v>19</v>
      </c>
    </row>
    <row r="267" spans="1:13" x14ac:dyDescent="0.2">
      <c r="A267" s="24" t="s">
        <v>166</v>
      </c>
      <c r="B267" s="25" t="s">
        <v>157</v>
      </c>
    </row>
    <row r="268" spans="1:13" x14ac:dyDescent="0.2">
      <c r="A268" s="23"/>
      <c r="B268" s="74" t="s">
        <v>27</v>
      </c>
      <c r="C268" s="74"/>
      <c r="D268" s="74"/>
      <c r="E268" s="74"/>
      <c r="F268" s="74" t="s">
        <v>107</v>
      </c>
      <c r="G268" s="74"/>
      <c r="H268" s="74"/>
      <c r="I268" s="74"/>
      <c r="J268" s="74"/>
      <c r="K268" s="74"/>
      <c r="L268" s="74"/>
      <c r="M268" s="74"/>
    </row>
    <row r="269" spans="1:13" x14ac:dyDescent="0.2">
      <c r="A269" s="15"/>
      <c r="B269" s="74" t="s">
        <v>106</v>
      </c>
      <c r="C269" s="74"/>
      <c r="D269" s="74" t="s">
        <v>4</v>
      </c>
      <c r="E269" s="74"/>
      <c r="F269" s="74" t="s">
        <v>106</v>
      </c>
      <c r="G269" s="74"/>
      <c r="H269" s="74"/>
      <c r="I269" s="74"/>
      <c r="J269" s="74" t="s">
        <v>4</v>
      </c>
      <c r="K269" s="74"/>
      <c r="L269" s="74"/>
      <c r="M269" s="74"/>
    </row>
    <row r="270" spans="1:13" x14ac:dyDescent="0.2">
      <c r="A270" s="15" t="s">
        <v>154</v>
      </c>
      <c r="B270" s="23">
        <v>1.8649899999999999</v>
      </c>
      <c r="C270" s="23">
        <v>1.58358</v>
      </c>
      <c r="D270" s="23">
        <v>1.67039</v>
      </c>
      <c r="E270" s="23">
        <v>3.7299199999999999</v>
      </c>
      <c r="F270" s="23">
        <v>2.3388399999999998</v>
      </c>
      <c r="G270" s="23">
        <v>2.07246</v>
      </c>
      <c r="H270" s="23">
        <v>2.5033099999999999</v>
      </c>
      <c r="I270" s="23">
        <v>2.1215999999999999</v>
      </c>
      <c r="J270" s="23">
        <v>2.8227799999999998</v>
      </c>
      <c r="K270" s="23">
        <v>2.4530099999999999</v>
      </c>
      <c r="L270" s="23">
        <v>2.6714799999999999</v>
      </c>
      <c r="M270" s="23">
        <v>2.1956199999999999</v>
      </c>
    </row>
    <row r="271" spans="1:13" x14ac:dyDescent="0.2">
      <c r="A271" s="15" t="s">
        <v>155</v>
      </c>
      <c r="B271" s="23">
        <v>2.7086600000000001</v>
      </c>
      <c r="C271" s="23">
        <v>1.8197099999999999</v>
      </c>
      <c r="D271" s="23">
        <v>1.5909599999999999</v>
      </c>
      <c r="E271" s="23">
        <v>2.2561399999999998</v>
      </c>
      <c r="F271" s="23">
        <v>2.49613</v>
      </c>
      <c r="G271" s="23">
        <v>2.4594800000000001</v>
      </c>
      <c r="H271" s="23">
        <v>2.3460899999999998</v>
      </c>
      <c r="I271" s="23">
        <v>3.21936</v>
      </c>
      <c r="J271" s="23">
        <v>3.5675500000000002</v>
      </c>
      <c r="K271" s="23">
        <v>3.76715</v>
      </c>
      <c r="L271" s="23">
        <v>3.83894</v>
      </c>
      <c r="M271" s="23">
        <v>2.3334899999999998</v>
      </c>
    </row>
    <row r="272" spans="1:13" x14ac:dyDescent="0.2">
      <c r="A272" s="15" t="s">
        <v>156</v>
      </c>
      <c r="B272" s="23">
        <v>2.9842200000000001</v>
      </c>
      <c r="C272" s="23">
        <v>3.5394700000000001</v>
      </c>
      <c r="D272" s="23">
        <v>2.65693</v>
      </c>
      <c r="E272" s="23">
        <v>2.1087699999999998</v>
      </c>
      <c r="F272" s="23">
        <v>4.4577299999999997</v>
      </c>
      <c r="G272" s="23">
        <v>2.6785700000000001</v>
      </c>
      <c r="H272" s="23">
        <v>1.7032700000000001</v>
      </c>
      <c r="I272" s="23">
        <v>2.9942000000000002</v>
      </c>
      <c r="J272" s="23">
        <v>11.099780000000001</v>
      </c>
      <c r="K272" s="23">
        <v>4.8280799999999999</v>
      </c>
      <c r="L272" s="23">
        <v>4.42204</v>
      </c>
      <c r="M272" s="23">
        <v>2.8676599999999999</v>
      </c>
    </row>
    <row r="274" spans="1:13" x14ac:dyDescent="0.2">
      <c r="A274" s="24" t="s">
        <v>176</v>
      </c>
      <c r="B274" s="25" t="s">
        <v>157</v>
      </c>
    </row>
    <row r="275" spans="1:13" x14ac:dyDescent="0.2">
      <c r="A275" s="23"/>
      <c r="B275" s="75" t="s">
        <v>27</v>
      </c>
      <c r="C275" s="76"/>
      <c r="D275" s="76"/>
      <c r="E275" s="76"/>
      <c r="F275" s="77"/>
      <c r="G275" s="75" t="s">
        <v>107</v>
      </c>
      <c r="H275" s="76"/>
      <c r="I275" s="76"/>
      <c r="J275" s="76"/>
      <c r="K275" s="76"/>
      <c r="L275" s="76"/>
      <c r="M275" s="77"/>
    </row>
    <row r="276" spans="1:13" x14ac:dyDescent="0.2">
      <c r="A276" s="15"/>
      <c r="B276" s="75" t="s">
        <v>4</v>
      </c>
      <c r="C276" s="76"/>
      <c r="D276" s="77"/>
      <c r="E276" s="75" t="s">
        <v>180</v>
      </c>
      <c r="F276" s="77"/>
      <c r="G276" s="75" t="s">
        <v>4</v>
      </c>
      <c r="H276" s="76"/>
      <c r="I276" s="76"/>
      <c r="J276" s="77"/>
      <c r="K276" s="75" t="s">
        <v>180</v>
      </c>
      <c r="L276" s="76"/>
      <c r="M276" s="77"/>
    </row>
    <row r="277" spans="1:13" x14ac:dyDescent="0.2">
      <c r="A277" s="15" t="s">
        <v>177</v>
      </c>
      <c r="B277" s="23">
        <v>15.507015000000001</v>
      </c>
      <c r="C277" s="23">
        <v>18.149080000000001</v>
      </c>
      <c r="D277" s="23">
        <v>18.713708</v>
      </c>
      <c r="E277" s="23">
        <v>9.1689980000000002</v>
      </c>
      <c r="F277" s="23">
        <v>11.759019</v>
      </c>
      <c r="G277" s="23">
        <v>12.27172</v>
      </c>
      <c r="H277" s="23">
        <v>11.382872000000001</v>
      </c>
      <c r="I277" s="23">
        <v>19.128194000000001</v>
      </c>
      <c r="J277" s="23">
        <v>10.486846999999999</v>
      </c>
      <c r="K277" s="23">
        <v>9.7784859999999991</v>
      </c>
      <c r="L277" s="23">
        <v>9.6484939999999995</v>
      </c>
      <c r="M277" s="23">
        <v>4.7594620000000001</v>
      </c>
    </row>
    <row r="278" spans="1:13" x14ac:dyDescent="0.2">
      <c r="A278" s="15" t="s">
        <v>178</v>
      </c>
      <c r="B278" s="23">
        <v>12.113887</v>
      </c>
      <c r="C278" s="23">
        <v>6.0670950000000001</v>
      </c>
      <c r="D278" s="23">
        <v>12.926952999999999</v>
      </c>
      <c r="E278" s="23">
        <v>9.5919450000000008</v>
      </c>
      <c r="F278" s="23">
        <v>8.316592</v>
      </c>
      <c r="G278" s="23">
        <v>18.257183000000001</v>
      </c>
      <c r="H278" s="23">
        <v>17.543887000000002</v>
      </c>
      <c r="I278" s="23">
        <v>20.189406999999999</v>
      </c>
      <c r="J278" s="23">
        <v>8.5418660000000006</v>
      </c>
      <c r="K278" s="23">
        <v>11.487066</v>
      </c>
      <c r="L278" s="23">
        <v>8.5051830000000006</v>
      </c>
      <c r="M278" s="23">
        <v>9.6085910000000005</v>
      </c>
    </row>
    <row r="279" spans="1:13" x14ac:dyDescent="0.2">
      <c r="A279" s="15" t="s">
        <v>179</v>
      </c>
      <c r="B279" s="23">
        <v>17.759682999999999</v>
      </c>
      <c r="C279" s="23">
        <v>10.184203</v>
      </c>
      <c r="D279" s="23">
        <v>5.9762560000000002</v>
      </c>
      <c r="E279" s="23">
        <v>14.248196</v>
      </c>
      <c r="F279" s="23">
        <v>0</v>
      </c>
      <c r="G279" s="23">
        <v>38.652661000000002</v>
      </c>
      <c r="H279" s="23">
        <v>51.128261999999999</v>
      </c>
      <c r="I279" s="23">
        <v>23.901769000000002</v>
      </c>
      <c r="J279" s="23">
        <v>50.377374000000003</v>
      </c>
      <c r="K279" s="23">
        <v>12.797502</v>
      </c>
      <c r="L279" s="23">
        <v>10.863181000000001</v>
      </c>
      <c r="M279" s="23">
        <v>11.876334999999999</v>
      </c>
    </row>
  </sheetData>
  <mergeCells count="53">
    <mergeCell ref="A236:D236"/>
    <mergeCell ref="A237:B237"/>
    <mergeCell ref="C237:D237"/>
    <mergeCell ref="A190:D190"/>
    <mergeCell ref="A191:B191"/>
    <mergeCell ref="C191:D191"/>
    <mergeCell ref="A213:D213"/>
    <mergeCell ref="A214:B214"/>
    <mergeCell ref="C214:D214"/>
    <mergeCell ref="A150:D150"/>
    <mergeCell ref="A151:B151"/>
    <mergeCell ref="C151:D151"/>
    <mergeCell ref="A167:D167"/>
    <mergeCell ref="A168:B168"/>
    <mergeCell ref="C168:D168"/>
    <mergeCell ref="A94:D94"/>
    <mergeCell ref="A95:B95"/>
    <mergeCell ref="C95:D95"/>
    <mergeCell ref="A122:B122"/>
    <mergeCell ref="C122:D122"/>
    <mergeCell ref="A121:D121"/>
    <mergeCell ref="A3:A18"/>
    <mergeCell ref="A19:A31"/>
    <mergeCell ref="A32:A39"/>
    <mergeCell ref="A40:A51"/>
    <mergeCell ref="A52:A63"/>
    <mergeCell ref="A64:A71"/>
    <mergeCell ref="A74:B74"/>
    <mergeCell ref="C74:D74"/>
    <mergeCell ref="E74:F74"/>
    <mergeCell ref="G74:H74"/>
    <mergeCell ref="J74:K74"/>
    <mergeCell ref="L74:M74"/>
    <mergeCell ref="N74:O74"/>
    <mergeCell ref="P74:Q74"/>
    <mergeCell ref="F236:I236"/>
    <mergeCell ref="F237:G237"/>
    <mergeCell ref="H237:I237"/>
    <mergeCell ref="A259:D259"/>
    <mergeCell ref="A260:B260"/>
    <mergeCell ref="C260:D260"/>
    <mergeCell ref="J269:M269"/>
    <mergeCell ref="F269:I269"/>
    <mergeCell ref="F268:M268"/>
    <mergeCell ref="B269:C269"/>
    <mergeCell ref="D269:E269"/>
    <mergeCell ref="B268:E268"/>
    <mergeCell ref="G275:M275"/>
    <mergeCell ref="G276:J276"/>
    <mergeCell ref="K276:M276"/>
    <mergeCell ref="B275:F275"/>
    <mergeCell ref="B276:D276"/>
    <mergeCell ref="E276:F27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8590C-3013-4EE0-A70B-59D161F341A1}">
  <dimension ref="A1:R48"/>
  <sheetViews>
    <sheetView zoomScale="68" zoomScaleNormal="68" workbookViewId="0">
      <selection activeCell="C36" sqref="C36"/>
    </sheetView>
  </sheetViews>
  <sheetFormatPr defaultRowHeight="15.75" x14ac:dyDescent="0.25"/>
  <sheetData>
    <row r="1" spans="1:18" s="20" customFormat="1" x14ac:dyDescent="0.25">
      <c r="A1" s="21" t="s">
        <v>214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s="20" customFormat="1" x14ac:dyDescent="0.25">
      <c r="A2" s="74" t="s">
        <v>204</v>
      </c>
      <c r="B2" s="74"/>
      <c r="C2" s="74"/>
      <c r="D2" s="74"/>
      <c r="E2" s="21"/>
      <c r="F2" s="74" t="s">
        <v>206</v>
      </c>
      <c r="G2" s="74"/>
      <c r="H2" s="74"/>
      <c r="I2" s="74"/>
      <c r="J2" s="21"/>
      <c r="K2" s="21"/>
      <c r="L2" s="21"/>
      <c r="M2" s="21"/>
      <c r="N2" s="21"/>
      <c r="O2" s="21"/>
      <c r="P2" s="21"/>
      <c r="Q2" s="21"/>
      <c r="R2" s="21"/>
    </row>
    <row r="3" spans="1:18" s="20" customFormat="1" x14ac:dyDescent="0.25">
      <c r="A3" s="74" t="s">
        <v>27</v>
      </c>
      <c r="B3" s="74"/>
      <c r="C3" s="74" t="s">
        <v>195</v>
      </c>
      <c r="D3" s="74"/>
      <c r="E3" s="21"/>
      <c r="F3" s="74" t="s">
        <v>27</v>
      </c>
      <c r="G3" s="74"/>
      <c r="H3" s="74" t="s">
        <v>195</v>
      </c>
      <c r="I3" s="74"/>
      <c r="J3" s="21"/>
      <c r="K3" s="21"/>
      <c r="L3" s="21"/>
      <c r="M3" s="21"/>
      <c r="N3" s="21"/>
      <c r="O3" s="21"/>
      <c r="P3" s="21"/>
      <c r="Q3" s="21"/>
      <c r="R3" s="21"/>
    </row>
    <row r="4" spans="1:18" s="20" customFormat="1" x14ac:dyDescent="0.25">
      <c r="A4" s="15" t="s">
        <v>106</v>
      </c>
      <c r="B4" s="15" t="s">
        <v>4</v>
      </c>
      <c r="C4" s="15" t="s">
        <v>106</v>
      </c>
      <c r="D4" s="15" t="s">
        <v>4</v>
      </c>
      <c r="E4" s="21"/>
      <c r="F4" s="15" t="s">
        <v>106</v>
      </c>
      <c r="G4" s="15" t="s">
        <v>4</v>
      </c>
      <c r="H4" s="15" t="s">
        <v>106</v>
      </c>
      <c r="I4" s="15" t="s">
        <v>4</v>
      </c>
      <c r="J4" s="21"/>
      <c r="K4" s="21"/>
      <c r="L4" s="21"/>
      <c r="M4" s="21"/>
      <c r="N4" s="21"/>
      <c r="O4" s="21"/>
      <c r="P4" s="21"/>
      <c r="Q4" s="21"/>
      <c r="R4" s="21"/>
    </row>
    <row r="5" spans="1:18" s="20" customFormat="1" x14ac:dyDescent="0.25">
      <c r="A5" s="71">
        <v>5.3134962805526031</v>
      </c>
      <c r="B5" s="71">
        <v>21.843434343434343</v>
      </c>
      <c r="C5" s="71">
        <v>2.7918781725888326</v>
      </c>
      <c r="D5" s="71">
        <v>4.1702127659574471</v>
      </c>
      <c r="E5" s="21"/>
      <c r="F5" s="71">
        <v>7.0138150903294365</v>
      </c>
      <c r="G5" s="71">
        <v>15.025252525252524</v>
      </c>
      <c r="H5" s="71">
        <v>1.1421319796954315</v>
      </c>
      <c r="I5" s="71">
        <v>2.6382978723404253</v>
      </c>
      <c r="J5" s="21"/>
      <c r="K5" s="21"/>
      <c r="L5" s="21"/>
      <c r="M5" s="21"/>
      <c r="N5" s="21"/>
      <c r="O5" s="21"/>
      <c r="P5" s="21"/>
      <c r="Q5" s="21"/>
      <c r="R5" s="21"/>
    </row>
    <row r="6" spans="1:18" s="20" customFormat="1" x14ac:dyDescent="0.25">
      <c r="A6" s="71">
        <v>6.9724770642201843</v>
      </c>
      <c r="B6" s="71">
        <v>19.086651053864166</v>
      </c>
      <c r="C6" s="71">
        <v>2.75</v>
      </c>
      <c r="D6" s="71">
        <v>4.7872340425531918</v>
      </c>
      <c r="E6" s="21"/>
      <c r="F6" s="71">
        <v>3.8532110091743119</v>
      </c>
      <c r="G6" s="71">
        <v>16.744730679156909</v>
      </c>
      <c r="H6" s="71">
        <v>2.25</v>
      </c>
      <c r="I6" s="71">
        <v>0.53191489361702127</v>
      </c>
      <c r="J6" s="21"/>
      <c r="K6" s="21"/>
      <c r="L6" s="21"/>
      <c r="M6" s="21"/>
      <c r="N6" s="21"/>
      <c r="O6" s="21"/>
      <c r="P6" s="21"/>
      <c r="Q6" s="21"/>
      <c r="R6" s="21"/>
    </row>
    <row r="7" spans="1:18" s="20" customFormat="1" x14ac:dyDescent="0.25">
      <c r="A7" s="71">
        <v>8.4380610412926398</v>
      </c>
      <c r="B7" s="71">
        <v>16.960241570206342</v>
      </c>
      <c r="C7" s="71">
        <v>4.0730337078651688</v>
      </c>
      <c r="D7" s="71">
        <v>13.043478260869565</v>
      </c>
      <c r="E7" s="21"/>
      <c r="F7" s="71">
        <v>5.2663076002393776</v>
      </c>
      <c r="G7" s="71">
        <v>13.537996980372421</v>
      </c>
      <c r="H7" s="71">
        <v>3.3707865168539324</v>
      </c>
      <c r="I7" s="71">
        <v>11.153119092627598</v>
      </c>
      <c r="J7" s="21"/>
      <c r="K7" s="21"/>
      <c r="L7" s="21"/>
      <c r="M7" s="21"/>
      <c r="N7" s="21"/>
      <c r="O7" s="21"/>
      <c r="P7" s="21"/>
      <c r="Q7" s="21"/>
      <c r="R7" s="21"/>
    </row>
    <row r="8" spans="1:18" s="20" customFormat="1" x14ac:dyDescent="0.25">
      <c r="A8" s="71">
        <v>11.282051282051283</v>
      </c>
      <c r="B8" s="71">
        <v>6.4610866372980915</v>
      </c>
      <c r="C8" s="71">
        <v>3.3451957295373669</v>
      </c>
      <c r="D8" s="71">
        <v>6.5134099616858236</v>
      </c>
      <c r="E8" s="21"/>
      <c r="F8" s="71">
        <v>9.6410256410256405</v>
      </c>
      <c r="G8" s="71">
        <v>3.8179148311306901</v>
      </c>
      <c r="H8" s="71">
        <v>0.7829181494661922</v>
      </c>
      <c r="I8" s="71">
        <v>4.4061302681992336</v>
      </c>
      <c r="J8" s="21"/>
      <c r="K8" s="21"/>
      <c r="L8" s="21"/>
      <c r="M8" s="21"/>
      <c r="N8" s="21"/>
      <c r="O8" s="21"/>
      <c r="P8" s="21"/>
      <c r="Q8" s="21"/>
      <c r="R8" s="21"/>
    </row>
    <row r="9" spans="1:18" s="20" customFormat="1" x14ac:dyDescent="0.25">
      <c r="A9" s="71">
        <v>7.9173838209982792</v>
      </c>
      <c r="B9" s="71">
        <v>11.33250311332503</v>
      </c>
      <c r="C9" s="71">
        <v>7.2052401746724897</v>
      </c>
      <c r="D9" s="71">
        <v>8.4985835694050991</v>
      </c>
      <c r="E9" s="21"/>
      <c r="F9" s="71">
        <v>3.4423407917383817</v>
      </c>
      <c r="G9" s="71">
        <v>9.8381070983810712</v>
      </c>
      <c r="H9" s="71">
        <v>5.8951965065502181</v>
      </c>
      <c r="I9" s="71">
        <v>8.4985835694050991</v>
      </c>
      <c r="J9" s="21"/>
      <c r="K9" s="21"/>
      <c r="L9" s="21"/>
      <c r="M9" s="21"/>
      <c r="N9" s="21"/>
      <c r="O9" s="21"/>
      <c r="P9" s="21"/>
      <c r="Q9" s="21"/>
      <c r="R9" s="21"/>
    </row>
    <row r="10" spans="1:18" s="20" customFormat="1" x14ac:dyDescent="0.25">
      <c r="A10" s="71">
        <v>3.3829499323410013</v>
      </c>
      <c r="B10" s="71">
        <v>13.138686131386862</v>
      </c>
      <c r="C10" s="71">
        <v>8.4770114942528725</v>
      </c>
      <c r="D10" s="71">
        <v>6.1818181818181817</v>
      </c>
      <c r="E10" s="21"/>
      <c r="F10" s="71">
        <v>2.7063599458728009</v>
      </c>
      <c r="G10" s="71">
        <v>5.7177615571776155</v>
      </c>
      <c r="H10" s="71">
        <v>1.7720306513409962</v>
      </c>
      <c r="I10" s="71">
        <v>0.72727272727272729</v>
      </c>
      <c r="J10" s="21"/>
      <c r="K10" s="21"/>
      <c r="L10" s="21"/>
      <c r="M10" s="21"/>
      <c r="N10" s="21"/>
      <c r="O10" s="21"/>
      <c r="P10" s="21"/>
      <c r="Q10" s="21"/>
      <c r="R10" s="21"/>
    </row>
    <row r="11" spans="1:18" s="20" customForma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s="20" customFormat="1" x14ac:dyDescent="0.25">
      <c r="A12" s="21" t="s">
        <v>215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s="20" customFormat="1" x14ac:dyDescent="0.25">
      <c r="A13" s="74" t="s">
        <v>201</v>
      </c>
      <c r="B13" s="74"/>
      <c r="C13" s="74"/>
      <c r="D13" s="74"/>
      <c r="E13" s="21"/>
      <c r="F13" s="74" t="s">
        <v>205</v>
      </c>
      <c r="G13" s="74"/>
      <c r="H13" s="74"/>
      <c r="I13" s="74"/>
      <c r="J13" s="21"/>
      <c r="K13" s="74" t="s">
        <v>213</v>
      </c>
      <c r="L13" s="74"/>
      <c r="M13" s="74"/>
      <c r="N13" s="74"/>
      <c r="O13" s="21"/>
      <c r="P13" s="21"/>
      <c r="Q13" s="21"/>
      <c r="R13" s="21"/>
    </row>
    <row r="14" spans="1:18" s="20" customFormat="1" x14ac:dyDescent="0.25">
      <c r="A14" s="74" t="s">
        <v>27</v>
      </c>
      <c r="B14" s="74"/>
      <c r="C14" s="74" t="s">
        <v>195</v>
      </c>
      <c r="D14" s="74"/>
      <c r="E14" s="21"/>
      <c r="F14" s="74" t="s">
        <v>27</v>
      </c>
      <c r="G14" s="74"/>
      <c r="H14" s="74" t="s">
        <v>195</v>
      </c>
      <c r="I14" s="74"/>
      <c r="J14" s="21"/>
      <c r="K14" s="74" t="s">
        <v>27</v>
      </c>
      <c r="L14" s="74"/>
      <c r="M14" s="74" t="s">
        <v>195</v>
      </c>
      <c r="N14" s="74"/>
      <c r="O14" s="21"/>
      <c r="P14" s="21"/>
      <c r="Q14" s="21"/>
      <c r="R14" s="21"/>
    </row>
    <row r="15" spans="1:18" s="20" customFormat="1" x14ac:dyDescent="0.25">
      <c r="A15" s="15" t="s">
        <v>106</v>
      </c>
      <c r="B15" s="15" t="s">
        <v>4</v>
      </c>
      <c r="C15" s="15" t="s">
        <v>106</v>
      </c>
      <c r="D15" s="15" t="s">
        <v>4</v>
      </c>
      <c r="E15" s="21"/>
      <c r="F15" s="15" t="s">
        <v>106</v>
      </c>
      <c r="G15" s="15" t="s">
        <v>4</v>
      </c>
      <c r="H15" s="15" t="s">
        <v>106</v>
      </c>
      <c r="I15" s="15" t="s">
        <v>4</v>
      </c>
      <c r="J15" s="21"/>
      <c r="K15" s="15" t="s">
        <v>106</v>
      </c>
      <c r="L15" s="15" t="s">
        <v>4</v>
      </c>
      <c r="M15" s="15" t="s">
        <v>106</v>
      </c>
      <c r="N15" s="15" t="s">
        <v>4</v>
      </c>
      <c r="O15" s="21"/>
      <c r="P15" s="21"/>
      <c r="Q15" s="21"/>
      <c r="R15" s="21"/>
    </row>
    <row r="16" spans="1:18" s="20" customFormat="1" x14ac:dyDescent="0.25">
      <c r="A16" s="71">
        <v>13.815090329436769</v>
      </c>
      <c r="B16" s="71">
        <v>18.560606060606062</v>
      </c>
      <c r="C16" s="71">
        <v>23.984771573604061</v>
      </c>
      <c r="D16" s="71">
        <v>22.978723404255319</v>
      </c>
      <c r="E16" s="21"/>
      <c r="F16" s="71">
        <v>15.409139213602552</v>
      </c>
      <c r="G16" s="71">
        <v>2.5252525252525251</v>
      </c>
      <c r="H16" s="71">
        <v>9.1370558375634516</v>
      </c>
      <c r="I16" s="71">
        <v>4.2553191489361701</v>
      </c>
      <c r="J16" s="21"/>
      <c r="K16" s="71">
        <v>0.10626992561105207</v>
      </c>
      <c r="L16" s="71">
        <v>0.63131313131313127</v>
      </c>
      <c r="M16" s="71">
        <v>0.76142131979695438</v>
      </c>
      <c r="N16" s="71">
        <v>2.8085106382978724</v>
      </c>
      <c r="O16" s="21"/>
      <c r="P16" s="21"/>
      <c r="Q16" s="21"/>
      <c r="R16" s="21"/>
    </row>
    <row r="17" spans="1:18" s="20" customFormat="1" x14ac:dyDescent="0.25">
      <c r="A17" s="71">
        <v>18.165137614678901</v>
      </c>
      <c r="B17" s="71">
        <v>13.348946135831383</v>
      </c>
      <c r="C17" s="71">
        <v>20.5</v>
      </c>
      <c r="D17" s="71">
        <v>24.468085106382979</v>
      </c>
      <c r="E17" s="21"/>
      <c r="F17" s="71">
        <v>7.7064220183486238</v>
      </c>
      <c r="G17" s="71">
        <v>4.0983606557377046</v>
      </c>
      <c r="H17" s="71">
        <v>9</v>
      </c>
      <c r="I17" s="71">
        <v>9.0425531914893629</v>
      </c>
      <c r="J17" s="21"/>
      <c r="K17" s="71">
        <v>0</v>
      </c>
      <c r="L17" s="71">
        <v>0.70257611241217799</v>
      </c>
      <c r="M17" s="71">
        <v>1.375</v>
      </c>
      <c r="N17" s="71">
        <v>2.1276595744680851</v>
      </c>
      <c r="O17" s="21"/>
      <c r="P17" s="21"/>
      <c r="Q17" s="21"/>
      <c r="R17" s="21"/>
    </row>
    <row r="18" spans="1:18" s="20" customFormat="1" x14ac:dyDescent="0.25">
      <c r="A18" s="71">
        <v>23.339317773788153</v>
      </c>
      <c r="B18" s="71">
        <v>10.568696527428283</v>
      </c>
      <c r="C18" s="71">
        <v>20.50561797752809</v>
      </c>
      <c r="D18" s="71">
        <v>23.440453686200378</v>
      </c>
      <c r="E18" s="21"/>
      <c r="F18" s="71">
        <v>7.480550568521843</v>
      </c>
      <c r="G18" s="71">
        <v>4.0764972320080517</v>
      </c>
      <c r="H18" s="71">
        <v>11.797752808988763</v>
      </c>
      <c r="I18" s="71">
        <v>4.536862003780719</v>
      </c>
      <c r="J18" s="21"/>
      <c r="K18" s="71">
        <v>0.41891083183722316</v>
      </c>
      <c r="L18" s="71">
        <v>1.0568696527428285</v>
      </c>
      <c r="M18" s="71">
        <v>1.8258426966292134</v>
      </c>
      <c r="N18" s="71">
        <v>2.6465028355387523</v>
      </c>
      <c r="O18" s="21"/>
      <c r="P18" s="21"/>
      <c r="Q18" s="21"/>
      <c r="R18" s="21"/>
    </row>
    <row r="19" spans="1:18" s="20" customFormat="1" x14ac:dyDescent="0.25">
      <c r="A19" s="71">
        <v>9.4358974358974361</v>
      </c>
      <c r="B19" s="71">
        <v>16.886930983847286</v>
      </c>
      <c r="C19" s="71">
        <v>21.637010676156585</v>
      </c>
      <c r="D19" s="71">
        <v>21.072796934865899</v>
      </c>
      <c r="E19" s="21"/>
      <c r="F19" s="71">
        <v>2.7692307692307692</v>
      </c>
      <c r="G19" s="71">
        <v>10.425844346549193</v>
      </c>
      <c r="H19" s="71">
        <v>15.302491103202847</v>
      </c>
      <c r="I19" s="71">
        <v>7.088122605363985</v>
      </c>
      <c r="J19" s="21"/>
      <c r="K19" s="71">
        <v>0.41025641025641024</v>
      </c>
      <c r="L19" s="71">
        <v>0.58737151248164465</v>
      </c>
      <c r="M19" s="71">
        <v>0.35587188612099641</v>
      </c>
      <c r="N19" s="71">
        <v>3.2567049808429118</v>
      </c>
      <c r="O19" s="21"/>
      <c r="P19" s="21"/>
      <c r="Q19" s="21"/>
      <c r="R19" s="21"/>
    </row>
    <row r="20" spans="1:18" s="20" customFormat="1" x14ac:dyDescent="0.25">
      <c r="A20" s="71">
        <v>25.645438898450944</v>
      </c>
      <c r="B20" s="71">
        <v>19.427148194271481</v>
      </c>
      <c r="C20" s="71">
        <v>18.777292576419214</v>
      </c>
      <c r="D20" s="71">
        <v>16.71388101983003</v>
      </c>
      <c r="E20" s="21"/>
      <c r="F20" s="71">
        <v>7.056798623063683</v>
      </c>
      <c r="G20" s="71">
        <v>3.1133250311332503</v>
      </c>
      <c r="H20" s="71">
        <v>12.882096069868995</v>
      </c>
      <c r="I20" s="71">
        <v>7.3654390934844187</v>
      </c>
      <c r="J20" s="21"/>
      <c r="K20" s="71">
        <v>6.024096385542169</v>
      </c>
      <c r="L20" s="71">
        <v>0.24906600249066002</v>
      </c>
      <c r="M20" s="71">
        <v>1.5283842794759825</v>
      </c>
      <c r="N20" s="71">
        <v>0.99150141643059486</v>
      </c>
      <c r="O20" s="21"/>
      <c r="P20" s="21"/>
      <c r="Q20" s="21"/>
      <c r="R20" s="21"/>
    </row>
    <row r="21" spans="1:18" s="20" customFormat="1" x14ac:dyDescent="0.25">
      <c r="A21" s="71">
        <v>26.928281461434374</v>
      </c>
      <c r="B21" s="71">
        <v>27.615571776155718</v>
      </c>
      <c r="C21" s="71">
        <v>25.431034482758619</v>
      </c>
      <c r="D21" s="71">
        <v>37.45454545454546</v>
      </c>
      <c r="E21" s="21"/>
      <c r="F21" s="71">
        <v>8.5250338294993231</v>
      </c>
      <c r="G21" s="71">
        <v>4.8661800486618008</v>
      </c>
      <c r="H21" s="71">
        <v>12.931034482758621</v>
      </c>
      <c r="I21" s="71">
        <v>6.9090909090909092</v>
      </c>
      <c r="J21" s="21"/>
      <c r="K21" s="71">
        <v>0.40595399188092013</v>
      </c>
      <c r="L21" s="71">
        <v>0.36496350364963503</v>
      </c>
      <c r="M21" s="71">
        <v>1.053639846743295</v>
      </c>
      <c r="N21" s="71">
        <v>4.3636363636363642</v>
      </c>
      <c r="O21" s="21"/>
      <c r="P21" s="21"/>
      <c r="Q21" s="21"/>
      <c r="R21" s="21"/>
    </row>
    <row r="22" spans="1:18" s="20" customForma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x14ac:dyDescent="0.25">
      <c r="A23" s="24" t="s">
        <v>184</v>
      </c>
      <c r="B23" s="25" t="s">
        <v>185</v>
      </c>
      <c r="C23" s="25"/>
      <c r="D23" s="25"/>
      <c r="E23" s="25"/>
      <c r="F23" s="25"/>
      <c r="G23" s="25"/>
      <c r="H23" s="25"/>
      <c r="I23" s="21"/>
      <c r="J23" s="25" t="s">
        <v>188</v>
      </c>
      <c r="K23" s="21"/>
      <c r="L23" s="21"/>
      <c r="M23" s="21"/>
      <c r="N23" s="21"/>
      <c r="O23" s="21"/>
      <c r="P23" s="21"/>
      <c r="Q23" s="21"/>
      <c r="R23" s="21"/>
    </row>
    <row r="24" spans="1:18" x14ac:dyDescent="0.25">
      <c r="A24" s="28" t="s">
        <v>103</v>
      </c>
      <c r="B24" s="29">
        <v>0</v>
      </c>
      <c r="C24" s="29">
        <v>4</v>
      </c>
      <c r="D24" s="29">
        <v>6</v>
      </c>
      <c r="E24" s="29">
        <v>8</v>
      </c>
      <c r="F24" s="29">
        <v>11</v>
      </c>
      <c r="G24" s="29">
        <v>13</v>
      </c>
      <c r="H24" s="29">
        <v>15</v>
      </c>
      <c r="I24" s="21"/>
      <c r="J24" s="28" t="s">
        <v>103</v>
      </c>
      <c r="K24" s="29">
        <v>0</v>
      </c>
      <c r="L24" s="29">
        <v>4</v>
      </c>
      <c r="M24" s="29">
        <v>6</v>
      </c>
      <c r="N24" s="29">
        <v>8</v>
      </c>
      <c r="O24" s="29">
        <v>11</v>
      </c>
      <c r="P24" s="29">
        <v>13</v>
      </c>
      <c r="Q24" s="29">
        <v>15</v>
      </c>
      <c r="R24" s="29">
        <v>19</v>
      </c>
    </row>
    <row r="25" spans="1:18" x14ac:dyDescent="0.25">
      <c r="A25" s="79" t="s">
        <v>27</v>
      </c>
      <c r="B25" s="28">
        <v>29.07</v>
      </c>
      <c r="C25" s="28">
        <v>34.200000000000003</v>
      </c>
      <c r="D25" s="28">
        <v>58.519999999999996</v>
      </c>
      <c r="E25" s="28">
        <v>77.440000000000012</v>
      </c>
      <c r="F25" s="28">
        <v>97</v>
      </c>
      <c r="G25" s="37">
        <v>104.03</v>
      </c>
      <c r="H25" s="37">
        <v>117.69999999999999</v>
      </c>
      <c r="I25" s="21"/>
      <c r="J25" s="79" t="s">
        <v>27</v>
      </c>
      <c r="K25" s="28">
        <v>20.21</v>
      </c>
      <c r="L25" s="28">
        <v>25.439999999999998</v>
      </c>
      <c r="M25" s="28">
        <v>49.699999999999996</v>
      </c>
      <c r="N25" s="28">
        <v>56.88</v>
      </c>
      <c r="O25" s="28">
        <v>35.99</v>
      </c>
      <c r="P25" s="37">
        <v>34.769999999999996</v>
      </c>
      <c r="Q25" s="37">
        <v>31.27</v>
      </c>
      <c r="R25" s="28">
        <v>63</v>
      </c>
    </row>
    <row r="26" spans="1:18" x14ac:dyDescent="0.25">
      <c r="A26" s="80"/>
      <c r="B26" s="28">
        <v>10.199999999999999</v>
      </c>
      <c r="C26" s="28">
        <v>23.03</v>
      </c>
      <c r="D26" s="28">
        <v>39.65</v>
      </c>
      <c r="E26" s="28">
        <v>68</v>
      </c>
      <c r="F26" s="28">
        <v>93.600000000000009</v>
      </c>
      <c r="G26" s="37">
        <v>94.76</v>
      </c>
      <c r="H26" s="37">
        <v>106.08</v>
      </c>
      <c r="I26" s="21"/>
      <c r="J26" s="80"/>
      <c r="K26" s="28">
        <v>4</v>
      </c>
      <c r="L26" s="28">
        <v>17.16</v>
      </c>
      <c r="M26" s="28">
        <v>27.56</v>
      </c>
      <c r="N26" s="28">
        <v>36.959999999999994</v>
      </c>
      <c r="O26" s="28">
        <v>30.800000000000004</v>
      </c>
      <c r="P26" s="37">
        <v>37.4</v>
      </c>
      <c r="Q26" s="37">
        <v>55.25</v>
      </c>
      <c r="R26" s="28">
        <v>115.91999999999999</v>
      </c>
    </row>
    <row r="27" spans="1:18" x14ac:dyDescent="0.25">
      <c r="A27" s="80"/>
      <c r="B27" s="28">
        <v>17.55</v>
      </c>
      <c r="C27" s="28">
        <v>32</v>
      </c>
      <c r="D27" s="28">
        <v>50.16</v>
      </c>
      <c r="E27" s="28">
        <v>60.59</v>
      </c>
      <c r="F27" s="28">
        <v>73.040000000000006</v>
      </c>
      <c r="G27" s="37">
        <v>95.95</v>
      </c>
      <c r="H27" s="37">
        <v>106.08</v>
      </c>
      <c r="I27" s="21"/>
      <c r="J27" s="80"/>
      <c r="K27" s="28">
        <v>10.199999999999999</v>
      </c>
      <c r="L27" s="28">
        <v>12.96</v>
      </c>
      <c r="M27" s="28">
        <v>18.489999999999998</v>
      </c>
      <c r="N27" s="28">
        <v>19.8</v>
      </c>
      <c r="O27" s="28">
        <v>23.5</v>
      </c>
      <c r="P27" s="37">
        <v>21.599999999999998</v>
      </c>
      <c r="Q27" s="37">
        <v>33.599999999999994</v>
      </c>
      <c r="R27" s="28">
        <v>77.399999999999991</v>
      </c>
    </row>
    <row r="28" spans="1:18" x14ac:dyDescent="0.25">
      <c r="A28" s="80"/>
      <c r="B28" s="28">
        <v>21.84</v>
      </c>
      <c r="C28" s="28">
        <v>29.439999999999998</v>
      </c>
      <c r="D28" s="28">
        <v>53.940000000000005</v>
      </c>
      <c r="E28" s="28">
        <v>52.930000000000007</v>
      </c>
      <c r="F28" s="28">
        <v>77.759999999999991</v>
      </c>
      <c r="G28" s="37">
        <v>97.439999999999984</v>
      </c>
      <c r="H28" s="37">
        <v>132.84</v>
      </c>
      <c r="I28" s="21"/>
      <c r="J28" s="80"/>
      <c r="K28" s="28">
        <v>5.9799999999999995</v>
      </c>
      <c r="L28" s="28">
        <v>10.199999999999999</v>
      </c>
      <c r="M28" s="28">
        <v>20.7</v>
      </c>
      <c r="N28" s="28">
        <v>20.680000000000003</v>
      </c>
      <c r="O28" s="28">
        <v>24.010000000000005</v>
      </c>
      <c r="P28" s="37">
        <v>22.56</v>
      </c>
      <c r="Q28" s="37">
        <v>29.160000000000004</v>
      </c>
      <c r="R28" s="28">
        <v>68.890000000000015</v>
      </c>
    </row>
    <row r="29" spans="1:18" x14ac:dyDescent="0.25">
      <c r="A29" s="80"/>
      <c r="B29" s="28">
        <v>20.639999999999997</v>
      </c>
      <c r="C29" s="28">
        <v>38.43</v>
      </c>
      <c r="D29" s="28">
        <v>51.84</v>
      </c>
      <c r="E29" s="28">
        <v>66.989999999999995</v>
      </c>
      <c r="F29" s="28">
        <v>85.44</v>
      </c>
      <c r="G29" s="37">
        <v>108.9</v>
      </c>
      <c r="H29" s="37">
        <v>129.47</v>
      </c>
      <c r="I29" s="21"/>
      <c r="J29" s="80"/>
      <c r="K29" s="28">
        <v>6.72</v>
      </c>
      <c r="L29" s="28">
        <v>10.8</v>
      </c>
      <c r="M29" s="28">
        <v>19.349999999999998</v>
      </c>
      <c r="N29" s="28">
        <v>24.96</v>
      </c>
      <c r="O29" s="28">
        <v>27.930000000000003</v>
      </c>
      <c r="P29" s="37">
        <v>24.08</v>
      </c>
      <c r="Q29" s="37">
        <v>37.260000000000005</v>
      </c>
      <c r="R29" s="28">
        <v>63.24</v>
      </c>
    </row>
    <row r="30" spans="1:18" x14ac:dyDescent="0.25">
      <c r="A30" s="81"/>
      <c r="B30" s="28">
        <v>17.099999999999998</v>
      </c>
      <c r="C30" s="28">
        <v>29.25</v>
      </c>
      <c r="D30" s="28">
        <v>40.799999999999997</v>
      </c>
      <c r="E30" s="28">
        <v>63.19</v>
      </c>
      <c r="F30" s="28">
        <v>70.550000000000011</v>
      </c>
      <c r="G30" s="37">
        <v>79.2</v>
      </c>
      <c r="H30" s="37">
        <v>110.16</v>
      </c>
      <c r="I30" s="21"/>
      <c r="J30" s="81"/>
      <c r="K30" s="28">
        <v>10.5</v>
      </c>
      <c r="L30" s="28">
        <v>21.2</v>
      </c>
      <c r="M30" s="28">
        <v>35.909999999999997</v>
      </c>
      <c r="N30" s="28">
        <v>40.949999999999996</v>
      </c>
      <c r="O30" s="28">
        <v>40.32</v>
      </c>
      <c r="P30" s="37">
        <v>51.2</v>
      </c>
      <c r="Q30" s="37">
        <v>69.3</v>
      </c>
      <c r="R30" s="28">
        <v>113.36000000000001</v>
      </c>
    </row>
    <row r="31" spans="1:18" x14ac:dyDescent="0.25">
      <c r="A31" s="79" t="s">
        <v>107</v>
      </c>
      <c r="B31" s="37">
        <v>11.9</v>
      </c>
      <c r="C31" s="28">
        <v>19.32</v>
      </c>
      <c r="D31" s="28">
        <v>18.059999999999999</v>
      </c>
      <c r="E31" s="15">
        <v>15.299999999999999</v>
      </c>
      <c r="F31" s="15">
        <v>18.330000000000002</v>
      </c>
      <c r="G31" s="15">
        <v>24.38</v>
      </c>
      <c r="H31" s="15">
        <v>27.730000000000004</v>
      </c>
      <c r="I31" s="21"/>
      <c r="J31" s="79" t="s">
        <v>107</v>
      </c>
      <c r="K31" s="37">
        <v>6.72</v>
      </c>
      <c r="L31" s="28">
        <v>8</v>
      </c>
      <c r="M31" s="28">
        <v>6.669999999999999</v>
      </c>
      <c r="N31" s="15">
        <v>4.3699999999999992</v>
      </c>
      <c r="O31" s="15">
        <v>4</v>
      </c>
      <c r="P31" s="15">
        <v>3.4</v>
      </c>
      <c r="Q31" s="15">
        <v>3.42</v>
      </c>
      <c r="R31" s="15">
        <v>3.06</v>
      </c>
    </row>
    <row r="32" spans="1:18" x14ac:dyDescent="0.25">
      <c r="A32" s="80"/>
      <c r="B32" s="37">
        <v>25.419999999999998</v>
      </c>
      <c r="C32" s="28">
        <v>34.72</v>
      </c>
      <c r="D32" s="28">
        <v>39.76</v>
      </c>
      <c r="E32" s="15">
        <v>43.47</v>
      </c>
      <c r="F32" s="15">
        <v>48.18</v>
      </c>
      <c r="G32" s="15">
        <v>60.059999999999995</v>
      </c>
      <c r="H32" s="15">
        <v>80.959999999999994</v>
      </c>
      <c r="I32" s="21"/>
      <c r="J32" s="80"/>
      <c r="K32" s="37">
        <v>17.39</v>
      </c>
      <c r="L32" s="28">
        <v>26.22</v>
      </c>
      <c r="M32" s="28">
        <v>27.54</v>
      </c>
      <c r="N32" s="15">
        <v>34.200000000000003</v>
      </c>
      <c r="O32" s="15">
        <v>41.400000000000006</v>
      </c>
      <c r="P32" s="15">
        <v>50.16</v>
      </c>
      <c r="Q32" s="15">
        <v>49.699999999999996</v>
      </c>
      <c r="R32" s="15">
        <v>68</v>
      </c>
    </row>
    <row r="33" spans="1:18" x14ac:dyDescent="0.25">
      <c r="A33" s="80"/>
      <c r="B33" s="28">
        <v>22.05</v>
      </c>
      <c r="C33" s="28">
        <v>25.299999999999997</v>
      </c>
      <c r="D33" s="28">
        <v>37.699999999999996</v>
      </c>
      <c r="E33" s="15">
        <v>31.619999999999997</v>
      </c>
      <c r="F33" s="15">
        <v>29.07</v>
      </c>
      <c r="G33" s="15">
        <v>41.400000000000006</v>
      </c>
      <c r="H33" s="15">
        <v>56.699999999999996</v>
      </c>
      <c r="I33" s="21"/>
      <c r="J33" s="80"/>
      <c r="K33" s="28">
        <v>5.52</v>
      </c>
      <c r="L33" s="28">
        <v>7.13</v>
      </c>
      <c r="M33" s="28">
        <v>9.2399999999999984</v>
      </c>
      <c r="N33" s="15">
        <v>5.52</v>
      </c>
      <c r="O33" s="15">
        <v>6.7600000000000007</v>
      </c>
      <c r="P33" s="15">
        <v>3.06</v>
      </c>
      <c r="Q33" s="15">
        <v>4.18</v>
      </c>
      <c r="R33" s="15">
        <v>4.83</v>
      </c>
    </row>
    <row r="34" spans="1:18" x14ac:dyDescent="0.25">
      <c r="A34" s="80"/>
      <c r="B34" s="28">
        <v>18.489999999999998</v>
      </c>
      <c r="C34" s="28">
        <v>25.5</v>
      </c>
      <c r="D34" s="28">
        <v>31.359999999999996</v>
      </c>
      <c r="E34" s="15">
        <v>46.9</v>
      </c>
      <c r="F34" s="15">
        <v>59.129999999999995</v>
      </c>
      <c r="G34" s="15">
        <v>50.370000000000005</v>
      </c>
      <c r="H34" s="15">
        <v>73.040000000000006</v>
      </c>
      <c r="I34" s="21"/>
      <c r="J34" s="80"/>
      <c r="K34" s="28">
        <v>10.56</v>
      </c>
      <c r="L34" s="28">
        <v>9.2399999999999984</v>
      </c>
      <c r="M34" s="28">
        <v>14.76</v>
      </c>
      <c r="N34" s="15">
        <v>8.64</v>
      </c>
      <c r="O34" s="15">
        <v>8.32</v>
      </c>
      <c r="P34" s="15">
        <v>10.88</v>
      </c>
      <c r="Q34" s="15">
        <v>10.889999999999999</v>
      </c>
      <c r="R34" s="15">
        <v>16.34</v>
      </c>
    </row>
    <row r="35" spans="1:18" x14ac:dyDescent="0.25">
      <c r="A35" s="80"/>
      <c r="B35" s="28">
        <v>20.239999999999998</v>
      </c>
      <c r="C35" s="28">
        <v>29.679999999999996</v>
      </c>
      <c r="D35" s="28">
        <v>31.919999999999998</v>
      </c>
      <c r="E35" s="15">
        <v>46.199999999999996</v>
      </c>
      <c r="F35" s="15">
        <v>43.4</v>
      </c>
      <c r="G35" s="15">
        <v>64</v>
      </c>
      <c r="H35" s="15">
        <v>68.8</v>
      </c>
      <c r="I35" s="21"/>
      <c r="J35" s="80"/>
      <c r="K35" s="28">
        <v>8.6999999999999993</v>
      </c>
      <c r="L35" s="28">
        <v>5.9400000000000013</v>
      </c>
      <c r="M35" s="28">
        <v>6.72</v>
      </c>
      <c r="N35" s="15">
        <v>6.75</v>
      </c>
      <c r="O35" s="15">
        <v>9.7999999999999989</v>
      </c>
      <c r="P35" s="15">
        <v>10.08</v>
      </c>
      <c r="Q35" s="15">
        <v>13.65</v>
      </c>
      <c r="R35" s="15">
        <v>18.920000000000002</v>
      </c>
    </row>
    <row r="36" spans="1:18" x14ac:dyDescent="0.25">
      <c r="A36" s="81"/>
      <c r="B36" s="28">
        <v>15.17</v>
      </c>
      <c r="C36" s="28">
        <v>24.99</v>
      </c>
      <c r="D36" s="28">
        <v>20.239999999999998</v>
      </c>
      <c r="E36" s="15">
        <v>27.029999999999998</v>
      </c>
      <c r="F36" s="15">
        <v>30.21</v>
      </c>
      <c r="G36" s="15">
        <v>40.92</v>
      </c>
      <c r="H36" s="15">
        <v>37.799999999999997</v>
      </c>
      <c r="I36" s="21"/>
      <c r="J36" s="81"/>
      <c r="K36" s="28">
        <v>4</v>
      </c>
      <c r="L36" s="28">
        <v>4</v>
      </c>
      <c r="M36" s="28">
        <v>4</v>
      </c>
      <c r="N36" s="15">
        <v>4</v>
      </c>
      <c r="O36" s="15">
        <v>4</v>
      </c>
      <c r="P36" s="15">
        <v>3.23</v>
      </c>
      <c r="Q36" s="15">
        <v>3.06</v>
      </c>
      <c r="R36" s="15">
        <v>2.8899999999999997</v>
      </c>
    </row>
    <row r="37" spans="1:18" x14ac:dyDescent="0.25">
      <c r="A37" s="79" t="s">
        <v>186</v>
      </c>
      <c r="B37" s="28">
        <v>23.459999999999997</v>
      </c>
      <c r="C37" s="28">
        <v>37.200000000000003</v>
      </c>
      <c r="D37" s="28">
        <v>45.54</v>
      </c>
      <c r="E37" s="15">
        <v>45.56</v>
      </c>
      <c r="F37" s="15">
        <v>60</v>
      </c>
      <c r="G37" s="15">
        <v>48.300000000000004</v>
      </c>
      <c r="H37" s="15">
        <v>87.420000000000016</v>
      </c>
      <c r="I37" s="21"/>
      <c r="J37" s="79" t="s">
        <v>186</v>
      </c>
      <c r="K37" s="28">
        <v>4.5999999999999996</v>
      </c>
      <c r="L37" s="28">
        <v>9</v>
      </c>
      <c r="M37" s="28">
        <v>13.32</v>
      </c>
      <c r="N37" s="15">
        <v>12.87</v>
      </c>
      <c r="O37" s="15">
        <v>15.48</v>
      </c>
      <c r="P37" s="15">
        <v>18.059999999999999</v>
      </c>
      <c r="Q37" s="15">
        <v>20.25</v>
      </c>
      <c r="R37" s="15">
        <v>30.24</v>
      </c>
    </row>
    <row r="38" spans="1:18" x14ac:dyDescent="0.25">
      <c r="A38" s="80"/>
      <c r="B38" s="28">
        <v>22.54</v>
      </c>
      <c r="C38" s="28">
        <v>38.35</v>
      </c>
      <c r="D38" s="28">
        <v>45.44</v>
      </c>
      <c r="E38" s="15">
        <v>44.85</v>
      </c>
      <c r="F38" s="15">
        <v>77.429999999999993</v>
      </c>
      <c r="G38" s="15">
        <v>88.2</v>
      </c>
      <c r="H38" s="15">
        <v>113.4</v>
      </c>
      <c r="I38" s="21"/>
      <c r="J38" s="80"/>
      <c r="K38" s="28">
        <v>6.75</v>
      </c>
      <c r="L38" s="28">
        <v>13.32</v>
      </c>
      <c r="M38" s="28">
        <v>17.63</v>
      </c>
      <c r="N38" s="15">
        <v>19.740000000000002</v>
      </c>
      <c r="O38" s="15">
        <v>18.45</v>
      </c>
      <c r="P38" s="15">
        <v>18.130000000000003</v>
      </c>
      <c r="Q38" s="15">
        <v>29.5</v>
      </c>
      <c r="R38" s="15">
        <v>66.400000000000006</v>
      </c>
    </row>
    <row r="39" spans="1:18" x14ac:dyDescent="0.25">
      <c r="A39" s="80"/>
      <c r="B39" s="28">
        <v>14.43</v>
      </c>
      <c r="C39" s="28">
        <v>28.09</v>
      </c>
      <c r="D39" s="28">
        <v>34.200000000000003</v>
      </c>
      <c r="E39" s="15">
        <v>42.9</v>
      </c>
      <c r="F39" s="15">
        <v>48.99</v>
      </c>
      <c r="G39" s="15">
        <v>59.279999999999994</v>
      </c>
      <c r="H39" s="15">
        <v>74.7</v>
      </c>
      <c r="I39" s="21"/>
      <c r="J39" s="80"/>
      <c r="K39" s="28">
        <v>11.78</v>
      </c>
      <c r="L39" s="28">
        <v>18.45</v>
      </c>
      <c r="M39" s="28">
        <v>29.119999999999997</v>
      </c>
      <c r="N39" s="15">
        <v>30.74</v>
      </c>
      <c r="O39" s="15">
        <v>43.92</v>
      </c>
      <c r="P39" s="15">
        <v>50.92</v>
      </c>
      <c r="Q39" s="15">
        <v>70.400000000000006</v>
      </c>
      <c r="R39" s="15">
        <v>100.88</v>
      </c>
    </row>
    <row r="40" spans="1:18" x14ac:dyDescent="0.25">
      <c r="A40" s="80"/>
      <c r="B40" s="28">
        <v>12.209999999999999</v>
      </c>
      <c r="C40" s="28">
        <v>15.91</v>
      </c>
      <c r="D40" s="28">
        <v>23.459999999999997</v>
      </c>
      <c r="E40" s="15">
        <v>23.849999999999998</v>
      </c>
      <c r="F40" s="15">
        <v>34.020000000000003</v>
      </c>
      <c r="G40" s="15">
        <v>37.699999999999996</v>
      </c>
      <c r="H40" s="15">
        <v>50.050000000000004</v>
      </c>
      <c r="I40" s="21"/>
      <c r="J40" s="80"/>
      <c r="K40" s="28">
        <v>5.52</v>
      </c>
      <c r="L40" s="28">
        <v>11.16</v>
      </c>
      <c r="M40" s="28">
        <v>10.88</v>
      </c>
      <c r="N40" s="15">
        <v>15.579999999999998</v>
      </c>
      <c r="O40" s="15">
        <v>24.479999999999997</v>
      </c>
      <c r="P40" s="15">
        <v>14.819999999999999</v>
      </c>
      <c r="Q40" s="15">
        <v>20.239999999999998</v>
      </c>
      <c r="R40" s="15">
        <v>33.599999999999994</v>
      </c>
    </row>
    <row r="41" spans="1:18" x14ac:dyDescent="0.25">
      <c r="A41" s="80"/>
      <c r="B41" s="28">
        <v>19.8</v>
      </c>
      <c r="C41" s="28">
        <v>42.88</v>
      </c>
      <c r="D41" s="28">
        <v>40.960000000000008</v>
      </c>
      <c r="E41" s="28">
        <v>36.54</v>
      </c>
      <c r="F41" s="28">
        <v>62.4</v>
      </c>
      <c r="G41" s="37">
        <v>79.169999999999987</v>
      </c>
      <c r="H41" s="37">
        <v>104.03</v>
      </c>
      <c r="I41" s="21"/>
      <c r="J41" s="80"/>
      <c r="K41" s="28">
        <v>14.06</v>
      </c>
      <c r="L41" s="28">
        <v>22.56</v>
      </c>
      <c r="M41" s="28">
        <v>27.930000000000003</v>
      </c>
      <c r="N41" s="28">
        <v>42.24</v>
      </c>
      <c r="O41" s="28">
        <v>40.300000000000004</v>
      </c>
      <c r="P41" s="37">
        <v>54.510000000000005</v>
      </c>
      <c r="Q41" s="37">
        <v>77.28</v>
      </c>
      <c r="R41" s="28">
        <v>124.2</v>
      </c>
    </row>
    <row r="42" spans="1:18" x14ac:dyDescent="0.25">
      <c r="A42" s="81"/>
      <c r="B42" s="28">
        <v>19.349999999999998</v>
      </c>
      <c r="C42" s="28">
        <v>40.26</v>
      </c>
      <c r="D42" s="28">
        <v>62.4</v>
      </c>
      <c r="E42" s="28">
        <v>66.419999999999987</v>
      </c>
      <c r="F42" s="28">
        <v>86.47999999999999</v>
      </c>
      <c r="G42" s="37">
        <v>95.06</v>
      </c>
      <c r="H42" s="37">
        <v>116.64000000000001</v>
      </c>
      <c r="I42" s="21"/>
      <c r="J42" s="81"/>
      <c r="K42" s="28">
        <v>8.58</v>
      </c>
      <c r="L42" s="28">
        <v>11.100000000000001</v>
      </c>
      <c r="M42" s="28">
        <v>20.399999999999999</v>
      </c>
      <c r="N42" s="28">
        <v>31.72</v>
      </c>
      <c r="O42" s="28">
        <v>48.96</v>
      </c>
      <c r="P42" s="37">
        <v>52.65</v>
      </c>
      <c r="Q42" s="37">
        <v>58.800000000000004</v>
      </c>
      <c r="R42" s="28">
        <v>95.88</v>
      </c>
    </row>
    <row r="43" spans="1:18" x14ac:dyDescent="0.25">
      <c r="A43" s="79" t="s">
        <v>187</v>
      </c>
      <c r="B43" s="28">
        <v>22.56</v>
      </c>
      <c r="C43" s="28">
        <v>33.549999999999997</v>
      </c>
      <c r="D43" s="28">
        <v>48.300000000000004</v>
      </c>
      <c r="E43" s="28">
        <v>49.64</v>
      </c>
      <c r="F43" s="28">
        <v>68.73</v>
      </c>
      <c r="G43" s="37">
        <v>78.3</v>
      </c>
      <c r="H43" s="37">
        <v>90</v>
      </c>
      <c r="I43" s="21"/>
      <c r="J43" s="79" t="s">
        <v>187</v>
      </c>
      <c r="K43" s="28">
        <v>13.32</v>
      </c>
      <c r="L43" s="28">
        <v>18.8</v>
      </c>
      <c r="M43" s="28">
        <v>22.08</v>
      </c>
      <c r="N43" s="28">
        <v>20.7</v>
      </c>
      <c r="O43" s="28">
        <v>22.5</v>
      </c>
      <c r="P43" s="37">
        <v>23.459999999999997</v>
      </c>
      <c r="Q43" s="37">
        <v>31.9</v>
      </c>
      <c r="R43" s="28">
        <v>43.550000000000004</v>
      </c>
    </row>
    <row r="44" spans="1:18" x14ac:dyDescent="0.25">
      <c r="A44" s="80"/>
      <c r="B44" s="28">
        <v>12.58</v>
      </c>
      <c r="C44" s="28">
        <v>16.38</v>
      </c>
      <c r="D44" s="28">
        <v>19.8</v>
      </c>
      <c r="E44" s="28">
        <v>18.920000000000002</v>
      </c>
      <c r="F44" s="28">
        <v>22.08</v>
      </c>
      <c r="G44" s="37">
        <v>21</v>
      </c>
      <c r="H44" s="37">
        <v>21.619999999999997</v>
      </c>
      <c r="I44" s="21"/>
      <c r="J44" s="80"/>
      <c r="K44" s="28">
        <v>13.690000000000001</v>
      </c>
      <c r="L44" s="28">
        <v>18.920000000000002</v>
      </c>
      <c r="M44" s="28">
        <v>25.970000000000002</v>
      </c>
      <c r="N44" s="28">
        <v>29.119999999999997</v>
      </c>
      <c r="O44" s="28">
        <v>31.799999999999997</v>
      </c>
      <c r="P44" s="37">
        <v>32.33</v>
      </c>
      <c r="Q44" s="37">
        <v>45.5</v>
      </c>
      <c r="R44" s="28">
        <v>30.24</v>
      </c>
    </row>
    <row r="45" spans="1:18" x14ac:dyDescent="0.25">
      <c r="A45" s="80"/>
      <c r="B45" s="28">
        <v>19.600000000000001</v>
      </c>
      <c r="C45" s="28">
        <v>33.64</v>
      </c>
      <c r="D45" s="28">
        <v>46.199999999999996</v>
      </c>
      <c r="E45" s="28">
        <v>53.25</v>
      </c>
      <c r="F45" s="28">
        <v>63.839999999999996</v>
      </c>
      <c r="G45" s="37">
        <v>65.599999999999994</v>
      </c>
      <c r="H45" s="37">
        <v>88.2</v>
      </c>
      <c r="I45" s="21"/>
      <c r="J45" s="80"/>
      <c r="K45" s="28">
        <v>4.83</v>
      </c>
      <c r="L45" s="28">
        <v>9.8999999999999986</v>
      </c>
      <c r="M45" s="28">
        <v>14.06</v>
      </c>
      <c r="N45" s="28">
        <v>11.520000000000001</v>
      </c>
      <c r="O45" s="28">
        <v>5.0599999999999996</v>
      </c>
      <c r="P45" s="37">
        <v>10.08</v>
      </c>
      <c r="Q45" s="37">
        <v>28.049999999999997</v>
      </c>
      <c r="R45" s="28">
        <v>73.470000000000013</v>
      </c>
    </row>
    <row r="46" spans="1:18" x14ac:dyDescent="0.25">
      <c r="A46" s="80"/>
      <c r="B46" s="28">
        <v>13.68</v>
      </c>
      <c r="C46" s="28">
        <v>25.970000000000002</v>
      </c>
      <c r="D46" s="28">
        <v>33.549999999999997</v>
      </c>
      <c r="E46" s="28">
        <v>28.6</v>
      </c>
      <c r="F46" s="28">
        <v>38.43</v>
      </c>
      <c r="G46" s="37">
        <v>45.5</v>
      </c>
      <c r="H46" s="37">
        <v>53.959999999999994</v>
      </c>
      <c r="I46" s="21"/>
      <c r="J46" s="80"/>
      <c r="K46" s="28">
        <v>7.0200000000000005</v>
      </c>
      <c r="L46" s="28">
        <v>12.8</v>
      </c>
      <c r="M46" s="28">
        <v>17.479999999999997</v>
      </c>
      <c r="N46" s="28">
        <v>26.52</v>
      </c>
      <c r="O46" s="28">
        <v>56.28</v>
      </c>
      <c r="P46" s="37">
        <v>68.08</v>
      </c>
      <c r="Q46" s="37">
        <v>62.559999999999995</v>
      </c>
      <c r="R46" s="28">
        <v>103.23</v>
      </c>
    </row>
    <row r="47" spans="1:18" x14ac:dyDescent="0.25">
      <c r="A47" s="80"/>
      <c r="B47" s="28">
        <v>23.32</v>
      </c>
      <c r="C47" s="28">
        <v>36.480000000000004</v>
      </c>
      <c r="D47" s="28">
        <v>56.980000000000004</v>
      </c>
      <c r="E47" s="28">
        <v>70.550000000000011</v>
      </c>
      <c r="F47" s="28">
        <v>83.300000000000011</v>
      </c>
      <c r="G47" s="28">
        <v>95</v>
      </c>
      <c r="H47" s="28">
        <v>125.4</v>
      </c>
      <c r="I47" s="21"/>
      <c r="J47" s="80"/>
      <c r="K47" s="28">
        <v>8.1000000000000014</v>
      </c>
      <c r="L47" s="28">
        <v>11.100000000000001</v>
      </c>
      <c r="M47" s="28">
        <v>14.43</v>
      </c>
      <c r="N47" s="28">
        <v>14.04</v>
      </c>
      <c r="O47" s="28">
        <v>16.34</v>
      </c>
      <c r="P47" s="28">
        <v>13.65</v>
      </c>
      <c r="Q47" s="28">
        <v>12.24</v>
      </c>
      <c r="R47" s="28">
        <v>18.04</v>
      </c>
    </row>
    <row r="48" spans="1:18" x14ac:dyDescent="0.25">
      <c r="A48" s="81"/>
      <c r="B48" s="28">
        <v>19.8</v>
      </c>
      <c r="C48" s="28">
        <v>41.8</v>
      </c>
      <c r="D48" s="28">
        <v>55.9</v>
      </c>
      <c r="E48" s="28">
        <v>66.960000000000008</v>
      </c>
      <c r="F48" s="28">
        <v>85.14</v>
      </c>
      <c r="G48" s="28">
        <v>96.12</v>
      </c>
      <c r="H48" s="28">
        <v>120.75</v>
      </c>
      <c r="I48" s="21"/>
      <c r="J48" s="81"/>
      <c r="K48" s="28">
        <v>4.8400000000000007</v>
      </c>
      <c r="L48" s="28">
        <v>10.889999999999999</v>
      </c>
      <c r="M48" s="28">
        <v>12.209999999999999</v>
      </c>
      <c r="N48" s="28">
        <v>12.209999999999999</v>
      </c>
      <c r="O48" s="28">
        <v>13.68</v>
      </c>
      <c r="P48" s="28">
        <v>13.529999999999998</v>
      </c>
      <c r="Q48" s="28">
        <v>18.04</v>
      </c>
      <c r="R48" s="28">
        <v>19.8</v>
      </c>
    </row>
  </sheetData>
  <mergeCells count="23">
    <mergeCell ref="J25:J30"/>
    <mergeCell ref="J31:J36"/>
    <mergeCell ref="J37:J42"/>
    <mergeCell ref="J43:J48"/>
    <mergeCell ref="A25:A30"/>
    <mergeCell ref="A31:A36"/>
    <mergeCell ref="A37:A42"/>
    <mergeCell ref="A43:A48"/>
    <mergeCell ref="F2:I2"/>
    <mergeCell ref="F3:G3"/>
    <mergeCell ref="H3:I3"/>
    <mergeCell ref="A2:D2"/>
    <mergeCell ref="A3:B3"/>
    <mergeCell ref="C3:D3"/>
    <mergeCell ref="K13:N13"/>
    <mergeCell ref="K14:L14"/>
    <mergeCell ref="M14:N14"/>
    <mergeCell ref="A13:D13"/>
    <mergeCell ref="A14:B14"/>
    <mergeCell ref="C14:D14"/>
    <mergeCell ref="F13:I13"/>
    <mergeCell ref="F14:G14"/>
    <mergeCell ref="H14:I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8CE2-58D0-468C-81EB-BBA7B7E061B9}">
  <dimension ref="A1:X92"/>
  <sheetViews>
    <sheetView topLeftCell="A61" zoomScale="80" zoomScaleNormal="80" workbookViewId="0">
      <selection activeCell="K74" sqref="K74"/>
    </sheetView>
  </sheetViews>
  <sheetFormatPr defaultRowHeight="15.75" x14ac:dyDescent="0.25"/>
  <sheetData>
    <row r="1" spans="1:5" s="20" customFormat="1" x14ac:dyDescent="0.25">
      <c r="A1" s="1" t="s">
        <v>128</v>
      </c>
      <c r="B1" s="21"/>
      <c r="C1" s="21"/>
      <c r="D1" s="21" t="s">
        <v>126</v>
      </c>
    </row>
    <row r="2" spans="1:5" s="20" customFormat="1" x14ac:dyDescent="0.25">
      <c r="A2" s="74" t="s">
        <v>35</v>
      </c>
      <c r="B2" s="74"/>
      <c r="C2" s="21"/>
      <c r="D2" s="74" t="s">
        <v>35</v>
      </c>
      <c r="E2" s="74"/>
    </row>
    <row r="3" spans="1:5" s="20" customFormat="1" x14ac:dyDescent="0.25">
      <c r="A3" s="74" t="s">
        <v>152</v>
      </c>
      <c r="B3" s="74"/>
      <c r="C3" s="21"/>
      <c r="D3" s="75" t="s">
        <v>216</v>
      </c>
      <c r="E3" s="77"/>
    </row>
    <row r="4" spans="1:5" s="20" customFormat="1" x14ac:dyDescent="0.25">
      <c r="A4" s="15" t="s">
        <v>106</v>
      </c>
      <c r="B4" s="15" t="s">
        <v>4</v>
      </c>
      <c r="C4" s="21"/>
      <c r="D4" s="15" t="s">
        <v>27</v>
      </c>
      <c r="E4" s="15" t="s">
        <v>4</v>
      </c>
    </row>
    <row r="5" spans="1:5" s="20" customFormat="1" x14ac:dyDescent="0.25">
      <c r="A5" s="23">
        <v>670.33600000000001</v>
      </c>
      <c r="B5" s="23">
        <v>92.746219999999994</v>
      </c>
      <c r="C5" s="21"/>
      <c r="D5" s="3">
        <v>5.61</v>
      </c>
      <c r="E5" s="3">
        <v>103.31</v>
      </c>
    </row>
    <row r="6" spans="1:5" s="20" customFormat="1" x14ac:dyDescent="0.25">
      <c r="A6" s="23">
        <v>210.20480000000001</v>
      </c>
      <c r="B6" s="23">
        <v>112.01739999999999</v>
      </c>
      <c r="C6" s="21"/>
      <c r="D6" s="3">
        <v>1.07</v>
      </c>
      <c r="E6" s="3">
        <v>241.35</v>
      </c>
    </row>
    <row r="7" spans="1:5" s="20" customFormat="1" x14ac:dyDescent="0.25">
      <c r="A7" s="23">
        <v>251.45240000000001</v>
      </c>
      <c r="B7" s="23">
        <v>206.96510000000001</v>
      </c>
      <c r="C7" s="21"/>
      <c r="D7" s="3">
        <v>14.53</v>
      </c>
      <c r="E7" s="3">
        <v>87.66</v>
      </c>
    </row>
    <row r="8" spans="1:5" s="20" customFormat="1" x14ac:dyDescent="0.25">
      <c r="A8" s="23">
        <v>454.5453</v>
      </c>
      <c r="B8" s="23">
        <v>274.77249999999998</v>
      </c>
      <c r="C8" s="21"/>
      <c r="D8" s="3">
        <v>3.33</v>
      </c>
      <c r="E8" s="3">
        <v>162.6</v>
      </c>
    </row>
    <row r="9" spans="1:5" s="20" customFormat="1" x14ac:dyDescent="0.25">
      <c r="A9" s="23">
        <v>94.00788</v>
      </c>
      <c r="B9" s="23">
        <v>454.75279999999998</v>
      </c>
      <c r="C9" s="21"/>
      <c r="D9" s="3">
        <v>11.2</v>
      </c>
      <c r="E9" s="3">
        <v>97.4</v>
      </c>
    </row>
    <row r="10" spans="1:5" s="20" customFormat="1" x14ac:dyDescent="0.25">
      <c r="A10" s="23">
        <v>256.07100000000003</v>
      </c>
      <c r="B10" s="23">
        <v>163.9864</v>
      </c>
      <c r="C10" s="21"/>
      <c r="D10" s="3">
        <v>5</v>
      </c>
      <c r="E10" s="3">
        <v>38</v>
      </c>
    </row>
    <row r="11" spans="1:5" s="20" customFormat="1" x14ac:dyDescent="0.25">
      <c r="A11" s="23">
        <v>208.94900000000001</v>
      </c>
      <c r="B11" s="23">
        <v>161.13929999999999</v>
      </c>
      <c r="C11" s="21"/>
      <c r="D11" s="3">
        <v>11.1</v>
      </c>
      <c r="E11" s="3">
        <v>310.3</v>
      </c>
    </row>
    <row r="12" spans="1:5" s="20" customFormat="1" x14ac:dyDescent="0.25">
      <c r="A12" s="23">
        <v>290.29739999999998</v>
      </c>
      <c r="B12" s="23">
        <v>190.2456</v>
      </c>
      <c r="C12" s="21"/>
      <c r="D12" s="3">
        <v>16.5</v>
      </c>
      <c r="E12" s="3">
        <v>187.7</v>
      </c>
    </row>
    <row r="13" spans="1:5" s="20" customFormat="1" x14ac:dyDescent="0.25">
      <c r="A13" s="23">
        <v>148.31970000000001</v>
      </c>
      <c r="B13" s="23">
        <v>211.94280000000001</v>
      </c>
      <c r="C13" s="21"/>
      <c r="D13" s="3">
        <v>3.9</v>
      </c>
      <c r="E13" s="3"/>
    </row>
    <row r="14" spans="1:5" s="20" customFormat="1" x14ac:dyDescent="0.25">
      <c r="A14" s="23">
        <v>181.57769999999999</v>
      </c>
      <c r="B14" s="23">
        <v>276.64960000000002</v>
      </c>
      <c r="C14" s="21"/>
      <c r="D14" s="3">
        <v>37.299999999999997</v>
      </c>
      <c r="E14" s="3"/>
    </row>
    <row r="15" spans="1:5" s="20" customFormat="1" x14ac:dyDescent="0.25">
      <c r="A15" s="23">
        <v>214.04</v>
      </c>
      <c r="B15" s="23">
        <v>396.35140000000001</v>
      </c>
      <c r="C15" s="21"/>
      <c r="D15" s="24"/>
      <c r="E15" s="24"/>
    </row>
    <row r="16" spans="1:5" s="20" customFormat="1" x14ac:dyDescent="0.25">
      <c r="A16" s="23">
        <v>316.637</v>
      </c>
      <c r="B16" s="23">
        <v>173.8203</v>
      </c>
      <c r="C16" s="21"/>
      <c r="D16" s="24"/>
      <c r="E16" s="24"/>
    </row>
    <row r="17" spans="1:24" s="20" customFormat="1" x14ac:dyDescent="0.25">
      <c r="A17" s="23">
        <v>889.00580000000002</v>
      </c>
      <c r="B17" s="23">
        <v>888.66189999999995</v>
      </c>
      <c r="C17" s="21"/>
      <c r="D17" s="24"/>
      <c r="E17" s="24"/>
    </row>
    <row r="18" spans="1:24" s="20" customFormat="1" x14ac:dyDescent="0.25">
      <c r="A18" s="23">
        <v>945.56079999999997</v>
      </c>
      <c r="B18" s="23">
        <v>978.84770000000003</v>
      </c>
      <c r="C18" s="21"/>
      <c r="D18" s="24"/>
      <c r="E18" s="24"/>
    </row>
    <row r="19" spans="1:24" s="20" customFormat="1" x14ac:dyDescent="0.25">
      <c r="A19" s="23">
        <v>423.93849999999998</v>
      </c>
      <c r="B19" s="23">
        <v>6660.4560000000001</v>
      </c>
      <c r="C19" s="21"/>
      <c r="D19" s="24"/>
      <c r="E19" s="24"/>
    </row>
    <row r="20" spans="1:24" s="20" customFormat="1" x14ac:dyDescent="0.25">
      <c r="A20" s="23">
        <v>5172.5010000000002</v>
      </c>
      <c r="B20" s="23">
        <v>3813.7170000000001</v>
      </c>
      <c r="C20" s="21"/>
      <c r="D20" s="24"/>
      <c r="E20" s="24"/>
    </row>
    <row r="21" spans="1:24" s="20" customFormat="1" x14ac:dyDescent="0.25">
      <c r="A21" s="23">
        <v>1102.7360000000001</v>
      </c>
      <c r="B21" s="23">
        <v>4614.2259999999997</v>
      </c>
      <c r="C21" s="21"/>
      <c r="D21" s="24"/>
      <c r="E21" s="24"/>
    </row>
    <row r="22" spans="1:24" s="20" customFormat="1" x14ac:dyDescent="0.25">
      <c r="A22" s="23">
        <v>1527.287</v>
      </c>
      <c r="B22" s="23">
        <v>1775.204</v>
      </c>
      <c r="C22" s="21"/>
      <c r="D22" s="24"/>
      <c r="E22" s="24"/>
    </row>
    <row r="23" spans="1:24" s="20" customFormat="1" x14ac:dyDescent="0.25">
      <c r="A23" s="23">
        <v>2518.14</v>
      </c>
      <c r="B23" s="23">
        <v>3831.04</v>
      </c>
      <c r="C23" s="21"/>
      <c r="D23" s="24"/>
      <c r="E23" s="24"/>
    </row>
    <row r="24" spans="1:24" s="20" customFormat="1" x14ac:dyDescent="0.25">
      <c r="A24" s="23">
        <v>4736.2079999999996</v>
      </c>
      <c r="B24" s="23">
        <v>2398.8130000000001</v>
      </c>
      <c r="C24" s="21"/>
      <c r="D24" s="24"/>
      <c r="E24" s="24"/>
    </row>
    <row r="25" spans="1:24" s="20" customFormat="1" x14ac:dyDescent="0.25">
      <c r="A25" s="23">
        <v>178.5574</v>
      </c>
      <c r="B25" s="23">
        <v>313.43360000000001</v>
      </c>
      <c r="C25" s="21"/>
      <c r="D25" s="24"/>
      <c r="E25" s="24"/>
    </row>
    <row r="26" spans="1:24" s="20" customFormat="1" x14ac:dyDescent="0.25">
      <c r="A26" s="23">
        <v>144.06020000000001</v>
      </c>
      <c r="B26" s="23">
        <v>421.83519999999999</v>
      </c>
      <c r="C26" s="21"/>
      <c r="D26" s="24"/>
      <c r="E26" s="24"/>
    </row>
    <row r="27" spans="1:24" s="20" customFormat="1" x14ac:dyDescent="0.25">
      <c r="A27" s="23">
        <v>77.391850000000005</v>
      </c>
      <c r="B27" s="23">
        <v>117.03870000000001</v>
      </c>
      <c r="C27" s="21"/>
      <c r="D27" s="24"/>
      <c r="E27" s="24"/>
    </row>
    <row r="28" spans="1:24" s="20" customFormat="1" x14ac:dyDescent="0.25">
      <c r="A28" s="23">
        <v>237.47720000000001</v>
      </c>
      <c r="B28" s="15"/>
      <c r="C28" s="21"/>
      <c r="D28" s="24"/>
      <c r="E28" s="24"/>
    </row>
    <row r="29" spans="1:24" s="20" customFormat="1" x14ac:dyDescent="0.25">
      <c r="A29" s="23">
        <v>316.93959999999998</v>
      </c>
      <c r="B29" s="15"/>
      <c r="C29" s="21"/>
      <c r="D29" s="24"/>
      <c r="E29" s="24"/>
    </row>
    <row r="30" spans="1:24" s="20" customFormat="1" x14ac:dyDescent="0.25">
      <c r="A30" s="23">
        <v>222.97980000000001</v>
      </c>
      <c r="B30" s="15"/>
      <c r="C30" s="21"/>
      <c r="D30" s="24"/>
      <c r="E30" s="24"/>
    </row>
    <row r="31" spans="1:24" s="20" customFormat="1" x14ac:dyDescent="0.25">
      <c r="A31" s="25"/>
      <c r="B31" s="25"/>
      <c r="C31" s="21"/>
      <c r="D31" s="24"/>
      <c r="E31" s="24"/>
    </row>
    <row r="32" spans="1:24" x14ac:dyDescent="0.25">
      <c r="A32" s="21" t="s">
        <v>129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x14ac:dyDescent="0.25">
      <c r="A33" s="74" t="s">
        <v>76</v>
      </c>
      <c r="B33" s="74"/>
      <c r="C33" s="74"/>
      <c r="D33" s="74"/>
      <c r="E33" s="20"/>
      <c r="F33" s="74" t="s">
        <v>77</v>
      </c>
      <c r="G33" s="74"/>
      <c r="H33" s="74"/>
      <c r="I33" s="74"/>
      <c r="J33" s="20"/>
      <c r="K33" s="74" t="s">
        <v>78</v>
      </c>
      <c r="L33" s="74"/>
      <c r="M33" s="74"/>
      <c r="N33" s="74"/>
      <c r="O33" s="20"/>
      <c r="P33" s="74" t="s">
        <v>79</v>
      </c>
      <c r="Q33" s="74"/>
      <c r="R33" s="74"/>
      <c r="S33" s="74"/>
      <c r="T33" s="20"/>
      <c r="U33" s="74" t="s">
        <v>80</v>
      </c>
      <c r="V33" s="74"/>
      <c r="W33" s="74"/>
      <c r="X33" s="74"/>
    </row>
    <row r="34" spans="1:24" x14ac:dyDescent="0.25">
      <c r="A34" s="22" t="s">
        <v>36</v>
      </c>
      <c r="B34" s="22" t="s">
        <v>81</v>
      </c>
      <c r="C34" s="22" t="s">
        <v>34</v>
      </c>
      <c r="D34" s="22" t="s">
        <v>35</v>
      </c>
      <c r="E34" s="20"/>
      <c r="F34" s="22" t="s">
        <v>36</v>
      </c>
      <c r="G34" s="22" t="s">
        <v>81</v>
      </c>
      <c r="H34" s="22" t="s">
        <v>34</v>
      </c>
      <c r="I34" s="22" t="s">
        <v>35</v>
      </c>
      <c r="J34" s="20"/>
      <c r="K34" s="22" t="s">
        <v>36</v>
      </c>
      <c r="L34" s="22" t="s">
        <v>81</v>
      </c>
      <c r="M34" s="22" t="s">
        <v>34</v>
      </c>
      <c r="N34" s="22" t="s">
        <v>35</v>
      </c>
      <c r="O34" s="20"/>
      <c r="P34" s="22" t="s">
        <v>36</v>
      </c>
      <c r="Q34" s="22" t="s">
        <v>81</v>
      </c>
      <c r="R34" s="22" t="s">
        <v>34</v>
      </c>
      <c r="S34" s="22" t="s">
        <v>35</v>
      </c>
      <c r="T34" s="20"/>
      <c r="U34" s="22" t="s">
        <v>36</v>
      </c>
      <c r="V34" s="22" t="s">
        <v>81</v>
      </c>
      <c r="W34" s="22" t="s">
        <v>34</v>
      </c>
      <c r="X34" s="22" t="s">
        <v>35</v>
      </c>
    </row>
    <row r="35" spans="1:24" x14ac:dyDescent="0.25">
      <c r="A35" s="23">
        <v>59.11</v>
      </c>
      <c r="B35" s="23">
        <v>1.83</v>
      </c>
      <c r="C35" s="23">
        <v>5.18</v>
      </c>
      <c r="D35" s="23">
        <v>2.68</v>
      </c>
      <c r="E35" s="20"/>
      <c r="F35" s="23">
        <v>4.47</v>
      </c>
      <c r="G35" s="23">
        <v>1.37</v>
      </c>
      <c r="H35" s="23">
        <v>2.85</v>
      </c>
      <c r="I35" s="23">
        <v>1.1299999999999999</v>
      </c>
      <c r="J35" s="20"/>
      <c r="K35" s="23">
        <v>1.04</v>
      </c>
      <c r="L35" s="23">
        <v>0.57099999999999995</v>
      </c>
      <c r="M35" s="23">
        <v>0.72199999999999998</v>
      </c>
      <c r="N35" s="23">
        <v>0.57199999999999995</v>
      </c>
      <c r="O35" s="20"/>
      <c r="P35" s="23">
        <v>33</v>
      </c>
      <c r="Q35" s="23">
        <v>6.25</v>
      </c>
      <c r="R35" s="23">
        <v>5.44</v>
      </c>
      <c r="S35" s="23">
        <v>8.08</v>
      </c>
      <c r="T35" s="20"/>
      <c r="U35" s="23">
        <v>4.45</v>
      </c>
      <c r="V35" s="23">
        <v>0.17299999999999999</v>
      </c>
      <c r="W35" s="23">
        <v>0.44900000000000001</v>
      </c>
      <c r="X35" s="23">
        <v>0.25900000000000001</v>
      </c>
    </row>
    <row r="36" spans="1:24" x14ac:dyDescent="0.25">
      <c r="A36" s="23">
        <v>52.68</v>
      </c>
      <c r="B36" s="23">
        <v>1.61</v>
      </c>
      <c r="C36" s="23">
        <v>4.78</v>
      </c>
      <c r="D36" s="23">
        <v>2.63</v>
      </c>
      <c r="E36" s="20"/>
      <c r="F36" s="23">
        <v>4.0199999999999996</v>
      </c>
      <c r="G36" s="23">
        <v>1.2</v>
      </c>
      <c r="H36" s="23">
        <v>2.5299999999999998</v>
      </c>
      <c r="I36" s="23">
        <v>0.91</v>
      </c>
      <c r="J36" s="20"/>
      <c r="K36" s="23">
        <v>1.1499999999999999</v>
      </c>
      <c r="L36" s="23">
        <v>0.45300000000000001</v>
      </c>
      <c r="M36" s="23">
        <v>0.61199999999999999</v>
      </c>
      <c r="N36" s="23">
        <v>0.432</v>
      </c>
      <c r="O36" s="20"/>
      <c r="P36" s="23">
        <v>30.34</v>
      </c>
      <c r="Q36" s="23">
        <v>4.49</v>
      </c>
      <c r="R36" s="23">
        <v>4.1399999999999997</v>
      </c>
      <c r="S36" s="23">
        <v>6.29</v>
      </c>
      <c r="T36" s="20"/>
      <c r="U36" s="23">
        <v>3.51</v>
      </c>
      <c r="V36" s="23">
        <v>9.7600000000000006E-2</v>
      </c>
      <c r="W36" s="23">
        <v>0.39300000000000002</v>
      </c>
      <c r="X36" s="23">
        <v>0.14599999999999999</v>
      </c>
    </row>
    <row r="37" spans="1:24" x14ac:dyDescent="0.25">
      <c r="A37" s="23">
        <v>42.07</v>
      </c>
      <c r="B37" s="23">
        <v>1.64</v>
      </c>
      <c r="C37" s="23">
        <v>3.86</v>
      </c>
      <c r="D37" s="23">
        <v>2.36</v>
      </c>
      <c r="E37" s="20"/>
      <c r="F37" s="23">
        <v>3.52</v>
      </c>
      <c r="G37" s="23">
        <v>1.19</v>
      </c>
      <c r="H37" s="23">
        <v>2.44</v>
      </c>
      <c r="I37" s="23">
        <v>1.02</v>
      </c>
      <c r="J37" s="20"/>
      <c r="K37" s="23">
        <v>0.86</v>
      </c>
      <c r="L37" s="23">
        <v>0.49</v>
      </c>
      <c r="M37" s="23">
        <v>0.61399999999999999</v>
      </c>
      <c r="N37" s="23">
        <v>0.49099999999999999</v>
      </c>
      <c r="O37" s="20"/>
      <c r="P37" s="23">
        <v>37.979999999999997</v>
      </c>
      <c r="Q37" s="23">
        <v>7.49</v>
      </c>
      <c r="R37" s="23">
        <v>5.95</v>
      </c>
      <c r="S37" s="23">
        <v>10.130000000000001</v>
      </c>
      <c r="T37" s="20"/>
      <c r="U37" s="23">
        <v>2.4500000000000002</v>
      </c>
      <c r="V37" s="23">
        <v>4.4400000000000002E-2</v>
      </c>
      <c r="W37" s="23">
        <v>0.28199999999999997</v>
      </c>
      <c r="X37" s="23">
        <v>7.0900000000000005E-2</v>
      </c>
    </row>
    <row r="38" spans="1:24" x14ac:dyDescent="0.25">
      <c r="A38" s="23">
        <v>40.65</v>
      </c>
      <c r="B38" s="23">
        <v>1.18</v>
      </c>
      <c r="C38" s="23">
        <v>4.74</v>
      </c>
      <c r="D38" s="23">
        <v>3.19</v>
      </c>
      <c r="E38" s="20"/>
      <c r="F38" s="23">
        <v>2.89</v>
      </c>
      <c r="G38" s="23">
        <v>1.03</v>
      </c>
      <c r="H38" s="23">
        <v>2.83</v>
      </c>
      <c r="I38" s="23">
        <v>0.84099999999999997</v>
      </c>
      <c r="J38" s="20"/>
      <c r="K38" s="23">
        <v>1.04</v>
      </c>
      <c r="L38" s="23">
        <v>0.3</v>
      </c>
      <c r="M38" s="23">
        <v>0.495</v>
      </c>
      <c r="N38" s="23">
        <v>0.36099999999999999</v>
      </c>
      <c r="O38" s="20"/>
      <c r="P38" s="23">
        <v>31.18</v>
      </c>
      <c r="Q38" s="23">
        <v>6.87</v>
      </c>
      <c r="R38" s="23">
        <v>4.6900000000000004</v>
      </c>
      <c r="S38" s="23">
        <v>10.220000000000001</v>
      </c>
      <c r="T38" s="20"/>
      <c r="U38" s="23">
        <v>2.27</v>
      </c>
      <c r="V38" s="23">
        <v>-0.17799999999999999</v>
      </c>
      <c r="W38" s="23">
        <v>0.108</v>
      </c>
      <c r="X38" s="23">
        <v>-2.8999999999999998E-3</v>
      </c>
    </row>
    <row r="39" spans="1:24" x14ac:dyDescent="0.25">
      <c r="A39" s="23">
        <v>32.81</v>
      </c>
      <c r="B39" s="23">
        <v>1.8</v>
      </c>
      <c r="C39" s="23">
        <v>3</v>
      </c>
      <c r="D39" s="23">
        <v>2.36</v>
      </c>
      <c r="E39" s="20"/>
      <c r="F39" s="23">
        <v>3.78</v>
      </c>
      <c r="G39" s="23">
        <v>1.64</v>
      </c>
      <c r="H39" s="23">
        <v>2.7</v>
      </c>
      <c r="I39" s="23">
        <v>1.33</v>
      </c>
      <c r="J39" s="20"/>
      <c r="K39" s="23">
        <v>0.71899999999999997</v>
      </c>
      <c r="L39" s="23">
        <v>0.57899999999999996</v>
      </c>
      <c r="M39" s="23">
        <v>0.67700000000000005</v>
      </c>
      <c r="N39" s="23">
        <v>0.56799999999999995</v>
      </c>
      <c r="O39" s="20"/>
      <c r="P39" s="23">
        <v>65.680000000000007</v>
      </c>
      <c r="Q39" s="23">
        <v>12.18</v>
      </c>
      <c r="R39" s="23">
        <v>11.26</v>
      </c>
      <c r="S39" s="23">
        <v>16.829999999999998</v>
      </c>
      <c r="T39" s="20"/>
      <c r="U39" s="23">
        <v>2.39</v>
      </c>
      <c r="V39" s="23">
        <v>0.318</v>
      </c>
      <c r="W39" s="23">
        <v>0.48299999999999998</v>
      </c>
      <c r="X39" s="23">
        <v>0.33400000000000002</v>
      </c>
    </row>
    <row r="40" spans="1:24" x14ac:dyDescent="0.25">
      <c r="A40" s="23">
        <v>67.7</v>
      </c>
      <c r="B40" s="23">
        <v>0.84199999999999997</v>
      </c>
      <c r="C40" s="23">
        <v>5.75</v>
      </c>
      <c r="D40" s="23">
        <v>4.8899999999999997</v>
      </c>
      <c r="E40" s="20"/>
      <c r="F40" s="23">
        <v>1.87</v>
      </c>
      <c r="G40" s="23">
        <v>0.106</v>
      </c>
      <c r="H40" s="23">
        <v>0.51800000000000002</v>
      </c>
      <c r="I40" s="23">
        <v>0.155</v>
      </c>
      <c r="J40" s="20"/>
      <c r="K40" s="23">
        <v>2.62</v>
      </c>
      <c r="L40" s="23">
        <v>0.59399999999999997</v>
      </c>
      <c r="M40" s="23">
        <v>0.73399999999999999</v>
      </c>
      <c r="N40" s="23">
        <v>0.879</v>
      </c>
      <c r="O40" s="20"/>
      <c r="P40" s="23">
        <v>38.75</v>
      </c>
      <c r="Q40" s="23">
        <v>6.59</v>
      </c>
      <c r="R40" s="23">
        <v>6.17</v>
      </c>
      <c r="S40" s="23">
        <v>11.61</v>
      </c>
      <c r="T40" s="20"/>
      <c r="U40" s="23">
        <v>5.15</v>
      </c>
      <c r="V40" s="23">
        <v>0.46300000000000002</v>
      </c>
      <c r="W40" s="23">
        <v>0.5</v>
      </c>
      <c r="X40" s="23">
        <v>1.1100000000000001</v>
      </c>
    </row>
    <row r="41" spans="1:24" x14ac:dyDescent="0.25">
      <c r="A41" s="23">
        <v>46.92</v>
      </c>
      <c r="B41" s="23">
        <v>0.80700000000000005</v>
      </c>
      <c r="C41" s="23">
        <v>4.9000000000000004</v>
      </c>
      <c r="D41" s="23">
        <v>3.13</v>
      </c>
      <c r="E41" s="20"/>
      <c r="F41" s="23">
        <v>2.1800000000000002</v>
      </c>
      <c r="G41" s="23">
        <v>0.32900000000000001</v>
      </c>
      <c r="H41" s="23">
        <v>0.59499999999999997</v>
      </c>
      <c r="I41" s="23">
        <v>0.45700000000000002</v>
      </c>
      <c r="J41" s="20"/>
      <c r="K41" s="23">
        <v>2.33</v>
      </c>
      <c r="L41" s="23">
        <v>0.72499999999999998</v>
      </c>
      <c r="M41" s="23">
        <v>0.76100000000000001</v>
      </c>
      <c r="N41" s="23">
        <v>0.96199999999999997</v>
      </c>
      <c r="O41" s="20"/>
      <c r="P41" s="23">
        <v>103.01</v>
      </c>
      <c r="Q41" s="23">
        <v>21.2</v>
      </c>
      <c r="R41" s="23">
        <v>23.46</v>
      </c>
      <c r="S41" s="23">
        <v>31.93</v>
      </c>
      <c r="T41" s="20"/>
      <c r="U41" s="23">
        <v>4.07</v>
      </c>
      <c r="V41" s="23">
        <v>0.76300000000000001</v>
      </c>
      <c r="W41" s="23">
        <v>0.66900000000000004</v>
      </c>
      <c r="X41" s="23">
        <v>1.27</v>
      </c>
    </row>
    <row r="43" spans="1:24" x14ac:dyDescent="0.25">
      <c r="A43" s="74" t="s">
        <v>82</v>
      </c>
      <c r="B43" s="74"/>
      <c r="C43" s="74"/>
      <c r="D43" s="74"/>
      <c r="E43" s="20"/>
      <c r="F43" s="74" t="s">
        <v>83</v>
      </c>
      <c r="G43" s="74"/>
      <c r="H43" s="74"/>
      <c r="I43" s="74"/>
      <c r="J43" s="20"/>
      <c r="K43" s="74" t="s">
        <v>84</v>
      </c>
      <c r="L43" s="74"/>
      <c r="M43" s="74"/>
      <c r="N43" s="74"/>
      <c r="O43" s="20"/>
      <c r="P43" s="74" t="s">
        <v>85</v>
      </c>
      <c r="Q43" s="74"/>
      <c r="R43" s="74"/>
      <c r="S43" s="74"/>
      <c r="T43" s="20"/>
      <c r="U43" s="20"/>
      <c r="V43" s="20"/>
      <c r="W43" s="20"/>
      <c r="X43" s="20"/>
    </row>
    <row r="44" spans="1:24" x14ac:dyDescent="0.25">
      <c r="A44" s="22" t="s">
        <v>36</v>
      </c>
      <c r="B44" s="22" t="s">
        <v>81</v>
      </c>
      <c r="C44" s="22" t="s">
        <v>34</v>
      </c>
      <c r="D44" s="22" t="s">
        <v>35</v>
      </c>
      <c r="E44" s="20"/>
      <c r="F44" s="22" t="s">
        <v>36</v>
      </c>
      <c r="G44" s="22" t="s">
        <v>81</v>
      </c>
      <c r="H44" s="22" t="s">
        <v>34</v>
      </c>
      <c r="I44" s="22" t="s">
        <v>35</v>
      </c>
      <c r="J44" s="20"/>
      <c r="K44" s="22" t="s">
        <v>36</v>
      </c>
      <c r="L44" s="22" t="s">
        <v>81</v>
      </c>
      <c r="M44" s="22" t="s">
        <v>34</v>
      </c>
      <c r="N44" s="22" t="s">
        <v>35</v>
      </c>
      <c r="O44" s="20"/>
      <c r="P44" s="22" t="s">
        <v>36</v>
      </c>
      <c r="Q44" s="22" t="s">
        <v>81</v>
      </c>
      <c r="R44" s="22" t="s">
        <v>34</v>
      </c>
      <c r="S44" s="22" t="s">
        <v>35</v>
      </c>
      <c r="T44" s="20"/>
      <c r="U44" s="20"/>
      <c r="V44" s="20"/>
      <c r="W44" s="20"/>
      <c r="X44" s="20"/>
    </row>
    <row r="45" spans="1:24" x14ac:dyDescent="0.25">
      <c r="A45" s="23">
        <v>1.2</v>
      </c>
      <c r="B45" s="23">
        <v>0.122</v>
      </c>
      <c r="C45" s="23">
        <v>0.14499999999999999</v>
      </c>
      <c r="D45" s="23">
        <v>0.185</v>
      </c>
      <c r="E45" s="20"/>
      <c r="F45" s="23">
        <v>4.7</v>
      </c>
      <c r="G45" s="23">
        <v>1.23</v>
      </c>
      <c r="H45" s="23">
        <v>1.08</v>
      </c>
      <c r="I45" s="23">
        <v>1.57</v>
      </c>
      <c r="J45" s="20"/>
      <c r="K45" s="23">
        <v>13</v>
      </c>
      <c r="L45" s="23">
        <v>2.99</v>
      </c>
      <c r="M45" s="23">
        <v>3.16</v>
      </c>
      <c r="N45" s="23">
        <v>3.57</v>
      </c>
      <c r="O45" s="20"/>
      <c r="P45" s="23">
        <v>44.44</v>
      </c>
      <c r="Q45" s="23">
        <v>20.74</v>
      </c>
      <c r="R45" s="23">
        <v>18</v>
      </c>
      <c r="S45" s="23">
        <v>24.5</v>
      </c>
      <c r="T45" s="20"/>
      <c r="U45" s="20"/>
      <c r="V45" s="20"/>
      <c r="W45" s="20"/>
      <c r="X45" s="20"/>
    </row>
    <row r="46" spans="1:24" x14ac:dyDescent="0.25">
      <c r="A46" s="23">
        <v>1.43</v>
      </c>
      <c r="B46" s="23">
        <v>0.121</v>
      </c>
      <c r="C46" s="23">
        <v>0.14799999999999999</v>
      </c>
      <c r="D46" s="23">
        <v>0.20599999999999999</v>
      </c>
      <c r="E46" s="20"/>
      <c r="F46" s="23">
        <v>4.9000000000000004</v>
      </c>
      <c r="G46" s="23">
        <v>1</v>
      </c>
      <c r="H46" s="23">
        <v>0.95199999999999996</v>
      </c>
      <c r="I46" s="23">
        <v>1.38</v>
      </c>
      <c r="J46" s="20"/>
      <c r="K46" s="23">
        <v>15.12</v>
      </c>
      <c r="L46" s="23">
        <v>2.4700000000000002</v>
      </c>
      <c r="M46" s="23">
        <v>2.7</v>
      </c>
      <c r="N46" s="23">
        <v>3.27</v>
      </c>
      <c r="O46" s="20"/>
      <c r="P46" s="23">
        <v>38.93</v>
      </c>
      <c r="Q46" s="23">
        <v>16.16</v>
      </c>
      <c r="R46" s="23">
        <v>14.39</v>
      </c>
      <c r="S46" s="23">
        <v>19.84</v>
      </c>
      <c r="T46" s="20"/>
      <c r="U46" s="20"/>
      <c r="V46" s="20"/>
      <c r="W46" s="20"/>
      <c r="X46" s="20"/>
    </row>
    <row r="47" spans="1:24" x14ac:dyDescent="0.25">
      <c r="A47" s="23">
        <v>1.17</v>
      </c>
      <c r="B47" s="23">
        <v>8.4400000000000003E-2</v>
      </c>
      <c r="C47" s="23">
        <v>0.13700000000000001</v>
      </c>
      <c r="D47" s="23">
        <v>0.16400000000000001</v>
      </c>
      <c r="E47" s="20"/>
      <c r="F47" s="23">
        <v>3.96</v>
      </c>
      <c r="G47" s="23">
        <v>1.1299999999999999</v>
      </c>
      <c r="H47" s="23">
        <v>1.02</v>
      </c>
      <c r="I47" s="23">
        <v>1.53</v>
      </c>
      <c r="J47" s="20"/>
      <c r="K47" s="23">
        <v>11.42</v>
      </c>
      <c r="L47" s="23">
        <v>2.6</v>
      </c>
      <c r="M47" s="23">
        <v>2.59</v>
      </c>
      <c r="N47" s="23">
        <v>3.3</v>
      </c>
      <c r="O47" s="20"/>
      <c r="P47" s="23">
        <v>51.66</v>
      </c>
      <c r="Q47" s="23">
        <v>21.93</v>
      </c>
      <c r="R47" s="23">
        <v>20.25</v>
      </c>
      <c r="S47" s="23">
        <v>27.35</v>
      </c>
      <c r="T47" s="20"/>
      <c r="U47" s="20"/>
      <c r="V47" s="20"/>
      <c r="W47" s="20"/>
      <c r="X47" s="20"/>
    </row>
    <row r="48" spans="1:24" x14ac:dyDescent="0.25">
      <c r="A48" s="23">
        <v>1.4</v>
      </c>
      <c r="B48" s="23">
        <v>8.5099999999999995E-2</v>
      </c>
      <c r="C48" s="23">
        <v>8.0100000000000005E-2</v>
      </c>
      <c r="D48" s="23">
        <v>0.24399999999999999</v>
      </c>
      <c r="E48" s="20"/>
      <c r="F48" s="23">
        <v>4.8899999999999997</v>
      </c>
      <c r="G48" s="23">
        <v>0.77600000000000002</v>
      </c>
      <c r="H48" s="23">
        <v>0.76700000000000002</v>
      </c>
      <c r="I48" s="23">
        <v>1.29</v>
      </c>
      <c r="J48" s="20"/>
      <c r="K48" s="23">
        <v>18.100000000000001</v>
      </c>
      <c r="L48" s="23">
        <v>3.28</v>
      </c>
      <c r="M48" s="23">
        <v>2.91</v>
      </c>
      <c r="N48" s="23">
        <v>5.0599999999999996</v>
      </c>
      <c r="O48" s="20"/>
      <c r="P48" s="23">
        <v>37.61</v>
      </c>
      <c r="Q48" s="23">
        <v>17.04</v>
      </c>
      <c r="R48" s="23">
        <v>15.7</v>
      </c>
      <c r="S48" s="23">
        <v>20.69</v>
      </c>
    </row>
    <row r="49" spans="1:19" x14ac:dyDescent="0.25">
      <c r="A49" s="23">
        <v>1.83</v>
      </c>
      <c r="B49" s="23">
        <v>0.27700000000000002</v>
      </c>
      <c r="C49" s="23">
        <v>0.27</v>
      </c>
      <c r="D49" s="23">
        <v>0.42199999999999999</v>
      </c>
      <c r="E49" s="20"/>
      <c r="F49" s="23">
        <v>4.1100000000000003</v>
      </c>
      <c r="G49" s="23">
        <v>1.53</v>
      </c>
      <c r="H49" s="23">
        <v>1.3</v>
      </c>
      <c r="I49" s="23">
        <v>1.94</v>
      </c>
      <c r="J49" s="20"/>
      <c r="K49" s="23">
        <v>13.64</v>
      </c>
      <c r="L49" s="23">
        <v>3.28</v>
      </c>
      <c r="M49" s="23">
        <v>2.85</v>
      </c>
      <c r="N49" s="23">
        <v>4.3600000000000003</v>
      </c>
      <c r="O49" s="20"/>
      <c r="P49" s="23">
        <v>95.38</v>
      </c>
      <c r="Q49" s="23">
        <v>33.35</v>
      </c>
      <c r="R49" s="23">
        <v>30.47</v>
      </c>
      <c r="S49" s="23">
        <v>42.43</v>
      </c>
    </row>
    <row r="50" spans="1:19" x14ac:dyDescent="0.25">
      <c r="A50" s="23">
        <v>3.46</v>
      </c>
      <c r="B50" s="23">
        <v>0.495</v>
      </c>
      <c r="C50" s="23">
        <v>0.501</v>
      </c>
      <c r="D50" s="23">
        <v>0.97199999999999998</v>
      </c>
      <c r="E50" s="20"/>
      <c r="F50" s="23">
        <v>7.13</v>
      </c>
      <c r="G50" s="23">
        <v>1.42</v>
      </c>
      <c r="H50" s="23">
        <v>1.47</v>
      </c>
      <c r="I50" s="23">
        <v>2.2999999999999998</v>
      </c>
      <c r="J50" s="20"/>
      <c r="K50" s="23">
        <v>24.33</v>
      </c>
      <c r="L50" s="23">
        <v>4.74</v>
      </c>
      <c r="M50" s="23">
        <v>5.13</v>
      </c>
      <c r="N50" s="23">
        <v>7.61</v>
      </c>
      <c r="O50" s="20"/>
      <c r="P50" s="23">
        <v>52.9</v>
      </c>
      <c r="Q50" s="23">
        <v>20.5</v>
      </c>
      <c r="R50" s="23">
        <v>20.100000000000001</v>
      </c>
      <c r="S50" s="23">
        <v>28.01</v>
      </c>
    </row>
    <row r="51" spans="1:19" x14ac:dyDescent="0.25">
      <c r="A51" s="23">
        <v>4.71</v>
      </c>
      <c r="B51" s="23">
        <v>0.86799999999999999</v>
      </c>
      <c r="C51" s="23">
        <v>0.89400000000000002</v>
      </c>
      <c r="D51" s="23">
        <v>1.41</v>
      </c>
      <c r="E51" s="20"/>
      <c r="F51" s="23">
        <v>6.93</v>
      </c>
      <c r="G51" s="23">
        <v>1.85</v>
      </c>
      <c r="H51" s="23">
        <v>1.73</v>
      </c>
      <c r="I51" s="23">
        <v>2.64</v>
      </c>
      <c r="J51" s="20"/>
      <c r="K51" s="23">
        <v>23.46</v>
      </c>
      <c r="L51" s="23">
        <v>5.25</v>
      </c>
      <c r="M51" s="23">
        <v>5.26</v>
      </c>
      <c r="N51" s="23">
        <v>7.79</v>
      </c>
      <c r="O51" s="20"/>
      <c r="P51" s="23">
        <v>154.36000000000001</v>
      </c>
      <c r="Q51" s="23">
        <v>51.85</v>
      </c>
      <c r="R51" s="23">
        <v>59.59</v>
      </c>
      <c r="S51" s="23">
        <v>66.31</v>
      </c>
    </row>
    <row r="53" spans="1:19" x14ac:dyDescent="0.25">
      <c r="A53" s="21" t="s">
        <v>130</v>
      </c>
      <c r="B53" s="21"/>
      <c r="C53" s="21"/>
      <c r="D53" s="21" t="s">
        <v>131</v>
      </c>
      <c r="E53" s="21"/>
      <c r="F53" s="21"/>
      <c r="G53" s="21"/>
      <c r="H53" s="21"/>
      <c r="I53" s="21"/>
    </row>
    <row r="54" spans="1:19" x14ac:dyDescent="0.25">
      <c r="A54" s="82" t="s">
        <v>132</v>
      </c>
      <c r="B54" s="82"/>
      <c r="C54" s="21"/>
      <c r="D54" s="74" t="s">
        <v>133</v>
      </c>
      <c r="E54" s="74"/>
      <c r="F54" s="21"/>
      <c r="G54" s="74" t="s">
        <v>134</v>
      </c>
      <c r="H54" s="74"/>
      <c r="I54" s="21"/>
    </row>
    <row r="55" spans="1:19" x14ac:dyDescent="0.25">
      <c r="A55" s="15" t="s">
        <v>106</v>
      </c>
      <c r="B55" s="15" t="s">
        <v>4</v>
      </c>
      <c r="C55" s="21"/>
      <c r="D55" s="15" t="s">
        <v>106</v>
      </c>
      <c r="E55" s="15" t="s">
        <v>4</v>
      </c>
      <c r="F55" s="21"/>
      <c r="G55" s="15" t="s">
        <v>106</v>
      </c>
      <c r="H55" s="15" t="s">
        <v>4</v>
      </c>
      <c r="I55" s="21"/>
    </row>
    <row r="56" spans="1:19" x14ac:dyDescent="0.25">
      <c r="A56" s="15">
        <v>2973.3150000000001</v>
      </c>
      <c r="B56" s="15">
        <v>2626.1350000000002</v>
      </c>
      <c r="C56" s="21"/>
      <c r="D56" s="23">
        <v>362.20280000000002</v>
      </c>
      <c r="E56" s="23">
        <v>220.12569999999999</v>
      </c>
      <c r="F56" s="21"/>
      <c r="G56" s="23">
        <v>254.13470000000001</v>
      </c>
      <c r="H56" s="23">
        <v>914.07150000000001</v>
      </c>
      <c r="I56" s="21"/>
    </row>
    <row r="57" spans="1:19" x14ac:dyDescent="0.25">
      <c r="A57" s="15">
        <v>2519.6239999999998</v>
      </c>
      <c r="B57" s="15">
        <v>3449.1689999999999</v>
      </c>
      <c r="C57" s="21"/>
      <c r="D57" s="23">
        <v>194.81809999999999</v>
      </c>
      <c r="E57" s="23">
        <v>144.33250000000001</v>
      </c>
      <c r="F57" s="21"/>
      <c r="G57" s="23">
        <v>257.90429999999998</v>
      </c>
      <c r="H57" s="23">
        <v>819.98509999999999</v>
      </c>
      <c r="I57" s="21"/>
    </row>
    <row r="58" spans="1:19" x14ac:dyDescent="0.25">
      <c r="A58" s="15">
        <v>2061.5729999999999</v>
      </c>
      <c r="B58" s="15">
        <v>3250.9389999999999</v>
      </c>
      <c r="C58" s="21"/>
      <c r="D58" s="23">
        <v>154.15260000000001</v>
      </c>
      <c r="E58" s="23">
        <v>217.9513</v>
      </c>
      <c r="F58" s="21"/>
      <c r="G58" s="23">
        <v>327.27710000000002</v>
      </c>
      <c r="H58" s="23">
        <v>1395.2059999999999</v>
      </c>
      <c r="I58" s="21"/>
    </row>
    <row r="59" spans="1:19" x14ac:dyDescent="0.25">
      <c r="A59" s="15">
        <v>5812.3760000000002</v>
      </c>
      <c r="B59" s="15">
        <v>4013.6080000000002</v>
      </c>
      <c r="C59" s="21"/>
      <c r="D59" s="23">
        <v>351.34339999999997</v>
      </c>
      <c r="E59" s="23">
        <v>452.53829999999999</v>
      </c>
      <c r="F59" s="21"/>
      <c r="G59" s="23">
        <v>667.52419999999995</v>
      </c>
      <c r="H59" s="23">
        <v>916.89800000000002</v>
      </c>
      <c r="I59" s="21"/>
    </row>
    <row r="60" spans="1:19" x14ac:dyDescent="0.25">
      <c r="A60" s="15">
        <v>4694.0680000000002</v>
      </c>
      <c r="B60" s="15">
        <v>2074.5740000000001</v>
      </c>
      <c r="C60" s="21"/>
      <c r="D60" s="23">
        <v>431.82670000000002</v>
      </c>
      <c r="E60" s="23">
        <v>195.19159999999999</v>
      </c>
      <c r="F60" s="21"/>
      <c r="G60" s="23">
        <v>561.15660000000003</v>
      </c>
      <c r="H60" s="23">
        <v>1061.229</v>
      </c>
      <c r="I60" s="21"/>
    </row>
    <row r="61" spans="1:19" x14ac:dyDescent="0.25">
      <c r="A61" s="15">
        <v>1641.328</v>
      </c>
      <c r="B61" s="15">
        <v>3397.623</v>
      </c>
      <c r="C61" s="21"/>
      <c r="D61" s="23">
        <v>105.1897</v>
      </c>
      <c r="E61" s="23">
        <v>287.92</v>
      </c>
      <c r="F61" s="21"/>
      <c r="G61" s="23">
        <v>212.80240000000001</v>
      </c>
      <c r="H61" s="23">
        <v>1289.2139999999999</v>
      </c>
      <c r="I61" s="21"/>
    </row>
    <row r="62" spans="1:19" x14ac:dyDescent="0.25">
      <c r="A62" s="21"/>
      <c r="B62" s="21"/>
      <c r="C62" s="21"/>
      <c r="D62" s="21"/>
      <c r="E62" s="21"/>
      <c r="F62" s="21"/>
      <c r="G62" s="21"/>
      <c r="H62" s="21"/>
      <c r="I62" s="21"/>
    </row>
    <row r="63" spans="1:19" x14ac:dyDescent="0.25">
      <c r="A63" s="21" t="s">
        <v>138</v>
      </c>
      <c r="B63" s="21"/>
      <c r="C63" s="21"/>
      <c r="D63" s="21" t="s">
        <v>29</v>
      </c>
      <c r="E63" s="21"/>
      <c r="F63" s="21"/>
      <c r="G63" s="21" t="s">
        <v>149</v>
      </c>
      <c r="H63" s="21"/>
      <c r="I63" s="21"/>
    </row>
    <row r="64" spans="1:19" x14ac:dyDescent="0.25">
      <c r="A64" s="74" t="s">
        <v>135</v>
      </c>
      <c r="B64" s="74"/>
      <c r="C64" s="21"/>
      <c r="D64" s="74" t="s">
        <v>136</v>
      </c>
      <c r="E64" s="74"/>
      <c r="F64" s="21"/>
      <c r="G64" s="74" t="s">
        <v>137</v>
      </c>
      <c r="H64" s="74"/>
      <c r="I64" s="21"/>
    </row>
    <row r="65" spans="1:9" x14ac:dyDescent="0.25">
      <c r="A65" s="15" t="s">
        <v>106</v>
      </c>
      <c r="B65" s="15" t="s">
        <v>4</v>
      </c>
      <c r="C65" s="21"/>
      <c r="D65" s="15" t="s">
        <v>106</v>
      </c>
      <c r="E65" s="15" t="s">
        <v>4</v>
      </c>
      <c r="F65" s="21"/>
      <c r="G65" s="15" t="s">
        <v>106</v>
      </c>
      <c r="H65" s="15" t="s">
        <v>4</v>
      </c>
      <c r="I65" s="21"/>
    </row>
    <row r="66" spans="1:9" x14ac:dyDescent="0.25">
      <c r="A66" s="37">
        <v>61.2</v>
      </c>
      <c r="B66" s="37">
        <v>31.8</v>
      </c>
      <c r="C66" s="21"/>
      <c r="D66" s="23">
        <v>57.5</v>
      </c>
      <c r="E66" s="23">
        <v>38.799999999999997</v>
      </c>
      <c r="F66" s="21"/>
      <c r="G66" s="23">
        <v>33</v>
      </c>
      <c r="H66" s="23">
        <v>17.5</v>
      </c>
      <c r="I66" s="21"/>
    </row>
    <row r="67" spans="1:9" x14ac:dyDescent="0.25">
      <c r="A67" s="37">
        <v>49.7</v>
      </c>
      <c r="B67" s="37">
        <v>46.9</v>
      </c>
      <c r="C67" s="21"/>
      <c r="D67" s="23">
        <v>44.5</v>
      </c>
      <c r="E67" s="23">
        <v>36.9</v>
      </c>
      <c r="F67" s="21"/>
      <c r="G67" s="23">
        <v>22.7</v>
      </c>
      <c r="H67" s="23">
        <v>25.8</v>
      </c>
      <c r="I67" s="21"/>
    </row>
    <row r="68" spans="1:9" x14ac:dyDescent="0.25">
      <c r="A68" s="37">
        <v>48.7</v>
      </c>
      <c r="B68" s="37">
        <v>30.9</v>
      </c>
      <c r="C68" s="21"/>
      <c r="D68" s="23">
        <v>39.6</v>
      </c>
      <c r="E68" s="23">
        <v>43.8</v>
      </c>
      <c r="F68" s="21"/>
      <c r="G68" s="23">
        <v>22.9</v>
      </c>
      <c r="H68" s="23">
        <v>19.600000000000001</v>
      </c>
      <c r="I68" s="21"/>
    </row>
    <row r="69" spans="1:9" x14ac:dyDescent="0.25">
      <c r="A69" s="37">
        <v>67.900000000000006</v>
      </c>
      <c r="B69" s="37">
        <v>37.4</v>
      </c>
      <c r="C69" s="21"/>
      <c r="D69" s="23">
        <v>57</v>
      </c>
      <c r="E69" s="23">
        <v>51.1</v>
      </c>
      <c r="F69" s="21"/>
      <c r="G69" s="23">
        <v>36.6</v>
      </c>
      <c r="H69" s="23">
        <v>16.399999999999999</v>
      </c>
      <c r="I69" s="21"/>
    </row>
    <row r="70" spans="1:9" x14ac:dyDescent="0.25">
      <c r="A70" s="37">
        <v>61.4</v>
      </c>
      <c r="B70" s="37">
        <v>36.200000000000003</v>
      </c>
      <c r="C70" s="21"/>
      <c r="D70" s="23">
        <v>53.4</v>
      </c>
      <c r="E70" s="23">
        <v>45.6</v>
      </c>
      <c r="F70" s="21"/>
      <c r="G70" s="23">
        <v>34</v>
      </c>
      <c r="H70" s="23">
        <v>10.8</v>
      </c>
      <c r="I70" s="21"/>
    </row>
    <row r="71" spans="1:9" x14ac:dyDescent="0.25">
      <c r="A71" s="37">
        <v>60.5</v>
      </c>
      <c r="B71" s="37">
        <v>65.900000000000006</v>
      </c>
      <c r="C71" s="34"/>
      <c r="D71" s="23">
        <v>53.5</v>
      </c>
      <c r="E71" s="23">
        <v>47.6</v>
      </c>
      <c r="F71" s="34"/>
      <c r="G71" s="23">
        <v>33.200000000000003</v>
      </c>
      <c r="H71" s="23">
        <v>8.7799999999999994</v>
      </c>
    </row>
    <row r="72" spans="1:9" x14ac:dyDescent="0.25">
      <c r="A72" s="37">
        <v>67.8</v>
      </c>
      <c r="B72" s="37">
        <v>51.2</v>
      </c>
      <c r="C72" s="34"/>
      <c r="D72" s="23">
        <v>58.8</v>
      </c>
      <c r="E72" s="23">
        <v>29.4</v>
      </c>
      <c r="F72" s="34"/>
      <c r="G72" s="23">
        <v>8.06</v>
      </c>
      <c r="H72" s="23">
        <v>2.27</v>
      </c>
    </row>
    <row r="73" spans="1:9" x14ac:dyDescent="0.25">
      <c r="A73" s="37">
        <v>75.2</v>
      </c>
      <c r="B73" s="37">
        <v>39.299999999999997</v>
      </c>
      <c r="C73" s="34"/>
      <c r="D73" s="23">
        <v>64</v>
      </c>
      <c r="E73" s="23">
        <v>30.3</v>
      </c>
      <c r="F73" s="34"/>
      <c r="G73" s="23">
        <v>13.4</v>
      </c>
      <c r="H73" s="23">
        <v>2.31</v>
      </c>
    </row>
    <row r="74" spans="1:9" x14ac:dyDescent="0.25">
      <c r="A74" s="37">
        <v>54.4</v>
      </c>
      <c r="B74" s="37">
        <v>62.9</v>
      </c>
      <c r="C74" s="34"/>
      <c r="D74" s="23">
        <v>38</v>
      </c>
      <c r="E74" s="23">
        <v>47.2</v>
      </c>
      <c r="F74" s="34"/>
      <c r="G74" s="23">
        <v>17.7</v>
      </c>
      <c r="H74" s="23">
        <v>5.19</v>
      </c>
    </row>
    <row r="75" spans="1:9" x14ac:dyDescent="0.25">
      <c r="A75" s="37">
        <v>65.400000000000006</v>
      </c>
      <c r="B75" s="37">
        <v>56.6</v>
      </c>
      <c r="C75" s="34"/>
      <c r="D75" s="23">
        <v>54.4</v>
      </c>
      <c r="E75" s="23">
        <v>48.2</v>
      </c>
      <c r="F75" s="34"/>
      <c r="G75" s="23">
        <v>12</v>
      </c>
      <c r="H75" s="23">
        <v>5.71</v>
      </c>
    </row>
    <row r="76" spans="1:9" x14ac:dyDescent="0.25">
      <c r="A76" s="37">
        <v>58.8</v>
      </c>
      <c r="B76" s="37">
        <v>58</v>
      </c>
      <c r="C76" s="34"/>
      <c r="D76" s="23">
        <v>48.6</v>
      </c>
      <c r="E76" s="23">
        <v>47.1</v>
      </c>
      <c r="F76" s="34"/>
      <c r="G76" s="23">
        <v>13.3</v>
      </c>
      <c r="H76" s="23">
        <v>5.83</v>
      </c>
    </row>
    <row r="77" spans="1:9" x14ac:dyDescent="0.25">
      <c r="A77" s="37">
        <v>74.2</v>
      </c>
      <c r="B77" s="37">
        <v>68.5</v>
      </c>
      <c r="C77" s="34"/>
      <c r="D77" s="23">
        <v>60.4</v>
      </c>
      <c r="E77" s="23">
        <v>49.2</v>
      </c>
      <c r="F77" s="34"/>
      <c r="G77" s="23">
        <v>16.100000000000001</v>
      </c>
      <c r="H77" s="23">
        <v>22.3</v>
      </c>
    </row>
    <row r="78" spans="1:9" x14ac:dyDescent="0.25">
      <c r="A78" s="37">
        <v>41.5</v>
      </c>
      <c r="B78" s="37">
        <v>43.9</v>
      </c>
      <c r="C78" s="34"/>
      <c r="D78" s="23">
        <v>32.4</v>
      </c>
      <c r="E78" s="23">
        <v>39.5</v>
      </c>
      <c r="F78" s="34"/>
      <c r="G78" s="23">
        <v>13</v>
      </c>
      <c r="H78" s="23">
        <v>9.92</v>
      </c>
    </row>
    <row r="79" spans="1:9" x14ac:dyDescent="0.25">
      <c r="A79" s="37">
        <v>75.599999999999994</v>
      </c>
      <c r="B79" s="37">
        <v>53.5</v>
      </c>
      <c r="C79" s="34"/>
      <c r="D79" s="23">
        <v>59.8</v>
      </c>
      <c r="E79" s="23">
        <v>45.3</v>
      </c>
      <c r="F79" s="34"/>
      <c r="G79" s="23">
        <v>20.399999999999999</v>
      </c>
      <c r="H79" s="23">
        <v>16.399999999999999</v>
      </c>
    </row>
    <row r="80" spans="1:9" x14ac:dyDescent="0.25">
      <c r="A80" s="37">
        <v>64.7</v>
      </c>
      <c r="B80" s="37">
        <v>51.4</v>
      </c>
      <c r="C80" s="34"/>
      <c r="D80" s="23">
        <v>50.3</v>
      </c>
      <c r="E80" s="23">
        <v>41.9</v>
      </c>
      <c r="F80" s="34"/>
      <c r="G80" s="23">
        <v>21.7</v>
      </c>
      <c r="H80" s="23">
        <v>19.100000000000001</v>
      </c>
    </row>
    <row r="81" spans="1:8" x14ac:dyDescent="0.25">
      <c r="A81" s="37">
        <v>60.1</v>
      </c>
      <c r="B81" s="37">
        <v>59.7</v>
      </c>
      <c r="C81" s="34"/>
      <c r="D81" s="23">
        <v>54.9</v>
      </c>
      <c r="E81" s="23">
        <v>45.7</v>
      </c>
      <c r="F81" s="34"/>
      <c r="G81" s="23">
        <v>18.5</v>
      </c>
      <c r="H81" s="23">
        <v>20.5</v>
      </c>
    </row>
    <row r="82" spans="1:8" x14ac:dyDescent="0.25">
      <c r="A82" s="37">
        <v>49.4</v>
      </c>
      <c r="B82" s="39"/>
      <c r="C82" s="34"/>
      <c r="D82" s="23">
        <v>47.1</v>
      </c>
      <c r="E82" s="38"/>
      <c r="F82" s="34"/>
      <c r="G82" s="23">
        <v>11.9</v>
      </c>
      <c r="H82" s="38"/>
    </row>
    <row r="83" spans="1:8" x14ac:dyDescent="0.25">
      <c r="A83" s="37">
        <v>73.400000000000006</v>
      </c>
      <c r="B83" s="41"/>
      <c r="C83" s="34"/>
      <c r="D83" s="23">
        <v>58.9</v>
      </c>
      <c r="E83" s="40"/>
      <c r="F83" s="34"/>
      <c r="G83" s="23">
        <v>22.7</v>
      </c>
      <c r="H83" s="40"/>
    </row>
    <row r="85" spans="1:8" x14ac:dyDescent="0.25">
      <c r="A85" s="1" t="s">
        <v>139</v>
      </c>
      <c r="B85" s="21"/>
      <c r="C85" s="21"/>
      <c r="D85" s="21" t="s">
        <v>29</v>
      </c>
      <c r="E85" s="21"/>
    </row>
    <row r="86" spans="1:8" x14ac:dyDescent="0.25">
      <c r="A86" s="74" t="s">
        <v>151</v>
      </c>
      <c r="B86" s="74"/>
      <c r="C86" s="21"/>
      <c r="D86" s="74" t="s">
        <v>150</v>
      </c>
      <c r="E86" s="74"/>
    </row>
    <row r="87" spans="1:8" x14ac:dyDescent="0.25">
      <c r="A87" s="15" t="s">
        <v>106</v>
      </c>
      <c r="B87" s="15" t="s">
        <v>4</v>
      </c>
      <c r="C87" s="21"/>
      <c r="D87" s="15" t="s">
        <v>106</v>
      </c>
      <c r="E87" s="15" t="s">
        <v>4</v>
      </c>
    </row>
    <row r="88" spans="1:8" x14ac:dyDescent="0.25">
      <c r="A88" s="15">
        <v>8.52</v>
      </c>
      <c r="B88" s="15">
        <v>38.4</v>
      </c>
      <c r="D88" s="15">
        <v>52.3</v>
      </c>
      <c r="E88" s="15">
        <v>38.4</v>
      </c>
    </row>
    <row r="89" spans="1:8" x14ac:dyDescent="0.25">
      <c r="A89" s="15">
        <v>7.78</v>
      </c>
      <c r="B89" s="15">
        <v>20.5</v>
      </c>
      <c r="D89" s="15">
        <v>57.3</v>
      </c>
      <c r="E89" s="15">
        <v>20.5</v>
      </c>
    </row>
    <row r="90" spans="1:8" x14ac:dyDescent="0.25">
      <c r="A90" s="15">
        <v>8.26</v>
      </c>
      <c r="B90" s="15">
        <v>31.1</v>
      </c>
      <c r="D90" s="15">
        <v>49.6</v>
      </c>
      <c r="E90" s="15">
        <v>31.1</v>
      </c>
    </row>
    <row r="91" spans="1:8" x14ac:dyDescent="0.25">
      <c r="A91" s="15">
        <v>7.15</v>
      </c>
      <c r="B91" s="15">
        <v>16.8</v>
      </c>
      <c r="D91" s="15">
        <v>33.9</v>
      </c>
      <c r="E91" s="15">
        <v>16.8</v>
      </c>
    </row>
    <row r="92" spans="1:8" x14ac:dyDescent="0.25">
      <c r="A92" s="15">
        <v>23</v>
      </c>
      <c r="B92" s="15"/>
      <c r="D92" s="15">
        <v>51.2</v>
      </c>
      <c r="E92" s="15"/>
    </row>
  </sheetData>
  <mergeCells count="21">
    <mergeCell ref="G54:H54"/>
    <mergeCell ref="G64:H64"/>
    <mergeCell ref="D64:E64"/>
    <mergeCell ref="A64:B64"/>
    <mergeCell ref="U33:X33"/>
    <mergeCell ref="A43:D43"/>
    <mergeCell ref="F43:I43"/>
    <mergeCell ref="K43:N43"/>
    <mergeCell ref="P43:S43"/>
    <mergeCell ref="A33:D33"/>
    <mergeCell ref="F33:I33"/>
    <mergeCell ref="K33:N33"/>
    <mergeCell ref="P33:S33"/>
    <mergeCell ref="D2:E2"/>
    <mergeCell ref="A86:B86"/>
    <mergeCell ref="D86:E86"/>
    <mergeCell ref="A3:B3"/>
    <mergeCell ref="A2:B2"/>
    <mergeCell ref="A54:B54"/>
    <mergeCell ref="D54:E54"/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49DF-26C9-4692-9FBA-3A40316741B3}">
  <dimension ref="A1:D24"/>
  <sheetViews>
    <sheetView workbookViewId="0">
      <selection activeCell="H22" sqref="H22"/>
    </sheetView>
  </sheetViews>
  <sheetFormatPr defaultRowHeight="15.75" x14ac:dyDescent="0.25"/>
  <sheetData>
    <row r="1" spans="1:4" x14ac:dyDescent="0.25">
      <c r="A1" s="21" t="s">
        <v>221</v>
      </c>
      <c r="D1" s="21" t="s">
        <v>168</v>
      </c>
    </row>
    <row r="2" spans="1:4" x14ac:dyDescent="0.25">
      <c r="A2" s="74" t="s">
        <v>169</v>
      </c>
      <c r="B2" s="74"/>
      <c r="C2" s="74"/>
      <c r="D2" s="74"/>
    </row>
    <row r="3" spans="1:4" x14ac:dyDescent="0.25">
      <c r="A3" s="74" t="s">
        <v>125</v>
      </c>
      <c r="B3" s="74"/>
      <c r="C3" s="74" t="s">
        <v>167</v>
      </c>
      <c r="D3" s="74"/>
    </row>
    <row r="4" spans="1:4" x14ac:dyDescent="0.25">
      <c r="A4" s="15" t="s">
        <v>106</v>
      </c>
      <c r="B4" s="15" t="s">
        <v>4</v>
      </c>
      <c r="C4" s="15" t="s">
        <v>106</v>
      </c>
      <c r="D4" s="15" t="s">
        <v>4</v>
      </c>
    </row>
    <row r="5" spans="1:4" x14ac:dyDescent="0.25">
      <c r="A5" s="23">
        <v>805.4</v>
      </c>
      <c r="B5" s="23">
        <v>3543.4</v>
      </c>
      <c r="C5" s="23">
        <v>11.6</v>
      </c>
      <c r="D5" s="23">
        <v>8.3000000000000007</v>
      </c>
    </row>
    <row r="6" spans="1:4" x14ac:dyDescent="0.25">
      <c r="A6" s="23">
        <v>243.7</v>
      </c>
      <c r="B6" s="23">
        <v>1153.0999999999999</v>
      </c>
      <c r="C6" s="23">
        <v>0</v>
      </c>
      <c r="D6" s="23">
        <v>26.9</v>
      </c>
    </row>
    <row r="7" spans="1:4" x14ac:dyDescent="0.25">
      <c r="A7" s="23">
        <v>317.7</v>
      </c>
      <c r="B7" s="23">
        <v>1445.7</v>
      </c>
      <c r="C7" s="23">
        <v>12.3</v>
      </c>
      <c r="D7" s="23">
        <v>2.8</v>
      </c>
    </row>
    <row r="8" spans="1:4" x14ac:dyDescent="0.25">
      <c r="A8" s="23">
        <v>1227.7</v>
      </c>
      <c r="B8" s="23">
        <v>2380.8000000000002</v>
      </c>
      <c r="C8" s="23">
        <v>0</v>
      </c>
      <c r="D8" s="23">
        <v>23.6</v>
      </c>
    </row>
    <row r="9" spans="1:4" x14ac:dyDescent="0.25">
      <c r="A9" s="23">
        <v>175.2</v>
      </c>
      <c r="B9" s="23">
        <v>1845.6</v>
      </c>
      <c r="C9" s="23">
        <v>9</v>
      </c>
      <c r="D9" s="23">
        <v>5.6</v>
      </c>
    </row>
    <row r="10" spans="1:4" x14ac:dyDescent="0.25">
      <c r="A10" s="23">
        <v>571.20000000000005</v>
      </c>
      <c r="B10" s="23">
        <v>986.9</v>
      </c>
      <c r="C10" s="23">
        <v>12.3</v>
      </c>
      <c r="D10" s="23">
        <v>2.8</v>
      </c>
    </row>
    <row r="11" spans="1:4" x14ac:dyDescent="0.25">
      <c r="A11" s="23">
        <v>956.3</v>
      </c>
      <c r="B11" s="23">
        <v>1091.3</v>
      </c>
      <c r="C11" s="23">
        <v>5.8</v>
      </c>
      <c r="D11" s="23">
        <v>9.1</v>
      </c>
    </row>
    <row r="12" spans="1:4" x14ac:dyDescent="0.25">
      <c r="A12" s="23">
        <v>2109.6999999999998</v>
      </c>
      <c r="B12" s="23">
        <v>1585.4</v>
      </c>
      <c r="C12" s="23">
        <v>3</v>
      </c>
      <c r="D12" s="23">
        <v>16.399999999999999</v>
      </c>
    </row>
    <row r="13" spans="1:4" x14ac:dyDescent="0.25">
      <c r="A13" s="23">
        <v>833</v>
      </c>
      <c r="B13" s="23">
        <v>901.7</v>
      </c>
      <c r="C13" s="23">
        <v>0</v>
      </c>
      <c r="D13" s="23">
        <v>55.5</v>
      </c>
    </row>
    <row r="14" spans="1:4" x14ac:dyDescent="0.25">
      <c r="A14" s="15"/>
      <c r="B14" s="23">
        <v>994.2</v>
      </c>
      <c r="C14" s="15"/>
      <c r="D14" s="23">
        <v>6</v>
      </c>
    </row>
    <row r="16" spans="1:4" x14ac:dyDescent="0.25">
      <c r="A16" s="21" t="s">
        <v>222</v>
      </c>
      <c r="B16" s="21"/>
      <c r="D16" s="21" t="s">
        <v>95</v>
      </c>
    </row>
    <row r="17" spans="1:3" s="20" customFormat="1" x14ac:dyDescent="0.25">
      <c r="A17" s="74" t="s">
        <v>219</v>
      </c>
      <c r="B17" s="74"/>
      <c r="C17" s="21"/>
    </row>
    <row r="18" spans="1:3" x14ac:dyDescent="0.25">
      <c r="A18" s="15" t="s">
        <v>106</v>
      </c>
      <c r="B18" s="15" t="s">
        <v>4</v>
      </c>
    </row>
    <row r="19" spans="1:3" x14ac:dyDescent="0.25">
      <c r="A19" s="23">
        <v>4.2</v>
      </c>
      <c r="B19" s="23">
        <v>6.9</v>
      </c>
    </row>
    <row r="20" spans="1:3" x14ac:dyDescent="0.25">
      <c r="A20" s="23">
        <v>2.1</v>
      </c>
      <c r="B20" s="23">
        <v>3</v>
      </c>
    </row>
    <row r="21" spans="1:3" x14ac:dyDescent="0.25">
      <c r="A21" s="23">
        <v>4.4000000000000004</v>
      </c>
      <c r="B21" s="23">
        <v>9.6999999999999993</v>
      </c>
    </row>
    <row r="22" spans="1:3" x14ac:dyDescent="0.25">
      <c r="A22" s="23">
        <v>4.8</v>
      </c>
      <c r="B22" s="23">
        <v>6.8</v>
      </c>
    </row>
    <row r="23" spans="1:3" x14ac:dyDescent="0.25">
      <c r="A23" s="23">
        <v>2.4</v>
      </c>
      <c r="B23" s="23">
        <v>5.8</v>
      </c>
    </row>
    <row r="24" spans="1:3" x14ac:dyDescent="0.25">
      <c r="A24" s="23">
        <v>4</v>
      </c>
      <c r="B24" s="23">
        <v>6.4</v>
      </c>
    </row>
  </sheetData>
  <mergeCells count="4">
    <mergeCell ref="A2:D2"/>
    <mergeCell ref="A3:B3"/>
    <mergeCell ref="C3:D3"/>
    <mergeCell ref="A17:B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63B8-8382-49C8-9453-092D95546258}">
  <dimension ref="A1:AA211"/>
  <sheetViews>
    <sheetView zoomScale="90" zoomScaleNormal="90" workbookViewId="0">
      <selection activeCell="Y157" sqref="Y157"/>
    </sheetView>
  </sheetViews>
  <sheetFormatPr defaultRowHeight="15.75" x14ac:dyDescent="0.25"/>
  <cols>
    <col min="16" max="27" width="9" style="21"/>
  </cols>
  <sheetData>
    <row r="1" spans="1:27" x14ac:dyDescent="0.25">
      <c r="A1" s="21" t="s">
        <v>223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34" customFormat="1" x14ac:dyDescent="0.25">
      <c r="A2" s="28" t="s">
        <v>117</v>
      </c>
      <c r="B2" s="42">
        <v>0</v>
      </c>
      <c r="C2" s="42">
        <v>3</v>
      </c>
      <c r="D2" s="42">
        <v>5</v>
      </c>
      <c r="E2" s="42">
        <v>7</v>
      </c>
      <c r="F2" s="42">
        <v>10</v>
      </c>
      <c r="G2" s="42">
        <v>12</v>
      </c>
      <c r="H2" s="42">
        <v>14</v>
      </c>
      <c r="I2" s="42">
        <v>16</v>
      </c>
      <c r="J2" s="42">
        <v>18</v>
      </c>
      <c r="K2" s="42">
        <v>21</v>
      </c>
      <c r="L2" s="42">
        <v>23</v>
      </c>
      <c r="M2" s="28">
        <v>25</v>
      </c>
      <c r="N2" s="28">
        <v>28</v>
      </c>
      <c r="O2" s="28">
        <v>30</v>
      </c>
      <c r="P2" s="28">
        <v>32</v>
      </c>
      <c r="Q2" s="28">
        <v>35</v>
      </c>
      <c r="R2" s="28">
        <v>38</v>
      </c>
      <c r="S2" s="28">
        <v>42</v>
      </c>
      <c r="T2" s="28">
        <v>46</v>
      </c>
      <c r="U2" s="28">
        <v>50</v>
      </c>
      <c r="V2" s="28">
        <v>53</v>
      </c>
      <c r="W2" s="28">
        <v>56</v>
      </c>
      <c r="X2" s="28">
        <v>59</v>
      </c>
      <c r="Y2" s="28">
        <v>65</v>
      </c>
      <c r="Z2" s="28">
        <v>72</v>
      </c>
      <c r="AA2" s="28">
        <v>74</v>
      </c>
    </row>
    <row r="3" spans="1:27" x14ac:dyDescent="0.25">
      <c r="A3" s="83" t="s">
        <v>96</v>
      </c>
      <c r="B3" s="43">
        <f>3.6*5.7</f>
        <v>20.52</v>
      </c>
      <c r="C3" s="44">
        <f>7.3*4.4</f>
        <v>32.120000000000005</v>
      </c>
      <c r="D3" s="44"/>
      <c r="E3" s="44">
        <f>9.7*5.6</f>
        <v>54.319999999999993</v>
      </c>
      <c r="F3" s="44">
        <f>12.3*7.4</f>
        <v>91.02000000000001</v>
      </c>
      <c r="G3" s="44">
        <f>13.1*8.3</f>
        <v>108.73</v>
      </c>
      <c r="H3" s="45">
        <f>14.2*8.9</f>
        <v>126.38</v>
      </c>
      <c r="I3" s="45"/>
      <c r="J3" s="44"/>
      <c r="K3" s="44"/>
      <c r="L3" s="46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x14ac:dyDescent="0.25">
      <c r="A4" s="84"/>
      <c r="B4" s="47">
        <f>3.7*6.5</f>
        <v>24.05</v>
      </c>
      <c r="C4" s="26">
        <f>7.1*5</f>
        <v>35.5</v>
      </c>
      <c r="D4" s="26"/>
      <c r="E4" s="26">
        <f>7.1*5.2</f>
        <v>36.92</v>
      </c>
      <c r="F4" s="26">
        <f>9.7*7.3</f>
        <v>70.809999999999988</v>
      </c>
      <c r="G4" s="26">
        <f>9.9*7.8</f>
        <v>77.22</v>
      </c>
      <c r="H4" s="36">
        <f>8.3*11.1</f>
        <v>92.13000000000001</v>
      </c>
      <c r="I4" s="36">
        <f>11.6*8.7</f>
        <v>100.91999999999999</v>
      </c>
      <c r="J4" s="26">
        <f>9.8*12.3</f>
        <v>120.54000000000002</v>
      </c>
      <c r="K4" s="26">
        <f>9.8*12.7</f>
        <v>124.46000000000001</v>
      </c>
      <c r="L4" s="48">
        <f>12.9*10.7</f>
        <v>138.03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 x14ac:dyDescent="0.25">
      <c r="A5" s="84"/>
      <c r="B5" s="47">
        <f>3.3*5.2</f>
        <v>17.16</v>
      </c>
      <c r="C5" s="26">
        <f>4.1*6.4</f>
        <v>26.24</v>
      </c>
      <c r="D5" s="26"/>
      <c r="E5" s="26">
        <f>8.2*5.3</f>
        <v>43.459999999999994</v>
      </c>
      <c r="F5" s="26">
        <f>6.2*9.5</f>
        <v>58.9</v>
      </c>
      <c r="G5" s="26">
        <f>10.4*6.6</f>
        <v>68.64</v>
      </c>
      <c r="H5" s="36">
        <f>8*10.1</f>
        <v>80.8</v>
      </c>
      <c r="I5" s="36">
        <f>8.3*11.2</f>
        <v>92.960000000000008</v>
      </c>
      <c r="J5" s="26">
        <f>9*12.3</f>
        <v>110.7</v>
      </c>
      <c r="K5" s="26">
        <f>9.7*12</f>
        <v>116.39999999999999</v>
      </c>
      <c r="L5" s="48">
        <f>13.4*10.1</f>
        <v>135.34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x14ac:dyDescent="0.25">
      <c r="A6" s="84"/>
      <c r="B6" s="47">
        <f>3.7*5.8</f>
        <v>21.46</v>
      </c>
      <c r="C6" s="26">
        <f>7.2*4.7</f>
        <v>33.840000000000003</v>
      </c>
      <c r="D6" s="26"/>
      <c r="E6" s="26">
        <f>7.6*5.5</f>
        <v>41.8</v>
      </c>
      <c r="F6" s="26">
        <f>10.5*7.1</f>
        <v>74.55</v>
      </c>
      <c r="G6" s="26">
        <f>11.8*6.6</f>
        <v>77.88</v>
      </c>
      <c r="H6" s="36">
        <f>12.5*7.6</f>
        <v>95</v>
      </c>
      <c r="I6" s="36">
        <f>13.7*7.9</f>
        <v>108.23</v>
      </c>
      <c r="J6" s="26">
        <f>14.5*8.6</f>
        <v>124.69999999999999</v>
      </c>
      <c r="K6" s="26">
        <f>16.1*9.4</f>
        <v>151.34000000000003</v>
      </c>
      <c r="L6" s="48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 x14ac:dyDescent="0.25">
      <c r="A7" s="84"/>
      <c r="B7" s="47">
        <f>6*4.1</f>
        <v>24.599999999999998</v>
      </c>
      <c r="C7" s="26">
        <f>5.2*6.5</f>
        <v>33.800000000000004</v>
      </c>
      <c r="D7" s="26"/>
      <c r="E7" s="26">
        <f>7.7*6.6</f>
        <v>50.82</v>
      </c>
      <c r="F7" s="26">
        <f>7.6*8.8</f>
        <v>66.88</v>
      </c>
      <c r="G7" s="26">
        <f>8.6*9.7</f>
        <v>83.419999999999987</v>
      </c>
      <c r="H7" s="36">
        <f>9.4*9.9</f>
        <v>93.06</v>
      </c>
      <c r="I7" s="36">
        <f>9.4*10.9</f>
        <v>102.46000000000001</v>
      </c>
      <c r="J7" s="26">
        <f>10.6*11.2</f>
        <v>118.71999999999998</v>
      </c>
      <c r="K7" s="26">
        <f>11.7*13.1</f>
        <v>153.26999999999998</v>
      </c>
      <c r="L7" s="48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x14ac:dyDescent="0.25">
      <c r="A8" s="84"/>
      <c r="B8" s="47">
        <f>3.7*7.4</f>
        <v>27.380000000000003</v>
      </c>
      <c r="C8" s="26">
        <f>10*5.4</f>
        <v>54</v>
      </c>
      <c r="D8" s="26"/>
      <c r="E8" s="26">
        <f>10.7*5.6</f>
        <v>59.919999999999995</v>
      </c>
      <c r="F8" s="26">
        <f>13.6*7.6</f>
        <v>103.36</v>
      </c>
      <c r="G8" s="26">
        <f>14.9*8.7</f>
        <v>129.63</v>
      </c>
      <c r="H8" s="36">
        <f>15.7*9.3</f>
        <v>146.01</v>
      </c>
      <c r="I8" s="36"/>
      <c r="J8" s="26"/>
      <c r="K8" s="26"/>
      <c r="L8" s="48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x14ac:dyDescent="0.25">
      <c r="A9" s="84"/>
      <c r="B9" s="47">
        <f>7.9*4</f>
        <v>31.6</v>
      </c>
      <c r="C9" s="26">
        <f>8.2*5</f>
        <v>41</v>
      </c>
      <c r="D9" s="26"/>
      <c r="E9" s="26">
        <f>9.5*5.7</f>
        <v>54.15</v>
      </c>
      <c r="F9" s="26">
        <f>11.9*6.6</f>
        <v>78.539999999999992</v>
      </c>
      <c r="G9" s="26">
        <f>13.4*7.4</f>
        <v>99.160000000000011</v>
      </c>
      <c r="H9" s="36">
        <f>14.3*8.5</f>
        <v>121.55000000000001</v>
      </c>
      <c r="I9" s="36"/>
      <c r="J9" s="26"/>
      <c r="K9" s="26"/>
      <c r="L9" s="48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x14ac:dyDescent="0.25">
      <c r="A10" s="84"/>
      <c r="B10" s="47">
        <f>7*3.9</f>
        <v>27.3</v>
      </c>
      <c r="C10" s="26">
        <f>5.2*8.3</f>
        <v>43.160000000000004</v>
      </c>
      <c r="D10" s="26"/>
      <c r="E10" s="26">
        <f>6*10</f>
        <v>60</v>
      </c>
      <c r="F10" s="26">
        <f>6.2*11.9</f>
        <v>73.78</v>
      </c>
      <c r="G10" s="26">
        <f>7*12.9</f>
        <v>90.3</v>
      </c>
      <c r="H10" s="36">
        <f>6.9*14.7</f>
        <v>101.43</v>
      </c>
      <c r="I10" s="36">
        <f>8.2*15.7</f>
        <v>128.73999999999998</v>
      </c>
      <c r="J10" s="26">
        <f>9.9*18.3</f>
        <v>181.17000000000002</v>
      </c>
      <c r="K10" s="26"/>
      <c r="L10" s="48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x14ac:dyDescent="0.25">
      <c r="A11" s="84"/>
      <c r="B11" s="47">
        <v>27.930000000000003</v>
      </c>
      <c r="C11" s="26">
        <v>27.5</v>
      </c>
      <c r="D11" s="26">
        <v>40.799999999999997</v>
      </c>
      <c r="E11" s="26">
        <v>44.400000000000006</v>
      </c>
      <c r="F11" s="26">
        <v>46.97</v>
      </c>
      <c r="G11" s="26">
        <v>71.610000000000014</v>
      </c>
      <c r="H11" s="26">
        <v>77.759999999999991</v>
      </c>
      <c r="I11" s="26">
        <v>76.8</v>
      </c>
      <c r="J11" s="26">
        <v>103.78999999999999</v>
      </c>
      <c r="K11" s="26"/>
      <c r="L11" s="48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x14ac:dyDescent="0.25">
      <c r="A12" s="84"/>
      <c r="B12" s="47">
        <v>22.090000000000003</v>
      </c>
      <c r="C12" s="26">
        <v>37.699999999999996</v>
      </c>
      <c r="D12" s="26">
        <v>59.129999999999995</v>
      </c>
      <c r="E12" s="26">
        <v>64.8</v>
      </c>
      <c r="F12" s="26">
        <v>97.76</v>
      </c>
      <c r="G12" s="26">
        <v>87.2</v>
      </c>
      <c r="H12" s="26">
        <v>106.25</v>
      </c>
      <c r="I12" s="26">
        <v>133.75</v>
      </c>
      <c r="J12" s="26"/>
      <c r="K12" s="26"/>
      <c r="L12" s="48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x14ac:dyDescent="0.25">
      <c r="A13" s="84"/>
      <c r="B13" s="47">
        <v>18.859999999999996</v>
      </c>
      <c r="C13" s="26">
        <v>26.5</v>
      </c>
      <c r="D13" s="26">
        <v>39.44</v>
      </c>
      <c r="E13" s="26">
        <v>51.2</v>
      </c>
      <c r="F13" s="26">
        <v>56.16</v>
      </c>
      <c r="G13" s="26">
        <v>69.720000000000013</v>
      </c>
      <c r="H13" s="26">
        <v>98.79</v>
      </c>
      <c r="I13" s="26">
        <v>117</v>
      </c>
      <c r="J13" s="26"/>
      <c r="K13" s="26"/>
      <c r="L13" s="48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x14ac:dyDescent="0.25">
      <c r="A14" s="84"/>
      <c r="B14" s="47">
        <v>18.480000000000004</v>
      </c>
      <c r="C14" s="26">
        <v>30.780000000000005</v>
      </c>
      <c r="D14" s="26">
        <v>38.94</v>
      </c>
      <c r="E14" s="26">
        <v>42.21</v>
      </c>
      <c r="F14" s="26">
        <v>52.56</v>
      </c>
      <c r="G14" s="26">
        <v>63.839999999999996</v>
      </c>
      <c r="H14" s="26">
        <v>64.8</v>
      </c>
      <c r="I14" s="26">
        <v>86.33</v>
      </c>
      <c r="J14" s="26">
        <v>126</v>
      </c>
      <c r="K14" s="26"/>
      <c r="L14" s="48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x14ac:dyDescent="0.25">
      <c r="A15" s="84"/>
      <c r="B15" s="47">
        <v>24.8</v>
      </c>
      <c r="C15" s="26">
        <v>31.96</v>
      </c>
      <c r="D15" s="26">
        <v>52.800000000000004</v>
      </c>
      <c r="E15" s="26">
        <v>53.199999999999996</v>
      </c>
      <c r="F15" s="26">
        <v>79.8</v>
      </c>
      <c r="G15" s="26">
        <v>77.760000000000005</v>
      </c>
      <c r="H15" s="26">
        <v>92.4</v>
      </c>
      <c r="I15" s="26">
        <v>121.24999999999999</v>
      </c>
      <c r="J15" s="26"/>
      <c r="K15" s="26"/>
      <c r="L15" s="48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x14ac:dyDescent="0.25">
      <c r="A16" s="84"/>
      <c r="B16" s="47">
        <v>23.03</v>
      </c>
      <c r="C16" s="26">
        <v>32</v>
      </c>
      <c r="D16" s="26">
        <v>45.599999999999994</v>
      </c>
      <c r="E16" s="26">
        <v>45.14</v>
      </c>
      <c r="F16" s="26">
        <v>54.269999999999996</v>
      </c>
      <c r="G16" s="26">
        <v>62.310000000000009</v>
      </c>
      <c r="H16" s="26">
        <v>78.75</v>
      </c>
      <c r="I16" s="26">
        <v>101.7</v>
      </c>
      <c r="J16" s="26"/>
      <c r="K16" s="26"/>
      <c r="L16" s="48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x14ac:dyDescent="0.25">
      <c r="A17" s="84"/>
      <c r="B17" s="47">
        <v>25.200000000000003</v>
      </c>
      <c r="C17" s="26">
        <v>39.75</v>
      </c>
      <c r="D17" s="26">
        <v>40.700000000000003</v>
      </c>
      <c r="E17" s="26">
        <v>55.9</v>
      </c>
      <c r="F17" s="26">
        <v>70.809999999999988</v>
      </c>
      <c r="G17" s="26">
        <v>67.62</v>
      </c>
      <c r="H17" s="26">
        <v>93.79000000000002</v>
      </c>
      <c r="I17" s="26">
        <v>105.84</v>
      </c>
      <c r="J17" s="26"/>
      <c r="K17" s="26"/>
      <c r="L17" s="48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x14ac:dyDescent="0.25">
      <c r="A18" s="84"/>
      <c r="B18" s="49">
        <v>30.680000000000003</v>
      </c>
      <c r="C18" s="50">
        <v>46.199999999999996</v>
      </c>
      <c r="D18" s="50">
        <v>62.08</v>
      </c>
      <c r="E18" s="50">
        <v>65.28</v>
      </c>
      <c r="F18" s="50">
        <v>79.2</v>
      </c>
      <c r="G18" s="50">
        <v>89.04</v>
      </c>
      <c r="H18" s="50">
        <v>122.2</v>
      </c>
      <c r="I18" s="50">
        <v>139.16</v>
      </c>
      <c r="J18" s="50"/>
      <c r="K18" s="50"/>
      <c r="L18" s="51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x14ac:dyDescent="0.25">
      <c r="A19" s="85"/>
      <c r="B19" s="55">
        <f>AVERAGE(B3:B18)</f>
        <v>24.071249999999999</v>
      </c>
      <c r="C19" s="56">
        <f t="shared" ref="C19:G19" si="0">AVERAGE(C3:C18)</f>
        <v>35.753125000000004</v>
      </c>
      <c r="D19" s="56">
        <f t="shared" si="0"/>
        <v>47.436250000000001</v>
      </c>
      <c r="E19" s="56">
        <f t="shared" si="0"/>
        <v>51.47</v>
      </c>
      <c r="F19" s="56">
        <f t="shared" si="0"/>
        <v>72.210624999999993</v>
      </c>
      <c r="G19" s="56">
        <f t="shared" si="0"/>
        <v>82.754999999999995</v>
      </c>
      <c r="H19" s="56">
        <f>AVERAGE(H3:H18)</f>
        <v>99.443750000000009</v>
      </c>
      <c r="I19" s="57"/>
      <c r="J19" s="57"/>
      <c r="K19" s="57"/>
      <c r="L19" s="58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x14ac:dyDescent="0.25">
      <c r="A20" s="83" t="s">
        <v>97</v>
      </c>
      <c r="B20" s="43">
        <f>4.2*7.3</f>
        <v>30.66</v>
      </c>
      <c r="C20" s="44">
        <f>5*8.1</f>
        <v>40.5</v>
      </c>
      <c r="D20" s="44"/>
      <c r="E20" s="44">
        <f>8.5*6.1</f>
        <v>51.849999999999994</v>
      </c>
      <c r="F20" s="44">
        <f>7.4*11.1</f>
        <v>82.14</v>
      </c>
      <c r="G20" s="44">
        <f>11.9*6.7</f>
        <v>79.73</v>
      </c>
      <c r="H20" s="45">
        <f>12.8*8.5</f>
        <v>108.80000000000001</v>
      </c>
      <c r="I20" s="45">
        <f>13.8*8.8</f>
        <v>121.44000000000001</v>
      </c>
      <c r="J20" s="44">
        <f>15.1*9.5</f>
        <v>143.44999999999999</v>
      </c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59"/>
      <c r="Z20" s="25"/>
      <c r="AA20" s="25"/>
    </row>
    <row r="21" spans="1:27" x14ac:dyDescent="0.25">
      <c r="A21" s="84"/>
      <c r="B21" s="47">
        <f>4.2*5.7</f>
        <v>23.94</v>
      </c>
      <c r="C21" s="26">
        <f>5.6*6.8</f>
        <v>38.08</v>
      </c>
      <c r="D21" s="26"/>
      <c r="E21" s="26">
        <f>7.5*6.3</f>
        <v>47.25</v>
      </c>
      <c r="F21" s="26">
        <f>7*7.3</f>
        <v>51.1</v>
      </c>
      <c r="G21" s="26">
        <f>7*7.7</f>
        <v>53.9</v>
      </c>
      <c r="H21" s="36">
        <f>8.1*8.7</f>
        <v>70.469999999999985</v>
      </c>
      <c r="I21" s="36">
        <f>8.6*9.4</f>
        <v>80.84</v>
      </c>
      <c r="J21" s="26">
        <f>8.8*9.9</f>
        <v>87.12</v>
      </c>
      <c r="K21" s="26">
        <f>10.2*8.9</f>
        <v>90.78</v>
      </c>
      <c r="L21" s="26">
        <f>11.4*9.9</f>
        <v>112.86000000000001</v>
      </c>
      <c r="M21" s="26">
        <f>9.9*11.7</f>
        <v>115.83</v>
      </c>
      <c r="N21" s="26">
        <f>12.9*10.9</f>
        <v>140.61000000000001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48"/>
      <c r="Z21" s="25"/>
      <c r="AA21" s="25"/>
    </row>
    <row r="22" spans="1:27" x14ac:dyDescent="0.25">
      <c r="A22" s="84"/>
      <c r="B22" s="47">
        <f>6.2*4.4</f>
        <v>27.280000000000005</v>
      </c>
      <c r="C22" s="26">
        <f>7.2*5.5</f>
        <v>39.6</v>
      </c>
      <c r="D22" s="26"/>
      <c r="E22" s="26">
        <f>7.7*5.3</f>
        <v>40.81</v>
      </c>
      <c r="F22" s="26">
        <f>5.4*5.2</f>
        <v>28.080000000000002</v>
      </c>
      <c r="G22" s="26">
        <f>7.6*5.3</f>
        <v>40.279999999999994</v>
      </c>
      <c r="H22" s="36">
        <f>7.6*5.4</f>
        <v>41.04</v>
      </c>
      <c r="I22" s="36">
        <f>6.1*6.6</f>
        <v>40.26</v>
      </c>
      <c r="J22" s="26">
        <f>6.9*6.2</f>
        <v>42.78</v>
      </c>
      <c r="K22" s="26">
        <f>6.6*9.4</f>
        <v>62.04</v>
      </c>
      <c r="L22" s="26">
        <f>7*9.7</f>
        <v>67.899999999999991</v>
      </c>
      <c r="M22" s="26">
        <f>10*7.6</f>
        <v>76</v>
      </c>
      <c r="N22" s="26">
        <f>11*9.1</f>
        <v>100.1</v>
      </c>
      <c r="O22" s="26">
        <f>11.8*9.3</f>
        <v>109.74000000000001</v>
      </c>
      <c r="P22" s="26">
        <f>12.5*10.1</f>
        <v>126.25</v>
      </c>
      <c r="Q22" s="26"/>
      <c r="R22" s="26"/>
      <c r="S22" s="26"/>
      <c r="T22" s="26"/>
      <c r="U22" s="26"/>
      <c r="V22" s="26"/>
      <c r="W22" s="26"/>
      <c r="X22" s="26"/>
      <c r="Y22" s="48"/>
      <c r="Z22" s="25"/>
      <c r="AA22" s="25"/>
    </row>
    <row r="23" spans="1:27" x14ac:dyDescent="0.25">
      <c r="A23" s="84"/>
      <c r="B23" s="47">
        <f>6*3.6</f>
        <v>21.6</v>
      </c>
      <c r="C23" s="26">
        <f>6.5*4.3</f>
        <v>27.95</v>
      </c>
      <c r="D23" s="26"/>
      <c r="E23" s="26">
        <f>6.7*4.4</f>
        <v>29.480000000000004</v>
      </c>
      <c r="F23" s="26">
        <f>6.4*4.2</f>
        <v>26.880000000000003</v>
      </c>
      <c r="G23" s="26">
        <f>6.8*3.5</f>
        <v>23.8</v>
      </c>
      <c r="H23" s="36">
        <f>7*3.6</f>
        <v>25.2</v>
      </c>
      <c r="I23" s="36">
        <f>6.8*3.2</f>
        <v>21.76</v>
      </c>
      <c r="J23" s="26">
        <f>7.2*3.7</f>
        <v>26.64</v>
      </c>
      <c r="K23" s="26">
        <f>7.8*3.9</f>
        <v>30.419999999999998</v>
      </c>
      <c r="L23" s="26">
        <f>8.3*4.7</f>
        <v>39.010000000000005</v>
      </c>
      <c r="M23" s="26">
        <f>9.3*4.9</f>
        <v>45.570000000000007</v>
      </c>
      <c r="N23" s="26">
        <f>10.4*5.1</f>
        <v>53.04</v>
      </c>
      <c r="O23" s="26">
        <f>11.1*5.7</f>
        <v>63.27</v>
      </c>
      <c r="P23" s="26">
        <f>5.8*12</f>
        <v>69.599999999999994</v>
      </c>
      <c r="Q23" s="26">
        <f>12.6*6.7</f>
        <v>84.42</v>
      </c>
      <c r="R23" s="26">
        <f>14.1*7.2</f>
        <v>101.52</v>
      </c>
      <c r="S23" s="26">
        <f>16.7*8.9</f>
        <v>148.63</v>
      </c>
      <c r="T23" s="26"/>
      <c r="U23" s="26"/>
      <c r="V23" s="26"/>
      <c r="W23" s="26"/>
      <c r="X23" s="26"/>
      <c r="Y23" s="48"/>
      <c r="Z23" s="25"/>
      <c r="AA23" s="25"/>
    </row>
    <row r="24" spans="1:27" x14ac:dyDescent="0.25">
      <c r="A24" s="84"/>
      <c r="B24" s="47">
        <f>6.5*3.8</f>
        <v>24.7</v>
      </c>
      <c r="C24" s="26">
        <f>4.7*7.6</f>
        <v>35.72</v>
      </c>
      <c r="D24" s="26"/>
      <c r="E24" s="26">
        <f>8.5*5.7</f>
        <v>48.45</v>
      </c>
      <c r="F24" s="26">
        <f>7.2*6.4</f>
        <v>46.080000000000005</v>
      </c>
      <c r="G24" s="26">
        <f>10*6.3</f>
        <v>63</v>
      </c>
      <c r="H24" s="36">
        <f>11.2*6.8</f>
        <v>76.16</v>
      </c>
      <c r="I24" s="36">
        <f>11.9*7.5</f>
        <v>89.25</v>
      </c>
      <c r="J24" s="26">
        <f>12.9*7.8</f>
        <v>100.62</v>
      </c>
      <c r="K24" s="26">
        <f>13.8*8.3</f>
        <v>114.54000000000002</v>
      </c>
      <c r="L24" s="26">
        <f>15.2*8.8</f>
        <v>133.76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48"/>
      <c r="Z24" s="25"/>
      <c r="AA24" s="25"/>
    </row>
    <row r="25" spans="1:27" x14ac:dyDescent="0.25">
      <c r="A25" s="84"/>
      <c r="B25" s="47">
        <f>4*5</f>
        <v>20</v>
      </c>
      <c r="C25" s="26">
        <f>4.3*5.7</f>
        <v>24.509999999999998</v>
      </c>
      <c r="D25" s="26"/>
      <c r="E25" s="26">
        <f>5*5.7</f>
        <v>28.5</v>
      </c>
      <c r="F25" s="26">
        <f>3.9*4.1</f>
        <v>15.989999999999998</v>
      </c>
      <c r="G25" s="26">
        <f>3.5*3.9</f>
        <v>13.65</v>
      </c>
      <c r="H25" s="36">
        <f>4.1*3.6</f>
        <v>14.76</v>
      </c>
      <c r="I25" s="36">
        <f>3.4*3.7</f>
        <v>12.58</v>
      </c>
      <c r="J25" s="26">
        <f>4.5*4.1</f>
        <v>18.45</v>
      </c>
      <c r="K25" s="26">
        <f>4.3*3.8</f>
        <v>16.34</v>
      </c>
      <c r="L25" s="26">
        <f>4.5*4.3</f>
        <v>19.349999999999998</v>
      </c>
      <c r="M25" s="26">
        <f>4.2*4.7</f>
        <v>19.740000000000002</v>
      </c>
      <c r="N25" s="26">
        <f>4.5*4.4</f>
        <v>19.8</v>
      </c>
      <c r="O25" s="26">
        <f>5.4*4.9</f>
        <v>26.460000000000004</v>
      </c>
      <c r="P25" s="26">
        <f>5.4*6.2</f>
        <v>33.480000000000004</v>
      </c>
      <c r="Q25" s="26">
        <f>6.7*6.1</f>
        <v>40.869999999999997</v>
      </c>
      <c r="R25" s="26">
        <f>7*6.1</f>
        <v>42.699999999999996</v>
      </c>
      <c r="S25" s="26">
        <f>7.5*6.5</f>
        <v>48.75</v>
      </c>
      <c r="T25" s="26">
        <f>7.6*8.1</f>
        <v>61.559999999999995</v>
      </c>
      <c r="U25" s="26">
        <f>8.8*8.8</f>
        <v>77.440000000000012</v>
      </c>
      <c r="V25" s="26">
        <f>9.5*10.2</f>
        <v>96.899999999999991</v>
      </c>
      <c r="W25" s="26">
        <f>8.5*11.2</f>
        <v>95.199999999999989</v>
      </c>
      <c r="X25" s="26">
        <f>10.3*10.3</f>
        <v>106.09000000000002</v>
      </c>
      <c r="Y25" s="48">
        <f>10.5*11.6</f>
        <v>121.8</v>
      </c>
      <c r="Z25" s="25"/>
      <c r="AA25" s="25"/>
    </row>
    <row r="26" spans="1:27" x14ac:dyDescent="0.25">
      <c r="A26" s="84"/>
      <c r="B26" s="47">
        <v>21.150000000000002</v>
      </c>
      <c r="C26" s="26">
        <v>32.129999999999995</v>
      </c>
      <c r="D26" s="26">
        <v>33.480000000000004</v>
      </c>
      <c r="E26" s="26">
        <v>36.180000000000007</v>
      </c>
      <c r="F26" s="26">
        <v>31.919999999999998</v>
      </c>
      <c r="G26" s="26">
        <v>33.32</v>
      </c>
      <c r="H26" s="26">
        <v>40.200000000000003</v>
      </c>
      <c r="I26" s="26">
        <v>45.599999999999994</v>
      </c>
      <c r="J26" s="26">
        <v>52.199999999999996</v>
      </c>
      <c r="K26" s="26">
        <v>60.300000000000004</v>
      </c>
      <c r="L26" s="26">
        <v>77</v>
      </c>
      <c r="M26" s="26">
        <v>90.470000000000013</v>
      </c>
      <c r="N26" s="26">
        <v>110.92000000000002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48"/>
      <c r="Z26" s="25"/>
      <c r="AA26" s="25"/>
    </row>
    <row r="27" spans="1:27" x14ac:dyDescent="0.25">
      <c r="A27" s="84"/>
      <c r="B27" s="47">
        <v>24.38</v>
      </c>
      <c r="C27" s="26">
        <v>28.799999999999997</v>
      </c>
      <c r="D27" s="26">
        <v>29.14</v>
      </c>
      <c r="E27" s="26">
        <v>31</v>
      </c>
      <c r="F27" s="26">
        <v>20.239999999999998</v>
      </c>
      <c r="G27" s="26">
        <v>16.399999999999999</v>
      </c>
      <c r="H27" s="26">
        <v>17.099999999999998</v>
      </c>
      <c r="I27" s="26">
        <v>22</v>
      </c>
      <c r="J27" s="26">
        <v>24</v>
      </c>
      <c r="K27" s="26">
        <v>29.679999999999996</v>
      </c>
      <c r="L27" s="26">
        <v>28.42</v>
      </c>
      <c r="M27" s="26">
        <v>49</v>
      </c>
      <c r="N27" s="26">
        <v>56.58</v>
      </c>
      <c r="O27" s="26">
        <v>61.2</v>
      </c>
      <c r="P27" s="26">
        <v>72</v>
      </c>
      <c r="Q27" s="26">
        <v>87.15</v>
      </c>
      <c r="R27" s="26">
        <v>79</v>
      </c>
      <c r="S27" s="26">
        <v>82.4</v>
      </c>
      <c r="T27" s="26">
        <v>98.31</v>
      </c>
      <c r="U27" s="26"/>
      <c r="V27" s="26"/>
      <c r="W27" s="26"/>
      <c r="X27" s="26"/>
      <c r="Y27" s="48"/>
      <c r="Z27" s="25"/>
      <c r="AA27" s="25"/>
    </row>
    <row r="28" spans="1:27" x14ac:dyDescent="0.25">
      <c r="A28" s="84"/>
      <c r="B28" s="47">
        <v>23.65</v>
      </c>
      <c r="C28" s="26">
        <v>40.15</v>
      </c>
      <c r="D28" s="26">
        <v>38.880000000000003</v>
      </c>
      <c r="E28" s="26">
        <v>40.32</v>
      </c>
      <c r="F28" s="26">
        <v>24.78</v>
      </c>
      <c r="G28" s="26">
        <v>24.939999999999998</v>
      </c>
      <c r="H28" s="26">
        <v>28.6</v>
      </c>
      <c r="I28" s="26">
        <v>36.72</v>
      </c>
      <c r="J28" s="26">
        <v>34.31</v>
      </c>
      <c r="K28" s="26">
        <v>37</v>
      </c>
      <c r="L28" s="26">
        <v>43.68</v>
      </c>
      <c r="M28" s="26">
        <v>47.599999999999994</v>
      </c>
      <c r="N28" s="26">
        <v>55.199999999999996</v>
      </c>
      <c r="O28" s="26">
        <v>70.809999999999988</v>
      </c>
      <c r="P28" s="26">
        <v>75.19</v>
      </c>
      <c r="Q28" s="26">
        <v>78.11</v>
      </c>
      <c r="R28" s="26">
        <v>105.8</v>
      </c>
      <c r="S28" s="26"/>
      <c r="T28" s="26"/>
      <c r="U28" s="26"/>
      <c r="V28" s="26"/>
      <c r="W28" s="26"/>
      <c r="X28" s="26"/>
      <c r="Y28" s="48"/>
      <c r="Z28" s="25"/>
      <c r="AA28" s="25"/>
    </row>
    <row r="29" spans="1:27" x14ac:dyDescent="0.25">
      <c r="A29" s="84"/>
      <c r="B29" s="47">
        <v>20.669999999999998</v>
      </c>
      <c r="C29" s="26">
        <v>32.129999999999995</v>
      </c>
      <c r="D29" s="26">
        <v>36.85</v>
      </c>
      <c r="E29" s="26">
        <v>34.979999999999997</v>
      </c>
      <c r="F29" s="26">
        <v>38.08</v>
      </c>
      <c r="G29" s="26">
        <v>43.52</v>
      </c>
      <c r="H29" s="26">
        <v>51.029999999999994</v>
      </c>
      <c r="I29" s="26">
        <v>65.25</v>
      </c>
      <c r="J29" s="26">
        <v>71.339999999999989</v>
      </c>
      <c r="K29" s="26">
        <v>100.44000000000001</v>
      </c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48"/>
      <c r="Z29" s="25"/>
      <c r="AA29" s="25"/>
    </row>
    <row r="30" spans="1:27" x14ac:dyDescent="0.25">
      <c r="A30" s="84"/>
      <c r="B30" s="47">
        <v>18.45</v>
      </c>
      <c r="C30" s="26">
        <v>16.559999999999999</v>
      </c>
      <c r="D30" s="26">
        <v>14.06</v>
      </c>
      <c r="E30" s="26">
        <v>14.700000000000001</v>
      </c>
      <c r="F30" s="26">
        <v>1</v>
      </c>
      <c r="G30" s="26">
        <v>1</v>
      </c>
      <c r="H30" s="26">
        <v>1</v>
      </c>
      <c r="I30" s="26">
        <v>1</v>
      </c>
      <c r="J30" s="26">
        <v>1</v>
      </c>
      <c r="K30" s="26">
        <v>4</v>
      </c>
      <c r="L30" s="26">
        <v>9.8999999999999986</v>
      </c>
      <c r="M30" s="26">
        <v>14.04</v>
      </c>
      <c r="N30" s="26">
        <v>14.06</v>
      </c>
      <c r="O30" s="26">
        <v>10.889999999999999</v>
      </c>
      <c r="P30" s="26">
        <v>12.25</v>
      </c>
      <c r="Q30" s="26">
        <v>14.44</v>
      </c>
      <c r="R30" s="26">
        <v>13.65</v>
      </c>
      <c r="S30" s="26">
        <v>16.399999999999999</v>
      </c>
      <c r="T30" s="26">
        <v>23.92</v>
      </c>
      <c r="U30" s="26">
        <v>27.56</v>
      </c>
      <c r="V30" s="26">
        <v>31.92</v>
      </c>
      <c r="W30" s="26">
        <v>34.799999999999997</v>
      </c>
      <c r="X30" s="26">
        <v>38.43</v>
      </c>
      <c r="Y30" s="48">
        <v>46.72</v>
      </c>
      <c r="Z30" s="25"/>
      <c r="AA30" s="25"/>
    </row>
    <row r="31" spans="1:27" x14ac:dyDescent="0.25">
      <c r="A31" s="84"/>
      <c r="B31" s="47">
        <v>26.679999999999996</v>
      </c>
      <c r="C31" s="26">
        <v>54.809999999999995</v>
      </c>
      <c r="D31" s="26">
        <v>51.599999999999994</v>
      </c>
      <c r="E31" s="26">
        <v>51.66</v>
      </c>
      <c r="F31" s="26">
        <v>36.57</v>
      </c>
      <c r="G31" s="26">
        <v>44.55</v>
      </c>
      <c r="H31" s="26">
        <v>49.879999999999995</v>
      </c>
      <c r="I31" s="26">
        <v>54</v>
      </c>
      <c r="J31" s="26">
        <v>60.800000000000004</v>
      </c>
      <c r="K31" s="26">
        <v>70.809999999999988</v>
      </c>
      <c r="L31" s="26">
        <v>84.7</v>
      </c>
      <c r="M31" s="26">
        <v>100.8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48"/>
      <c r="Z31" s="25"/>
      <c r="AA31" s="25"/>
    </row>
    <row r="32" spans="1:27" x14ac:dyDescent="0.25">
      <c r="A32" s="84"/>
      <c r="B32" s="49">
        <v>32.129999999999995</v>
      </c>
      <c r="C32" s="50">
        <v>34.79</v>
      </c>
      <c r="D32" s="50">
        <v>42.559999999999995</v>
      </c>
      <c r="E32" s="50">
        <v>39.42</v>
      </c>
      <c r="F32" s="50">
        <v>31.680000000000003</v>
      </c>
      <c r="G32" s="50">
        <v>32.830000000000005</v>
      </c>
      <c r="H32" s="50">
        <v>36.180000000000007</v>
      </c>
      <c r="I32" s="50">
        <v>40.15</v>
      </c>
      <c r="J32" s="50">
        <v>32.9</v>
      </c>
      <c r="K32" s="50">
        <v>40</v>
      </c>
      <c r="L32" s="50">
        <v>46.109999999999992</v>
      </c>
      <c r="M32" s="50">
        <v>51.920000000000009</v>
      </c>
      <c r="N32" s="50">
        <v>58.559999999999995</v>
      </c>
      <c r="O32" s="50">
        <v>62.37</v>
      </c>
      <c r="P32" s="50">
        <v>70.040000000000006</v>
      </c>
      <c r="Q32" s="50">
        <v>77.7</v>
      </c>
      <c r="R32" s="50">
        <v>107.1</v>
      </c>
      <c r="S32" s="50"/>
      <c r="T32" s="50"/>
      <c r="U32" s="50"/>
      <c r="V32" s="50"/>
      <c r="W32" s="50"/>
      <c r="X32" s="50"/>
      <c r="Y32" s="51"/>
      <c r="Z32" s="25"/>
      <c r="AA32" s="25"/>
    </row>
    <row r="33" spans="1:27" x14ac:dyDescent="0.25">
      <c r="A33" s="85"/>
      <c r="B33" s="52">
        <f t="shared" ref="B33:J33" si="1">AVERAGE(B20:B23, B24, B25,B26:B32)</f>
        <v>24.253076923076925</v>
      </c>
      <c r="C33" s="53">
        <f t="shared" si="1"/>
        <v>34.286923076923074</v>
      </c>
      <c r="D33" s="53">
        <f t="shared" si="1"/>
        <v>35.224285714285713</v>
      </c>
      <c r="E33" s="53">
        <f t="shared" si="1"/>
        <v>38.046153846153842</v>
      </c>
      <c r="F33" s="53">
        <f t="shared" si="1"/>
        <v>33.426153846153845</v>
      </c>
      <c r="G33" s="53">
        <f t="shared" si="1"/>
        <v>36.224615384615383</v>
      </c>
      <c r="H33" s="53">
        <f t="shared" si="1"/>
        <v>43.109230769230777</v>
      </c>
      <c r="I33" s="53">
        <f t="shared" si="1"/>
        <v>48.526923076923076</v>
      </c>
      <c r="J33" s="53">
        <f t="shared" si="1"/>
        <v>53.508461538461532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60"/>
      <c r="Z33" s="25"/>
      <c r="AA33" s="25"/>
    </row>
    <row r="34" spans="1:27" x14ac:dyDescent="0.25">
      <c r="A34" s="75" t="s">
        <v>98</v>
      </c>
      <c r="B34" s="43">
        <f>3.4*6.4</f>
        <v>21.76</v>
      </c>
      <c r="C34" s="44">
        <f>7.3*4.2</f>
        <v>30.66</v>
      </c>
      <c r="D34" s="44"/>
      <c r="E34" s="44">
        <f>7.7*6</f>
        <v>46.2</v>
      </c>
      <c r="F34" s="44">
        <f>7.4*9.2</f>
        <v>68.08</v>
      </c>
      <c r="G34" s="44">
        <f>8.6*10</f>
        <v>86</v>
      </c>
      <c r="H34" s="45">
        <f>9.7*10.1</f>
        <v>97.969999999999985</v>
      </c>
      <c r="I34" s="45">
        <f>9.8*10.8</f>
        <v>105.84000000000002</v>
      </c>
      <c r="J34" s="44">
        <f>11.2*12</f>
        <v>134.39999999999998</v>
      </c>
      <c r="K34" s="44"/>
      <c r="L34" s="44"/>
      <c r="M34" s="44"/>
      <c r="N34" s="44"/>
      <c r="O34" s="59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x14ac:dyDescent="0.25">
      <c r="A35" s="75"/>
      <c r="B35" s="47">
        <f>4.9*4</f>
        <v>19.600000000000001</v>
      </c>
      <c r="C35" s="26">
        <f>5.9*4.1</f>
        <v>24.189999999999998</v>
      </c>
      <c r="D35" s="26"/>
      <c r="E35" s="26">
        <f>7.1*5.1</f>
        <v>36.209999999999994</v>
      </c>
      <c r="F35" s="26">
        <f>9.7*6.2</f>
        <v>60.14</v>
      </c>
      <c r="G35" s="26">
        <f>10.5*7.1</f>
        <v>74.55</v>
      </c>
      <c r="H35" s="36">
        <f>11.1*7.5</f>
        <v>83.25</v>
      </c>
      <c r="I35" s="36">
        <f>12.2*7.5</f>
        <v>91.5</v>
      </c>
      <c r="J35" s="26">
        <f>12.9*8.6</f>
        <v>110.94</v>
      </c>
      <c r="K35" s="26">
        <f>9*13.9</f>
        <v>125.10000000000001</v>
      </c>
      <c r="L35" s="26"/>
      <c r="M35" s="26"/>
      <c r="N35" s="26"/>
      <c r="O35" s="48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x14ac:dyDescent="0.25">
      <c r="A36" s="75"/>
      <c r="B36" s="47">
        <f>6.9*4.4</f>
        <v>30.360000000000003</v>
      </c>
      <c r="C36" s="26">
        <f>4.8*8.2</f>
        <v>39.359999999999992</v>
      </c>
      <c r="D36" s="26"/>
      <c r="E36" s="26">
        <f>8.7*4.1</f>
        <v>35.669999999999995</v>
      </c>
      <c r="F36" s="26">
        <f>5.6*10.1</f>
        <v>56.559999999999995</v>
      </c>
      <c r="G36" s="26">
        <f>10.8*6</f>
        <v>64.800000000000011</v>
      </c>
      <c r="H36" s="36">
        <f>6.8*11.5</f>
        <v>78.2</v>
      </c>
      <c r="I36" s="36">
        <f>12.2*7.4</f>
        <v>90.28</v>
      </c>
      <c r="J36" s="26">
        <f>8*13.3</f>
        <v>106.4</v>
      </c>
      <c r="K36" s="26">
        <f>8.6*14.1</f>
        <v>121.25999999999999</v>
      </c>
      <c r="L36" s="26">
        <f>9.7*14.8</f>
        <v>143.56</v>
      </c>
      <c r="M36" s="26"/>
      <c r="N36" s="26"/>
      <c r="O36" s="48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x14ac:dyDescent="0.25">
      <c r="A37" s="75"/>
      <c r="B37" s="47">
        <f>6.8*4</f>
        <v>27.2</v>
      </c>
      <c r="C37" s="26">
        <f>4.8*8.1</f>
        <v>38.879999999999995</v>
      </c>
      <c r="D37" s="26"/>
      <c r="E37" s="26">
        <f>9.8*6.6</f>
        <v>64.680000000000007</v>
      </c>
      <c r="F37" s="26">
        <f>11.2*7.9</f>
        <v>88.48</v>
      </c>
      <c r="G37" s="26">
        <f>7.9*13</f>
        <v>102.7</v>
      </c>
      <c r="H37" s="36">
        <f>8.7*13.8</f>
        <v>120.06</v>
      </c>
      <c r="I37" s="36">
        <f>14*8.7</f>
        <v>121.79999999999998</v>
      </c>
      <c r="J37" s="26">
        <f>15.2*9.4</f>
        <v>142.88</v>
      </c>
      <c r="K37" s="26"/>
      <c r="L37" s="26"/>
      <c r="M37" s="26"/>
      <c r="N37" s="26"/>
      <c r="O37" s="48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x14ac:dyDescent="0.25">
      <c r="A38" s="75"/>
      <c r="B38" s="47">
        <f>7.1*3.9</f>
        <v>27.689999999999998</v>
      </c>
      <c r="C38" s="26">
        <f>4.8*6.7</f>
        <v>32.159999999999997</v>
      </c>
      <c r="D38" s="26"/>
      <c r="E38" s="26">
        <f>8.1*5.2</f>
        <v>42.12</v>
      </c>
      <c r="F38" s="26">
        <f>8.7*6.5</f>
        <v>56.55</v>
      </c>
      <c r="G38" s="26">
        <f>7*10.8</f>
        <v>75.600000000000009</v>
      </c>
      <c r="H38" s="36">
        <f>7.5*12</f>
        <v>90</v>
      </c>
      <c r="I38" s="36">
        <f>12.9*8.1</f>
        <v>104.49</v>
      </c>
      <c r="J38" s="26">
        <f>14.9*8.5</f>
        <v>126.65</v>
      </c>
      <c r="K38" s="26"/>
      <c r="L38" s="26"/>
      <c r="M38" s="26"/>
      <c r="N38" s="26"/>
      <c r="O38" s="48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 x14ac:dyDescent="0.25">
      <c r="A39" s="75"/>
      <c r="B39" s="47">
        <f>4.5*5.7</f>
        <v>25.650000000000002</v>
      </c>
      <c r="C39" s="26">
        <f>4.8*6.5</f>
        <v>31.2</v>
      </c>
      <c r="D39" s="26"/>
      <c r="E39" s="26">
        <f>7.1*6.4</f>
        <v>45.44</v>
      </c>
      <c r="F39" s="26">
        <f>5.4*7.1</f>
        <v>38.340000000000003</v>
      </c>
      <c r="G39" s="26">
        <f>5.9*7.1</f>
        <v>41.89</v>
      </c>
      <c r="H39" s="36">
        <f>6.2*8.5</f>
        <v>52.7</v>
      </c>
      <c r="I39" s="36">
        <f>6.7*8.6</f>
        <v>57.62</v>
      </c>
      <c r="J39" s="26">
        <f>6.6*7.8</f>
        <v>51.48</v>
      </c>
      <c r="K39" s="26">
        <f>7.2*8.4</f>
        <v>60.480000000000004</v>
      </c>
      <c r="L39" s="26">
        <f>7.8*9.7</f>
        <v>75.66</v>
      </c>
      <c r="M39" s="26">
        <f>9.5*8.5</f>
        <v>80.75</v>
      </c>
      <c r="N39" s="26">
        <f>11.2*9.4</f>
        <v>105.28</v>
      </c>
      <c r="O39" s="48">
        <f>10.4*13</f>
        <v>135.20000000000002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x14ac:dyDescent="0.25">
      <c r="A40" s="75"/>
      <c r="B40" s="47">
        <f>3.4*5.6</f>
        <v>19.04</v>
      </c>
      <c r="C40" s="26">
        <f>7.3*4.7</f>
        <v>34.31</v>
      </c>
      <c r="D40" s="26"/>
      <c r="E40" s="26">
        <f>8.1*5.4</f>
        <v>43.74</v>
      </c>
      <c r="F40" s="26">
        <f>6.4*9.5</f>
        <v>60.800000000000004</v>
      </c>
      <c r="G40" s="26">
        <f>6.6*10</f>
        <v>66</v>
      </c>
      <c r="H40" s="36">
        <f>11.1*4.5</f>
        <v>49.949999999999996</v>
      </c>
      <c r="I40" s="36">
        <f>7.7*12</f>
        <v>92.4</v>
      </c>
      <c r="J40" s="26">
        <f>12.8*9.2</f>
        <v>117.75999999999999</v>
      </c>
      <c r="K40" s="26">
        <f>14.1*9.3</f>
        <v>131.13</v>
      </c>
      <c r="L40" s="26"/>
      <c r="M40" s="26"/>
      <c r="N40" s="26"/>
      <c r="O40" s="48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 x14ac:dyDescent="0.25">
      <c r="A41" s="75"/>
      <c r="B41" s="49">
        <f>6*3.9</f>
        <v>23.4</v>
      </c>
      <c r="C41" s="50">
        <f>8.3*5</f>
        <v>41.5</v>
      </c>
      <c r="D41" s="50"/>
      <c r="E41" s="50">
        <f>9.5*5.2</f>
        <v>49.4</v>
      </c>
      <c r="F41" s="50">
        <f>7.6*11.5</f>
        <v>87.399999999999991</v>
      </c>
      <c r="G41" s="50">
        <f>7*12.5</f>
        <v>87.5</v>
      </c>
      <c r="H41" s="61">
        <f>13.3*8</f>
        <v>106.4</v>
      </c>
      <c r="I41" s="61">
        <f>8.3*14.4</f>
        <v>119.52000000000001</v>
      </c>
      <c r="J41" s="50">
        <f>15.8*9.2</f>
        <v>145.35999999999999</v>
      </c>
      <c r="K41" s="50"/>
      <c r="L41" s="50"/>
      <c r="M41" s="50"/>
      <c r="N41" s="50"/>
      <c r="O41" s="51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 x14ac:dyDescent="0.25">
      <c r="A42" s="75"/>
      <c r="B42" s="55">
        <f>AVERAGE(B34:B41)</f>
        <v>24.337499999999999</v>
      </c>
      <c r="C42" s="56">
        <f t="shared" ref="C42:J42" si="2">AVERAGE(C34:C41)</f>
        <v>34.032499999999999</v>
      </c>
      <c r="D42" s="56"/>
      <c r="E42" s="56">
        <f t="shared" si="2"/>
        <v>45.432499999999997</v>
      </c>
      <c r="F42" s="56">
        <f t="shared" si="2"/>
        <v>64.543750000000003</v>
      </c>
      <c r="G42" s="56">
        <f t="shared" si="2"/>
        <v>74.88</v>
      </c>
      <c r="H42" s="56">
        <f t="shared" si="2"/>
        <v>84.816249999999997</v>
      </c>
      <c r="I42" s="56">
        <f t="shared" si="2"/>
        <v>97.931249999999991</v>
      </c>
      <c r="J42" s="56">
        <f t="shared" si="2"/>
        <v>116.98375</v>
      </c>
      <c r="K42" s="57"/>
      <c r="L42" s="57"/>
      <c r="M42" s="57"/>
      <c r="N42" s="57"/>
      <c r="O42" s="62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 x14ac:dyDescent="0.25">
      <c r="A43" s="75" t="s">
        <v>118</v>
      </c>
      <c r="B43" s="43">
        <f>3.9*4.2</f>
        <v>16.38</v>
      </c>
      <c r="C43" s="44">
        <f>4.6*5</f>
        <v>23</v>
      </c>
      <c r="D43" s="44"/>
      <c r="E43" s="44">
        <f>5.8*6</f>
        <v>34.799999999999997</v>
      </c>
      <c r="F43" s="44">
        <f>6.9*7.5</f>
        <v>51.75</v>
      </c>
      <c r="G43" s="44">
        <f>7.5*8.1</f>
        <v>60.75</v>
      </c>
      <c r="H43" s="45">
        <f>8*8.7</f>
        <v>69.599999999999994</v>
      </c>
      <c r="I43" s="45">
        <f>9.2*10.2</f>
        <v>93.839999999999989</v>
      </c>
      <c r="J43" s="44">
        <f>10*10.1</f>
        <v>101</v>
      </c>
      <c r="K43" s="44">
        <f>10.6*10.4</f>
        <v>110.24</v>
      </c>
      <c r="L43" s="44">
        <f>11.6*12.7</f>
        <v>147.32</v>
      </c>
      <c r="M43" s="44"/>
      <c r="N43" s="44"/>
      <c r="O43" s="44"/>
      <c r="P43" s="44"/>
      <c r="Q43" s="44"/>
      <c r="R43" s="62"/>
      <c r="S43" s="25"/>
      <c r="T43" s="25"/>
      <c r="U43" s="25"/>
      <c r="V43" s="25"/>
      <c r="W43" s="25"/>
      <c r="X43" s="25"/>
      <c r="Y43" s="25"/>
      <c r="Z43" s="25"/>
      <c r="AA43" s="25"/>
    </row>
    <row r="44" spans="1:27" x14ac:dyDescent="0.25">
      <c r="A44" s="75"/>
      <c r="B44" s="47">
        <f>4.5*5.4</f>
        <v>24.3</v>
      </c>
      <c r="C44" s="26">
        <f>5.8*7.4</f>
        <v>42.92</v>
      </c>
      <c r="D44" s="26"/>
      <c r="E44" s="26">
        <f>8.1*7.3</f>
        <v>59.129999999999995</v>
      </c>
      <c r="F44" s="26">
        <f>8.5*10.7</f>
        <v>90.949999999999989</v>
      </c>
      <c r="G44" s="26">
        <f>8.9*11.7</f>
        <v>104.13</v>
      </c>
      <c r="H44" s="36">
        <f>9.1*13.1</f>
        <v>119.21</v>
      </c>
      <c r="I44" s="36">
        <f>9.7*13.5</f>
        <v>130.94999999999999</v>
      </c>
      <c r="J44" s="26">
        <f>9.5*13.5</f>
        <v>128.25</v>
      </c>
      <c r="K44" s="26"/>
      <c r="L44" s="26"/>
      <c r="M44" s="26"/>
      <c r="N44" s="26"/>
      <c r="O44" s="26"/>
      <c r="P44" s="26"/>
      <c r="Q44" s="26"/>
      <c r="R44" s="63"/>
      <c r="S44" s="25"/>
      <c r="T44" s="25"/>
      <c r="U44" s="25"/>
      <c r="V44" s="25"/>
      <c r="W44" s="25"/>
      <c r="X44" s="25"/>
      <c r="Y44" s="25"/>
      <c r="Z44" s="25"/>
      <c r="AA44" s="25"/>
    </row>
    <row r="45" spans="1:27" x14ac:dyDescent="0.25">
      <c r="A45" s="75"/>
      <c r="B45" s="47">
        <f>3.7*3.5</f>
        <v>12.950000000000001</v>
      </c>
      <c r="C45" s="26">
        <f>4.2*4.4</f>
        <v>18.480000000000004</v>
      </c>
      <c r="D45" s="26"/>
      <c r="E45" s="26">
        <f>5.6*4.9</f>
        <v>27.44</v>
      </c>
      <c r="F45" s="26">
        <f>5.5*6</f>
        <v>33</v>
      </c>
      <c r="G45" s="26">
        <f>7.4*6.8</f>
        <v>50.32</v>
      </c>
      <c r="H45" s="36">
        <f>6.9*7.7</f>
        <v>53.13</v>
      </c>
      <c r="I45" s="36">
        <f>8*8.5</f>
        <v>68</v>
      </c>
      <c r="J45" s="26">
        <f>8.5*10.4</f>
        <v>88.4</v>
      </c>
      <c r="K45" s="26">
        <f>9.5*9.7</f>
        <v>92.149999999999991</v>
      </c>
      <c r="L45" s="26">
        <f>10.3*10.7</f>
        <v>110.21</v>
      </c>
      <c r="M45" s="26">
        <f>9.5*10.6</f>
        <v>100.7</v>
      </c>
      <c r="N45" s="26">
        <f>10.3*9.6</f>
        <v>98.88000000000001</v>
      </c>
      <c r="O45" s="26">
        <f>10.2*9</f>
        <v>91.8</v>
      </c>
      <c r="P45" s="26">
        <f>11*10.6</f>
        <v>116.6</v>
      </c>
      <c r="Q45" s="26">
        <f>11.2*11.7</f>
        <v>131.04</v>
      </c>
      <c r="R45" s="63"/>
      <c r="S45" s="25"/>
      <c r="T45" s="25"/>
      <c r="U45" s="25"/>
      <c r="V45" s="25"/>
      <c r="W45" s="25"/>
      <c r="X45" s="25"/>
      <c r="Y45" s="25"/>
      <c r="Z45" s="25"/>
      <c r="AA45" s="25"/>
    </row>
    <row r="46" spans="1:27" x14ac:dyDescent="0.25">
      <c r="A46" s="75"/>
      <c r="B46" s="47">
        <f>3.2*3.5</f>
        <v>11.200000000000001</v>
      </c>
      <c r="C46" s="26">
        <f>4.4*4.6</f>
        <v>20.239999999999998</v>
      </c>
      <c r="D46" s="26"/>
      <c r="E46" s="26">
        <f>5.1*5.1</f>
        <v>26.009999999999998</v>
      </c>
      <c r="F46" s="26">
        <f>5.7*5.9</f>
        <v>33.630000000000003</v>
      </c>
      <c r="G46" s="26">
        <f>5.9*6.6</f>
        <v>38.94</v>
      </c>
      <c r="H46" s="36">
        <f>5.7*6.3</f>
        <v>35.909999999999997</v>
      </c>
      <c r="I46" s="36">
        <f>7.4*7.2</f>
        <v>53.28</v>
      </c>
      <c r="J46" s="26">
        <f>7.6*7.2</f>
        <v>54.72</v>
      </c>
      <c r="K46" s="26">
        <f>7.6*8.1</f>
        <v>61.559999999999995</v>
      </c>
      <c r="L46" s="26">
        <f>8.4*9</f>
        <v>75.600000000000009</v>
      </c>
      <c r="M46" s="26">
        <f>8.5*10</f>
        <v>85</v>
      </c>
      <c r="N46" s="26">
        <f>9.3*10.2</f>
        <v>94.86</v>
      </c>
      <c r="O46" s="26">
        <f>8.8*9.3</f>
        <v>81.840000000000018</v>
      </c>
      <c r="P46" s="26">
        <f>11.2*9.5</f>
        <v>106.39999999999999</v>
      </c>
      <c r="Q46" s="26">
        <f>10.2*9.5</f>
        <v>96.899999999999991</v>
      </c>
      <c r="R46" s="63">
        <f>11.4*11.6</f>
        <v>132.24</v>
      </c>
      <c r="S46" s="25"/>
      <c r="T46" s="25"/>
      <c r="U46" s="25"/>
      <c r="V46" s="25"/>
      <c r="W46" s="25"/>
      <c r="X46" s="25"/>
      <c r="Y46" s="25"/>
      <c r="Z46" s="25"/>
      <c r="AA46" s="25"/>
    </row>
    <row r="47" spans="1:27" x14ac:dyDescent="0.25">
      <c r="A47" s="75"/>
      <c r="B47" s="47">
        <f>3.8*4.3</f>
        <v>16.34</v>
      </c>
      <c r="C47" s="26">
        <f>3.7*4.9</f>
        <v>18.130000000000003</v>
      </c>
      <c r="D47" s="26"/>
      <c r="E47" s="26">
        <f>5.4*4.6</f>
        <v>24.84</v>
      </c>
      <c r="F47" s="26">
        <f>6.2*5.1</f>
        <v>31.619999999999997</v>
      </c>
      <c r="G47" s="26">
        <f>6.3*5.9</f>
        <v>37.17</v>
      </c>
      <c r="H47" s="36">
        <f>7.4*7</f>
        <v>51.800000000000004</v>
      </c>
      <c r="I47" s="36">
        <f>7.8*6.5</f>
        <v>50.699999999999996</v>
      </c>
      <c r="J47" s="26">
        <f>8.3*7.4</f>
        <v>61.420000000000009</v>
      </c>
      <c r="K47" s="26">
        <f>8.6*7</f>
        <v>60.199999999999996</v>
      </c>
      <c r="L47" s="26">
        <f>9.2*7.8</f>
        <v>71.759999999999991</v>
      </c>
      <c r="M47" s="26">
        <f>9.7*8.9</f>
        <v>86.33</v>
      </c>
      <c r="N47" s="26">
        <f>10.3*9.3</f>
        <v>95.79000000000002</v>
      </c>
      <c r="O47" s="26">
        <f>10.9*10.1</f>
        <v>110.09</v>
      </c>
      <c r="P47" s="26">
        <f>11.6*10.8</f>
        <v>125.28</v>
      </c>
      <c r="Q47" s="26"/>
      <c r="R47" s="63"/>
      <c r="S47" s="25"/>
      <c r="T47" s="25"/>
      <c r="U47" s="25"/>
      <c r="V47" s="25"/>
      <c r="W47" s="25"/>
      <c r="X47" s="25"/>
      <c r="Y47" s="25"/>
      <c r="Z47" s="25"/>
      <c r="AA47" s="25"/>
    </row>
    <row r="48" spans="1:27" x14ac:dyDescent="0.25">
      <c r="A48" s="75"/>
      <c r="B48" s="47">
        <f>4.2*3.2</f>
        <v>13.440000000000001</v>
      </c>
      <c r="C48" s="26">
        <f>5.7*3.8</f>
        <v>21.66</v>
      </c>
      <c r="D48" s="26"/>
      <c r="E48" s="26">
        <f>6.3*4.7</f>
        <v>29.61</v>
      </c>
      <c r="F48" s="26">
        <f>8*6.1</f>
        <v>48.8</v>
      </c>
      <c r="G48" s="26">
        <f>6.3*8.8</f>
        <v>55.440000000000005</v>
      </c>
      <c r="H48" s="36">
        <f>9.4*7.5</f>
        <v>70.5</v>
      </c>
      <c r="I48" s="36">
        <f>10.4*7.5</f>
        <v>78</v>
      </c>
      <c r="J48" s="26">
        <f>11.5*8.3</f>
        <v>95.45</v>
      </c>
      <c r="K48" s="26">
        <f>13*9.4</f>
        <v>122.2</v>
      </c>
      <c r="L48" s="26">
        <f>14.4*10.1</f>
        <v>145.44</v>
      </c>
      <c r="M48" s="26"/>
      <c r="N48" s="26"/>
      <c r="O48" s="26"/>
      <c r="P48" s="26"/>
      <c r="Q48" s="26"/>
      <c r="R48" s="63"/>
      <c r="S48" s="25"/>
      <c r="T48" s="25"/>
      <c r="U48" s="25"/>
      <c r="V48" s="25"/>
      <c r="W48" s="25"/>
      <c r="X48" s="25"/>
      <c r="Y48" s="25"/>
      <c r="Z48" s="25"/>
      <c r="AA48" s="25"/>
    </row>
    <row r="49" spans="1:27" x14ac:dyDescent="0.25">
      <c r="A49" s="75"/>
      <c r="B49" s="47">
        <f>3.2*3.6</f>
        <v>11.520000000000001</v>
      </c>
      <c r="C49" s="26">
        <f>4.2*3.9</f>
        <v>16.38</v>
      </c>
      <c r="D49" s="26"/>
      <c r="E49" s="26">
        <f>5.9*5.1</f>
        <v>30.09</v>
      </c>
      <c r="F49" s="26">
        <f>6*6.2</f>
        <v>37.200000000000003</v>
      </c>
      <c r="G49" s="26">
        <f>6.6*7.3</f>
        <v>48.18</v>
      </c>
      <c r="H49" s="36">
        <f>7.2*7.9</f>
        <v>56.88</v>
      </c>
      <c r="I49" s="36">
        <f>7.4*8.3</f>
        <v>61.420000000000009</v>
      </c>
      <c r="J49" s="26">
        <f>9.5*8.8</f>
        <v>83.600000000000009</v>
      </c>
      <c r="K49" s="26">
        <f>10*10</f>
        <v>100</v>
      </c>
      <c r="L49" s="26">
        <f>10.5*10.1</f>
        <v>106.05</v>
      </c>
      <c r="M49" s="26">
        <f>11.8*11.7</f>
        <v>138.06</v>
      </c>
      <c r="N49" s="26"/>
      <c r="O49" s="26"/>
      <c r="P49" s="26"/>
      <c r="Q49" s="26"/>
      <c r="R49" s="63"/>
      <c r="S49" s="25"/>
      <c r="T49" s="25"/>
      <c r="U49" s="25"/>
      <c r="V49" s="25"/>
      <c r="W49" s="25"/>
      <c r="X49" s="25"/>
      <c r="Y49" s="25"/>
      <c r="Z49" s="25"/>
      <c r="AA49" s="25"/>
    </row>
    <row r="50" spans="1:27" x14ac:dyDescent="0.25">
      <c r="A50" s="75"/>
      <c r="B50" s="47">
        <v>16.8</v>
      </c>
      <c r="C50" s="26">
        <v>16.8</v>
      </c>
      <c r="D50" s="26">
        <v>24.5</v>
      </c>
      <c r="E50" s="26">
        <v>25.299999999999997</v>
      </c>
      <c r="F50" s="26">
        <v>38.35</v>
      </c>
      <c r="G50" s="26">
        <v>39.42</v>
      </c>
      <c r="H50" s="26">
        <v>40.279999999999994</v>
      </c>
      <c r="I50" s="26">
        <v>59.8</v>
      </c>
      <c r="J50" s="26">
        <v>74.69</v>
      </c>
      <c r="K50" s="26">
        <v>80.559999999999988</v>
      </c>
      <c r="L50" s="26">
        <v>96.600000000000009</v>
      </c>
      <c r="M50" s="26">
        <v>106.64</v>
      </c>
      <c r="N50" s="26"/>
      <c r="O50" s="26"/>
      <c r="P50" s="26"/>
      <c r="Q50" s="26"/>
      <c r="R50" s="63"/>
      <c r="S50" s="25"/>
      <c r="T50" s="25"/>
      <c r="U50" s="25"/>
      <c r="V50" s="25"/>
      <c r="W50" s="25"/>
      <c r="X50" s="25"/>
      <c r="Y50" s="25"/>
      <c r="Z50" s="25"/>
      <c r="AA50" s="25"/>
    </row>
    <row r="51" spans="1:27" x14ac:dyDescent="0.25">
      <c r="A51" s="75"/>
      <c r="B51" s="47">
        <v>7.839999999999999</v>
      </c>
      <c r="C51" s="26">
        <v>11.9</v>
      </c>
      <c r="D51" s="26">
        <v>17.2</v>
      </c>
      <c r="E51" s="26">
        <v>21.599999999999998</v>
      </c>
      <c r="F51" s="26">
        <v>24.509999999999998</v>
      </c>
      <c r="G51" s="26">
        <v>33.15</v>
      </c>
      <c r="H51" s="26">
        <v>39.330000000000005</v>
      </c>
      <c r="I51" s="26">
        <v>38.76</v>
      </c>
      <c r="J51" s="26">
        <v>58.519999999999996</v>
      </c>
      <c r="K51" s="26">
        <v>54.72</v>
      </c>
      <c r="L51" s="26">
        <v>73.949999999999989</v>
      </c>
      <c r="M51" s="26">
        <v>76.540000000000006</v>
      </c>
      <c r="N51" s="26">
        <v>78.3</v>
      </c>
      <c r="O51" s="26">
        <v>106.08</v>
      </c>
      <c r="P51" s="26"/>
      <c r="Q51" s="26"/>
      <c r="R51" s="63"/>
      <c r="S51" s="25"/>
      <c r="T51" s="25"/>
      <c r="U51" s="25"/>
      <c r="V51" s="25"/>
      <c r="W51" s="25"/>
      <c r="X51" s="25"/>
      <c r="Y51" s="25"/>
      <c r="Z51" s="25"/>
      <c r="AA51" s="25"/>
    </row>
    <row r="52" spans="1:27" x14ac:dyDescent="0.25">
      <c r="A52" s="75"/>
      <c r="B52" s="47">
        <v>14.819999999999999</v>
      </c>
      <c r="C52" s="26">
        <v>16.8</v>
      </c>
      <c r="D52" s="26">
        <v>24.5</v>
      </c>
      <c r="E52" s="26">
        <v>23.03</v>
      </c>
      <c r="F52" s="26">
        <v>29.15</v>
      </c>
      <c r="G52" s="26">
        <v>30.599999999999998</v>
      </c>
      <c r="H52" s="26">
        <v>36.299999999999997</v>
      </c>
      <c r="I52" s="26">
        <v>42.480000000000004</v>
      </c>
      <c r="J52" s="26">
        <v>42.25</v>
      </c>
      <c r="K52" s="26">
        <v>60.06</v>
      </c>
      <c r="L52" s="26">
        <v>68.64</v>
      </c>
      <c r="M52" s="26">
        <v>84.389999999999986</v>
      </c>
      <c r="N52" s="26">
        <v>90.78</v>
      </c>
      <c r="O52" s="26">
        <v>117.42000000000002</v>
      </c>
      <c r="P52" s="26"/>
      <c r="Q52" s="26"/>
      <c r="R52" s="63"/>
      <c r="S52" s="25"/>
      <c r="T52" s="25"/>
      <c r="U52" s="25"/>
      <c r="V52" s="25"/>
      <c r="W52" s="25"/>
      <c r="X52" s="25"/>
      <c r="Y52" s="25"/>
      <c r="Z52" s="25"/>
      <c r="AA52" s="25"/>
    </row>
    <row r="53" spans="1:27" x14ac:dyDescent="0.25">
      <c r="A53" s="75"/>
      <c r="B53" s="47">
        <v>24.44</v>
      </c>
      <c r="C53" s="26">
        <v>25.2</v>
      </c>
      <c r="D53" s="26">
        <v>33.28</v>
      </c>
      <c r="E53" s="26">
        <v>38.35</v>
      </c>
      <c r="F53" s="26">
        <v>43.8</v>
      </c>
      <c r="G53" s="26">
        <v>47.12</v>
      </c>
      <c r="H53" s="26">
        <v>48.599999999999994</v>
      </c>
      <c r="I53" s="26">
        <v>67.16</v>
      </c>
      <c r="J53" s="26">
        <v>77</v>
      </c>
      <c r="K53" s="26">
        <v>83</v>
      </c>
      <c r="L53" s="26">
        <v>115.62</v>
      </c>
      <c r="M53" s="26"/>
      <c r="N53" s="26"/>
      <c r="O53" s="26"/>
      <c r="P53" s="26"/>
      <c r="Q53" s="26"/>
      <c r="R53" s="63"/>
      <c r="S53" s="25"/>
      <c r="T53" s="25"/>
      <c r="U53" s="25"/>
      <c r="V53" s="25"/>
      <c r="W53" s="25"/>
      <c r="X53" s="25"/>
      <c r="Y53" s="25"/>
      <c r="Z53" s="25"/>
      <c r="AA53" s="25"/>
    </row>
    <row r="54" spans="1:27" x14ac:dyDescent="0.25">
      <c r="A54" s="75"/>
      <c r="B54" s="49">
        <v>19.600000000000001</v>
      </c>
      <c r="C54" s="50">
        <v>30</v>
      </c>
      <c r="D54" s="50">
        <v>22.44</v>
      </c>
      <c r="E54" s="50">
        <v>24.84</v>
      </c>
      <c r="F54" s="50">
        <v>37.24</v>
      </c>
      <c r="G54" s="50">
        <v>35.64</v>
      </c>
      <c r="H54" s="50">
        <v>37.629999999999995</v>
      </c>
      <c r="I54" s="50">
        <v>57</v>
      </c>
      <c r="J54" s="50">
        <v>62.720000000000006</v>
      </c>
      <c r="K54" s="50">
        <v>77</v>
      </c>
      <c r="L54" s="50">
        <v>107.00999999999999</v>
      </c>
      <c r="M54" s="50"/>
      <c r="N54" s="50"/>
      <c r="O54" s="50"/>
      <c r="P54" s="50"/>
      <c r="Q54" s="50"/>
      <c r="R54" s="64"/>
      <c r="S54" s="25"/>
      <c r="T54" s="25"/>
      <c r="U54" s="25"/>
      <c r="V54" s="25"/>
      <c r="W54" s="25"/>
      <c r="X54" s="25"/>
      <c r="Y54" s="25"/>
      <c r="Z54" s="25"/>
      <c r="AA54" s="25"/>
    </row>
    <row r="55" spans="1:27" x14ac:dyDescent="0.25">
      <c r="A55" s="75"/>
      <c r="B55" s="55">
        <f t="shared" ref="B55:J55" si="3">AVERAGE(B43:B47, B48:B54)</f>
        <v>15.802499999999997</v>
      </c>
      <c r="C55" s="56">
        <f t="shared" si="3"/>
        <v>21.7925</v>
      </c>
      <c r="D55" s="56">
        <f t="shared" si="3"/>
        <v>24.384</v>
      </c>
      <c r="E55" s="56">
        <f t="shared" si="3"/>
        <v>30.42</v>
      </c>
      <c r="F55" s="56">
        <f t="shared" si="3"/>
        <v>41.666666666666664</v>
      </c>
      <c r="G55" s="56">
        <f t="shared" si="3"/>
        <v>48.405000000000001</v>
      </c>
      <c r="H55" s="56">
        <f t="shared" si="3"/>
        <v>54.930833333333332</v>
      </c>
      <c r="I55" s="56">
        <f t="shared" si="3"/>
        <v>66.782499999999985</v>
      </c>
      <c r="J55" s="56">
        <f t="shared" si="3"/>
        <v>77.334999999999994</v>
      </c>
      <c r="K55" s="57"/>
      <c r="L55" s="57"/>
      <c r="M55" s="57"/>
      <c r="N55" s="57"/>
      <c r="O55" s="57"/>
      <c r="P55" s="57"/>
      <c r="Q55" s="57"/>
      <c r="R55" s="62"/>
      <c r="S55" s="25"/>
      <c r="T55" s="25"/>
      <c r="U55" s="25"/>
      <c r="V55" s="25"/>
      <c r="W55" s="25"/>
      <c r="X55" s="25"/>
      <c r="Y55" s="25"/>
      <c r="Z55" s="25"/>
      <c r="AA55" s="25"/>
    </row>
    <row r="56" spans="1:27" x14ac:dyDescent="0.25">
      <c r="A56" s="75" t="s">
        <v>100</v>
      </c>
      <c r="B56" s="43">
        <f>3.4*3.2</f>
        <v>10.88</v>
      </c>
      <c r="C56" s="44">
        <f>3.9*4</f>
        <v>15.6</v>
      </c>
      <c r="D56" s="44"/>
      <c r="E56" s="44">
        <f>6*4.9</f>
        <v>29.400000000000002</v>
      </c>
      <c r="F56" s="44">
        <f>4.8*5</f>
        <v>24</v>
      </c>
      <c r="G56" s="44">
        <f>4.9*5.5</f>
        <v>26.950000000000003</v>
      </c>
      <c r="H56" s="45">
        <f>4.3*5.1</f>
        <v>21.929999999999996</v>
      </c>
      <c r="I56" s="45">
        <f>5.3*5.9</f>
        <v>31.27</v>
      </c>
      <c r="J56" s="44">
        <f>6.8*6.6</f>
        <v>44.879999999999995</v>
      </c>
      <c r="K56" s="44">
        <f>6.8*7.6</f>
        <v>51.68</v>
      </c>
      <c r="L56" s="44">
        <f>6.6*7.1</f>
        <v>46.859999999999992</v>
      </c>
      <c r="M56" s="44">
        <f>5.2*5.8</f>
        <v>30.16</v>
      </c>
      <c r="N56" s="44">
        <f>6*6.3</f>
        <v>37.799999999999997</v>
      </c>
      <c r="O56" s="44">
        <f>6.2*6.6</f>
        <v>40.92</v>
      </c>
      <c r="P56" s="44">
        <f>7.2*7.4</f>
        <v>53.28</v>
      </c>
      <c r="Q56" s="44">
        <f>7.7*8.1</f>
        <v>62.37</v>
      </c>
      <c r="R56" s="44">
        <f>7.6*8</f>
        <v>60.8</v>
      </c>
      <c r="S56" s="44">
        <f>9.4*10</f>
        <v>94</v>
      </c>
      <c r="T56" s="44">
        <f>9.9*10.2</f>
        <v>100.97999999999999</v>
      </c>
      <c r="U56" s="44">
        <f>10.9*10.8</f>
        <v>117.72000000000001</v>
      </c>
      <c r="V56" s="44">
        <f>10.6*12</f>
        <v>127.19999999999999</v>
      </c>
      <c r="W56" s="44"/>
      <c r="X56" s="44"/>
      <c r="Y56" s="44"/>
      <c r="Z56" s="44"/>
      <c r="AA56" s="62"/>
    </row>
    <row r="57" spans="1:27" x14ac:dyDescent="0.25">
      <c r="A57" s="75"/>
      <c r="B57" s="47">
        <f>4*3.4</f>
        <v>13.6</v>
      </c>
      <c r="C57" s="26">
        <f>3.7*4.5</f>
        <v>16.650000000000002</v>
      </c>
      <c r="D57" s="26"/>
      <c r="E57" s="26">
        <f>3.5*4.5</f>
        <v>15.75</v>
      </c>
      <c r="F57" s="26">
        <f>3.4*4.1</f>
        <v>13.939999999999998</v>
      </c>
      <c r="G57" s="26">
        <f>3.1*2.9</f>
        <v>8.99</v>
      </c>
      <c r="H57" s="36">
        <f>2.8*2.9</f>
        <v>8.1199999999999992</v>
      </c>
      <c r="I57" s="36">
        <f>3*2.8</f>
        <v>8.3999999999999986</v>
      </c>
      <c r="J57" s="26">
        <f>3.9*3.2</f>
        <v>12.48</v>
      </c>
      <c r="K57" s="26">
        <f>3*3</f>
        <v>9</v>
      </c>
      <c r="L57" s="26">
        <f>2.7*3.4</f>
        <v>9.18</v>
      </c>
      <c r="M57" s="26">
        <f>3.6*3.3</f>
        <v>11.879999999999999</v>
      </c>
      <c r="N57" s="26">
        <f>3.5*3.5</f>
        <v>12.25</v>
      </c>
      <c r="O57" s="26">
        <f>3.9*4.2</f>
        <v>16.38</v>
      </c>
      <c r="P57" s="26">
        <f>4.3*4</f>
        <v>17.2</v>
      </c>
      <c r="Q57" s="26">
        <f>4.1*4.4</f>
        <v>18.04</v>
      </c>
      <c r="R57" s="26">
        <f>4.4*4</f>
        <v>17.600000000000001</v>
      </c>
      <c r="S57" s="26">
        <f>5.9*5.2</f>
        <v>30.680000000000003</v>
      </c>
      <c r="T57" s="26">
        <f>6.6*5.6</f>
        <v>36.959999999999994</v>
      </c>
      <c r="U57" s="26">
        <f>7.1*5.8</f>
        <v>41.18</v>
      </c>
      <c r="V57" s="26">
        <f>7.9*6.5</f>
        <v>51.35</v>
      </c>
      <c r="W57" s="26">
        <f>8.8*6.7</f>
        <v>58.960000000000008</v>
      </c>
      <c r="X57" s="26">
        <f>9.9*7.5</f>
        <v>74.25</v>
      </c>
      <c r="Y57" s="26">
        <f>10.4*8.2</f>
        <v>85.28</v>
      </c>
      <c r="Z57" s="26">
        <f>12.3*9.1</f>
        <v>111.93</v>
      </c>
      <c r="AA57" s="63">
        <f>12.9*9.6</f>
        <v>123.84</v>
      </c>
    </row>
    <row r="58" spans="1:27" x14ac:dyDescent="0.25">
      <c r="A58" s="75"/>
      <c r="B58" s="47">
        <f>4.7*2.7</f>
        <v>12.690000000000001</v>
      </c>
      <c r="C58" s="26">
        <f>4.6*3.4</f>
        <v>15.639999999999999</v>
      </c>
      <c r="D58" s="26"/>
      <c r="E58" s="26">
        <f>3.4*3.8</f>
        <v>12.92</v>
      </c>
      <c r="F58" s="26">
        <f>4.4*3.3</f>
        <v>14.52</v>
      </c>
      <c r="G58" s="26">
        <f>4.8*3.3</f>
        <v>15.839999999999998</v>
      </c>
      <c r="H58" s="36">
        <f>4.8*3.6</f>
        <v>17.28</v>
      </c>
      <c r="I58" s="36">
        <f>5.4*3.8</f>
        <v>20.52</v>
      </c>
      <c r="J58" s="26">
        <f>6.4*4.4</f>
        <v>28.160000000000004</v>
      </c>
      <c r="K58" s="26">
        <f>7.1*4.4</f>
        <v>31.240000000000002</v>
      </c>
      <c r="L58" s="26">
        <f>7.7*4.7</f>
        <v>36.190000000000005</v>
      </c>
      <c r="M58" s="26">
        <f>8*4.8</f>
        <v>38.4</v>
      </c>
      <c r="N58" s="26">
        <f>9.6*5.9</f>
        <v>56.64</v>
      </c>
      <c r="O58" s="26">
        <f>10.2*5.7</f>
        <v>58.14</v>
      </c>
      <c r="P58" s="26">
        <f>11.2*6.9</f>
        <v>77.28</v>
      </c>
      <c r="Q58" s="26">
        <f>12.4*7.5</f>
        <v>93</v>
      </c>
      <c r="R58" s="26">
        <f>13.1*7.9</f>
        <v>103.49</v>
      </c>
      <c r="S58" s="26">
        <f>15.5*10.7</f>
        <v>165.85</v>
      </c>
      <c r="T58" s="26"/>
      <c r="U58" s="26"/>
      <c r="V58" s="26"/>
      <c r="W58" s="26"/>
      <c r="X58" s="26"/>
      <c r="Y58" s="26"/>
      <c r="Z58" s="26"/>
      <c r="AA58" s="63"/>
    </row>
    <row r="59" spans="1:27" x14ac:dyDescent="0.25">
      <c r="A59" s="75"/>
      <c r="B59" s="47">
        <f>5.4*4.3</f>
        <v>23.22</v>
      </c>
      <c r="C59" s="26">
        <f>5.7*7.3</f>
        <v>41.61</v>
      </c>
      <c r="D59" s="26"/>
      <c r="E59" s="26">
        <f>8.1*5.9</f>
        <v>47.79</v>
      </c>
      <c r="F59" s="26">
        <f>7.7*8.5</f>
        <v>65.45</v>
      </c>
      <c r="G59" s="26">
        <f>8.1*9.6</f>
        <v>77.759999999999991</v>
      </c>
      <c r="H59" s="36">
        <f>9.9*8.4</f>
        <v>83.160000000000011</v>
      </c>
      <c r="I59" s="36">
        <f>8.8*10.9</f>
        <v>95.920000000000016</v>
      </c>
      <c r="J59" s="26">
        <f>7.7*9.6</f>
        <v>73.92</v>
      </c>
      <c r="K59" s="26">
        <f>7.9*10.4</f>
        <v>82.160000000000011</v>
      </c>
      <c r="L59" s="26">
        <f>7.7*10</f>
        <v>77</v>
      </c>
      <c r="M59" s="26">
        <f>9.6*7.7</f>
        <v>73.92</v>
      </c>
      <c r="N59" s="26">
        <f>10.2*7.7</f>
        <v>78.539999999999992</v>
      </c>
      <c r="O59" s="26">
        <f>8.1*9.9</f>
        <v>80.19</v>
      </c>
      <c r="P59" s="26">
        <f>9.5*7.9</f>
        <v>75.05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63"/>
    </row>
    <row r="60" spans="1:27" x14ac:dyDescent="0.25">
      <c r="A60" s="75"/>
      <c r="B60" s="47">
        <f>4.9*3.3</f>
        <v>16.170000000000002</v>
      </c>
      <c r="C60" s="26">
        <f>4.3*5.8</f>
        <v>24.939999999999998</v>
      </c>
      <c r="D60" s="26"/>
      <c r="E60" s="26">
        <f>5.6*4.7</f>
        <v>26.32</v>
      </c>
      <c r="F60" s="26">
        <f>4.5*6</f>
        <v>27</v>
      </c>
      <c r="G60" s="26">
        <f>4.7*5.8</f>
        <v>27.26</v>
      </c>
      <c r="H60" s="36">
        <f>3.7*5</f>
        <v>18.5</v>
      </c>
      <c r="I60" s="36">
        <f>4*5.4</f>
        <v>21.6</v>
      </c>
      <c r="J60" s="26">
        <f>4*5</f>
        <v>20</v>
      </c>
      <c r="K60" s="26">
        <f>3.3*4</f>
        <v>13.2</v>
      </c>
      <c r="L60" s="26">
        <f>3.9*4.8</f>
        <v>18.72</v>
      </c>
      <c r="M60" s="26">
        <f>3.6*4.2</f>
        <v>15.120000000000001</v>
      </c>
      <c r="N60" s="26">
        <f>3.6*4.8</f>
        <v>17.28</v>
      </c>
      <c r="O60" s="26">
        <f>4.3*3.5</f>
        <v>15.049999999999999</v>
      </c>
      <c r="P60" s="26">
        <f>3.1*4</f>
        <v>12.4</v>
      </c>
      <c r="Q60" s="26">
        <f>3.4*3.9</f>
        <v>13.26</v>
      </c>
      <c r="R60" s="26">
        <f>3.6*3.3</f>
        <v>11.879999999999999</v>
      </c>
      <c r="S60" s="26">
        <f>3.5*4.2</f>
        <v>14.700000000000001</v>
      </c>
      <c r="T60" s="26">
        <f>3.5*3.6</f>
        <v>12.6</v>
      </c>
      <c r="U60" s="26">
        <f>3.7*4.2</f>
        <v>15.540000000000001</v>
      </c>
      <c r="V60" s="26">
        <f>3.7*4</f>
        <v>14.8</v>
      </c>
      <c r="W60" s="26">
        <f>3.5*4.4</f>
        <v>15.400000000000002</v>
      </c>
      <c r="X60" s="26">
        <f>3.9*4.6</f>
        <v>17.939999999999998</v>
      </c>
      <c r="Y60" s="26">
        <f>4.3*4.9</f>
        <v>21.07</v>
      </c>
      <c r="Z60" s="26">
        <f>4.2*4.8</f>
        <v>20.16</v>
      </c>
      <c r="AA60" s="63">
        <f>4.1*5.4</f>
        <v>22.14</v>
      </c>
    </row>
    <row r="61" spans="1:27" x14ac:dyDescent="0.25">
      <c r="A61" s="75"/>
      <c r="B61" s="47">
        <f>5*3.4</f>
        <v>17</v>
      </c>
      <c r="C61" s="26">
        <f>5.7*3.8</f>
        <v>21.66</v>
      </c>
      <c r="D61" s="26"/>
      <c r="E61" s="26">
        <f>6.4*4.5</f>
        <v>28.8</v>
      </c>
      <c r="F61" s="26">
        <f>5.4*6.8</f>
        <v>36.72</v>
      </c>
      <c r="G61" s="26">
        <f>5.9*6.5</f>
        <v>38.35</v>
      </c>
      <c r="H61" s="36">
        <f>5.8*7.6</f>
        <v>44.08</v>
      </c>
      <c r="I61" s="36">
        <f>6.1*8</f>
        <v>48.8</v>
      </c>
      <c r="J61" s="26">
        <f>6.9*9.6</f>
        <v>66.239999999999995</v>
      </c>
      <c r="K61" s="26">
        <f>7*9.9</f>
        <v>69.3</v>
      </c>
      <c r="L61" s="26">
        <f>8.1*10.1</f>
        <v>81.809999999999988</v>
      </c>
      <c r="M61" s="26">
        <f>8.1*11.1</f>
        <v>89.91</v>
      </c>
      <c r="N61" s="26">
        <f>9.3*12.4</f>
        <v>115.32000000000001</v>
      </c>
      <c r="O61" s="26">
        <f>9.9*11.9</f>
        <v>117.81</v>
      </c>
      <c r="P61" s="26">
        <f>9.3*13</f>
        <v>120.9</v>
      </c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63"/>
    </row>
    <row r="62" spans="1:27" x14ac:dyDescent="0.25">
      <c r="A62" s="75"/>
      <c r="B62" s="47">
        <f>3.2*3.2</f>
        <v>10.240000000000002</v>
      </c>
      <c r="C62" s="26">
        <f>3.6*3.6</f>
        <v>12.96</v>
      </c>
      <c r="D62" s="26"/>
      <c r="E62" s="26">
        <f>4*3.4</f>
        <v>13.6</v>
      </c>
      <c r="F62" s="26">
        <f>3.5*3.7</f>
        <v>12.950000000000001</v>
      </c>
      <c r="G62" s="26">
        <f>3.6*3.6</f>
        <v>12.96</v>
      </c>
      <c r="H62" s="36">
        <f>3.4*3.9</f>
        <v>13.26</v>
      </c>
      <c r="I62" s="36">
        <f>3.9*3.9</f>
        <v>15.209999999999999</v>
      </c>
      <c r="J62" s="26">
        <f>3.9*4.5</f>
        <v>17.55</v>
      </c>
      <c r="K62" s="26">
        <f>4.8*4.4</f>
        <v>21.12</v>
      </c>
      <c r="L62" s="26">
        <f>4.7*5.2</f>
        <v>24.44</v>
      </c>
      <c r="M62" s="26">
        <f>4.6*5.8</f>
        <v>26.679999999999996</v>
      </c>
      <c r="N62" s="26">
        <f>6*5.9</f>
        <v>35.400000000000006</v>
      </c>
      <c r="O62" s="26">
        <f>7.2*6.4</f>
        <v>46.080000000000005</v>
      </c>
      <c r="P62" s="26">
        <f>7.4*6.3</f>
        <v>46.62</v>
      </c>
      <c r="Q62" s="26">
        <f>6.5*8.5</f>
        <v>55.25</v>
      </c>
      <c r="R62" s="26">
        <f>8.7*7.6</f>
        <v>66.11999999999999</v>
      </c>
      <c r="S62" s="26">
        <f>8.4*9.7</f>
        <v>81.48</v>
      </c>
      <c r="T62" s="26">
        <f>10.2*10.1</f>
        <v>103.02</v>
      </c>
      <c r="U62" s="26">
        <f>10.5*11.1</f>
        <v>116.55</v>
      </c>
      <c r="V62" s="26">
        <f>10.8*11.1</f>
        <v>119.88000000000001</v>
      </c>
      <c r="W62" s="26"/>
      <c r="X62" s="26"/>
      <c r="Y62" s="26"/>
      <c r="Z62" s="26"/>
      <c r="AA62" s="63"/>
    </row>
    <row r="63" spans="1:27" x14ac:dyDescent="0.25">
      <c r="A63" s="75"/>
      <c r="B63" s="47">
        <f>3.2*3.7</f>
        <v>11.840000000000002</v>
      </c>
      <c r="C63" s="26">
        <f>3.6*4.4</f>
        <v>15.840000000000002</v>
      </c>
      <c r="D63" s="26"/>
      <c r="E63" s="26">
        <f>5.1*4.2</f>
        <v>21.419999999999998</v>
      </c>
      <c r="F63" s="26">
        <f>3.6*4.2</f>
        <v>15.120000000000001</v>
      </c>
      <c r="G63" s="26">
        <f>4.1*4.6</f>
        <v>18.859999999999996</v>
      </c>
      <c r="H63" s="36">
        <f>4*4.2</f>
        <v>16.8</v>
      </c>
      <c r="I63" s="36">
        <f>4*4.4</f>
        <v>17.600000000000001</v>
      </c>
      <c r="J63" s="26">
        <f>4.3*4.5</f>
        <v>19.349999999999998</v>
      </c>
      <c r="K63" s="26">
        <f>3.7*4.8</f>
        <v>17.760000000000002</v>
      </c>
      <c r="L63" s="26">
        <f>4.1*4.9</f>
        <v>20.09</v>
      </c>
      <c r="M63" s="26">
        <f>4.2*4.7</f>
        <v>19.740000000000002</v>
      </c>
      <c r="N63" s="26">
        <f>5.2*5.7</f>
        <v>29.64</v>
      </c>
      <c r="O63" s="26">
        <f>5.9*5.2</f>
        <v>30.680000000000003</v>
      </c>
      <c r="P63" s="26">
        <f>5.5*6</f>
        <v>33</v>
      </c>
      <c r="Q63" s="26">
        <f>5.8*6.5</f>
        <v>37.699999999999996</v>
      </c>
      <c r="R63" s="26">
        <f>6*7.2</f>
        <v>43.2</v>
      </c>
      <c r="S63" s="26">
        <f>6.9*8.5</f>
        <v>58.650000000000006</v>
      </c>
      <c r="T63" s="26">
        <f>7.4*8.8</f>
        <v>65.12</v>
      </c>
      <c r="U63" s="26">
        <f>6.9*9.7</f>
        <v>66.929999999999993</v>
      </c>
      <c r="V63" s="26">
        <f>7.4*10.5</f>
        <v>77.7</v>
      </c>
      <c r="W63" s="26">
        <f>10.4*10.9</f>
        <v>113.36000000000001</v>
      </c>
      <c r="X63" s="26">
        <f>8.8*12.6</f>
        <v>110.88000000000001</v>
      </c>
      <c r="Y63" s="26">
        <f>8.8*12.9</f>
        <v>113.52000000000001</v>
      </c>
      <c r="Z63" s="26"/>
      <c r="AA63" s="63"/>
    </row>
    <row r="64" spans="1:27" x14ac:dyDescent="0.25">
      <c r="A64" s="75"/>
      <c r="B64" s="47">
        <v>12.209999999999999</v>
      </c>
      <c r="C64" s="26">
        <v>18.399999999999999</v>
      </c>
      <c r="D64" s="26">
        <v>16.8</v>
      </c>
      <c r="E64" s="26">
        <v>19.8</v>
      </c>
      <c r="F64" s="26">
        <v>16</v>
      </c>
      <c r="G64" s="26">
        <v>14.8</v>
      </c>
      <c r="H64" s="26">
        <v>12.24</v>
      </c>
      <c r="I64" s="26">
        <v>15.959999999999999</v>
      </c>
      <c r="J64" s="26">
        <v>19.600000000000001</v>
      </c>
      <c r="K64" s="26">
        <v>15.6</v>
      </c>
      <c r="L64" s="26">
        <v>17.63</v>
      </c>
      <c r="M64" s="26">
        <v>25.970000000000002</v>
      </c>
      <c r="N64" s="26">
        <v>28.62</v>
      </c>
      <c r="O64" s="26">
        <v>31.27</v>
      </c>
      <c r="P64" s="26">
        <v>36.54</v>
      </c>
      <c r="Q64" s="26">
        <v>40.200000000000003</v>
      </c>
      <c r="R64" s="26">
        <v>51.48</v>
      </c>
      <c r="S64" s="26">
        <v>53.04</v>
      </c>
      <c r="T64" s="26">
        <v>68.64</v>
      </c>
      <c r="U64" s="26">
        <v>85</v>
      </c>
      <c r="V64" s="26">
        <v>98.1</v>
      </c>
      <c r="W64" s="26">
        <v>130.81</v>
      </c>
      <c r="X64" s="26"/>
      <c r="Y64" s="26"/>
      <c r="Z64" s="26"/>
      <c r="AA64" s="63"/>
    </row>
    <row r="65" spans="1:27" x14ac:dyDescent="0.25">
      <c r="A65" s="75"/>
      <c r="B65" s="47">
        <v>11.200000000000001</v>
      </c>
      <c r="C65" s="26">
        <v>18.059999999999999</v>
      </c>
      <c r="D65" s="26">
        <v>19.740000000000002</v>
      </c>
      <c r="E65" s="26">
        <v>16.28</v>
      </c>
      <c r="F65" s="26">
        <v>17.2</v>
      </c>
      <c r="G65" s="26">
        <v>16.34</v>
      </c>
      <c r="H65" s="26">
        <v>17.2</v>
      </c>
      <c r="I65" s="26">
        <v>23.849999999999998</v>
      </c>
      <c r="J65" s="26">
        <v>27.26</v>
      </c>
      <c r="K65" s="26">
        <v>19.779999999999998</v>
      </c>
      <c r="L65" s="26">
        <v>25.85</v>
      </c>
      <c r="M65" s="26">
        <v>32.479999999999997</v>
      </c>
      <c r="N65" s="26">
        <v>35.839999999999996</v>
      </c>
      <c r="O65" s="26">
        <v>33</v>
      </c>
      <c r="P65" s="26">
        <v>40.869999999999997</v>
      </c>
      <c r="Q65" s="26">
        <v>52.290000000000006</v>
      </c>
      <c r="R65" s="26">
        <v>67.67</v>
      </c>
      <c r="S65" s="26">
        <v>74.52</v>
      </c>
      <c r="T65" s="26">
        <v>95.76</v>
      </c>
      <c r="U65" s="26">
        <v>121.25</v>
      </c>
      <c r="V65" s="26"/>
      <c r="W65" s="26"/>
      <c r="X65" s="26"/>
      <c r="Y65" s="26"/>
      <c r="Z65" s="26"/>
      <c r="AA65" s="63"/>
    </row>
    <row r="66" spans="1:27" x14ac:dyDescent="0.25">
      <c r="A66" s="75"/>
      <c r="B66" s="47">
        <v>17.600000000000001</v>
      </c>
      <c r="C66" s="26">
        <v>22.56</v>
      </c>
      <c r="D66" s="26">
        <v>17.55</v>
      </c>
      <c r="E66" s="26">
        <v>12.25</v>
      </c>
      <c r="F66" s="26">
        <v>14.4</v>
      </c>
      <c r="G66" s="26">
        <v>9</v>
      </c>
      <c r="H66" s="26">
        <v>9</v>
      </c>
      <c r="I66" s="26">
        <v>4</v>
      </c>
      <c r="J66" s="26">
        <v>10.5</v>
      </c>
      <c r="K66" s="26">
        <v>10.8</v>
      </c>
      <c r="L66" s="26">
        <v>17.22</v>
      </c>
      <c r="M66" s="26">
        <v>21.150000000000002</v>
      </c>
      <c r="N66" s="26">
        <v>23.03</v>
      </c>
      <c r="O66" s="26">
        <v>23.5</v>
      </c>
      <c r="P66" s="26">
        <v>27.5</v>
      </c>
      <c r="Q66" s="26">
        <v>30.74</v>
      </c>
      <c r="R66" s="26">
        <v>33.630000000000003</v>
      </c>
      <c r="S66" s="26">
        <v>37.17</v>
      </c>
      <c r="T66" s="26">
        <v>48.91</v>
      </c>
      <c r="U66" s="26">
        <v>53.72</v>
      </c>
      <c r="V66" s="26">
        <v>58.32</v>
      </c>
      <c r="W66" s="26">
        <v>66.22</v>
      </c>
      <c r="X66" s="26">
        <v>77.400000000000006</v>
      </c>
      <c r="Y66" s="26">
        <v>105</v>
      </c>
      <c r="Z66" s="26"/>
      <c r="AA66" s="63"/>
    </row>
    <row r="67" spans="1:27" x14ac:dyDescent="0.25">
      <c r="A67" s="75"/>
      <c r="B67" s="49">
        <v>17.2</v>
      </c>
      <c r="C67" s="50">
        <v>24.38</v>
      </c>
      <c r="D67" s="50">
        <v>29.15</v>
      </c>
      <c r="E67" s="50">
        <v>19.779999999999998</v>
      </c>
      <c r="F67" s="50">
        <v>21.12</v>
      </c>
      <c r="G67" s="50">
        <v>24.99</v>
      </c>
      <c r="H67" s="50">
        <v>16.34</v>
      </c>
      <c r="I67" s="50">
        <v>19.32</v>
      </c>
      <c r="J67" s="50">
        <v>25.85</v>
      </c>
      <c r="K67" s="50">
        <v>28.6</v>
      </c>
      <c r="L67" s="50">
        <v>35.909999999999997</v>
      </c>
      <c r="M67" s="50">
        <v>46.230000000000004</v>
      </c>
      <c r="N67" s="50">
        <v>53.199999999999996</v>
      </c>
      <c r="O67" s="50">
        <v>70.550000000000011</v>
      </c>
      <c r="P67" s="50">
        <v>73.099999999999994</v>
      </c>
      <c r="Q67" s="50">
        <v>86.47999999999999</v>
      </c>
      <c r="R67" s="50">
        <v>117.81</v>
      </c>
      <c r="S67" s="50"/>
      <c r="T67" s="50"/>
      <c r="U67" s="50"/>
      <c r="V67" s="50"/>
      <c r="W67" s="50"/>
      <c r="X67" s="50"/>
      <c r="Y67" s="50"/>
      <c r="Z67" s="50"/>
      <c r="AA67" s="64"/>
    </row>
    <row r="68" spans="1:27" x14ac:dyDescent="0.25">
      <c r="A68" s="75"/>
      <c r="B68" s="52">
        <f t="shared" ref="B68:P68" si="4">AVERAGE(B56:B67)</f>
        <v>14.487499999999999</v>
      </c>
      <c r="C68" s="53">
        <f t="shared" si="4"/>
        <v>20.691666666666666</v>
      </c>
      <c r="D68" s="53">
        <f t="shared" si="4"/>
        <v>20.810000000000002</v>
      </c>
      <c r="E68" s="53">
        <f t="shared" si="4"/>
        <v>22.009166666666669</v>
      </c>
      <c r="F68" s="53">
        <f t="shared" si="4"/>
        <v>23.201666666666664</v>
      </c>
      <c r="G68" s="53">
        <f t="shared" si="4"/>
        <v>24.341666666666665</v>
      </c>
      <c r="H68" s="53">
        <f t="shared" si="4"/>
        <v>23.159166666666664</v>
      </c>
      <c r="I68" s="53">
        <f t="shared" si="4"/>
        <v>26.870833333333334</v>
      </c>
      <c r="J68" s="53">
        <f t="shared" si="4"/>
        <v>30.482500000000005</v>
      </c>
      <c r="K68" s="53">
        <f t="shared" si="4"/>
        <v>30.853333333333335</v>
      </c>
      <c r="L68" s="53">
        <f t="shared" si="4"/>
        <v>34.241666666666667</v>
      </c>
      <c r="M68" s="53">
        <f t="shared" si="4"/>
        <v>35.970000000000006</v>
      </c>
      <c r="N68" s="53">
        <f t="shared" si="4"/>
        <v>43.63</v>
      </c>
      <c r="O68" s="53">
        <f t="shared" si="4"/>
        <v>46.964166666666664</v>
      </c>
      <c r="P68" s="53">
        <f t="shared" si="4"/>
        <v>51.145000000000003</v>
      </c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60"/>
    </row>
    <row r="69" spans="1:27" x14ac:dyDescent="0.25">
      <c r="A69" s="75" t="s">
        <v>101</v>
      </c>
      <c r="B69" s="43">
        <f>3*4.6</f>
        <v>13.799999999999999</v>
      </c>
      <c r="C69" s="44">
        <f>3.6*5.6</f>
        <v>20.16</v>
      </c>
      <c r="D69" s="44"/>
      <c r="E69" s="44">
        <f>3.8*5.2</f>
        <v>19.759999999999998</v>
      </c>
      <c r="F69" s="44">
        <f>4.1*5.4</f>
        <v>22.14</v>
      </c>
      <c r="G69" s="44">
        <f>4.4*5.9</f>
        <v>25.960000000000004</v>
      </c>
      <c r="H69" s="45">
        <f>4.8*7</f>
        <v>33.6</v>
      </c>
      <c r="I69" s="45">
        <f>4*7.2</f>
        <v>28.8</v>
      </c>
      <c r="J69" s="44">
        <f>8.2*4.9</f>
        <v>40.18</v>
      </c>
      <c r="K69" s="44">
        <f>8.6*4.9</f>
        <v>42.14</v>
      </c>
      <c r="L69" s="44">
        <f>9*5.2</f>
        <v>46.800000000000004</v>
      </c>
      <c r="M69" s="44">
        <f>9.5*5.4</f>
        <v>51.300000000000004</v>
      </c>
      <c r="N69" s="44">
        <f>10.5*6</f>
        <v>63</v>
      </c>
      <c r="O69" s="44">
        <f>11.2*6</f>
        <v>67.199999999999989</v>
      </c>
      <c r="P69" s="44">
        <f>12*6.7</f>
        <v>80.400000000000006</v>
      </c>
      <c r="Q69" s="44">
        <f>12.7*7.1</f>
        <v>90.169999999999987</v>
      </c>
      <c r="R69" s="44">
        <f>8.1*13.3</f>
        <v>107.73</v>
      </c>
      <c r="S69" s="44">
        <f>15.1*8.2</f>
        <v>123.82</v>
      </c>
      <c r="T69" s="44"/>
      <c r="U69" s="57"/>
      <c r="V69" s="57"/>
      <c r="W69" s="57"/>
      <c r="X69" s="57"/>
      <c r="Y69" s="57"/>
      <c r="Z69" s="57"/>
      <c r="AA69" s="62"/>
    </row>
    <row r="70" spans="1:27" x14ac:dyDescent="0.25">
      <c r="A70" s="75"/>
      <c r="B70" s="47">
        <f>3.4*3.2</f>
        <v>10.88</v>
      </c>
      <c r="C70" s="26">
        <f>4*3.2</f>
        <v>12.8</v>
      </c>
      <c r="D70" s="26"/>
      <c r="E70" s="26">
        <f>4.7*4.9</f>
        <v>23.03</v>
      </c>
      <c r="F70" s="26">
        <f>5.5*4.3</f>
        <v>23.65</v>
      </c>
      <c r="G70" s="26">
        <f>6.7*5.1</f>
        <v>34.17</v>
      </c>
      <c r="H70" s="36">
        <f>5.4*6.6</f>
        <v>35.64</v>
      </c>
      <c r="I70" s="36">
        <f>6.4*5.6</f>
        <v>35.839999999999996</v>
      </c>
      <c r="J70" s="26">
        <f>7.4*6.2</f>
        <v>45.88</v>
      </c>
      <c r="K70" s="26">
        <f>7.9*6.5</f>
        <v>51.35</v>
      </c>
      <c r="L70" s="26">
        <f>8.3*7</f>
        <v>58.100000000000009</v>
      </c>
      <c r="M70" s="26">
        <f>8.9*7.1</f>
        <v>63.19</v>
      </c>
      <c r="N70" s="26">
        <f>10.1*8.1</f>
        <v>81.809999999999988</v>
      </c>
      <c r="O70" s="26">
        <f>10*8.4</f>
        <v>84</v>
      </c>
      <c r="P70" s="26">
        <f>10.9*10</f>
        <v>109</v>
      </c>
      <c r="Q70" s="26">
        <f>12*9.4</f>
        <v>112.80000000000001</v>
      </c>
      <c r="R70" s="26">
        <f>13*10</f>
        <v>130</v>
      </c>
      <c r="S70" s="26"/>
      <c r="T70" s="26"/>
      <c r="U70" s="25"/>
      <c r="V70" s="25"/>
      <c r="W70" s="25"/>
      <c r="X70" s="25"/>
      <c r="Y70" s="25"/>
      <c r="Z70" s="25"/>
      <c r="AA70" s="63"/>
    </row>
    <row r="71" spans="1:27" x14ac:dyDescent="0.25">
      <c r="A71" s="75"/>
      <c r="B71" s="47">
        <f>4.4*3.6</f>
        <v>15.840000000000002</v>
      </c>
      <c r="C71" s="26">
        <f>4*5.2</f>
        <v>20.8</v>
      </c>
      <c r="D71" s="26"/>
      <c r="E71" s="26">
        <f>5.4*4.4</f>
        <v>23.760000000000005</v>
      </c>
      <c r="F71" s="26">
        <f>6.3*5.3</f>
        <v>33.39</v>
      </c>
      <c r="G71" s="26">
        <f>5.7*6.4</f>
        <v>36.480000000000004</v>
      </c>
      <c r="H71" s="36">
        <f>5.6*6.6</f>
        <v>36.959999999999994</v>
      </c>
      <c r="I71" s="36">
        <f>5.8*6.5</f>
        <v>37.699999999999996</v>
      </c>
      <c r="J71" s="26">
        <f>7.2*7.2</f>
        <v>51.84</v>
      </c>
      <c r="K71" s="26">
        <f>7.3*6.6</f>
        <v>48.18</v>
      </c>
      <c r="L71" s="26">
        <f>7.2*6.6</f>
        <v>47.519999999999996</v>
      </c>
      <c r="M71" s="26">
        <f>7.5*7.1</f>
        <v>53.25</v>
      </c>
      <c r="N71" s="26">
        <f>9*8.2</f>
        <v>73.8</v>
      </c>
      <c r="O71" s="26">
        <f>10.1*8.2</f>
        <v>82.82</v>
      </c>
      <c r="P71" s="26">
        <f>12.1*9.2</f>
        <v>111.32</v>
      </c>
      <c r="Q71" s="26">
        <f>9*10.1</f>
        <v>90.899999999999991</v>
      </c>
      <c r="R71" s="26">
        <f>12*9.2</f>
        <v>110.39999999999999</v>
      </c>
      <c r="S71" s="26">
        <f>12.2*10.1</f>
        <v>123.21999999999998</v>
      </c>
      <c r="T71" s="26"/>
      <c r="U71" s="25"/>
      <c r="V71" s="25"/>
      <c r="W71" s="25"/>
      <c r="X71" s="25"/>
      <c r="Y71" s="25"/>
      <c r="Z71" s="25"/>
      <c r="AA71" s="63"/>
    </row>
    <row r="72" spans="1:27" x14ac:dyDescent="0.25">
      <c r="A72" s="75"/>
      <c r="B72" s="47">
        <f>3.8*4.5</f>
        <v>17.099999999999998</v>
      </c>
      <c r="C72" s="26">
        <f>4.7*4.9</f>
        <v>23.03</v>
      </c>
      <c r="D72" s="26"/>
      <c r="E72" s="26">
        <f>4.7*5.5</f>
        <v>25.85</v>
      </c>
      <c r="F72" s="26">
        <f>5.6*5.3</f>
        <v>29.679999999999996</v>
      </c>
      <c r="G72" s="26">
        <f>5.2*6</f>
        <v>31.200000000000003</v>
      </c>
      <c r="H72" s="36">
        <f>6.7*6.6</f>
        <v>44.22</v>
      </c>
      <c r="I72" s="36">
        <f>7.1*6.3</f>
        <v>44.73</v>
      </c>
      <c r="J72" s="26">
        <f>8.4*7.2</f>
        <v>60.480000000000004</v>
      </c>
      <c r="K72" s="26">
        <f>8.6*8.1</f>
        <v>69.66</v>
      </c>
      <c r="L72" s="26">
        <f>8.7*8.5</f>
        <v>73.949999999999989</v>
      </c>
      <c r="M72" s="26">
        <f>9.7*9.4</f>
        <v>91.179999999999993</v>
      </c>
      <c r="N72" s="26">
        <f>9.7*10.2</f>
        <v>98.939999999999984</v>
      </c>
      <c r="O72" s="26">
        <f>10.2*10.4</f>
        <v>106.08</v>
      </c>
      <c r="P72" s="26">
        <f>10.4*11.7</f>
        <v>121.67999999999999</v>
      </c>
      <c r="Q72" s="26"/>
      <c r="R72" s="26"/>
      <c r="S72" s="26"/>
      <c r="T72" s="26"/>
      <c r="U72" s="25"/>
      <c r="V72" s="25"/>
      <c r="W72" s="25"/>
      <c r="X72" s="25"/>
      <c r="Y72" s="25"/>
      <c r="Z72" s="25"/>
      <c r="AA72" s="63"/>
    </row>
    <row r="73" spans="1:27" x14ac:dyDescent="0.25">
      <c r="A73" s="75"/>
      <c r="B73" s="47">
        <f>4*3.1</f>
        <v>12.4</v>
      </c>
      <c r="C73" s="26">
        <f>4.1*5.3</f>
        <v>21.729999999999997</v>
      </c>
      <c r="D73" s="26"/>
      <c r="E73" s="26">
        <f>6.8*5.5</f>
        <v>37.4</v>
      </c>
      <c r="F73" s="26">
        <f>4.9*6.8</f>
        <v>33.32</v>
      </c>
      <c r="G73" s="26">
        <f>4.7*7.6</f>
        <v>35.72</v>
      </c>
      <c r="H73" s="36">
        <f>8.2*5.2</f>
        <v>42.64</v>
      </c>
      <c r="I73" s="36">
        <f>5.9*9</f>
        <v>53.1</v>
      </c>
      <c r="J73" s="26">
        <f>9.7*6.6</f>
        <v>64.02</v>
      </c>
      <c r="K73" s="26">
        <f>10.4*8.6</f>
        <v>89.44</v>
      </c>
      <c r="L73" s="26">
        <f>11.2*7.8</f>
        <v>87.36</v>
      </c>
      <c r="M73" s="26">
        <f>12.2*8</f>
        <v>97.6</v>
      </c>
      <c r="N73" s="26">
        <f>12.9*8.6</f>
        <v>110.94</v>
      </c>
      <c r="O73" s="26">
        <f>13.6*9.2</f>
        <v>125.11999999999999</v>
      </c>
      <c r="P73" s="26"/>
      <c r="Q73" s="26"/>
      <c r="R73" s="26"/>
      <c r="S73" s="26"/>
      <c r="T73" s="26"/>
      <c r="U73" s="25"/>
      <c r="V73" s="25"/>
      <c r="W73" s="25"/>
      <c r="X73" s="25"/>
      <c r="Y73" s="25"/>
      <c r="Z73" s="25"/>
      <c r="AA73" s="63"/>
    </row>
    <row r="74" spans="1:27" x14ac:dyDescent="0.25">
      <c r="A74" s="75"/>
      <c r="B74" s="47">
        <f>4.8*3.9</f>
        <v>18.72</v>
      </c>
      <c r="C74" s="26">
        <f>5.3*5.2</f>
        <v>27.56</v>
      </c>
      <c r="D74" s="26"/>
      <c r="E74" s="26">
        <f>6.6*6</f>
        <v>39.599999999999994</v>
      </c>
      <c r="F74" s="26">
        <f>5.9*6</f>
        <v>35.400000000000006</v>
      </c>
      <c r="G74" s="26">
        <f>6.3*6.9</f>
        <v>43.47</v>
      </c>
      <c r="H74" s="36">
        <f>7.2*8.1</f>
        <v>58.32</v>
      </c>
      <c r="I74" s="36">
        <f>8*9.4</f>
        <v>75.2</v>
      </c>
      <c r="J74" s="26">
        <f>11.3*8.8</f>
        <v>99.440000000000012</v>
      </c>
      <c r="K74" s="26">
        <f>13.4*9.7</f>
        <v>129.97999999999999</v>
      </c>
      <c r="L74" s="26"/>
      <c r="M74" s="26"/>
      <c r="N74" s="26"/>
      <c r="O74" s="26"/>
      <c r="P74" s="26"/>
      <c r="Q74" s="26"/>
      <c r="R74" s="26"/>
      <c r="S74" s="26"/>
      <c r="T74" s="26"/>
      <c r="U74" s="25"/>
      <c r="V74" s="25"/>
      <c r="W74" s="25"/>
      <c r="X74" s="25"/>
      <c r="Y74" s="25"/>
      <c r="Z74" s="25"/>
      <c r="AA74" s="63"/>
    </row>
    <row r="75" spans="1:27" x14ac:dyDescent="0.25">
      <c r="A75" s="75"/>
      <c r="B75" s="47">
        <f>3.7*2.8</f>
        <v>10.36</v>
      </c>
      <c r="C75" s="26">
        <f>3.9*4</f>
        <v>15.6</v>
      </c>
      <c r="D75" s="26"/>
      <c r="E75" s="26">
        <f>4.2*3.6</f>
        <v>15.120000000000001</v>
      </c>
      <c r="F75" s="26">
        <f>4*4.2</f>
        <v>16.8</v>
      </c>
      <c r="G75" s="26">
        <f>4.2*4.9</f>
        <v>20.580000000000002</v>
      </c>
      <c r="H75" s="36">
        <f>5.2*4.8</f>
        <v>24.96</v>
      </c>
      <c r="I75" s="36">
        <f>4.7*4.9</f>
        <v>23.03</v>
      </c>
      <c r="J75" s="26">
        <f>6.3*5.8</f>
        <v>36.54</v>
      </c>
      <c r="K75" s="26">
        <f>6.8*6</f>
        <v>40.799999999999997</v>
      </c>
      <c r="L75" s="26">
        <f>7.3*6.4</f>
        <v>46.72</v>
      </c>
      <c r="M75" s="26">
        <f>6.9*6.3</f>
        <v>43.47</v>
      </c>
      <c r="N75" s="26"/>
      <c r="O75" s="26">
        <f>7.9*7.6</f>
        <v>60.04</v>
      </c>
      <c r="P75" s="26">
        <f>9.7*8.5</f>
        <v>82.449999999999989</v>
      </c>
      <c r="Q75" s="26">
        <f>8.3*9.5</f>
        <v>78.850000000000009</v>
      </c>
      <c r="R75" s="26">
        <f>10.5*9.1</f>
        <v>95.55</v>
      </c>
      <c r="S75" s="26">
        <f>12.1*10.6</f>
        <v>128.26</v>
      </c>
      <c r="T75" s="26"/>
      <c r="U75" s="25"/>
      <c r="V75" s="25"/>
      <c r="W75" s="25"/>
      <c r="X75" s="25"/>
      <c r="Y75" s="25"/>
      <c r="Z75" s="25"/>
      <c r="AA75" s="63"/>
    </row>
    <row r="76" spans="1:27" x14ac:dyDescent="0.25">
      <c r="A76" s="75"/>
      <c r="B76" s="49">
        <f>3.3*3.6</f>
        <v>11.879999999999999</v>
      </c>
      <c r="C76" s="50">
        <f>4.8*4.5</f>
        <v>21.599999999999998</v>
      </c>
      <c r="D76" s="50"/>
      <c r="E76" s="50">
        <f>6.6*3.8</f>
        <v>25.08</v>
      </c>
      <c r="F76" s="50">
        <f>4.9*5.6</f>
        <v>27.44</v>
      </c>
      <c r="G76" s="50">
        <f>4.7*6.1</f>
        <v>28.669999999999998</v>
      </c>
      <c r="H76" s="61">
        <f>7.4*5.3</f>
        <v>39.22</v>
      </c>
      <c r="I76" s="61">
        <f>8*5.9</f>
        <v>47.2</v>
      </c>
      <c r="J76" s="50">
        <f>9.2*6.5</f>
        <v>59.8</v>
      </c>
      <c r="K76" s="50">
        <f>9.3*7.1</f>
        <v>66.03</v>
      </c>
      <c r="L76" s="50">
        <f>11*8.1</f>
        <v>89.1</v>
      </c>
      <c r="M76" s="50">
        <f>10.4*7.6</f>
        <v>79.039999999999992</v>
      </c>
      <c r="N76" s="50">
        <f>12.7*9.4</f>
        <v>119.38</v>
      </c>
      <c r="O76" s="50">
        <f>12.2*9.5</f>
        <v>115.89999999999999</v>
      </c>
      <c r="P76" s="50">
        <f>11.6*9.5</f>
        <v>110.2</v>
      </c>
      <c r="Q76" s="50">
        <f>11.6*8.9</f>
        <v>103.24</v>
      </c>
      <c r="R76" s="50">
        <f>13.8*10.1</f>
        <v>139.38</v>
      </c>
      <c r="S76" s="50"/>
      <c r="T76" s="50"/>
      <c r="U76" s="65"/>
      <c r="V76" s="65"/>
      <c r="W76" s="65"/>
      <c r="X76" s="65"/>
      <c r="Y76" s="65"/>
      <c r="Z76" s="65"/>
      <c r="AA76" s="64"/>
    </row>
    <row r="77" spans="1:27" x14ac:dyDescent="0.25">
      <c r="A77" s="75"/>
      <c r="B77" s="52">
        <f>AVERAGE(B69:B76)</f>
        <v>13.8725</v>
      </c>
      <c r="C77" s="53">
        <f t="shared" ref="C77:K77" si="5">AVERAGE(C69:C76)</f>
        <v>20.41</v>
      </c>
      <c r="D77" s="53"/>
      <c r="E77" s="53">
        <f t="shared" si="5"/>
        <v>26.200000000000003</v>
      </c>
      <c r="F77" s="53">
        <f t="shared" si="5"/>
        <v>27.727500000000003</v>
      </c>
      <c r="G77" s="53">
        <f t="shared" si="5"/>
        <v>32.031250000000007</v>
      </c>
      <c r="H77" s="53">
        <f t="shared" si="5"/>
        <v>39.444999999999993</v>
      </c>
      <c r="I77" s="53">
        <f t="shared" si="5"/>
        <v>43.199999999999996</v>
      </c>
      <c r="J77" s="53">
        <f t="shared" si="5"/>
        <v>57.272500000000001</v>
      </c>
      <c r="K77" s="53">
        <f t="shared" si="5"/>
        <v>67.197500000000005</v>
      </c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60"/>
    </row>
    <row r="78" spans="1:27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1:27" x14ac:dyDescent="0.25">
      <c r="A79" s="21" t="s">
        <v>224</v>
      </c>
      <c r="B79" s="21"/>
      <c r="C79" s="21" t="s">
        <v>122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spans="1:27" x14ac:dyDescent="0.25">
      <c r="A80" s="74" t="s">
        <v>121</v>
      </c>
      <c r="B80" s="74"/>
      <c r="C80" s="74"/>
      <c r="D80" s="74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 spans="1:27" x14ac:dyDescent="0.25">
      <c r="A81" s="74" t="s">
        <v>27</v>
      </c>
      <c r="B81" s="74"/>
      <c r="C81" s="74" t="s">
        <v>119</v>
      </c>
      <c r="D81" s="74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 spans="1:27" x14ac:dyDescent="0.25">
      <c r="A82" s="15" t="s">
        <v>120</v>
      </c>
      <c r="B82" s="15" t="s">
        <v>4</v>
      </c>
      <c r="C82" s="15" t="s">
        <v>120</v>
      </c>
      <c r="D82" s="15" t="s">
        <v>4</v>
      </c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 spans="1:27" s="20" customFormat="1" x14ac:dyDescent="0.25">
      <c r="A83" s="15">
        <v>46.834020000000002</v>
      </c>
      <c r="B83" s="23">
        <v>9.300217</v>
      </c>
      <c r="C83" s="23">
        <v>22.863109999999999</v>
      </c>
      <c r="D83" s="23">
        <v>305.74579999999997</v>
      </c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s="20" customFormat="1" x14ac:dyDescent="0.25">
      <c r="A84" s="15">
        <v>53.882210000000001</v>
      </c>
      <c r="B84" s="23">
        <v>46.300330000000002</v>
      </c>
      <c r="C84" s="23">
        <v>110.999</v>
      </c>
      <c r="D84" s="23">
        <v>116.5557</v>
      </c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1:27" x14ac:dyDescent="0.25">
      <c r="A85" s="23">
        <v>286.8623</v>
      </c>
      <c r="B85" s="23">
        <v>110.26430000000001</v>
      </c>
      <c r="C85" s="23">
        <v>92.358490000000003</v>
      </c>
      <c r="D85" s="23">
        <v>180.72290000000001</v>
      </c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spans="1:27" x14ac:dyDescent="0.25">
      <c r="A86" s="23">
        <v>47.877389999999998</v>
      </c>
      <c r="B86" s="23">
        <v>104.61839999999999</v>
      </c>
      <c r="C86" s="23">
        <v>165.8612</v>
      </c>
      <c r="D86" s="23">
        <v>589.50030000000004</v>
      </c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spans="1:27" x14ac:dyDescent="0.25">
      <c r="A87" s="23">
        <v>18.112850000000002</v>
      </c>
      <c r="B87" s="23">
        <v>69.366330000000005</v>
      </c>
      <c r="C87" s="23">
        <v>139.17599999999999</v>
      </c>
      <c r="D87" s="23">
        <v>303.05610000000001</v>
      </c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spans="1:27" x14ac:dyDescent="0.25">
      <c r="A88" s="23">
        <v>168.8623</v>
      </c>
      <c r="B88" s="23">
        <v>334.79899999999998</v>
      </c>
      <c r="C88" s="23">
        <v>61.886789999999998</v>
      </c>
      <c r="D88" s="23">
        <v>1480</v>
      </c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spans="1:27" x14ac:dyDescent="0.25">
      <c r="A89" s="23">
        <v>237.08920000000001</v>
      </c>
      <c r="B89" s="23">
        <v>238.49379999999999</v>
      </c>
      <c r="C89" s="23">
        <v>93.618170000000006</v>
      </c>
      <c r="D89" s="23">
        <v>245.05289999999999</v>
      </c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 spans="1:27" x14ac:dyDescent="0.25">
      <c r="A90" s="23">
        <v>189.2636</v>
      </c>
      <c r="B90" s="23">
        <v>241.18870000000001</v>
      </c>
      <c r="C90" s="23">
        <v>99.74539</v>
      </c>
      <c r="D90" s="23">
        <v>66.264349999999993</v>
      </c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 spans="1:27" x14ac:dyDescent="0.25">
      <c r="A91" s="23">
        <v>238.02019999999999</v>
      </c>
      <c r="B91" s="23">
        <v>309.01769999999999</v>
      </c>
      <c r="C91" s="23">
        <v>173.30869999999999</v>
      </c>
      <c r="D91" s="23">
        <v>301.38920000000002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spans="1:27" x14ac:dyDescent="0.25">
      <c r="A92" s="23">
        <v>182.86519999999999</v>
      </c>
      <c r="B92" s="23">
        <v>504.49790000000002</v>
      </c>
      <c r="C92" s="23">
        <v>115.3181</v>
      </c>
      <c r="D92" s="23">
        <v>301.13229999999999</v>
      </c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 spans="1:27" x14ac:dyDescent="0.25">
      <c r="A93" s="23">
        <v>197.6037</v>
      </c>
      <c r="B93" s="23">
        <v>337.62689999999998</v>
      </c>
      <c r="C93" s="23">
        <v>91.220389999999995</v>
      </c>
      <c r="D93" s="23">
        <v>248.75620000000001</v>
      </c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 spans="1:27" x14ac:dyDescent="0.25">
      <c r="A94" s="23">
        <v>240.2516</v>
      </c>
      <c r="B94" s="23">
        <v>170.01300000000001</v>
      </c>
      <c r="C94" s="23">
        <v>69.10427</v>
      </c>
      <c r="D94" s="23">
        <v>220.27889999999999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 spans="1:27" x14ac:dyDescent="0.25">
      <c r="A95" s="23">
        <v>179.4616</v>
      </c>
      <c r="B95" s="23">
        <v>47.478369999999998</v>
      </c>
      <c r="C95" s="23">
        <v>180.8511</v>
      </c>
      <c r="D95" s="23">
        <v>969.33820000000003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27" x14ac:dyDescent="0.25">
      <c r="A96" s="23">
        <v>132.16650000000001</v>
      </c>
      <c r="B96" s="23">
        <v>66.027770000000004</v>
      </c>
      <c r="C96" s="23">
        <v>31.34985</v>
      </c>
      <c r="D96" s="23">
        <v>74.537869999999998</v>
      </c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 spans="1:15" x14ac:dyDescent="0.25">
      <c r="A97" s="23">
        <v>79.128100000000003</v>
      </c>
      <c r="B97" s="23">
        <v>21.54195</v>
      </c>
      <c r="C97" s="23"/>
      <c r="D97" s="23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1:15" x14ac:dyDescent="0.25">
      <c r="A98" s="23">
        <v>79.992800000000003</v>
      </c>
      <c r="B98" s="23">
        <v>147.78450000000001</v>
      </c>
      <c r="C98" s="23"/>
      <c r="D98" s="23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 spans="1:15" x14ac:dyDescent="0.25">
      <c r="A99" s="23">
        <v>362.42570000000001</v>
      </c>
      <c r="B99" s="23">
        <v>10.5609</v>
      </c>
      <c r="C99" s="23"/>
      <c r="D99" s="23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1:15" x14ac:dyDescent="0.25">
      <c r="A100" s="23">
        <v>44.992800000000003</v>
      </c>
      <c r="B100" s="23">
        <v>76.260760000000005</v>
      </c>
      <c r="C100" s="23"/>
      <c r="D100" s="23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1:15" x14ac:dyDescent="0.25">
      <c r="A101" s="23">
        <v>118.3032</v>
      </c>
      <c r="B101" s="23">
        <v>99.011279999999999</v>
      </c>
      <c r="C101" s="23"/>
      <c r="D101" s="23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 spans="1:15" x14ac:dyDescent="0.25">
      <c r="A102" s="23">
        <v>28.146360000000001</v>
      </c>
      <c r="B102" s="15"/>
      <c r="C102" s="23"/>
      <c r="D102" s="15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 spans="1:15" x14ac:dyDescent="0.25">
      <c r="A103" s="23">
        <v>7.8100589999999999</v>
      </c>
      <c r="B103" s="15"/>
      <c r="C103" s="23"/>
      <c r="D103" s="15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 spans="1:15" x14ac:dyDescent="0.25">
      <c r="A104" s="23">
        <v>105.5181</v>
      </c>
      <c r="B104" s="15"/>
      <c r="C104" s="23"/>
      <c r="D104" s="15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 spans="1:15" x14ac:dyDescent="0.25">
      <c r="A105" s="21"/>
      <c r="B105" s="21"/>
      <c r="C105" s="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 spans="1:15" x14ac:dyDescent="0.25">
      <c r="A106" s="21" t="s">
        <v>225</v>
      </c>
      <c r="B106" s="21"/>
      <c r="C106" s="1" t="s">
        <v>123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 spans="1:15" x14ac:dyDescent="0.25">
      <c r="A107" s="74" t="s">
        <v>124</v>
      </c>
      <c r="B107" s="74"/>
      <c r="C107" s="74"/>
      <c r="D107" s="74"/>
      <c r="E107" s="21"/>
      <c r="F107" s="74" t="s">
        <v>125</v>
      </c>
      <c r="G107" s="74"/>
      <c r="H107" s="74"/>
      <c r="I107" s="74"/>
      <c r="J107" s="21"/>
      <c r="K107" s="21"/>
      <c r="L107" s="21"/>
      <c r="M107" s="21"/>
      <c r="N107" s="21"/>
      <c r="O107" s="21"/>
    </row>
    <row r="108" spans="1:15" x14ac:dyDescent="0.25">
      <c r="A108" s="74" t="s">
        <v>27</v>
      </c>
      <c r="B108" s="74"/>
      <c r="C108" s="74" t="s">
        <v>107</v>
      </c>
      <c r="D108" s="74"/>
      <c r="E108" s="21"/>
      <c r="F108" s="74" t="s">
        <v>27</v>
      </c>
      <c r="G108" s="74"/>
      <c r="H108" s="74" t="s">
        <v>107</v>
      </c>
      <c r="I108" s="74"/>
      <c r="J108" s="21"/>
      <c r="K108" s="21"/>
      <c r="L108" s="21"/>
      <c r="M108" s="21"/>
      <c r="N108" s="21"/>
      <c r="O108" s="21"/>
    </row>
    <row r="109" spans="1:15" x14ac:dyDescent="0.25">
      <c r="A109" s="15" t="s">
        <v>120</v>
      </c>
      <c r="B109" s="15" t="s">
        <v>4</v>
      </c>
      <c r="C109" s="15" t="s">
        <v>120</v>
      </c>
      <c r="D109" s="15" t="s">
        <v>4</v>
      </c>
      <c r="E109" s="21"/>
      <c r="F109" s="15" t="s">
        <v>120</v>
      </c>
      <c r="G109" s="15" t="s">
        <v>4</v>
      </c>
      <c r="H109" s="15" t="s">
        <v>120</v>
      </c>
      <c r="I109" s="15" t="s">
        <v>4</v>
      </c>
      <c r="J109" s="21"/>
      <c r="K109" s="21"/>
      <c r="L109" s="21"/>
      <c r="M109" s="21"/>
      <c r="N109" s="21"/>
      <c r="O109" s="21"/>
    </row>
    <row r="110" spans="1:15" x14ac:dyDescent="0.25">
      <c r="A110" s="23">
        <v>19.2</v>
      </c>
      <c r="B110" s="23">
        <v>23.5</v>
      </c>
      <c r="C110" s="23">
        <v>25.2</v>
      </c>
      <c r="D110" s="23">
        <v>39.4</v>
      </c>
      <c r="E110" s="21"/>
      <c r="F110" s="23">
        <v>27.7</v>
      </c>
      <c r="G110" s="23">
        <v>29.3</v>
      </c>
      <c r="H110" s="23">
        <v>40.1</v>
      </c>
      <c r="I110" s="23">
        <v>40.5</v>
      </c>
      <c r="J110" s="21"/>
      <c r="K110" s="21"/>
      <c r="L110" s="21"/>
      <c r="M110" s="21"/>
      <c r="N110" s="21"/>
      <c r="O110" s="21"/>
    </row>
    <row r="111" spans="1:15" x14ac:dyDescent="0.25">
      <c r="A111" s="23">
        <v>23.5</v>
      </c>
      <c r="B111" s="23">
        <v>26.2</v>
      </c>
      <c r="C111" s="23">
        <v>31</v>
      </c>
      <c r="D111" s="23">
        <v>32.1</v>
      </c>
      <c r="E111" s="21"/>
      <c r="F111" s="23">
        <v>32.9</v>
      </c>
      <c r="G111" s="23">
        <v>33.6</v>
      </c>
      <c r="H111" s="23">
        <v>41.6</v>
      </c>
      <c r="I111" s="23">
        <v>37</v>
      </c>
      <c r="J111" s="21"/>
      <c r="K111" s="21"/>
      <c r="L111" s="21"/>
      <c r="M111" s="21"/>
      <c r="N111" s="21"/>
      <c r="O111" s="21"/>
    </row>
    <row r="112" spans="1:15" x14ac:dyDescent="0.25">
      <c r="A112" s="23">
        <v>25.4</v>
      </c>
      <c r="B112" s="23">
        <v>23.2</v>
      </c>
      <c r="C112" s="23">
        <v>16.899999999999999</v>
      </c>
      <c r="D112" s="23">
        <v>26.8</v>
      </c>
      <c r="E112" s="21"/>
      <c r="F112" s="23">
        <v>37.299999999999997</v>
      </c>
      <c r="G112" s="23">
        <v>27.2</v>
      </c>
      <c r="H112" s="23">
        <v>23.9</v>
      </c>
      <c r="I112" s="23">
        <v>32.5</v>
      </c>
      <c r="J112" s="21"/>
      <c r="K112" s="21"/>
      <c r="L112" s="21"/>
      <c r="M112" s="21"/>
      <c r="N112" s="21"/>
      <c r="O112" s="21"/>
    </row>
    <row r="113" spans="1:15" x14ac:dyDescent="0.25">
      <c r="A113" s="23">
        <v>25.4</v>
      </c>
      <c r="B113" s="23">
        <v>21.7</v>
      </c>
      <c r="C113" s="23">
        <v>33.200000000000003</v>
      </c>
      <c r="D113" s="23">
        <v>32.5</v>
      </c>
      <c r="E113" s="21"/>
      <c r="F113" s="23">
        <v>36.5</v>
      </c>
      <c r="G113" s="23">
        <v>27.4</v>
      </c>
      <c r="H113" s="23">
        <v>45.5</v>
      </c>
      <c r="I113" s="23">
        <v>36.4</v>
      </c>
      <c r="J113" s="21"/>
      <c r="K113" s="21"/>
      <c r="L113" s="21"/>
      <c r="M113" s="21"/>
      <c r="N113" s="21"/>
      <c r="O113" s="21"/>
    </row>
    <row r="114" spans="1:15" x14ac:dyDescent="0.25">
      <c r="A114" s="23">
        <v>21.2</v>
      </c>
      <c r="B114" s="23">
        <v>25.9</v>
      </c>
      <c r="C114" s="23">
        <v>42</v>
      </c>
      <c r="D114" s="23">
        <v>34.4</v>
      </c>
      <c r="E114" s="21"/>
      <c r="F114" s="23">
        <v>30.4</v>
      </c>
      <c r="G114" s="23">
        <v>28.8</v>
      </c>
      <c r="H114" s="23">
        <v>48.5</v>
      </c>
      <c r="I114" s="23">
        <v>42.4</v>
      </c>
      <c r="J114" s="21"/>
      <c r="K114" s="21"/>
      <c r="L114" s="21"/>
      <c r="M114" s="21"/>
      <c r="N114" s="21"/>
      <c r="O114" s="21"/>
    </row>
    <row r="115" spans="1:15" x14ac:dyDescent="0.25">
      <c r="A115" s="23">
        <v>14.2</v>
      </c>
      <c r="B115" s="23">
        <v>19.399999999999999</v>
      </c>
      <c r="C115" s="23">
        <v>39.799999999999997</v>
      </c>
      <c r="D115" s="23">
        <v>34</v>
      </c>
      <c r="E115" s="21"/>
      <c r="F115" s="23">
        <v>26.9</v>
      </c>
      <c r="G115" s="23">
        <v>28.7</v>
      </c>
      <c r="H115" s="23">
        <v>49.4</v>
      </c>
      <c r="I115" s="23">
        <v>39.799999999999997</v>
      </c>
      <c r="J115" s="21"/>
      <c r="K115" s="21"/>
      <c r="L115" s="21"/>
      <c r="M115" s="21"/>
      <c r="N115" s="21"/>
      <c r="O115" s="21"/>
    </row>
    <row r="116" spans="1:15" x14ac:dyDescent="0.25">
      <c r="A116" s="23">
        <v>22.9</v>
      </c>
      <c r="B116" s="23">
        <v>11.7</v>
      </c>
      <c r="C116" s="23">
        <v>13</v>
      </c>
      <c r="D116" s="23">
        <v>12.8</v>
      </c>
      <c r="E116" s="21"/>
      <c r="F116" s="23">
        <v>40.9</v>
      </c>
      <c r="G116" s="23">
        <v>30.9</v>
      </c>
      <c r="H116" s="23">
        <v>35.200000000000003</v>
      </c>
      <c r="I116" s="23">
        <v>31.9</v>
      </c>
      <c r="J116" s="21"/>
      <c r="K116" s="21"/>
      <c r="L116" s="21"/>
      <c r="M116" s="21"/>
      <c r="N116" s="21"/>
      <c r="O116" s="21"/>
    </row>
    <row r="117" spans="1:15" x14ac:dyDescent="0.25">
      <c r="A117" s="23">
        <v>13.1</v>
      </c>
      <c r="B117" s="23">
        <v>10.7</v>
      </c>
      <c r="C117" s="23">
        <v>17.7</v>
      </c>
      <c r="D117" s="23">
        <v>27.8</v>
      </c>
      <c r="E117" s="21"/>
      <c r="F117" s="23">
        <v>38.9</v>
      </c>
      <c r="G117" s="23">
        <v>26.3</v>
      </c>
      <c r="H117" s="23">
        <v>37.9</v>
      </c>
      <c r="I117" s="23">
        <v>52.9</v>
      </c>
      <c r="J117" s="21"/>
      <c r="K117" s="21"/>
      <c r="L117" s="21"/>
      <c r="M117" s="21"/>
      <c r="N117" s="21"/>
      <c r="O117" s="21"/>
    </row>
    <row r="118" spans="1:15" x14ac:dyDescent="0.25">
      <c r="A118" s="23">
        <v>7.77</v>
      </c>
      <c r="B118" s="23">
        <v>14.6</v>
      </c>
      <c r="C118" s="23">
        <v>15.4</v>
      </c>
      <c r="D118" s="23">
        <v>19.5</v>
      </c>
      <c r="E118" s="21"/>
      <c r="F118" s="23">
        <v>22</v>
      </c>
      <c r="G118" s="23">
        <v>31.4</v>
      </c>
      <c r="H118" s="23">
        <v>31.5</v>
      </c>
      <c r="I118" s="23">
        <v>40.5</v>
      </c>
      <c r="J118" s="21"/>
      <c r="K118" s="21"/>
      <c r="L118" s="21"/>
      <c r="M118" s="21"/>
      <c r="N118" s="21"/>
      <c r="O118" s="21"/>
    </row>
    <row r="119" spans="1:15" x14ac:dyDescent="0.25">
      <c r="A119" s="23">
        <v>8.27</v>
      </c>
      <c r="B119" s="23">
        <v>10.9</v>
      </c>
      <c r="C119" s="23">
        <v>26.7</v>
      </c>
      <c r="D119" s="23">
        <v>19.899999999999999</v>
      </c>
      <c r="E119" s="21"/>
      <c r="F119" s="23">
        <v>22</v>
      </c>
      <c r="G119" s="23">
        <v>29.7</v>
      </c>
      <c r="H119" s="23">
        <v>50.8</v>
      </c>
      <c r="I119" s="23">
        <v>44</v>
      </c>
      <c r="J119" s="21"/>
      <c r="K119" s="21"/>
      <c r="L119" s="21"/>
      <c r="M119" s="21"/>
      <c r="N119" s="21"/>
      <c r="O119" s="21"/>
    </row>
    <row r="120" spans="1:15" x14ac:dyDescent="0.25">
      <c r="A120" s="23">
        <v>8.06</v>
      </c>
      <c r="B120" s="23">
        <v>10.4</v>
      </c>
      <c r="C120" s="23">
        <v>17.399999999999999</v>
      </c>
      <c r="D120" s="23">
        <v>31.5</v>
      </c>
      <c r="E120" s="21"/>
      <c r="F120" s="23">
        <v>19.3</v>
      </c>
      <c r="G120" s="23">
        <v>25.4</v>
      </c>
      <c r="H120" s="23">
        <v>43.9</v>
      </c>
      <c r="I120" s="23">
        <v>63.6</v>
      </c>
      <c r="J120" s="21"/>
      <c r="K120" s="21"/>
      <c r="L120" s="21"/>
      <c r="M120" s="21"/>
      <c r="N120" s="21"/>
      <c r="O120" s="21"/>
    </row>
    <row r="121" spans="1:15" x14ac:dyDescent="0.25">
      <c r="A121" s="23">
        <v>15.3</v>
      </c>
      <c r="B121" s="23">
        <v>17.100000000000001</v>
      </c>
      <c r="C121" s="23">
        <v>19</v>
      </c>
      <c r="D121" s="23">
        <v>24.8</v>
      </c>
      <c r="E121" s="21"/>
      <c r="F121" s="23">
        <v>36.4</v>
      </c>
      <c r="G121" s="23">
        <v>34</v>
      </c>
      <c r="H121" s="23">
        <v>47.2</v>
      </c>
      <c r="I121" s="23">
        <v>59.9</v>
      </c>
      <c r="J121" s="21"/>
      <c r="K121" s="21"/>
      <c r="L121" s="21"/>
      <c r="M121" s="21"/>
      <c r="N121" s="21"/>
      <c r="O121" s="21"/>
    </row>
    <row r="122" spans="1:15" x14ac:dyDescent="0.25">
      <c r="A122" s="1"/>
      <c r="B122" s="1"/>
      <c r="C122" s="1"/>
      <c r="D122" s="1"/>
      <c r="E122" s="21"/>
      <c r="F122" s="1"/>
      <c r="G122" s="1"/>
      <c r="H122" s="1"/>
      <c r="I122" s="1"/>
      <c r="J122" s="21"/>
      <c r="K122" s="21"/>
      <c r="L122" s="21"/>
      <c r="M122" s="21"/>
      <c r="N122" s="21"/>
      <c r="O122" s="21"/>
    </row>
    <row r="123" spans="1:15" x14ac:dyDescent="0.25">
      <c r="A123" s="21" t="s">
        <v>226</v>
      </c>
      <c r="B123" s="21"/>
      <c r="C123" s="1" t="s">
        <v>126</v>
      </c>
      <c r="D123" s="21"/>
      <c r="E123" s="21"/>
      <c r="F123" s="21"/>
      <c r="G123" s="21"/>
      <c r="H123" s="1" t="s">
        <v>126</v>
      </c>
      <c r="I123" s="21"/>
      <c r="J123" s="21"/>
      <c r="K123" s="21"/>
      <c r="L123" s="21"/>
      <c r="M123" s="21"/>
      <c r="N123" s="21"/>
      <c r="O123" s="21"/>
    </row>
    <row r="124" spans="1:15" x14ac:dyDescent="0.25">
      <c r="A124" s="74" t="s">
        <v>127</v>
      </c>
      <c r="B124" s="74"/>
      <c r="C124" s="74"/>
      <c r="D124" s="74"/>
      <c r="E124" s="21"/>
      <c r="F124" s="82" t="s">
        <v>189</v>
      </c>
      <c r="G124" s="82"/>
      <c r="H124" s="82"/>
      <c r="I124" s="82"/>
      <c r="J124" s="21"/>
      <c r="K124" s="21"/>
      <c r="L124" s="21"/>
      <c r="M124" s="21"/>
      <c r="N124" s="21"/>
      <c r="O124" s="21"/>
    </row>
    <row r="125" spans="1:15" x14ac:dyDescent="0.25">
      <c r="A125" s="74" t="s">
        <v>27</v>
      </c>
      <c r="B125" s="74"/>
      <c r="C125" s="74" t="s">
        <v>107</v>
      </c>
      <c r="D125" s="74"/>
      <c r="E125" s="21"/>
      <c r="F125" s="74" t="s">
        <v>27</v>
      </c>
      <c r="G125" s="74"/>
      <c r="H125" s="74" t="s">
        <v>107</v>
      </c>
      <c r="I125" s="74"/>
      <c r="J125" s="21"/>
      <c r="K125" s="21"/>
      <c r="L125" s="21"/>
      <c r="M125" s="21"/>
      <c r="N125" s="21"/>
      <c r="O125" s="21"/>
    </row>
    <row r="126" spans="1:15" x14ac:dyDescent="0.25">
      <c r="A126" s="15" t="s">
        <v>120</v>
      </c>
      <c r="B126" s="15" t="s">
        <v>4</v>
      </c>
      <c r="C126" s="15" t="s">
        <v>120</v>
      </c>
      <c r="D126" s="15" t="s">
        <v>4</v>
      </c>
      <c r="E126" s="21"/>
      <c r="F126" s="15" t="s">
        <v>120</v>
      </c>
      <c r="G126" s="15" t="s">
        <v>4</v>
      </c>
      <c r="H126" s="15" t="s">
        <v>120</v>
      </c>
      <c r="I126" s="15" t="s">
        <v>4</v>
      </c>
      <c r="J126" s="21"/>
      <c r="K126" s="21"/>
      <c r="L126" s="21"/>
      <c r="M126" s="21"/>
      <c r="N126" s="21"/>
      <c r="O126" s="21"/>
    </row>
    <row r="127" spans="1:15" x14ac:dyDescent="0.25">
      <c r="A127" s="23">
        <v>2910.835</v>
      </c>
      <c r="B127" s="23">
        <v>2004.654</v>
      </c>
      <c r="C127" s="23">
        <v>10445.799999999999</v>
      </c>
      <c r="D127" s="23">
        <v>6492.1</v>
      </c>
      <c r="E127" s="21"/>
      <c r="F127" s="23">
        <v>1040.4459999999999</v>
      </c>
      <c r="G127" s="23">
        <v>1539.1020000000001</v>
      </c>
      <c r="H127" s="23">
        <v>2135.81</v>
      </c>
      <c r="I127" s="23">
        <v>5004.317</v>
      </c>
      <c r="J127" s="21"/>
      <c r="K127" s="21"/>
      <c r="L127" s="21"/>
      <c r="M127" s="21"/>
      <c r="N127" s="21"/>
      <c r="O127" s="21"/>
    </row>
    <row r="128" spans="1:15" x14ac:dyDescent="0.25">
      <c r="A128" s="23">
        <v>1764.617</v>
      </c>
      <c r="B128" s="23">
        <v>3333.5120000000002</v>
      </c>
      <c r="C128" s="23">
        <v>20071.88</v>
      </c>
      <c r="D128" s="23">
        <v>1988.1510000000001</v>
      </c>
      <c r="E128" s="21"/>
      <c r="F128" s="23">
        <v>2712.645</v>
      </c>
      <c r="G128" s="23">
        <v>533.81870000000004</v>
      </c>
      <c r="H128" s="23">
        <v>3184.5639999999999</v>
      </c>
      <c r="I128" s="23">
        <v>5832.7129999999997</v>
      </c>
      <c r="J128" s="21"/>
      <c r="K128" s="21"/>
      <c r="L128" s="21"/>
      <c r="M128" s="21"/>
      <c r="N128" s="21"/>
      <c r="O128" s="21"/>
    </row>
    <row r="129" spans="1:15" x14ac:dyDescent="0.25">
      <c r="A129" s="23">
        <v>2165.9180000000001</v>
      </c>
      <c r="B129" s="23">
        <v>2688.558</v>
      </c>
      <c r="C129" s="23">
        <v>8876.8379999999997</v>
      </c>
      <c r="D129" s="23">
        <v>1844.2619999999999</v>
      </c>
      <c r="E129" s="21"/>
      <c r="F129" s="23">
        <v>574.28779999999995</v>
      </c>
      <c r="G129" s="23">
        <v>2051.2800000000002</v>
      </c>
      <c r="H129" s="23">
        <v>1431.749</v>
      </c>
      <c r="I129" s="23">
        <v>1819.9079999999999</v>
      </c>
      <c r="J129" s="21"/>
      <c r="K129" s="21"/>
      <c r="L129" s="21"/>
      <c r="M129" s="21"/>
      <c r="N129" s="21"/>
      <c r="O129" s="21"/>
    </row>
    <row r="130" spans="1:15" x14ac:dyDescent="0.25">
      <c r="A130" s="23">
        <v>2603.8409999999999</v>
      </c>
      <c r="B130" s="23">
        <v>625.08159999999998</v>
      </c>
      <c r="C130" s="23">
        <v>11147.11</v>
      </c>
      <c r="D130" s="23">
        <v>23472.07</v>
      </c>
      <c r="E130" s="21"/>
      <c r="F130" s="23">
        <v>3491.5410000000002</v>
      </c>
      <c r="G130" s="23">
        <v>1874.124</v>
      </c>
      <c r="H130" s="23">
        <v>328.2876</v>
      </c>
      <c r="I130" s="23">
        <v>1093.4010000000001</v>
      </c>
      <c r="J130" s="21"/>
      <c r="K130" s="21"/>
      <c r="L130" s="21"/>
      <c r="M130" s="21"/>
      <c r="N130" s="21"/>
      <c r="O130" s="21"/>
    </row>
    <row r="131" spans="1:15" x14ac:dyDescent="0.25">
      <c r="A131" s="23">
        <v>1829.8810000000001</v>
      </c>
      <c r="B131" s="23">
        <v>1377.3019999999999</v>
      </c>
      <c r="C131" s="23">
        <v>15233.82</v>
      </c>
      <c r="D131" s="23">
        <v>17933.97</v>
      </c>
      <c r="E131" s="21"/>
      <c r="F131" s="23">
        <v>2081.8939999999998</v>
      </c>
      <c r="G131" s="23">
        <v>3266.366</v>
      </c>
      <c r="H131" s="23">
        <v>962.39250000000004</v>
      </c>
      <c r="I131" s="23">
        <v>5972.6729999999998</v>
      </c>
      <c r="J131" s="21"/>
      <c r="K131" s="21"/>
      <c r="L131" s="21"/>
      <c r="M131" s="21"/>
      <c r="N131" s="21"/>
      <c r="O131" s="21"/>
    </row>
    <row r="132" spans="1:15" x14ac:dyDescent="0.25">
      <c r="A132" s="23">
        <v>3627.8389999999999</v>
      </c>
      <c r="B132" s="23">
        <v>6768.83</v>
      </c>
      <c r="C132" s="23">
        <v>7515.174</v>
      </c>
      <c r="D132" s="23">
        <v>4451.1869999999999</v>
      </c>
      <c r="E132" s="21"/>
      <c r="F132" s="23">
        <v>2577.7730000000001</v>
      </c>
      <c r="G132" s="23">
        <v>3411.8670000000002</v>
      </c>
      <c r="H132" s="23">
        <v>2887.4050000000002</v>
      </c>
      <c r="I132" s="23">
        <v>2074.114</v>
      </c>
      <c r="J132" s="21"/>
      <c r="K132" s="21"/>
      <c r="L132" s="21"/>
      <c r="M132" s="21"/>
      <c r="N132" s="21"/>
      <c r="O132" s="21"/>
    </row>
    <row r="133" spans="1:15" x14ac:dyDescent="0.25">
      <c r="A133" s="23">
        <v>1367.9490000000001</v>
      </c>
      <c r="B133" s="23">
        <v>2637.0740000000001</v>
      </c>
      <c r="C133" s="23">
        <v>9165.607</v>
      </c>
      <c r="D133" s="23">
        <v>3616.4459999999999</v>
      </c>
      <c r="E133" s="21"/>
      <c r="F133" s="23">
        <v>740.77200000000005</v>
      </c>
      <c r="G133" s="23">
        <v>946.95079999999996</v>
      </c>
      <c r="H133" s="23">
        <v>1441.5319999999999</v>
      </c>
      <c r="I133" s="23">
        <v>168.11940000000001</v>
      </c>
      <c r="J133" s="21"/>
      <c r="K133" s="21"/>
      <c r="L133" s="21"/>
      <c r="M133" s="21"/>
      <c r="N133" s="21"/>
      <c r="O133" s="21"/>
    </row>
    <row r="134" spans="1:15" x14ac:dyDescent="0.25">
      <c r="A134" s="23">
        <v>1452.115</v>
      </c>
      <c r="B134" s="23">
        <v>1418.1420000000001</v>
      </c>
      <c r="C134" s="23">
        <v>949.94730000000004</v>
      </c>
      <c r="D134" s="23">
        <v>4689.6390000000001</v>
      </c>
      <c r="E134" s="21"/>
      <c r="F134" s="23">
        <v>1238.2660000000001</v>
      </c>
      <c r="G134" s="23">
        <v>1517.0060000000001</v>
      </c>
      <c r="H134" s="23">
        <v>1644.43</v>
      </c>
      <c r="I134" s="23">
        <v>3803.53</v>
      </c>
      <c r="J134" s="21"/>
      <c r="K134" s="21"/>
      <c r="L134" s="21"/>
      <c r="M134" s="21"/>
      <c r="N134" s="21"/>
      <c r="O134" s="21"/>
    </row>
    <row r="135" spans="1:15" x14ac:dyDescent="0.25">
      <c r="A135" s="23">
        <v>1133.33</v>
      </c>
      <c r="B135" s="23">
        <v>1053.038</v>
      </c>
      <c r="C135" s="23">
        <v>4966.1769999999997</v>
      </c>
      <c r="D135" s="23">
        <v>4416.62</v>
      </c>
      <c r="E135" s="21"/>
      <c r="F135" s="23">
        <v>313.34769999999997</v>
      </c>
      <c r="G135" s="23">
        <v>158.69720000000001</v>
      </c>
      <c r="H135" s="23">
        <v>774.2174</v>
      </c>
      <c r="I135" s="23">
        <v>431.66570000000002</v>
      </c>
      <c r="J135" s="21"/>
      <c r="K135" s="21"/>
      <c r="L135" s="21"/>
      <c r="M135" s="21"/>
      <c r="N135" s="21"/>
      <c r="O135" s="21"/>
    </row>
    <row r="136" spans="1:15" x14ac:dyDescent="0.25">
      <c r="A136" s="23">
        <v>2179.7600000000002</v>
      </c>
      <c r="B136" s="23">
        <v>1556.423</v>
      </c>
      <c r="C136" s="23">
        <v>8358.2870000000003</v>
      </c>
      <c r="D136" s="23">
        <v>4958.8209999999999</v>
      </c>
      <c r="E136" s="21"/>
      <c r="F136" s="23">
        <v>661.39409999999998</v>
      </c>
      <c r="G136" s="23">
        <v>1934.0160000000001</v>
      </c>
      <c r="H136" s="23">
        <v>608.96979999999996</v>
      </c>
      <c r="I136" s="23">
        <v>1785.0630000000001</v>
      </c>
      <c r="J136" s="21"/>
      <c r="K136" s="21"/>
      <c r="L136" s="21"/>
      <c r="M136" s="21"/>
      <c r="N136" s="21"/>
      <c r="O136" s="21"/>
    </row>
    <row r="137" spans="1:15" x14ac:dyDescent="0.25">
      <c r="A137" s="23">
        <v>973.78560000000004</v>
      </c>
      <c r="B137" s="23">
        <v>1751.7750000000001</v>
      </c>
      <c r="C137" s="23">
        <v>9358.6219999999994</v>
      </c>
      <c r="D137" s="23">
        <v>8234.2559999999994</v>
      </c>
      <c r="E137" s="21"/>
      <c r="F137" s="23">
        <v>1180.7840000000001</v>
      </c>
      <c r="G137" s="23">
        <v>294.70139999999998</v>
      </c>
      <c r="H137" s="23">
        <v>636.3614</v>
      </c>
      <c r="I137" s="23">
        <v>955.30780000000004</v>
      </c>
      <c r="J137" s="21"/>
      <c r="K137" s="21"/>
      <c r="L137" s="21"/>
      <c r="M137" s="21"/>
      <c r="N137" s="21"/>
      <c r="O137" s="21"/>
    </row>
    <row r="138" spans="1:15" x14ac:dyDescent="0.25">
      <c r="A138" s="23">
        <v>1031.306</v>
      </c>
      <c r="B138" s="23">
        <v>5360.1260000000002</v>
      </c>
      <c r="C138" s="23">
        <v>7634.1909999999998</v>
      </c>
      <c r="D138" s="23">
        <v>8943.1389999999992</v>
      </c>
      <c r="E138" s="21"/>
      <c r="F138" s="23">
        <v>907.58209999999997</v>
      </c>
      <c r="G138" s="23">
        <v>366.0675</v>
      </c>
      <c r="H138" s="23">
        <v>722.03039999999999</v>
      </c>
      <c r="I138" s="23">
        <v>1425.153</v>
      </c>
      <c r="J138" s="21"/>
      <c r="K138" s="21"/>
      <c r="L138" s="21"/>
      <c r="M138" s="21"/>
      <c r="N138" s="21"/>
      <c r="O138" s="21"/>
    </row>
    <row r="139" spans="1:15" x14ac:dyDescent="0.25">
      <c r="A139" s="23">
        <v>1002.432</v>
      </c>
      <c r="B139" s="23">
        <v>1934.4770000000001</v>
      </c>
      <c r="C139" s="23">
        <v>8863.4979999999996</v>
      </c>
      <c r="D139" s="23">
        <v>22602.799999999999</v>
      </c>
      <c r="E139" s="21"/>
      <c r="F139" s="23">
        <v>403.83699999999999</v>
      </c>
      <c r="G139" s="23">
        <v>1126.4770000000001</v>
      </c>
      <c r="H139" s="23">
        <v>1831.4760000000001</v>
      </c>
      <c r="I139" s="23">
        <v>1982.742</v>
      </c>
      <c r="J139" s="21"/>
      <c r="K139" s="21"/>
      <c r="L139" s="21"/>
      <c r="M139" s="21"/>
      <c r="N139" s="21"/>
      <c r="O139" s="21"/>
    </row>
    <row r="140" spans="1:15" x14ac:dyDescent="0.25">
      <c r="A140" s="23">
        <v>2364.1579999999999</v>
      </c>
      <c r="B140" s="23">
        <v>557.92439999999999</v>
      </c>
      <c r="C140" s="23">
        <v>8032.1580000000004</v>
      </c>
      <c r="D140" s="23">
        <v>9275.1479999999992</v>
      </c>
      <c r="E140" s="21"/>
      <c r="F140" s="23">
        <v>275.48250000000002</v>
      </c>
      <c r="G140" s="23">
        <v>82.594269999999995</v>
      </c>
      <c r="H140" s="23">
        <v>1127.1130000000001</v>
      </c>
      <c r="I140" s="23">
        <v>2924.8270000000002</v>
      </c>
      <c r="J140" s="21"/>
      <c r="K140" s="21"/>
      <c r="L140" s="21"/>
      <c r="M140" s="21"/>
      <c r="N140" s="21"/>
      <c r="O140" s="21"/>
    </row>
    <row r="141" spans="1:15" x14ac:dyDescent="0.25">
      <c r="A141" s="23">
        <v>2405.732</v>
      </c>
      <c r="B141" s="23">
        <v>879.61879999999996</v>
      </c>
      <c r="C141" s="23">
        <v>4239.3059999999996</v>
      </c>
      <c r="D141" s="23">
        <v>5189.768</v>
      </c>
      <c r="E141" s="21"/>
      <c r="F141" s="23">
        <v>391.59109999999998</v>
      </c>
      <c r="G141" s="23">
        <v>275.62099999999998</v>
      </c>
      <c r="H141" s="23">
        <v>2087.37</v>
      </c>
      <c r="I141" s="23">
        <v>1583.76</v>
      </c>
      <c r="J141" s="21"/>
      <c r="K141" s="21"/>
      <c r="L141" s="21"/>
      <c r="M141" s="21"/>
      <c r="N141" s="21"/>
      <c r="O141" s="21"/>
    </row>
    <row r="142" spans="1:15" x14ac:dyDescent="0.25">
      <c r="A142" s="23">
        <v>3407.3339999999998</v>
      </c>
      <c r="B142" s="23">
        <v>670.68240000000003</v>
      </c>
      <c r="C142" s="23">
        <v>5268.1260000000002</v>
      </c>
      <c r="D142" s="23">
        <v>4254.598</v>
      </c>
      <c r="E142" s="21"/>
      <c r="F142" s="23">
        <v>400.14330000000001</v>
      </c>
      <c r="G142" s="23">
        <v>1038.569</v>
      </c>
      <c r="H142" s="23">
        <v>918.41769999999997</v>
      </c>
      <c r="I142" s="23">
        <v>3224.66</v>
      </c>
      <c r="J142" s="21"/>
      <c r="K142" s="21"/>
      <c r="L142" s="21"/>
      <c r="M142" s="21"/>
      <c r="N142" s="21"/>
      <c r="O142" s="21"/>
    </row>
    <row r="143" spans="1:15" x14ac:dyDescent="0.25">
      <c r="A143" s="23">
        <v>2129.4859999999999</v>
      </c>
      <c r="B143" s="23">
        <v>1095.2729999999999</v>
      </c>
      <c r="C143" s="23">
        <v>3158.9</v>
      </c>
      <c r="D143" s="23">
        <v>29542.2</v>
      </c>
      <c r="E143" s="21"/>
      <c r="F143" s="23">
        <v>448.46730000000002</v>
      </c>
      <c r="G143" s="23">
        <v>1177.837</v>
      </c>
      <c r="H143" s="23">
        <v>793.54049999999995</v>
      </c>
      <c r="I143" s="73"/>
      <c r="J143" s="21"/>
      <c r="K143" s="21"/>
      <c r="L143" s="21"/>
      <c r="M143" s="21"/>
      <c r="N143" s="21"/>
      <c r="O143" s="21"/>
    </row>
    <row r="144" spans="1:15" x14ac:dyDescent="0.25">
      <c r="A144" s="23">
        <v>3780.39</v>
      </c>
      <c r="B144" s="23">
        <v>1093.421</v>
      </c>
      <c r="C144" s="23">
        <v>17364.8</v>
      </c>
      <c r="D144" s="23">
        <v>31808.1</v>
      </c>
      <c r="E144" s="21"/>
      <c r="F144" s="23">
        <v>554.68050000000005</v>
      </c>
      <c r="G144" s="23">
        <v>902.21690000000001</v>
      </c>
      <c r="H144" s="23">
        <v>237.27350000000001</v>
      </c>
      <c r="I144" s="23"/>
      <c r="J144" s="21"/>
      <c r="K144" s="21"/>
      <c r="L144" s="21"/>
      <c r="M144" s="21"/>
      <c r="N144" s="21"/>
      <c r="O144" s="21"/>
    </row>
    <row r="145" spans="1:27" x14ac:dyDescent="0.25">
      <c r="A145" s="23">
        <v>772.84090000000003</v>
      </c>
      <c r="B145" s="23">
        <v>649.47879999999998</v>
      </c>
      <c r="C145" s="23">
        <v>2276.6550000000002</v>
      </c>
      <c r="D145" s="23">
        <v>1080.902</v>
      </c>
      <c r="E145" s="21"/>
      <c r="J145" s="21"/>
      <c r="K145" s="21"/>
      <c r="L145" s="21"/>
      <c r="M145" s="21"/>
      <c r="N145" s="21"/>
      <c r="O145" s="21"/>
    </row>
    <row r="146" spans="1:27" x14ac:dyDescent="0.25">
      <c r="A146" s="23">
        <v>1768.7850000000001</v>
      </c>
      <c r="B146" s="23">
        <v>5871.96</v>
      </c>
      <c r="C146" s="23">
        <v>1850.345</v>
      </c>
      <c r="D146" s="23">
        <v>113.4781</v>
      </c>
      <c r="E146" s="21"/>
      <c r="J146" s="21"/>
      <c r="K146" s="21"/>
      <c r="L146" s="21"/>
      <c r="M146" s="21"/>
      <c r="N146" s="21"/>
      <c r="O146" s="21"/>
    </row>
    <row r="147" spans="1:27" x14ac:dyDescent="0.25">
      <c r="A147" s="23">
        <v>432.08190000000002</v>
      </c>
      <c r="B147" s="23">
        <v>129.571</v>
      </c>
      <c r="C147" s="23">
        <v>679.82420000000002</v>
      </c>
      <c r="D147" s="23">
        <v>1374.4960000000001</v>
      </c>
      <c r="E147" s="21"/>
      <c r="F147" s="24"/>
      <c r="G147" s="24"/>
      <c r="H147" s="24"/>
      <c r="I147" s="24"/>
      <c r="J147" s="21"/>
      <c r="K147" s="21"/>
      <c r="L147" s="21"/>
      <c r="M147" s="21"/>
      <c r="N147" s="21"/>
      <c r="O147" s="21"/>
    </row>
    <row r="148" spans="1:27" x14ac:dyDescent="0.25">
      <c r="A148" s="23">
        <v>622.94799999999998</v>
      </c>
      <c r="B148" s="23">
        <v>1475.598</v>
      </c>
      <c r="C148" s="23">
        <v>596.20500000000004</v>
      </c>
      <c r="D148" s="23">
        <v>505.07769999999999</v>
      </c>
      <c r="E148" s="21"/>
      <c r="F148" s="24"/>
      <c r="G148" s="24"/>
      <c r="H148" s="24"/>
      <c r="I148" s="24"/>
      <c r="J148" s="21"/>
      <c r="K148" s="21"/>
    </row>
    <row r="149" spans="1:27" x14ac:dyDescent="0.25">
      <c r="A149" s="23">
        <v>1307.0319999999999</v>
      </c>
      <c r="B149" s="23">
        <v>335.92250000000001</v>
      </c>
      <c r="C149" s="23">
        <v>601.8057</v>
      </c>
      <c r="D149" s="23">
        <v>3716.4870000000001</v>
      </c>
      <c r="E149" s="21"/>
      <c r="F149" s="24"/>
      <c r="G149" s="24"/>
      <c r="H149" s="24"/>
      <c r="I149" s="24"/>
      <c r="J149" s="21"/>
      <c r="K149" s="21"/>
    </row>
    <row r="150" spans="1:27" x14ac:dyDescent="0.25">
      <c r="A150" s="23">
        <v>985.66210000000001</v>
      </c>
      <c r="B150" s="23">
        <v>258.35840000000002</v>
      </c>
      <c r="C150" s="23">
        <v>769.08019999999999</v>
      </c>
      <c r="D150" s="23">
        <v>747.00900000000001</v>
      </c>
      <c r="F150" s="24"/>
      <c r="G150" s="24"/>
      <c r="H150" s="24"/>
      <c r="I150" s="24"/>
    </row>
    <row r="152" spans="1:27" x14ac:dyDescent="0.25">
      <c r="A152" s="21" t="s">
        <v>227</v>
      </c>
      <c r="B152" s="21"/>
      <c r="C152" s="1" t="s">
        <v>181</v>
      </c>
      <c r="D152" s="21"/>
      <c r="F152" s="21"/>
      <c r="J152" s="21"/>
      <c r="K152" s="21"/>
      <c r="L152" s="21"/>
      <c r="M152" s="21"/>
      <c r="N152" s="21"/>
      <c r="O152" s="21"/>
      <c r="V152"/>
      <c r="W152"/>
      <c r="X152"/>
      <c r="Y152"/>
      <c r="Z152"/>
      <c r="AA152"/>
    </row>
    <row r="153" spans="1:27" x14ac:dyDescent="0.25">
      <c r="A153" s="74" t="s">
        <v>173</v>
      </c>
      <c r="B153" s="74"/>
      <c r="C153" s="74"/>
      <c r="D153" s="74"/>
      <c r="F153" s="21"/>
      <c r="J153" s="21"/>
      <c r="K153" s="21"/>
      <c r="L153" s="21"/>
      <c r="M153" s="21"/>
      <c r="N153" s="21"/>
      <c r="O153" s="21"/>
      <c r="V153"/>
      <c r="W153"/>
      <c r="X153"/>
      <c r="Y153"/>
      <c r="Z153"/>
      <c r="AA153"/>
    </row>
    <row r="154" spans="1:27" x14ac:dyDescent="0.25">
      <c r="A154" s="74" t="s">
        <v>27</v>
      </c>
      <c r="B154" s="74"/>
      <c r="C154" s="74" t="s">
        <v>107</v>
      </c>
      <c r="D154" s="74"/>
      <c r="J154" s="21"/>
      <c r="K154" s="21"/>
      <c r="L154" s="21"/>
      <c r="M154" s="21"/>
      <c r="N154" s="21"/>
      <c r="O154" s="21"/>
      <c r="V154"/>
      <c r="W154"/>
      <c r="X154"/>
      <c r="Y154"/>
      <c r="Z154"/>
      <c r="AA154"/>
    </row>
    <row r="155" spans="1:27" x14ac:dyDescent="0.25">
      <c r="A155" s="15" t="s">
        <v>120</v>
      </c>
      <c r="B155" s="15" t="s">
        <v>4</v>
      </c>
      <c r="C155" s="15" t="s">
        <v>120</v>
      </c>
      <c r="D155" s="15" t="s">
        <v>4</v>
      </c>
      <c r="J155" s="21"/>
      <c r="K155" s="21"/>
      <c r="L155" s="21"/>
      <c r="M155" s="21"/>
      <c r="N155" s="21"/>
      <c r="O155" s="21"/>
      <c r="V155"/>
      <c r="W155"/>
      <c r="X155"/>
      <c r="Y155"/>
      <c r="Z155"/>
      <c r="AA155"/>
    </row>
    <row r="156" spans="1:27" x14ac:dyDescent="0.25">
      <c r="A156" s="23">
        <v>4.3</v>
      </c>
      <c r="B156" s="23">
        <v>11.3</v>
      </c>
      <c r="C156" s="23">
        <v>3.02</v>
      </c>
      <c r="D156" s="23">
        <v>1.1399999999999999</v>
      </c>
      <c r="J156" s="21"/>
      <c r="K156" s="21"/>
      <c r="L156" s="21"/>
      <c r="M156" s="21"/>
      <c r="N156" s="21"/>
      <c r="O156" s="21"/>
      <c r="V156"/>
      <c r="W156"/>
      <c r="X156"/>
      <c r="Y156"/>
      <c r="Z156"/>
      <c r="AA156"/>
    </row>
    <row r="157" spans="1:27" x14ac:dyDescent="0.25">
      <c r="A157" s="23">
        <v>4.9800000000000004</v>
      </c>
      <c r="B157" s="23">
        <v>6.58</v>
      </c>
      <c r="C157" s="23">
        <v>3.08</v>
      </c>
      <c r="D157" s="23">
        <v>2.84</v>
      </c>
      <c r="J157" s="21"/>
      <c r="K157" s="21"/>
      <c r="L157" s="21"/>
      <c r="M157" s="21"/>
      <c r="N157" s="21"/>
      <c r="O157" s="21"/>
      <c r="V157"/>
      <c r="W157"/>
      <c r="X157"/>
      <c r="Y157"/>
      <c r="Z157"/>
      <c r="AA157"/>
    </row>
    <row r="158" spans="1:27" x14ac:dyDescent="0.25">
      <c r="A158" s="23">
        <v>5.49</v>
      </c>
      <c r="B158" s="23">
        <v>7.16</v>
      </c>
      <c r="C158" s="23">
        <v>3.57</v>
      </c>
      <c r="D158" s="23">
        <v>3.04</v>
      </c>
      <c r="J158" s="21"/>
      <c r="K158" s="21"/>
      <c r="L158" s="21"/>
      <c r="M158" s="21"/>
      <c r="N158" s="21"/>
      <c r="O158" s="21"/>
      <c r="V158"/>
      <c r="W158"/>
      <c r="X158"/>
      <c r="Y158"/>
      <c r="Z158"/>
      <c r="AA158"/>
    </row>
    <row r="159" spans="1:27" x14ac:dyDescent="0.25">
      <c r="A159" s="23">
        <v>3.32</v>
      </c>
      <c r="B159" s="23">
        <v>5.72</v>
      </c>
      <c r="C159" s="23">
        <v>2.48</v>
      </c>
      <c r="D159" s="23">
        <v>4.93</v>
      </c>
      <c r="J159" s="21"/>
      <c r="K159" s="21"/>
      <c r="L159" s="21"/>
      <c r="M159" s="21"/>
      <c r="N159" s="21"/>
      <c r="O159" s="21"/>
      <c r="V159"/>
      <c r="W159"/>
      <c r="X159"/>
      <c r="Y159"/>
      <c r="Z159"/>
      <c r="AA159"/>
    </row>
    <row r="160" spans="1:27" x14ac:dyDescent="0.25">
      <c r="A160" s="23">
        <v>3.38</v>
      </c>
      <c r="B160" s="23">
        <v>7.26</v>
      </c>
      <c r="C160" s="23">
        <v>0.82</v>
      </c>
      <c r="D160" s="23">
        <v>1.94</v>
      </c>
      <c r="J160" s="21"/>
      <c r="K160" s="21"/>
      <c r="L160" s="21"/>
      <c r="M160" s="21"/>
      <c r="N160" s="21"/>
      <c r="O160" s="21"/>
      <c r="V160"/>
      <c r="W160"/>
      <c r="X160"/>
      <c r="Y160"/>
      <c r="Z160"/>
      <c r="AA160"/>
    </row>
    <row r="161" spans="1:27" x14ac:dyDescent="0.25">
      <c r="A161" s="23">
        <v>4.3600000000000003</v>
      </c>
      <c r="B161" s="23">
        <v>7.64</v>
      </c>
      <c r="C161" s="23">
        <v>5.26</v>
      </c>
      <c r="D161" s="23">
        <v>11.6</v>
      </c>
      <c r="J161" s="21"/>
      <c r="K161" s="21"/>
      <c r="L161" s="21"/>
      <c r="M161" s="21"/>
      <c r="N161" s="21"/>
      <c r="O161" s="21"/>
      <c r="V161"/>
      <c r="W161"/>
      <c r="X161"/>
      <c r="Y161"/>
      <c r="Z161"/>
      <c r="AA161"/>
    </row>
    <row r="162" spans="1:27" x14ac:dyDescent="0.25">
      <c r="A162" s="23">
        <v>4.42</v>
      </c>
      <c r="B162" s="23">
        <v>7.15</v>
      </c>
      <c r="C162" s="23">
        <v>2.91</v>
      </c>
      <c r="D162" s="23">
        <v>2.68</v>
      </c>
      <c r="J162" s="21"/>
      <c r="K162" s="21"/>
      <c r="L162" s="21"/>
      <c r="M162" s="21"/>
      <c r="N162" s="21"/>
      <c r="O162" s="21"/>
      <c r="V162"/>
      <c r="W162"/>
      <c r="X162"/>
      <c r="Y162"/>
      <c r="Z162"/>
      <c r="AA162"/>
    </row>
    <row r="163" spans="1:27" x14ac:dyDescent="0.25">
      <c r="A163" s="23">
        <v>4.05</v>
      </c>
      <c r="B163" s="23">
        <v>6.83</v>
      </c>
      <c r="C163" s="23">
        <v>3.03</v>
      </c>
      <c r="D163" s="23">
        <v>4.3</v>
      </c>
      <c r="J163" s="21"/>
      <c r="K163" s="21"/>
      <c r="L163" s="21"/>
      <c r="M163" s="21"/>
      <c r="N163" s="21"/>
      <c r="O163" s="21"/>
      <c r="V163"/>
      <c r="W163"/>
      <c r="X163"/>
      <c r="Y163"/>
      <c r="Z163"/>
      <c r="AA163"/>
    </row>
    <row r="164" spans="1:27" x14ac:dyDescent="0.25">
      <c r="A164" s="23">
        <v>5.56</v>
      </c>
      <c r="B164" s="23">
        <v>8.2899999999999991</v>
      </c>
      <c r="C164" s="23">
        <v>5.9</v>
      </c>
      <c r="D164" s="23">
        <v>3.84</v>
      </c>
      <c r="J164" s="21"/>
      <c r="K164" s="21"/>
      <c r="L164" s="21"/>
      <c r="M164" s="21"/>
      <c r="N164" s="21"/>
      <c r="O164" s="21"/>
      <c r="V164"/>
      <c r="W164"/>
      <c r="X164"/>
      <c r="Y164"/>
      <c r="Z164"/>
      <c r="AA164"/>
    </row>
    <row r="165" spans="1:27" x14ac:dyDescent="0.25">
      <c r="A165" s="23">
        <v>8.6</v>
      </c>
      <c r="B165" s="23">
        <v>7.14</v>
      </c>
      <c r="C165" s="23">
        <v>2.67</v>
      </c>
      <c r="D165" s="23">
        <v>4.07</v>
      </c>
      <c r="J165" s="21"/>
      <c r="K165" s="21"/>
      <c r="L165" s="21"/>
      <c r="M165" s="21"/>
      <c r="N165" s="21"/>
      <c r="O165" s="21"/>
      <c r="V165"/>
      <c r="W165"/>
      <c r="X165"/>
      <c r="Y165"/>
      <c r="Z165"/>
      <c r="AA165"/>
    </row>
    <row r="166" spans="1:27" x14ac:dyDescent="0.25">
      <c r="A166" s="23">
        <v>4.33</v>
      </c>
      <c r="B166" s="23">
        <v>7.72</v>
      </c>
      <c r="C166" s="23">
        <v>4.68</v>
      </c>
      <c r="D166" s="23">
        <v>2.79</v>
      </c>
    </row>
    <row r="167" spans="1:27" x14ac:dyDescent="0.25">
      <c r="A167" s="23">
        <v>4.1900000000000004</v>
      </c>
      <c r="B167" s="23">
        <v>7.04</v>
      </c>
      <c r="C167" s="23">
        <v>3.8</v>
      </c>
      <c r="D167" s="23">
        <v>3.25</v>
      </c>
    </row>
    <row r="168" spans="1:27" x14ac:dyDescent="0.25">
      <c r="A168" s="20"/>
      <c r="B168" s="20"/>
      <c r="C168" s="20"/>
      <c r="D168" s="20"/>
    </row>
    <row r="169" spans="1:27" x14ac:dyDescent="0.25">
      <c r="A169" s="1" t="s">
        <v>228</v>
      </c>
      <c r="B169" s="21"/>
      <c r="C169" s="1" t="s">
        <v>182</v>
      </c>
      <c r="D169" s="21"/>
      <c r="F169" s="1" t="s">
        <v>182</v>
      </c>
      <c r="G169" s="21"/>
      <c r="I169" s="21"/>
    </row>
    <row r="170" spans="1:27" x14ac:dyDescent="0.25">
      <c r="A170" s="74" t="s">
        <v>174</v>
      </c>
      <c r="B170" s="74"/>
      <c r="C170" s="74"/>
      <c r="D170" s="74"/>
      <c r="F170" s="74" t="s">
        <v>175</v>
      </c>
      <c r="G170" s="74"/>
      <c r="H170" s="74"/>
      <c r="I170" s="74"/>
      <c r="K170" s="69"/>
    </row>
    <row r="171" spans="1:27" x14ac:dyDescent="0.25">
      <c r="A171" s="74" t="s">
        <v>27</v>
      </c>
      <c r="B171" s="74"/>
      <c r="C171" s="74" t="s">
        <v>107</v>
      </c>
      <c r="D171" s="74"/>
      <c r="F171" s="74" t="s">
        <v>27</v>
      </c>
      <c r="G171" s="74"/>
      <c r="H171" s="74" t="s">
        <v>107</v>
      </c>
      <c r="I171" s="74"/>
    </row>
    <row r="172" spans="1:27" x14ac:dyDescent="0.25">
      <c r="A172" s="15" t="s">
        <v>120</v>
      </c>
      <c r="B172" s="15" t="s">
        <v>4</v>
      </c>
      <c r="C172" s="15" t="s">
        <v>120</v>
      </c>
      <c r="D172" s="15" t="s">
        <v>4</v>
      </c>
      <c r="F172" s="15" t="s">
        <v>120</v>
      </c>
      <c r="G172" s="15" t="s">
        <v>4</v>
      </c>
      <c r="H172" s="15" t="s">
        <v>120</v>
      </c>
      <c r="I172" s="15" t="s">
        <v>4</v>
      </c>
    </row>
    <row r="173" spans="1:27" x14ac:dyDescent="0.25">
      <c r="A173" s="23">
        <v>0.35137200000000002</v>
      </c>
      <c r="B173" s="23">
        <v>1.01372</v>
      </c>
      <c r="C173" s="23">
        <v>6.2195119999999999</v>
      </c>
      <c r="D173" s="23">
        <v>5.6478659999999996</v>
      </c>
      <c r="F173" s="23">
        <v>0.30695699999999998</v>
      </c>
      <c r="G173" s="23">
        <v>0.886957</v>
      </c>
      <c r="H173" s="23">
        <v>6.0608700000000004</v>
      </c>
      <c r="I173" s="23">
        <v>3.347826</v>
      </c>
    </row>
    <row r="174" spans="1:27" x14ac:dyDescent="0.25">
      <c r="A174" s="23">
        <v>0.60060999999999998</v>
      </c>
      <c r="B174" s="23">
        <v>0.208841</v>
      </c>
      <c r="C174" s="23">
        <v>5.922256</v>
      </c>
      <c r="D174" s="23">
        <v>4.8246950000000002</v>
      </c>
      <c r="F174" s="23">
        <v>0.49478299999999997</v>
      </c>
      <c r="G174" s="23">
        <v>0.25217400000000001</v>
      </c>
      <c r="H174" s="23">
        <v>5.5478259999999997</v>
      </c>
      <c r="I174" s="23">
        <v>4.0434780000000003</v>
      </c>
    </row>
    <row r="175" spans="1:27" x14ac:dyDescent="0.25">
      <c r="A175" s="23">
        <v>2.1417679999999999</v>
      </c>
      <c r="B175" s="23">
        <v>0.4375</v>
      </c>
      <c r="C175" s="23">
        <v>5.2439020000000003</v>
      </c>
      <c r="D175" s="23">
        <v>3.6509149999999999</v>
      </c>
      <c r="F175" s="23">
        <v>2.8</v>
      </c>
      <c r="G175" s="23">
        <v>0.373913</v>
      </c>
      <c r="H175" s="23">
        <v>4.5913040000000001</v>
      </c>
      <c r="I175" s="23">
        <v>3.2695650000000001</v>
      </c>
    </row>
    <row r="176" spans="1:27" x14ac:dyDescent="0.25">
      <c r="A176" s="23">
        <v>1.1204270000000001</v>
      </c>
      <c r="B176" s="23">
        <v>0.89939000000000002</v>
      </c>
      <c r="C176" s="23">
        <v>3.9634149999999999</v>
      </c>
      <c r="D176" s="23">
        <v>4.5426830000000002</v>
      </c>
      <c r="F176" s="23">
        <v>0.95652199999999998</v>
      </c>
      <c r="G176" s="23">
        <v>0.829565</v>
      </c>
      <c r="H176" s="23">
        <v>4.2869570000000001</v>
      </c>
      <c r="I176" s="23">
        <v>5.2782609999999996</v>
      </c>
    </row>
    <row r="177" spans="1:27" x14ac:dyDescent="0.25">
      <c r="A177" s="23">
        <v>0.75685999999999998</v>
      </c>
      <c r="B177" s="23">
        <v>0.50304899999999997</v>
      </c>
      <c r="C177" s="23">
        <v>0.98323199999999999</v>
      </c>
      <c r="D177" s="23">
        <v>7.0121950000000002</v>
      </c>
      <c r="F177" s="23">
        <v>0.56347800000000003</v>
      </c>
      <c r="G177" s="23">
        <v>0.62</v>
      </c>
      <c r="H177" s="23">
        <v>0.58434799999999998</v>
      </c>
      <c r="I177" s="23">
        <v>5.2782609999999996</v>
      </c>
    </row>
    <row r="178" spans="1:27" x14ac:dyDescent="0.25">
      <c r="A178" s="23">
        <v>1.0289630000000001</v>
      </c>
      <c r="B178" s="23">
        <v>1.3414630000000001</v>
      </c>
      <c r="C178" s="23">
        <v>6.7225609999999998</v>
      </c>
      <c r="D178" s="23">
        <v>7.4923780000000004</v>
      </c>
      <c r="F178" s="23">
        <v>0.87826099999999996</v>
      </c>
      <c r="G178" s="23">
        <v>1.4086959999999999</v>
      </c>
      <c r="H178" s="23">
        <v>5.2</v>
      </c>
      <c r="I178" s="23">
        <v>6.1217389999999998</v>
      </c>
    </row>
    <row r="179" spans="1:27" x14ac:dyDescent="0.25">
      <c r="A179" s="23">
        <v>0.94093400000000005</v>
      </c>
      <c r="B179" s="23">
        <v>0.99045700000000003</v>
      </c>
      <c r="C179" s="23">
        <v>0.59582199999999996</v>
      </c>
      <c r="D179" s="23">
        <v>1.640444</v>
      </c>
      <c r="F179" s="23">
        <v>0.9143</v>
      </c>
      <c r="G179" s="23">
        <v>1.4984789999999999</v>
      </c>
      <c r="H179" s="23">
        <v>0.264706</v>
      </c>
      <c r="I179" s="23">
        <v>1.612576</v>
      </c>
    </row>
    <row r="180" spans="1:27" x14ac:dyDescent="0.25">
      <c r="A180" s="23">
        <v>2.4451900000000002</v>
      </c>
      <c r="B180" s="23">
        <v>0.52463199999999999</v>
      </c>
      <c r="C180" s="23">
        <v>0.92391000000000001</v>
      </c>
      <c r="D180" s="23">
        <v>5.0451379999999997</v>
      </c>
      <c r="F180" s="23">
        <v>2.6470590000000001</v>
      </c>
      <c r="G180" s="23">
        <v>0.59787000000000001</v>
      </c>
      <c r="H180" s="23">
        <v>0.56592299999999995</v>
      </c>
      <c r="I180" s="23">
        <v>10.90771</v>
      </c>
    </row>
    <row r="181" spans="1:27" x14ac:dyDescent="0.25">
      <c r="A181" s="23">
        <v>1.3015220000000001</v>
      </c>
      <c r="B181" s="23">
        <v>0.85891200000000001</v>
      </c>
      <c r="C181" s="23">
        <v>0.77224700000000002</v>
      </c>
      <c r="D181" s="23">
        <v>1.1777150000000001</v>
      </c>
      <c r="F181" s="23">
        <v>1.458925</v>
      </c>
      <c r="G181" s="23">
        <v>1.174442</v>
      </c>
      <c r="H181" s="23">
        <v>0.757606</v>
      </c>
      <c r="I181" s="23">
        <v>1.4345840000000001</v>
      </c>
    </row>
    <row r="182" spans="1:27" x14ac:dyDescent="0.25">
      <c r="A182" s="23">
        <v>0.34201700000000002</v>
      </c>
      <c r="B182" s="23">
        <v>1.764251</v>
      </c>
      <c r="C182" s="23">
        <v>1.4748520000000001</v>
      </c>
      <c r="D182" s="23">
        <v>6.0355949999999998</v>
      </c>
      <c r="F182" s="23">
        <v>0.371197</v>
      </c>
      <c r="G182" s="23">
        <v>2.2363080000000002</v>
      </c>
      <c r="H182" s="23">
        <v>1.2352939999999999</v>
      </c>
      <c r="I182" s="23">
        <v>7.5760649999999998</v>
      </c>
    </row>
    <row r="183" spans="1:27" x14ac:dyDescent="0.25">
      <c r="A183" s="23">
        <v>0.24451899999999999</v>
      </c>
      <c r="B183" s="23">
        <v>1.0829850000000001</v>
      </c>
      <c r="C183" s="23">
        <v>0.99045700000000003</v>
      </c>
      <c r="D183" s="23">
        <v>1.764251</v>
      </c>
      <c r="F183" s="23">
        <v>8.9757000000000003E-2</v>
      </c>
      <c r="G183" s="23">
        <v>1.114967</v>
      </c>
      <c r="H183" s="23">
        <v>0.76217000000000001</v>
      </c>
      <c r="I183" s="23">
        <v>1.3980729999999999</v>
      </c>
    </row>
    <row r="184" spans="1:27" x14ac:dyDescent="0.25">
      <c r="A184" s="23">
        <v>0.72581899999999999</v>
      </c>
      <c r="B184" s="23">
        <v>0.24433199999999999</v>
      </c>
      <c r="C184" s="23">
        <v>4.8749029999999998</v>
      </c>
      <c r="D184" s="23">
        <v>0.44261</v>
      </c>
      <c r="F184" s="23">
        <v>0.51876299999999997</v>
      </c>
      <c r="G184" s="23">
        <v>0.21560499999999999</v>
      </c>
      <c r="H184" s="23">
        <v>3.7728190000000001</v>
      </c>
      <c r="I184" s="23">
        <v>0.39097399999999999</v>
      </c>
    </row>
    <row r="185" spans="1:27" s="20" customFormat="1" x14ac:dyDescent="0.25">
      <c r="A185" s="23">
        <v>0.63460300000000003</v>
      </c>
      <c r="B185" s="23">
        <v>0.30178300000000002</v>
      </c>
      <c r="C185" s="23">
        <v>3.1234869999999999</v>
      </c>
      <c r="D185" s="23">
        <v>0.74620299999999995</v>
      </c>
      <c r="F185" s="23">
        <v>1.2493000000000001</v>
      </c>
      <c r="G185" s="23">
        <v>0.226352</v>
      </c>
      <c r="H185" s="23">
        <v>3.0359340000000001</v>
      </c>
      <c r="I185" s="23">
        <v>1.02765</v>
      </c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1:27" s="20" customFormat="1" x14ac:dyDescent="0.25">
      <c r="A186" s="23">
        <v>1.6244769999999999</v>
      </c>
      <c r="B186" s="23">
        <v>2.9451900000000002</v>
      </c>
      <c r="C186" s="23">
        <v>3.1102799999999999</v>
      </c>
      <c r="D186" s="23">
        <v>1.842395</v>
      </c>
      <c r="F186" s="23">
        <v>0.91346700000000003</v>
      </c>
      <c r="G186" s="23">
        <v>2.2299340000000001</v>
      </c>
      <c r="H186" s="23">
        <v>2.2836669999999999</v>
      </c>
      <c r="I186" s="23">
        <v>1.6455839999999999</v>
      </c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1:27" s="20" customFormat="1" x14ac:dyDescent="0.25">
      <c r="A187" s="23">
        <v>1.0697779999999999</v>
      </c>
      <c r="B187" s="23">
        <v>0.82544600000000001</v>
      </c>
      <c r="C187" s="23">
        <v>3.7244109999999999</v>
      </c>
      <c r="D187" s="23">
        <v>5.6724629999999996</v>
      </c>
      <c r="F187" s="23">
        <v>0.76570000000000005</v>
      </c>
      <c r="G187" s="23">
        <v>0.62263500000000005</v>
      </c>
      <c r="H187" s="23">
        <v>2.9150339999999999</v>
      </c>
      <c r="I187" s="23">
        <v>4.0434340000000004</v>
      </c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1:27" s="20" customFormat="1" x14ac:dyDescent="0.25">
      <c r="A188" s="23">
        <v>0.55800099999999997</v>
      </c>
      <c r="B188" s="23">
        <v>0.63460300000000003</v>
      </c>
      <c r="C188" s="23">
        <v>0.47215499999999999</v>
      </c>
      <c r="D188" s="23">
        <v>6.5309270000000001</v>
      </c>
      <c r="F188" s="23">
        <v>1.67245</v>
      </c>
      <c r="G188" s="23">
        <v>0.69853399999999999</v>
      </c>
      <c r="H188" s="23">
        <v>1.497817</v>
      </c>
      <c r="I188" s="23">
        <v>5.1919849999999999</v>
      </c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1:27" s="20" customFormat="1" x14ac:dyDescent="0.25">
      <c r="A189" s="23">
        <v>1.2810919999999999</v>
      </c>
      <c r="B189" s="23"/>
      <c r="C189" s="23">
        <v>4.2725070000000001</v>
      </c>
      <c r="D189" s="23">
        <v>1.320713</v>
      </c>
      <c r="F189" s="23">
        <v>0.57964800000000005</v>
      </c>
      <c r="G189" s="23"/>
      <c r="H189" s="23">
        <v>2.9822009999999999</v>
      </c>
      <c r="I189" s="23">
        <v>0.83286700000000002</v>
      </c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s="20" customFormat="1" x14ac:dyDescent="0.25">
      <c r="A190" s="23">
        <v>0.83204900000000004</v>
      </c>
      <c r="B190" s="23"/>
      <c r="C190" s="23">
        <v>0.178957</v>
      </c>
      <c r="D190" s="23"/>
      <c r="F190" s="23">
        <v>0.819434</v>
      </c>
      <c r="G190" s="23"/>
      <c r="H190" s="23">
        <v>1.222434</v>
      </c>
      <c r="I190" s="23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1:27" s="20" customFormat="1" x14ac:dyDescent="0.25">
      <c r="A191" s="70"/>
      <c r="B191" s="70"/>
      <c r="C191" s="70"/>
      <c r="D191" s="70"/>
      <c r="F191" s="24"/>
      <c r="G191" s="24"/>
      <c r="H191" s="24"/>
      <c r="I191" s="24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1:27" s="20" customFormat="1" x14ac:dyDescent="0.25">
      <c r="A192" s="24"/>
      <c r="B192" s="24"/>
      <c r="C192" s="24"/>
      <c r="D192" s="24"/>
      <c r="F192" s="24"/>
      <c r="G192" s="24"/>
      <c r="H192" s="24"/>
      <c r="I192" s="24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1:11" x14ac:dyDescent="0.25">
      <c r="A193" s="20"/>
      <c r="B193" s="20"/>
      <c r="C193" s="20"/>
      <c r="D193" s="20"/>
    </row>
    <row r="194" spans="1:11" x14ac:dyDescent="0.25">
      <c r="A194" s="1" t="s">
        <v>229</v>
      </c>
      <c r="B194" s="21"/>
      <c r="C194" s="1" t="s">
        <v>183</v>
      </c>
      <c r="D194" s="21"/>
      <c r="E194" s="20"/>
      <c r="F194" s="1" t="s">
        <v>65</v>
      </c>
      <c r="G194" s="21"/>
      <c r="H194" s="20"/>
      <c r="I194" s="21"/>
    </row>
    <row r="195" spans="1:11" x14ac:dyDescent="0.25">
      <c r="A195" s="75" t="s">
        <v>217</v>
      </c>
      <c r="B195" s="76"/>
      <c r="C195" s="76"/>
      <c r="D195" s="77"/>
      <c r="E195" s="20"/>
      <c r="F195" s="74" t="s">
        <v>218</v>
      </c>
      <c r="G195" s="74"/>
      <c r="H195" s="74"/>
      <c r="I195" s="74"/>
    </row>
    <row r="196" spans="1:11" x14ac:dyDescent="0.25">
      <c r="A196" s="75" t="s">
        <v>27</v>
      </c>
      <c r="B196" s="77"/>
      <c r="C196" s="75" t="s">
        <v>107</v>
      </c>
      <c r="D196" s="77"/>
      <c r="E196" s="20"/>
      <c r="F196" s="74" t="s">
        <v>27</v>
      </c>
      <c r="G196" s="74"/>
      <c r="H196" s="74" t="s">
        <v>107</v>
      </c>
      <c r="I196" s="74"/>
      <c r="K196" s="69"/>
    </row>
    <row r="197" spans="1:11" x14ac:dyDescent="0.25">
      <c r="A197" s="15" t="s">
        <v>120</v>
      </c>
      <c r="B197" s="15" t="s">
        <v>4</v>
      </c>
      <c r="C197" s="15" t="s">
        <v>120</v>
      </c>
      <c r="D197" s="15" t="s">
        <v>4</v>
      </c>
      <c r="E197" s="20"/>
      <c r="F197" s="15" t="s">
        <v>120</v>
      </c>
      <c r="G197" s="15" t="s">
        <v>4</v>
      </c>
      <c r="H197" s="15" t="s">
        <v>120</v>
      </c>
      <c r="I197" s="15" t="s">
        <v>4</v>
      </c>
    </row>
    <row r="198" spans="1:11" x14ac:dyDescent="0.25">
      <c r="A198" s="23">
        <v>5.35</v>
      </c>
      <c r="B198" s="23">
        <v>7.44</v>
      </c>
      <c r="C198" s="23">
        <v>0.96</v>
      </c>
      <c r="D198" s="23">
        <v>3.34</v>
      </c>
      <c r="E198" s="20"/>
      <c r="F198" s="23">
        <v>878.16110000000003</v>
      </c>
      <c r="G198" s="23">
        <v>2577.61</v>
      </c>
      <c r="H198" s="23">
        <v>900.97280000000001</v>
      </c>
      <c r="I198" s="23">
        <v>3658.0419999999999</v>
      </c>
    </row>
    <row r="199" spans="1:11" x14ac:dyDescent="0.25">
      <c r="A199" s="23">
        <v>8.9499999999999993</v>
      </c>
      <c r="B199" s="23">
        <v>3.73</v>
      </c>
      <c r="C199" s="23">
        <v>5.98</v>
      </c>
      <c r="D199" s="23">
        <v>6.69</v>
      </c>
      <c r="E199" s="20"/>
      <c r="F199" s="23">
        <v>716.16920000000005</v>
      </c>
      <c r="G199" s="23">
        <v>386.33580000000001</v>
      </c>
      <c r="H199" s="23">
        <v>4503.8119999999999</v>
      </c>
      <c r="I199" s="23">
        <v>3412.777</v>
      </c>
    </row>
    <row r="200" spans="1:11" x14ac:dyDescent="0.25">
      <c r="A200" s="23">
        <v>6.44</v>
      </c>
      <c r="B200" s="23">
        <v>7.46</v>
      </c>
      <c r="C200" s="23">
        <v>4.95</v>
      </c>
      <c r="D200" s="23">
        <v>2.21</v>
      </c>
      <c r="E200" s="20"/>
      <c r="F200" s="23">
        <v>1070.884</v>
      </c>
      <c r="G200" s="23">
        <v>1084.299</v>
      </c>
      <c r="H200" s="23">
        <v>2994.4</v>
      </c>
      <c r="I200" s="23">
        <v>2393.402</v>
      </c>
    </row>
    <row r="201" spans="1:11" x14ac:dyDescent="0.25">
      <c r="A201" s="23">
        <v>3.49</v>
      </c>
      <c r="B201" s="23">
        <v>14.1</v>
      </c>
      <c r="C201" s="23">
        <v>2.2200000000000002</v>
      </c>
      <c r="D201" s="23">
        <v>0.88</v>
      </c>
      <c r="E201" s="20"/>
      <c r="F201" s="23">
        <v>697.47820000000002</v>
      </c>
      <c r="G201" s="23">
        <v>1996.5250000000001</v>
      </c>
      <c r="H201" s="23">
        <v>570.20169999999996</v>
      </c>
      <c r="I201" s="23">
        <v>509.7183</v>
      </c>
    </row>
    <row r="202" spans="1:11" x14ac:dyDescent="0.25">
      <c r="A202" s="23">
        <v>8.76</v>
      </c>
      <c r="B202" s="23">
        <v>8.17</v>
      </c>
      <c r="C202" s="23">
        <v>2.98</v>
      </c>
      <c r="D202" s="23">
        <v>8.01</v>
      </c>
      <c r="E202" s="20"/>
      <c r="F202" s="23">
        <v>1280.8630000000001</v>
      </c>
      <c r="G202" s="23">
        <v>1958.028</v>
      </c>
      <c r="H202" s="23">
        <v>868.51199999999994</v>
      </c>
      <c r="I202" s="23">
        <v>7575.1589999999997</v>
      </c>
    </row>
    <row r="203" spans="1:11" x14ac:dyDescent="0.25">
      <c r="A203" s="23">
        <v>2.74</v>
      </c>
      <c r="B203" s="23">
        <v>5.94</v>
      </c>
      <c r="C203" s="23">
        <v>2.2000000000000002</v>
      </c>
      <c r="D203" s="23">
        <v>6.56</v>
      </c>
      <c r="E203" s="20"/>
      <c r="F203" s="23">
        <v>1012.539</v>
      </c>
      <c r="G203" s="23">
        <v>1585.645</v>
      </c>
      <c r="H203" s="23">
        <v>313.9821</v>
      </c>
      <c r="I203" s="23">
        <v>3519.2139999999999</v>
      </c>
    </row>
    <row r="204" spans="1:11" x14ac:dyDescent="0.25">
      <c r="A204" s="24"/>
      <c r="B204" s="24"/>
      <c r="C204" s="24"/>
      <c r="D204" s="24"/>
      <c r="E204" s="86"/>
      <c r="F204" s="24"/>
      <c r="G204" s="24"/>
      <c r="H204" s="24"/>
      <c r="I204" s="24"/>
    </row>
    <row r="205" spans="1:11" x14ac:dyDescent="0.25">
      <c r="A205" s="24"/>
      <c r="B205" s="24"/>
      <c r="C205" s="24"/>
      <c r="D205" s="24"/>
      <c r="E205" s="86"/>
      <c r="F205" s="24"/>
      <c r="G205" s="24"/>
      <c r="H205" s="24"/>
      <c r="I205" s="24"/>
    </row>
    <row r="206" spans="1:11" x14ac:dyDescent="0.25">
      <c r="A206" s="24"/>
      <c r="B206" s="24"/>
      <c r="C206" s="24"/>
      <c r="D206" s="24"/>
      <c r="E206" s="86"/>
      <c r="F206" s="24"/>
      <c r="G206" s="24"/>
      <c r="H206" s="24"/>
      <c r="I206" s="24"/>
    </row>
    <row r="207" spans="1:11" x14ac:dyDescent="0.25">
      <c r="A207" s="24"/>
      <c r="B207" s="24"/>
      <c r="C207" s="24"/>
      <c r="D207" s="24"/>
      <c r="E207" s="86"/>
      <c r="F207" s="24"/>
      <c r="G207" s="24"/>
      <c r="H207" s="24"/>
      <c r="I207" s="24"/>
    </row>
    <row r="208" spans="1:11" x14ac:dyDescent="0.25">
      <c r="A208" s="24"/>
      <c r="B208" s="24"/>
      <c r="C208" s="24"/>
      <c r="D208" s="24"/>
      <c r="E208" s="86"/>
      <c r="F208" s="24"/>
      <c r="G208" s="24"/>
      <c r="H208" s="24"/>
      <c r="I208" s="24"/>
    </row>
    <row r="209" spans="1:9" x14ac:dyDescent="0.25">
      <c r="A209" s="24"/>
      <c r="B209" s="24"/>
      <c r="C209" s="24"/>
      <c r="D209" s="24"/>
      <c r="E209" s="86"/>
      <c r="F209" s="24"/>
      <c r="G209" s="24"/>
      <c r="H209" s="24"/>
      <c r="I209" s="24"/>
    </row>
    <row r="210" spans="1:9" x14ac:dyDescent="0.25">
      <c r="A210" s="86"/>
      <c r="B210" s="86"/>
      <c r="C210" s="86"/>
      <c r="D210" s="86"/>
      <c r="E210" s="86"/>
      <c r="F210" s="86"/>
      <c r="G210" s="86"/>
      <c r="H210" s="86"/>
      <c r="I210" s="86"/>
    </row>
    <row r="211" spans="1:9" x14ac:dyDescent="0.25">
      <c r="A211" s="86"/>
      <c r="B211" s="86"/>
      <c r="C211" s="86"/>
      <c r="D211" s="86"/>
      <c r="E211" s="86"/>
      <c r="F211" s="86"/>
      <c r="G211" s="86"/>
      <c r="H211" s="86"/>
      <c r="I211" s="86"/>
    </row>
  </sheetData>
  <mergeCells count="36">
    <mergeCell ref="A195:D195"/>
    <mergeCell ref="F195:I195"/>
    <mergeCell ref="A196:B196"/>
    <mergeCell ref="C196:D196"/>
    <mergeCell ref="F196:G196"/>
    <mergeCell ref="H196:I196"/>
    <mergeCell ref="A170:D170"/>
    <mergeCell ref="A171:B171"/>
    <mergeCell ref="C171:D171"/>
    <mergeCell ref="F170:I170"/>
    <mergeCell ref="F171:G171"/>
    <mergeCell ref="H171:I171"/>
    <mergeCell ref="A69:A77"/>
    <mergeCell ref="A80:D80"/>
    <mergeCell ref="A81:B81"/>
    <mergeCell ref="C81:D81"/>
    <mergeCell ref="A124:D124"/>
    <mergeCell ref="A107:D107"/>
    <mergeCell ref="A108:B108"/>
    <mergeCell ref="C108:D108"/>
    <mergeCell ref="A3:A19"/>
    <mergeCell ref="A20:A33"/>
    <mergeCell ref="A34:A42"/>
    <mergeCell ref="A43:A55"/>
    <mergeCell ref="A56:A68"/>
    <mergeCell ref="A154:B154"/>
    <mergeCell ref="C154:D154"/>
    <mergeCell ref="A153:D153"/>
    <mergeCell ref="A125:B125"/>
    <mergeCell ref="C125:D125"/>
    <mergeCell ref="F124:I124"/>
    <mergeCell ref="F125:G125"/>
    <mergeCell ref="H125:I125"/>
    <mergeCell ref="F107:I107"/>
    <mergeCell ref="F108:G108"/>
    <mergeCell ref="H108:I10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5172-6ED2-4485-AE91-C8D1AF309DC6}">
  <dimension ref="A1:X30"/>
  <sheetViews>
    <sheetView tabSelected="1" workbookViewId="0">
      <selection activeCell="E23" sqref="E23"/>
    </sheetView>
  </sheetViews>
  <sheetFormatPr defaultRowHeight="15.75" x14ac:dyDescent="0.25"/>
  <sheetData>
    <row r="1" spans="1:24" s="21" customFormat="1" ht="15" x14ac:dyDescent="0.2">
      <c r="A1" s="21" t="s">
        <v>230</v>
      </c>
    </row>
    <row r="2" spans="1:24" s="21" customFormat="1" ht="15" x14ac:dyDescent="0.2">
      <c r="A2" s="74" t="s">
        <v>190</v>
      </c>
      <c r="B2" s="74"/>
      <c r="C2" s="74"/>
      <c r="D2" s="74"/>
      <c r="F2" s="74" t="s">
        <v>191</v>
      </c>
      <c r="G2" s="74"/>
      <c r="H2" s="74"/>
      <c r="I2" s="74"/>
      <c r="K2" s="74" t="s">
        <v>192</v>
      </c>
      <c r="L2" s="74"/>
      <c r="M2" s="74"/>
      <c r="N2" s="74"/>
      <c r="P2" s="74" t="s">
        <v>193</v>
      </c>
      <c r="Q2" s="74"/>
      <c r="R2" s="74"/>
      <c r="S2" s="74"/>
      <c r="U2" s="74" t="s">
        <v>194</v>
      </c>
      <c r="V2" s="74"/>
      <c r="W2" s="74"/>
      <c r="X2" s="74"/>
    </row>
    <row r="3" spans="1:24" s="21" customFormat="1" ht="15" x14ac:dyDescent="0.2">
      <c r="A3" s="74" t="s">
        <v>27</v>
      </c>
      <c r="B3" s="74"/>
      <c r="C3" s="74" t="s">
        <v>195</v>
      </c>
      <c r="D3" s="74"/>
      <c r="F3" s="74" t="s">
        <v>27</v>
      </c>
      <c r="G3" s="74"/>
      <c r="H3" s="74" t="s">
        <v>195</v>
      </c>
      <c r="I3" s="74"/>
      <c r="K3" s="74" t="s">
        <v>27</v>
      </c>
      <c r="L3" s="74"/>
      <c r="M3" s="74" t="s">
        <v>195</v>
      </c>
      <c r="N3" s="74"/>
      <c r="P3" s="74" t="s">
        <v>27</v>
      </c>
      <c r="Q3" s="74"/>
      <c r="R3" s="74" t="s">
        <v>195</v>
      </c>
      <c r="S3" s="74"/>
      <c r="U3" s="74" t="s">
        <v>27</v>
      </c>
      <c r="V3" s="74"/>
      <c r="W3" s="74" t="s">
        <v>195</v>
      </c>
      <c r="X3" s="74"/>
    </row>
    <row r="4" spans="1:24" s="21" customFormat="1" ht="15" x14ac:dyDescent="0.2">
      <c r="A4" s="15" t="s">
        <v>106</v>
      </c>
      <c r="B4" s="15" t="s">
        <v>4</v>
      </c>
      <c r="C4" s="15" t="s">
        <v>106</v>
      </c>
      <c r="D4" s="15" t="s">
        <v>4</v>
      </c>
      <c r="F4" s="15" t="s">
        <v>106</v>
      </c>
      <c r="G4" s="15" t="s">
        <v>4</v>
      </c>
      <c r="H4" s="15" t="s">
        <v>106</v>
      </c>
      <c r="I4" s="15" t="s">
        <v>4</v>
      </c>
      <c r="K4" s="15" t="s">
        <v>106</v>
      </c>
      <c r="L4" s="15" t="s">
        <v>4</v>
      </c>
      <c r="M4" s="15" t="s">
        <v>106</v>
      </c>
      <c r="N4" s="15" t="s">
        <v>4</v>
      </c>
      <c r="P4" s="15" t="s">
        <v>106</v>
      </c>
      <c r="Q4" s="15" t="s">
        <v>4</v>
      </c>
      <c r="R4" s="15" t="s">
        <v>106</v>
      </c>
      <c r="S4" s="15" t="s">
        <v>4</v>
      </c>
      <c r="U4" s="15" t="s">
        <v>106</v>
      </c>
      <c r="V4" s="15" t="s">
        <v>4</v>
      </c>
      <c r="W4" s="15" t="s">
        <v>106</v>
      </c>
      <c r="X4" s="15" t="s">
        <v>4</v>
      </c>
    </row>
    <row r="5" spans="1:24" s="21" customFormat="1" ht="15" x14ac:dyDescent="0.2">
      <c r="A5" s="72">
        <v>45.9375</v>
      </c>
      <c r="B5" s="72">
        <v>31.79413179413179</v>
      </c>
      <c r="C5" s="72">
        <v>35.070231082917992</v>
      </c>
      <c r="D5" s="72">
        <v>33.211845102505691</v>
      </c>
      <c r="F5" s="72">
        <v>20.401785714285715</v>
      </c>
      <c r="G5" s="72">
        <v>25.044091710758376</v>
      </c>
      <c r="H5" s="72">
        <v>13.9555958314454</v>
      </c>
      <c r="I5" s="72">
        <v>7.6993166287015944</v>
      </c>
      <c r="K5" s="72">
        <v>12.991071428571429</v>
      </c>
      <c r="L5" s="72">
        <v>15.953182619849288</v>
      </c>
      <c r="M5" s="72">
        <v>16.357045763479835</v>
      </c>
      <c r="N5" s="72">
        <v>17.995444191343964</v>
      </c>
      <c r="P5" s="72">
        <v>9.196428571428573</v>
      </c>
      <c r="Q5" s="72">
        <v>10.774410774410773</v>
      </c>
      <c r="R5" s="72">
        <v>8.2011780697779777</v>
      </c>
      <c r="S5" s="72">
        <v>10.523917995444192</v>
      </c>
      <c r="U5" s="72">
        <v>2.5892857142857144</v>
      </c>
      <c r="V5" s="72">
        <v>3.2547699214365879</v>
      </c>
      <c r="W5" s="72">
        <v>2.628001812415043</v>
      </c>
      <c r="X5" s="72">
        <v>10.478359908883828</v>
      </c>
    </row>
    <row r="6" spans="1:24" s="21" customFormat="1" ht="15" x14ac:dyDescent="0.2">
      <c r="A6" s="72">
        <v>40.225910557860765</v>
      </c>
      <c r="B6" s="72">
        <v>42.273161413562562</v>
      </c>
      <c r="C6" s="72">
        <v>40.568965517241381</v>
      </c>
      <c r="D6" s="72">
        <v>29.012345679012348</v>
      </c>
      <c r="F6" s="72">
        <v>17.680958967266022</v>
      </c>
      <c r="G6" s="72">
        <v>17.936962750716333</v>
      </c>
      <c r="H6" s="72">
        <v>14.103448275862068</v>
      </c>
      <c r="I6" s="72">
        <v>7.3302469135802477</v>
      </c>
      <c r="K6" s="72">
        <v>14.983863531581374</v>
      </c>
      <c r="L6" s="72">
        <v>16.638013371537728</v>
      </c>
      <c r="M6" s="72">
        <v>14.879310344827587</v>
      </c>
      <c r="N6" s="72">
        <v>13.425925925925927</v>
      </c>
      <c r="P6" s="72">
        <v>8.2065467957584133</v>
      </c>
      <c r="Q6" s="72">
        <v>9.8758357211079275</v>
      </c>
      <c r="R6" s="72">
        <v>9.1724137931034484</v>
      </c>
      <c r="S6" s="72">
        <v>9.9537037037037042</v>
      </c>
      <c r="U6" s="72">
        <v>7.6763485477178426</v>
      </c>
      <c r="V6" s="72">
        <v>3.2473734479465137</v>
      </c>
      <c r="W6" s="72">
        <v>4.3965517241379306</v>
      </c>
      <c r="X6" s="72">
        <v>17.592592592592592</v>
      </c>
    </row>
    <row r="7" spans="1:24" s="21" customFormat="1" ht="15" x14ac:dyDescent="0.2">
      <c r="A7" s="72">
        <v>42.41286863270777</v>
      </c>
      <c r="B7" s="72">
        <v>38.140747176368379</v>
      </c>
      <c r="C7" s="72">
        <v>34.775749380211856</v>
      </c>
      <c r="D7" s="72">
        <v>28.639904134212102</v>
      </c>
      <c r="F7" s="72">
        <v>5.5764075067024121</v>
      </c>
      <c r="G7" s="72">
        <v>16.463944396177236</v>
      </c>
      <c r="H7" s="72">
        <v>12.981744421906694</v>
      </c>
      <c r="I7" s="72">
        <v>18.394248052726184</v>
      </c>
      <c r="K7" s="72">
        <v>13.672922252010725</v>
      </c>
      <c r="L7" s="72">
        <v>15.855777584708949</v>
      </c>
      <c r="M7" s="72">
        <v>13.477574938021187</v>
      </c>
      <c r="N7" s="72">
        <v>17.25584182144997</v>
      </c>
      <c r="P7" s="72">
        <v>9.2225201072386067</v>
      </c>
      <c r="Q7" s="72">
        <v>9.8175499565595139</v>
      </c>
      <c r="R7" s="72">
        <v>10.006761325219744</v>
      </c>
      <c r="S7" s="72">
        <v>10.485320551228281</v>
      </c>
      <c r="U7" s="72">
        <v>10.777479892761393</v>
      </c>
      <c r="V7" s="72">
        <v>9.730668983492615</v>
      </c>
      <c r="W7" s="72">
        <v>6.5359477124183014</v>
      </c>
      <c r="X7" s="72">
        <v>8.0287597363690821</v>
      </c>
    </row>
    <row r="8" spans="1:24" s="21" customFormat="1" ht="15" x14ac:dyDescent="0.2"/>
    <row r="9" spans="1:24" s="21" customFormat="1" ht="15" x14ac:dyDescent="0.2">
      <c r="A9" s="74" t="s">
        <v>196</v>
      </c>
      <c r="B9" s="74"/>
      <c r="C9" s="74"/>
      <c r="D9" s="74"/>
      <c r="F9" s="74" t="s">
        <v>197</v>
      </c>
      <c r="G9" s="74"/>
      <c r="H9" s="74"/>
      <c r="I9" s="74"/>
      <c r="K9" s="74" t="s">
        <v>198</v>
      </c>
      <c r="L9" s="74"/>
      <c r="M9" s="74"/>
      <c r="N9" s="74"/>
      <c r="P9" s="74" t="s">
        <v>199</v>
      </c>
      <c r="Q9" s="74"/>
      <c r="R9" s="74"/>
      <c r="S9" s="74"/>
      <c r="U9" s="74" t="s">
        <v>200</v>
      </c>
      <c r="V9" s="74"/>
      <c r="W9" s="74"/>
      <c r="X9" s="74"/>
    </row>
    <row r="10" spans="1:24" s="21" customFormat="1" ht="15" x14ac:dyDescent="0.2">
      <c r="A10" s="74" t="s">
        <v>27</v>
      </c>
      <c r="B10" s="74"/>
      <c r="C10" s="74" t="s">
        <v>195</v>
      </c>
      <c r="D10" s="74"/>
      <c r="F10" s="74" t="s">
        <v>27</v>
      </c>
      <c r="G10" s="74"/>
      <c r="H10" s="74" t="s">
        <v>195</v>
      </c>
      <c r="I10" s="74"/>
      <c r="K10" s="74" t="s">
        <v>27</v>
      </c>
      <c r="L10" s="74"/>
      <c r="M10" s="74" t="s">
        <v>195</v>
      </c>
      <c r="N10" s="74"/>
      <c r="P10" s="74" t="s">
        <v>27</v>
      </c>
      <c r="Q10" s="74"/>
      <c r="R10" s="74" t="s">
        <v>195</v>
      </c>
      <c r="S10" s="74"/>
      <c r="U10" s="74" t="s">
        <v>27</v>
      </c>
      <c r="V10" s="74"/>
      <c r="W10" s="74" t="s">
        <v>195</v>
      </c>
      <c r="X10" s="74"/>
    </row>
    <row r="11" spans="1:24" s="21" customFormat="1" ht="15" x14ac:dyDescent="0.2">
      <c r="A11" s="15" t="s">
        <v>106</v>
      </c>
      <c r="B11" s="15" t="s">
        <v>4</v>
      </c>
      <c r="C11" s="15" t="s">
        <v>106</v>
      </c>
      <c r="D11" s="15" t="s">
        <v>4</v>
      </c>
      <c r="F11" s="15" t="s">
        <v>106</v>
      </c>
      <c r="G11" s="15" t="s">
        <v>4</v>
      </c>
      <c r="H11" s="15" t="s">
        <v>106</v>
      </c>
      <c r="I11" s="15" t="s">
        <v>4</v>
      </c>
      <c r="K11" s="15" t="s">
        <v>106</v>
      </c>
      <c r="L11" s="15" t="s">
        <v>4</v>
      </c>
      <c r="M11" s="15" t="s">
        <v>106</v>
      </c>
      <c r="N11" s="15" t="s">
        <v>4</v>
      </c>
      <c r="P11" s="15" t="s">
        <v>106</v>
      </c>
      <c r="Q11" s="15" t="s">
        <v>4</v>
      </c>
      <c r="R11" s="15" t="s">
        <v>106</v>
      </c>
      <c r="S11" s="15" t="s">
        <v>4</v>
      </c>
      <c r="U11" s="15" t="s">
        <v>106</v>
      </c>
      <c r="V11" s="15" t="s">
        <v>4</v>
      </c>
      <c r="W11" s="15" t="s">
        <v>106</v>
      </c>
      <c r="X11" s="15" t="s">
        <v>4</v>
      </c>
    </row>
    <row r="12" spans="1:24" s="21" customFormat="1" ht="15" x14ac:dyDescent="0.2">
      <c r="A12" s="72">
        <v>3.4375000000000004</v>
      </c>
      <c r="B12" s="72">
        <v>5.9644059644059642</v>
      </c>
      <c r="C12" s="72">
        <v>8.8355233348436801</v>
      </c>
      <c r="D12" s="72">
        <v>5.3302961275626419</v>
      </c>
      <c r="F12" s="72">
        <v>2.276785714285714</v>
      </c>
      <c r="G12" s="72">
        <v>2.7577360910694244</v>
      </c>
      <c r="H12" s="72">
        <v>10.602628001812416</v>
      </c>
      <c r="I12" s="72">
        <v>7.6082004555808656</v>
      </c>
      <c r="K12" s="72">
        <v>1.4285714285714286</v>
      </c>
      <c r="L12" s="72">
        <v>1.4430014430014431</v>
      </c>
      <c r="M12" s="72">
        <v>1.9483461712732213</v>
      </c>
      <c r="N12" s="72">
        <v>3.6902050113895219</v>
      </c>
      <c r="P12" s="72">
        <v>0.625</v>
      </c>
      <c r="Q12" s="72">
        <v>2.4691358024691357</v>
      </c>
      <c r="R12" s="72">
        <v>1.3140009062075215</v>
      </c>
      <c r="S12" s="72">
        <v>2.3234624145785876</v>
      </c>
      <c r="U12" s="72">
        <v>1.1160714285714286</v>
      </c>
      <c r="V12" s="72">
        <v>0.54513387846721184</v>
      </c>
      <c r="W12" s="72">
        <v>1.0874490258269145</v>
      </c>
      <c r="X12" s="72">
        <v>1.1389521640091116</v>
      </c>
    </row>
    <row r="13" spans="1:24" s="21" customFormat="1" ht="15" x14ac:dyDescent="0.2">
      <c r="A13" s="72">
        <v>4.4490548639926235</v>
      </c>
      <c r="B13" s="72">
        <v>4.6227316141356258</v>
      </c>
      <c r="C13" s="72">
        <v>4.8275862068965516</v>
      </c>
      <c r="D13" s="72">
        <v>3.5493827160493825</v>
      </c>
      <c r="F13" s="72">
        <v>2.9506685108344857</v>
      </c>
      <c r="G13" s="72">
        <v>2.2922636103151861</v>
      </c>
      <c r="H13" s="72">
        <v>7.3448275862068968</v>
      </c>
      <c r="I13" s="72">
        <v>6.867283950617284</v>
      </c>
      <c r="K13" s="72">
        <v>1.1756569847856155</v>
      </c>
      <c r="L13" s="72">
        <v>1.241642788920726</v>
      </c>
      <c r="M13" s="72">
        <v>2.4137931034482758</v>
      </c>
      <c r="N13" s="72">
        <v>8.6419753086419746</v>
      </c>
      <c r="P13" s="72">
        <v>2.0516366989396033</v>
      </c>
      <c r="Q13" s="72">
        <v>1.4326647564469914</v>
      </c>
      <c r="R13" s="72">
        <v>1.2758620689655173</v>
      </c>
      <c r="S13" s="72">
        <v>2.3919753086419751</v>
      </c>
      <c r="U13" s="72">
        <v>0.59935454126325505</v>
      </c>
      <c r="V13" s="72">
        <v>0.43935052531041069</v>
      </c>
      <c r="W13" s="72">
        <v>1.0172413793103448</v>
      </c>
      <c r="X13" s="72">
        <v>1.2345679012345678</v>
      </c>
    </row>
    <row r="14" spans="1:24" s="21" customFormat="1" ht="15" x14ac:dyDescent="0.2">
      <c r="A14" s="72">
        <v>7.2386058981233248</v>
      </c>
      <c r="B14" s="72">
        <v>3.0842745438748915</v>
      </c>
      <c r="C14" s="72">
        <v>5.724588686049132</v>
      </c>
      <c r="D14" s="72">
        <v>3.1156381066506889</v>
      </c>
      <c r="F14" s="72">
        <v>2.7345844504021448</v>
      </c>
      <c r="G14" s="72">
        <v>2.5195482189400522</v>
      </c>
      <c r="H14" s="72">
        <v>8.2262790173540683</v>
      </c>
      <c r="I14" s="72">
        <v>6.890353505092869</v>
      </c>
      <c r="K14" s="72">
        <v>2.9490616621983912</v>
      </c>
      <c r="L14" s="72">
        <v>1.4335360556038228</v>
      </c>
      <c r="M14" s="72">
        <v>4.1244083840432726</v>
      </c>
      <c r="N14" s="72">
        <v>3.8346315158777711</v>
      </c>
      <c r="P14" s="72">
        <v>3.4316353887399469</v>
      </c>
      <c r="Q14" s="72">
        <v>2.6064291920069502</v>
      </c>
      <c r="R14" s="72">
        <v>2.4340770791075048</v>
      </c>
      <c r="S14" s="72">
        <v>2.636309167165968</v>
      </c>
      <c r="U14" s="72">
        <v>1.9839142091152815</v>
      </c>
      <c r="V14" s="72">
        <v>0.34752389226759339</v>
      </c>
      <c r="W14" s="72">
        <v>1.7128690556682442</v>
      </c>
      <c r="X14" s="72">
        <v>0.7189934092270821</v>
      </c>
    </row>
    <row r="15" spans="1:24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</sheetData>
  <mergeCells count="30">
    <mergeCell ref="P10:Q10"/>
    <mergeCell ref="R10:S10"/>
    <mergeCell ref="U10:V10"/>
    <mergeCell ref="W10:X10"/>
    <mergeCell ref="A10:B10"/>
    <mergeCell ref="C10:D10"/>
    <mergeCell ref="F10:G10"/>
    <mergeCell ref="H10:I10"/>
    <mergeCell ref="K10:L10"/>
    <mergeCell ref="M10:N10"/>
    <mergeCell ref="M3:N3"/>
    <mergeCell ref="P3:Q3"/>
    <mergeCell ref="R3:S3"/>
    <mergeCell ref="U3:V3"/>
    <mergeCell ref="W3:X3"/>
    <mergeCell ref="A9:D9"/>
    <mergeCell ref="F9:I9"/>
    <mergeCell ref="K9:N9"/>
    <mergeCell ref="P9:S9"/>
    <mergeCell ref="U9:X9"/>
    <mergeCell ref="A2:D2"/>
    <mergeCell ref="F2:I2"/>
    <mergeCell ref="K2:N2"/>
    <mergeCell ref="P2:S2"/>
    <mergeCell ref="U2:X2"/>
    <mergeCell ref="A3:B3"/>
    <mergeCell ref="C3:D3"/>
    <mergeCell ref="F3:G3"/>
    <mergeCell ref="H3:I3"/>
    <mergeCell ref="K3:L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A241-A3B9-459B-A47E-9817E42432A5}">
  <dimension ref="A1:X30"/>
  <sheetViews>
    <sheetView workbookViewId="0">
      <selection activeCell="U20" sqref="U20"/>
    </sheetView>
  </sheetViews>
  <sheetFormatPr defaultRowHeight="15.75" x14ac:dyDescent="0.25"/>
  <sheetData>
    <row r="1" spans="1:24" s="21" customFormat="1" ht="15" x14ac:dyDescent="0.2">
      <c r="A1" s="21" t="s">
        <v>231</v>
      </c>
    </row>
    <row r="2" spans="1:24" s="21" customFormat="1" ht="15" x14ac:dyDescent="0.2">
      <c r="A2" s="74" t="s">
        <v>201</v>
      </c>
      <c r="B2" s="74"/>
      <c r="C2" s="74"/>
      <c r="D2" s="74"/>
      <c r="F2" s="74" t="s">
        <v>202</v>
      </c>
      <c r="G2" s="74"/>
      <c r="H2" s="74"/>
      <c r="I2" s="74"/>
      <c r="K2" s="74" t="s">
        <v>203</v>
      </c>
      <c r="L2" s="74"/>
      <c r="M2" s="74"/>
      <c r="N2" s="74"/>
      <c r="P2" s="74" t="s">
        <v>204</v>
      </c>
      <c r="Q2" s="74"/>
      <c r="R2" s="74"/>
      <c r="S2" s="74"/>
      <c r="U2" s="74" t="s">
        <v>205</v>
      </c>
      <c r="V2" s="74"/>
      <c r="W2" s="74"/>
      <c r="X2" s="74"/>
    </row>
    <row r="3" spans="1:24" s="21" customFormat="1" ht="15" x14ac:dyDescent="0.2">
      <c r="A3" s="74" t="s">
        <v>27</v>
      </c>
      <c r="B3" s="74"/>
      <c r="C3" s="74" t="s">
        <v>195</v>
      </c>
      <c r="D3" s="74"/>
      <c r="F3" s="74" t="s">
        <v>27</v>
      </c>
      <c r="G3" s="74"/>
      <c r="H3" s="74" t="s">
        <v>195</v>
      </c>
      <c r="I3" s="74"/>
      <c r="K3" s="74" t="s">
        <v>27</v>
      </c>
      <c r="L3" s="74"/>
      <c r="M3" s="74" t="s">
        <v>195</v>
      </c>
      <c r="N3" s="74"/>
      <c r="P3" s="74" t="s">
        <v>27</v>
      </c>
      <c r="Q3" s="74"/>
      <c r="R3" s="74" t="s">
        <v>195</v>
      </c>
      <c r="S3" s="74"/>
      <c r="U3" s="74" t="s">
        <v>27</v>
      </c>
      <c r="V3" s="74"/>
      <c r="W3" s="74" t="s">
        <v>195</v>
      </c>
      <c r="X3" s="74"/>
    </row>
    <row r="4" spans="1:24" s="21" customFormat="1" ht="15" x14ac:dyDescent="0.2">
      <c r="A4" s="15" t="s">
        <v>106</v>
      </c>
      <c r="B4" s="15" t="s">
        <v>4</v>
      </c>
      <c r="C4" s="15" t="s">
        <v>106</v>
      </c>
      <c r="D4" s="15" t="s">
        <v>4</v>
      </c>
      <c r="F4" s="15" t="s">
        <v>106</v>
      </c>
      <c r="G4" s="15" t="s">
        <v>4</v>
      </c>
      <c r="H4" s="15" t="s">
        <v>106</v>
      </c>
      <c r="I4" s="15" t="s">
        <v>4</v>
      </c>
      <c r="K4" s="15" t="s">
        <v>106</v>
      </c>
      <c r="L4" s="15" t="s">
        <v>4</v>
      </c>
      <c r="M4" s="15" t="s">
        <v>106</v>
      </c>
      <c r="N4" s="15" t="s">
        <v>4</v>
      </c>
      <c r="P4" s="15" t="s">
        <v>106</v>
      </c>
      <c r="Q4" s="15" t="s">
        <v>4</v>
      </c>
      <c r="R4" s="15" t="s">
        <v>106</v>
      </c>
      <c r="S4" s="15" t="s">
        <v>4</v>
      </c>
      <c r="U4" s="15" t="s">
        <v>106</v>
      </c>
      <c r="V4" s="15" t="s">
        <v>4</v>
      </c>
      <c r="W4" s="15" t="s">
        <v>106</v>
      </c>
      <c r="X4" s="15" t="s">
        <v>4</v>
      </c>
    </row>
    <row r="5" spans="1:24" s="21" customFormat="1" ht="15" x14ac:dyDescent="0.2">
      <c r="A5" s="71">
        <v>13.815090329436769</v>
      </c>
      <c r="B5" s="71">
        <v>18.560606060606062</v>
      </c>
      <c r="C5" s="71">
        <v>23.984771573604061</v>
      </c>
      <c r="D5" s="71">
        <v>22.978723404255319</v>
      </c>
      <c r="F5" s="71">
        <v>25.823591923485655</v>
      </c>
      <c r="G5" s="71">
        <v>9.2171717171717162</v>
      </c>
      <c r="H5" s="71">
        <v>24.746192893401016</v>
      </c>
      <c r="I5" s="71">
        <v>32.595744680851062</v>
      </c>
      <c r="K5" s="71">
        <v>9.9893730074388962</v>
      </c>
      <c r="L5" s="71">
        <v>14.015151515151514</v>
      </c>
      <c r="M5" s="71">
        <v>8.5025380710659899</v>
      </c>
      <c r="N5" s="71">
        <v>8.5106382978723403</v>
      </c>
      <c r="P5" s="71">
        <v>5.3134962805526031</v>
      </c>
      <c r="Q5" s="71">
        <v>21.843434343434343</v>
      </c>
      <c r="R5" s="71">
        <v>2.7918781725888326</v>
      </c>
      <c r="S5" s="71">
        <v>4.1702127659574471</v>
      </c>
      <c r="U5" s="71">
        <v>15.409139213602552</v>
      </c>
      <c r="V5" s="71">
        <v>2.5252525252525251</v>
      </c>
      <c r="W5" s="71">
        <v>9.1370558375634516</v>
      </c>
      <c r="X5" s="71">
        <v>4.2553191489361701</v>
      </c>
    </row>
    <row r="6" spans="1:24" s="21" customFormat="1" ht="15" x14ac:dyDescent="0.2">
      <c r="A6" s="71">
        <v>18.165137614678901</v>
      </c>
      <c r="B6" s="71">
        <v>13.348946135831383</v>
      </c>
      <c r="C6" s="71">
        <v>20.5</v>
      </c>
      <c r="D6" s="71">
        <v>24.468085106382979</v>
      </c>
      <c r="F6" s="71">
        <v>13.211009174311927</v>
      </c>
      <c r="G6" s="71">
        <v>16.861826697892273</v>
      </c>
      <c r="H6" s="71">
        <v>31.624999999999996</v>
      </c>
      <c r="I6" s="71">
        <v>14.893617021276595</v>
      </c>
      <c r="K6" s="71">
        <v>25.137614678899084</v>
      </c>
      <c r="L6" s="71">
        <v>11.592505854800937</v>
      </c>
      <c r="M6" s="71">
        <v>8.625</v>
      </c>
      <c r="N6" s="71">
        <v>17.553191489361701</v>
      </c>
      <c r="P6" s="71">
        <v>6.9724770642201843</v>
      </c>
      <c r="Q6" s="71">
        <v>19.086651053864166</v>
      </c>
      <c r="R6" s="71">
        <v>2.75</v>
      </c>
      <c r="S6" s="71">
        <v>4.7872340425531918</v>
      </c>
      <c r="U6" s="71">
        <v>7.7064220183486238</v>
      </c>
      <c r="V6" s="71">
        <v>4.0983606557377046</v>
      </c>
      <c r="W6" s="71">
        <v>9</v>
      </c>
      <c r="X6" s="71">
        <v>9.0425531914893629</v>
      </c>
    </row>
    <row r="7" spans="1:24" s="21" customFormat="1" ht="15" x14ac:dyDescent="0.2">
      <c r="A7" s="71">
        <v>23.339317773788153</v>
      </c>
      <c r="B7" s="71">
        <v>10.568696527428283</v>
      </c>
      <c r="C7" s="71">
        <v>20.50561797752809</v>
      </c>
      <c r="D7" s="71">
        <v>23.440453686200378</v>
      </c>
      <c r="F7" s="71">
        <v>14.90125673249551</v>
      </c>
      <c r="G7" s="71">
        <v>10.619023653749371</v>
      </c>
      <c r="H7" s="71">
        <v>23.314606741573034</v>
      </c>
      <c r="I7" s="71">
        <v>18.336483931947072</v>
      </c>
      <c r="K7" s="71">
        <v>13.584679832435667</v>
      </c>
      <c r="L7" s="71">
        <v>19.275289380976346</v>
      </c>
      <c r="M7" s="71">
        <v>11.657303370786517</v>
      </c>
      <c r="N7" s="71">
        <v>9.4517958412098295</v>
      </c>
      <c r="P7" s="71">
        <v>8.4380610412926398</v>
      </c>
      <c r="Q7" s="71">
        <v>16.960241570206342</v>
      </c>
      <c r="R7" s="71">
        <v>4.0730337078651688</v>
      </c>
      <c r="S7" s="71">
        <v>13.043478260869565</v>
      </c>
      <c r="U7" s="71">
        <v>7.480550568521843</v>
      </c>
      <c r="V7" s="71">
        <v>4.0764972320080517</v>
      </c>
      <c r="W7" s="71">
        <v>11.797752808988763</v>
      </c>
      <c r="X7" s="71">
        <v>4.536862003780719</v>
      </c>
    </row>
    <row r="8" spans="1:24" s="21" customFormat="1" ht="15" x14ac:dyDescent="0.2">
      <c r="A8" s="71">
        <v>9.4358974358974361</v>
      </c>
      <c r="B8" s="71">
        <v>16.886930983847286</v>
      </c>
      <c r="C8" s="71">
        <v>21.637010676156585</v>
      </c>
      <c r="D8" s="71">
        <v>21.072796934865899</v>
      </c>
      <c r="F8" s="71">
        <v>4.6153846153846159</v>
      </c>
      <c r="G8" s="71">
        <v>25.844346549192366</v>
      </c>
      <c r="H8" s="71">
        <v>29.039145907473308</v>
      </c>
      <c r="I8" s="71">
        <v>18.582375478927204</v>
      </c>
      <c r="K8" s="71">
        <v>32.92307692307692</v>
      </c>
      <c r="L8" s="71">
        <v>8.8105726872246706</v>
      </c>
      <c r="M8" s="71">
        <v>14.946619217081849</v>
      </c>
      <c r="N8" s="71">
        <v>18.390804597701148</v>
      </c>
      <c r="P8" s="71">
        <v>11.282051282051283</v>
      </c>
      <c r="Q8" s="71">
        <v>6.4610866372980915</v>
      </c>
      <c r="R8" s="71">
        <v>3.3451957295373669</v>
      </c>
      <c r="S8" s="71">
        <v>6.5134099616858236</v>
      </c>
      <c r="U8" s="71">
        <v>2.7692307692307692</v>
      </c>
      <c r="V8" s="71">
        <v>10.425844346549193</v>
      </c>
      <c r="W8" s="71">
        <v>15.302491103202847</v>
      </c>
      <c r="X8" s="71">
        <v>7.088122605363985</v>
      </c>
    </row>
    <row r="9" spans="1:24" s="21" customFormat="1" ht="15" x14ac:dyDescent="0.2">
      <c r="A9" s="71">
        <v>25.645438898450944</v>
      </c>
      <c r="B9" s="71">
        <v>19.427148194271481</v>
      </c>
      <c r="C9" s="71">
        <v>18.777292576419214</v>
      </c>
      <c r="D9" s="71">
        <v>16.71388101983003</v>
      </c>
      <c r="F9" s="71">
        <v>8.0895008605851988</v>
      </c>
      <c r="G9" s="71">
        <v>8.4682440846824409</v>
      </c>
      <c r="H9" s="71">
        <v>14.410480349344979</v>
      </c>
      <c r="I9" s="71">
        <v>30.028328611898019</v>
      </c>
      <c r="K9" s="71">
        <v>18.244406196213426</v>
      </c>
      <c r="L9" s="71">
        <v>20.921544209215444</v>
      </c>
      <c r="M9" s="71">
        <v>11.790393013100436</v>
      </c>
      <c r="N9" s="71">
        <v>7.5070821529745047</v>
      </c>
      <c r="P9" s="71">
        <v>7.9173838209982792</v>
      </c>
      <c r="Q9" s="71">
        <v>11.33250311332503</v>
      </c>
      <c r="R9" s="71">
        <v>7.2052401746724897</v>
      </c>
      <c r="S9" s="71">
        <v>8.4985835694050991</v>
      </c>
      <c r="U9" s="71">
        <v>7.056798623063683</v>
      </c>
      <c r="V9" s="71">
        <v>3.1133250311332503</v>
      </c>
      <c r="W9" s="71">
        <v>12.882096069868995</v>
      </c>
      <c r="X9" s="71">
        <v>7.3654390934844187</v>
      </c>
    </row>
    <row r="10" spans="1:24" s="21" customFormat="1" ht="15" x14ac:dyDescent="0.2">
      <c r="A10" s="71">
        <v>26.928281461434374</v>
      </c>
      <c r="B10" s="71">
        <v>27.615571776155718</v>
      </c>
      <c r="C10" s="71">
        <v>25.431034482758619</v>
      </c>
      <c r="D10" s="71">
        <v>37.45454545454546</v>
      </c>
      <c r="F10" s="71">
        <v>24.492557510148849</v>
      </c>
      <c r="G10" s="71">
        <v>13.746958637469586</v>
      </c>
      <c r="H10" s="71">
        <v>21.408045977011493</v>
      </c>
      <c r="I10" s="71">
        <v>13.454545454545455</v>
      </c>
      <c r="K10" s="71">
        <v>9.2016238159675225</v>
      </c>
      <c r="L10" s="71">
        <v>7.4209245742092467</v>
      </c>
      <c r="M10" s="71">
        <v>8.2375478927203059</v>
      </c>
      <c r="N10" s="71">
        <v>10.181818181818182</v>
      </c>
      <c r="P10" s="71">
        <v>3.3829499323410013</v>
      </c>
      <c r="Q10" s="71">
        <v>13.138686131386862</v>
      </c>
      <c r="R10" s="71">
        <v>8.4770114942528725</v>
      </c>
      <c r="S10" s="71">
        <v>6.1818181818181817</v>
      </c>
      <c r="U10" s="71">
        <v>8.5250338294993231</v>
      </c>
      <c r="V10" s="71">
        <v>4.8661800486618008</v>
      </c>
      <c r="W10" s="71">
        <v>12.931034482758621</v>
      </c>
      <c r="X10" s="71">
        <v>6.9090909090909092</v>
      </c>
    </row>
    <row r="11" spans="1:24" s="21" customFormat="1" ht="15" x14ac:dyDescent="0.2"/>
    <row r="12" spans="1:24" s="21" customFormat="1" ht="15" x14ac:dyDescent="0.2">
      <c r="A12" s="74" t="s">
        <v>206</v>
      </c>
      <c r="B12" s="74"/>
      <c r="C12" s="74"/>
      <c r="D12" s="74"/>
      <c r="F12" s="74" t="s">
        <v>207</v>
      </c>
      <c r="G12" s="74"/>
      <c r="H12" s="74"/>
      <c r="I12" s="74"/>
      <c r="K12" s="74" t="s">
        <v>208</v>
      </c>
      <c r="L12" s="74"/>
      <c r="M12" s="74"/>
      <c r="N12" s="74"/>
      <c r="P12" s="74" t="s">
        <v>209</v>
      </c>
      <c r="Q12" s="74"/>
      <c r="R12" s="74"/>
      <c r="S12" s="74"/>
    </row>
    <row r="13" spans="1:24" s="21" customFormat="1" ht="15" x14ac:dyDescent="0.2">
      <c r="A13" s="74" t="s">
        <v>27</v>
      </c>
      <c r="B13" s="74"/>
      <c r="C13" s="74" t="s">
        <v>195</v>
      </c>
      <c r="D13" s="74"/>
      <c r="F13" s="74" t="s">
        <v>27</v>
      </c>
      <c r="G13" s="74"/>
      <c r="H13" s="74" t="s">
        <v>195</v>
      </c>
      <c r="I13" s="74"/>
      <c r="K13" s="74" t="s">
        <v>27</v>
      </c>
      <c r="L13" s="74"/>
      <c r="M13" s="74" t="s">
        <v>195</v>
      </c>
      <c r="N13" s="74"/>
      <c r="P13" s="74" t="s">
        <v>27</v>
      </c>
      <c r="Q13" s="74"/>
      <c r="R13" s="74" t="s">
        <v>195</v>
      </c>
      <c r="S13" s="74"/>
    </row>
    <row r="14" spans="1:24" s="21" customFormat="1" ht="15" x14ac:dyDescent="0.2">
      <c r="A14" s="15" t="s">
        <v>106</v>
      </c>
      <c r="B14" s="15" t="s">
        <v>4</v>
      </c>
      <c r="C14" s="15" t="s">
        <v>106</v>
      </c>
      <c r="D14" s="15" t="s">
        <v>4</v>
      </c>
      <c r="F14" s="15" t="s">
        <v>106</v>
      </c>
      <c r="G14" s="15" t="s">
        <v>4</v>
      </c>
      <c r="H14" s="15" t="s">
        <v>106</v>
      </c>
      <c r="I14" s="15" t="s">
        <v>4</v>
      </c>
      <c r="K14" s="15" t="s">
        <v>106</v>
      </c>
      <c r="L14" s="15" t="s">
        <v>4</v>
      </c>
      <c r="M14" s="15" t="s">
        <v>106</v>
      </c>
      <c r="N14" s="15" t="s">
        <v>4</v>
      </c>
      <c r="P14" s="15" t="s">
        <v>106</v>
      </c>
      <c r="Q14" s="15" t="s">
        <v>4</v>
      </c>
      <c r="R14" s="15" t="s">
        <v>106</v>
      </c>
      <c r="S14" s="15" t="s">
        <v>4</v>
      </c>
    </row>
    <row r="15" spans="1:24" s="21" customFormat="1" ht="15" x14ac:dyDescent="0.2">
      <c r="A15" s="71">
        <v>7.0138150903294365</v>
      </c>
      <c r="B15" s="71">
        <v>15.025252525252524</v>
      </c>
      <c r="C15" s="71">
        <v>1.1421319796954315</v>
      </c>
      <c r="D15" s="71">
        <v>2.6382978723404253</v>
      </c>
      <c r="F15" s="71">
        <v>1.381509032943677</v>
      </c>
      <c r="G15" s="71">
        <v>0.63131313131313127</v>
      </c>
      <c r="H15" s="71">
        <v>9.2639593908629436</v>
      </c>
      <c r="I15" s="71">
        <v>10.468085106382979</v>
      </c>
      <c r="K15" s="71">
        <v>3.6131774707757707</v>
      </c>
      <c r="L15" s="71">
        <v>4.5454545454545459</v>
      </c>
      <c r="M15" s="71">
        <v>5.8375634517766501</v>
      </c>
      <c r="N15" s="71">
        <v>2.3829787234042552</v>
      </c>
      <c r="P15" s="71">
        <v>5.1009564293304992</v>
      </c>
      <c r="Q15" s="71">
        <v>1.5151515151515151</v>
      </c>
      <c r="R15" s="71">
        <v>9.1370558375634516</v>
      </c>
      <c r="S15" s="71">
        <v>3.4893617021276593</v>
      </c>
    </row>
    <row r="16" spans="1:24" s="21" customFormat="1" ht="15" x14ac:dyDescent="0.2">
      <c r="A16" s="71">
        <v>3.8532110091743119</v>
      </c>
      <c r="B16" s="71">
        <v>16.744730679156909</v>
      </c>
      <c r="C16" s="71">
        <v>2.25</v>
      </c>
      <c r="D16" s="71">
        <v>0.53191489361702127</v>
      </c>
      <c r="F16" s="71">
        <v>8.4403669724770651</v>
      </c>
      <c r="G16" s="71">
        <v>0.93676814988290402</v>
      </c>
      <c r="H16" s="71">
        <v>6.375</v>
      </c>
      <c r="I16" s="71">
        <v>13.297872340425531</v>
      </c>
      <c r="K16" s="71">
        <v>5.6880733944954134</v>
      </c>
      <c r="L16" s="71">
        <v>3.629976580796253</v>
      </c>
      <c r="M16" s="71">
        <v>3.5000000000000004</v>
      </c>
      <c r="N16" s="71">
        <v>4.2553191489361701</v>
      </c>
      <c r="P16" s="71">
        <v>2.9357798165137616</v>
      </c>
      <c r="Q16" s="71">
        <v>1.405152224824356</v>
      </c>
      <c r="R16" s="71">
        <v>4.875</v>
      </c>
      <c r="S16" s="71">
        <v>3.7234042553191489</v>
      </c>
    </row>
    <row r="17" spans="1:19" s="21" customFormat="1" ht="15" x14ac:dyDescent="0.2">
      <c r="A17" s="71">
        <v>5.2663076002393776</v>
      </c>
      <c r="B17" s="71">
        <v>13.537996980372421</v>
      </c>
      <c r="C17" s="71">
        <v>3.3707865168539324</v>
      </c>
      <c r="D17" s="71">
        <v>11.153119092627598</v>
      </c>
      <c r="F17" s="71">
        <v>4.9670855774985041</v>
      </c>
      <c r="G17" s="71">
        <v>0.9562154001006542</v>
      </c>
      <c r="H17" s="71">
        <v>8.0056179775280896</v>
      </c>
      <c r="I17" s="71">
        <v>7.7504725897920608</v>
      </c>
      <c r="K17" s="71">
        <v>7.1813285457809695</v>
      </c>
      <c r="L17" s="71">
        <v>6.1399094111726216</v>
      </c>
      <c r="M17" s="71">
        <v>3.3707865168539324</v>
      </c>
      <c r="N17" s="71">
        <v>2.6465028355387523</v>
      </c>
      <c r="P17" s="71">
        <v>5.1466187911430286</v>
      </c>
      <c r="Q17" s="71">
        <v>2.5666834423754401</v>
      </c>
      <c r="R17" s="71">
        <v>5.1966292134831464</v>
      </c>
      <c r="S17" s="71">
        <v>2.6465028355387523</v>
      </c>
    </row>
    <row r="18" spans="1:19" s="21" customFormat="1" ht="15" x14ac:dyDescent="0.2">
      <c r="A18" s="71">
        <v>9.6410256410256405</v>
      </c>
      <c r="B18" s="71">
        <v>3.8179148311306901</v>
      </c>
      <c r="C18" s="71">
        <v>0.7829181494661922</v>
      </c>
      <c r="D18" s="71">
        <v>4.4061302681992336</v>
      </c>
      <c r="F18" s="71">
        <v>2.7692307692307692</v>
      </c>
      <c r="G18" s="71">
        <v>4.5521292217327458</v>
      </c>
      <c r="H18" s="71">
        <v>8.2562277580071175</v>
      </c>
      <c r="I18" s="71">
        <v>12.068965517241379</v>
      </c>
      <c r="K18" s="71">
        <v>7.1794871794871788</v>
      </c>
      <c r="L18" s="71">
        <v>2.4963289280469896</v>
      </c>
      <c r="M18" s="71">
        <v>1.4946619217081851</v>
      </c>
      <c r="N18" s="71">
        <v>1.9157088122605364</v>
      </c>
      <c r="P18" s="71">
        <v>3.8974358974358978</v>
      </c>
      <c r="Q18" s="71">
        <v>4.9926578560939792</v>
      </c>
      <c r="R18" s="71">
        <v>1.8505338078291813</v>
      </c>
      <c r="S18" s="71">
        <v>2.1072796934865901</v>
      </c>
    </row>
    <row r="19" spans="1:19" s="21" customFormat="1" ht="15" x14ac:dyDescent="0.2">
      <c r="A19" s="71">
        <v>3.4423407917383817</v>
      </c>
      <c r="B19" s="71">
        <v>9.8381070983810712</v>
      </c>
      <c r="C19" s="71">
        <v>5.8951965065502181</v>
      </c>
      <c r="D19" s="71">
        <v>8.4985835694050991</v>
      </c>
      <c r="F19" s="71">
        <v>8.2616179001721175</v>
      </c>
      <c r="G19" s="71">
        <v>1.7434620174346203</v>
      </c>
      <c r="H19" s="71">
        <v>3.9301310043668125</v>
      </c>
      <c r="I19" s="71">
        <v>3.3994334277620402</v>
      </c>
      <c r="K19" s="71">
        <v>4.1308089500860588</v>
      </c>
      <c r="L19" s="71">
        <v>7.7210460772104614</v>
      </c>
      <c r="M19" s="71">
        <v>3.7117903930131009</v>
      </c>
      <c r="N19" s="71">
        <v>4.5325779036827196</v>
      </c>
      <c r="P19" s="71">
        <v>2.753872633390706</v>
      </c>
      <c r="Q19" s="71">
        <v>4.7322540473225407</v>
      </c>
      <c r="R19" s="71">
        <v>4.8034934497816595</v>
      </c>
      <c r="S19" s="71">
        <v>4.9575070821529748</v>
      </c>
    </row>
    <row r="20" spans="1:19" s="21" customFormat="1" ht="15" x14ac:dyDescent="0.2">
      <c r="A20" s="71">
        <v>2.7063599458728009</v>
      </c>
      <c r="B20" s="71">
        <v>5.7177615571776155</v>
      </c>
      <c r="C20" s="71">
        <v>1.7720306513409962</v>
      </c>
      <c r="D20" s="71">
        <v>0.72727272727272729</v>
      </c>
      <c r="F20" s="71">
        <v>2.8416779431664412</v>
      </c>
      <c r="G20" s="71">
        <v>5.2311435523114351</v>
      </c>
      <c r="H20" s="71">
        <v>6.226053639846743</v>
      </c>
      <c r="I20" s="71">
        <v>4.7272727272727275</v>
      </c>
      <c r="K20" s="71">
        <v>3.9242219215155618</v>
      </c>
      <c r="L20" s="71">
        <v>4.9878345498783458</v>
      </c>
      <c r="M20" s="71">
        <v>3.4482758620689653</v>
      </c>
      <c r="N20" s="71">
        <v>2.9090909090909092</v>
      </c>
      <c r="P20" s="71">
        <v>8.9309878213802421</v>
      </c>
      <c r="Q20" s="71">
        <v>8.3941605839416056</v>
      </c>
      <c r="R20" s="71">
        <v>3.8314176245210727</v>
      </c>
      <c r="S20" s="71">
        <v>4</v>
      </c>
    </row>
    <row r="21" spans="1:19" s="21" customFormat="1" ht="15" x14ac:dyDescent="0.2"/>
    <row r="22" spans="1:19" s="21" customFormat="1" ht="15" x14ac:dyDescent="0.2">
      <c r="A22" s="74" t="s">
        <v>210</v>
      </c>
      <c r="B22" s="74"/>
      <c r="C22" s="74"/>
      <c r="D22" s="74"/>
      <c r="F22" s="74" t="s">
        <v>211</v>
      </c>
      <c r="G22" s="74"/>
      <c r="H22" s="74"/>
      <c r="I22" s="74"/>
      <c r="K22" s="74" t="s">
        <v>212</v>
      </c>
      <c r="L22" s="74"/>
      <c r="M22" s="74"/>
      <c r="N22" s="74"/>
      <c r="P22" s="74" t="s">
        <v>213</v>
      </c>
      <c r="Q22" s="74"/>
      <c r="R22" s="74"/>
      <c r="S22" s="74"/>
    </row>
    <row r="23" spans="1:19" s="21" customFormat="1" ht="15" x14ac:dyDescent="0.2">
      <c r="A23" s="74" t="s">
        <v>27</v>
      </c>
      <c r="B23" s="74"/>
      <c r="C23" s="74" t="s">
        <v>195</v>
      </c>
      <c r="D23" s="74"/>
      <c r="F23" s="74" t="s">
        <v>27</v>
      </c>
      <c r="G23" s="74"/>
      <c r="H23" s="74" t="s">
        <v>195</v>
      </c>
      <c r="I23" s="74"/>
      <c r="K23" s="74" t="s">
        <v>27</v>
      </c>
      <c r="L23" s="74"/>
      <c r="M23" s="74" t="s">
        <v>195</v>
      </c>
      <c r="N23" s="74"/>
      <c r="P23" s="74" t="s">
        <v>27</v>
      </c>
      <c r="Q23" s="74"/>
      <c r="R23" s="74" t="s">
        <v>195</v>
      </c>
      <c r="S23" s="74"/>
    </row>
    <row r="24" spans="1:19" s="21" customFormat="1" ht="15" x14ac:dyDescent="0.2">
      <c r="A24" s="15" t="s">
        <v>106</v>
      </c>
      <c r="B24" s="15" t="s">
        <v>4</v>
      </c>
      <c r="C24" s="15" t="s">
        <v>106</v>
      </c>
      <c r="D24" s="15" t="s">
        <v>4</v>
      </c>
      <c r="F24" s="15" t="s">
        <v>106</v>
      </c>
      <c r="G24" s="15" t="s">
        <v>4</v>
      </c>
      <c r="H24" s="15" t="s">
        <v>106</v>
      </c>
      <c r="I24" s="15" t="s">
        <v>4</v>
      </c>
      <c r="K24" s="15" t="s">
        <v>106</v>
      </c>
      <c r="L24" s="15" t="s">
        <v>4</v>
      </c>
      <c r="M24" s="15" t="s">
        <v>106</v>
      </c>
      <c r="N24" s="15" t="s">
        <v>4</v>
      </c>
      <c r="P24" s="15" t="s">
        <v>106</v>
      </c>
      <c r="Q24" s="15" t="s">
        <v>4</v>
      </c>
      <c r="R24" s="15" t="s">
        <v>106</v>
      </c>
      <c r="S24" s="15" t="s">
        <v>4</v>
      </c>
    </row>
    <row r="25" spans="1:19" s="21" customFormat="1" ht="15" x14ac:dyDescent="0.2">
      <c r="A25" s="71">
        <v>3.1880977683315623</v>
      </c>
      <c r="B25" s="71">
        <v>5.808080808080808</v>
      </c>
      <c r="C25" s="71">
        <v>1.1421319796954315</v>
      </c>
      <c r="D25" s="71">
        <v>0.51063829787234039</v>
      </c>
      <c r="F25" s="71">
        <v>6.8012752391073326</v>
      </c>
      <c r="G25" s="71">
        <v>3.2828282828282833</v>
      </c>
      <c r="H25" s="71">
        <v>1.3959390862944163</v>
      </c>
      <c r="I25" s="71">
        <v>2.8936170212765959</v>
      </c>
      <c r="K25" s="71">
        <v>2.4442082890541976</v>
      </c>
      <c r="L25" s="71">
        <v>2.3989898989898988</v>
      </c>
      <c r="M25" s="71">
        <v>2.1573604060913705</v>
      </c>
      <c r="N25" s="71">
        <v>2.2978723404255321</v>
      </c>
      <c r="P25" s="71">
        <v>0.10626992561105207</v>
      </c>
      <c r="Q25" s="71">
        <v>0.63131313131313127</v>
      </c>
      <c r="R25" s="71">
        <v>0.76142131979695438</v>
      </c>
      <c r="S25" s="71">
        <v>2.8085106382978724</v>
      </c>
    </row>
    <row r="26" spans="1:19" s="21" customFormat="1" ht="15" x14ac:dyDescent="0.2">
      <c r="A26" s="71">
        <v>3.669724770642202</v>
      </c>
      <c r="B26" s="71">
        <v>6.2060889929742391</v>
      </c>
      <c r="C26" s="71">
        <v>1</v>
      </c>
      <c r="D26" s="71">
        <v>0.53191489361702127</v>
      </c>
      <c r="F26" s="71">
        <v>1.834862385321101</v>
      </c>
      <c r="G26" s="71">
        <v>2.810304449648712</v>
      </c>
      <c r="H26" s="71">
        <v>5</v>
      </c>
      <c r="I26" s="71">
        <v>1.0638297872340425</v>
      </c>
      <c r="K26" s="71">
        <v>2.3853211009174311</v>
      </c>
      <c r="L26" s="71">
        <v>2.5761124121779861</v>
      </c>
      <c r="M26" s="71">
        <v>3.125</v>
      </c>
      <c r="N26" s="71">
        <v>3.7234042553191489</v>
      </c>
      <c r="P26" s="71">
        <v>0</v>
      </c>
      <c r="Q26" s="71">
        <v>0.70257611241217799</v>
      </c>
      <c r="R26" s="71">
        <v>1.375</v>
      </c>
      <c r="S26" s="71">
        <v>2.1276595744680851</v>
      </c>
    </row>
    <row r="27" spans="1:19" s="21" customFormat="1" ht="15" x14ac:dyDescent="0.2">
      <c r="A27" s="71">
        <v>5.8647516457211255</v>
      </c>
      <c r="B27" s="71">
        <v>8.6059386009058887</v>
      </c>
      <c r="C27" s="71">
        <v>0.9831460674157303</v>
      </c>
      <c r="D27" s="71">
        <v>0.94517958412098302</v>
      </c>
      <c r="F27" s="71">
        <v>0.6582884500299222</v>
      </c>
      <c r="G27" s="71">
        <v>3.1706089582284851</v>
      </c>
      <c r="H27" s="71">
        <v>3.089887640449438</v>
      </c>
      <c r="I27" s="71">
        <v>2.0793950850661624</v>
      </c>
      <c r="K27" s="71">
        <v>2.7528426092160383</v>
      </c>
      <c r="L27" s="71">
        <v>2.4660291897332662</v>
      </c>
      <c r="M27" s="71">
        <v>2.8089887640449436</v>
      </c>
      <c r="N27" s="71">
        <v>1.3232514177693762</v>
      </c>
      <c r="P27" s="71">
        <v>0.41891083183722316</v>
      </c>
      <c r="Q27" s="71">
        <v>1.0568696527428285</v>
      </c>
      <c r="R27" s="71">
        <v>1.8258426966292134</v>
      </c>
      <c r="S27" s="71">
        <v>2.6465028355387523</v>
      </c>
    </row>
    <row r="28" spans="1:19" s="21" customFormat="1" ht="15" x14ac:dyDescent="0.2">
      <c r="A28" s="71">
        <v>9.4358974358974361</v>
      </c>
      <c r="B28" s="71">
        <v>1.4684287812041115</v>
      </c>
      <c r="C28" s="71">
        <v>1.1387900355871887</v>
      </c>
      <c r="D28" s="71">
        <v>0.57471264367816088</v>
      </c>
      <c r="F28" s="71">
        <v>2.9743589743589745</v>
      </c>
      <c r="G28" s="71">
        <v>12.041116005873716</v>
      </c>
      <c r="H28" s="71">
        <v>0.56939501779359436</v>
      </c>
      <c r="I28" s="71">
        <v>2.1072796934865901</v>
      </c>
      <c r="K28" s="71">
        <v>2.666666666666667</v>
      </c>
      <c r="L28" s="71">
        <v>1.6152716593245229</v>
      </c>
      <c r="M28" s="71">
        <v>1.2811387900355873</v>
      </c>
      <c r="N28" s="71">
        <v>1.9157088122605364</v>
      </c>
      <c r="P28" s="71">
        <v>0.41025641025641024</v>
      </c>
      <c r="Q28" s="71">
        <v>0.58737151248164465</v>
      </c>
      <c r="R28" s="71">
        <v>0.35587188612099641</v>
      </c>
      <c r="S28" s="71">
        <v>3.2567049808429118</v>
      </c>
    </row>
    <row r="29" spans="1:19" s="21" customFormat="1" ht="15" x14ac:dyDescent="0.2">
      <c r="A29" s="71">
        <v>5.1635111876075728</v>
      </c>
      <c r="B29" s="71">
        <v>5.9775840597758405</v>
      </c>
      <c r="C29" s="71">
        <v>3.7117903930131009</v>
      </c>
      <c r="D29" s="71">
        <v>2.1246458923512748</v>
      </c>
      <c r="F29" s="71">
        <v>0.51635111876075734</v>
      </c>
      <c r="G29" s="71">
        <v>3.3623910336239105</v>
      </c>
      <c r="H29" s="71">
        <v>9.8253275109170293</v>
      </c>
      <c r="I29" s="71">
        <v>2.974504249291785</v>
      </c>
      <c r="K29" s="71">
        <v>2.753872633390706</v>
      </c>
      <c r="L29" s="71">
        <v>3.1133250311332503</v>
      </c>
      <c r="M29" s="71">
        <v>1.5283842794759825</v>
      </c>
      <c r="N29" s="71">
        <v>2.4079320113314444</v>
      </c>
      <c r="P29" s="71">
        <v>6.024096385542169</v>
      </c>
      <c r="Q29" s="71">
        <v>0.24906600249066002</v>
      </c>
      <c r="R29" s="71">
        <v>1.5283842794759825</v>
      </c>
      <c r="S29" s="71">
        <v>0.99150141643059486</v>
      </c>
    </row>
    <row r="30" spans="1:19" s="21" customFormat="1" ht="15" x14ac:dyDescent="0.2">
      <c r="A30" s="71">
        <v>2.1650879566982408</v>
      </c>
      <c r="B30" s="71">
        <v>5.5961070559610704</v>
      </c>
      <c r="C30" s="71">
        <v>2.2030651340996168</v>
      </c>
      <c r="D30" s="71">
        <v>1.0909090909090911</v>
      </c>
      <c r="F30" s="71">
        <v>5.006765899864682</v>
      </c>
      <c r="G30" s="71">
        <v>0.97323600973236013</v>
      </c>
      <c r="H30" s="71">
        <v>3.6877394636015324</v>
      </c>
      <c r="I30" s="71">
        <v>5.8181818181818183</v>
      </c>
      <c r="K30" s="71">
        <v>1.4884979702300407</v>
      </c>
      <c r="L30" s="71">
        <v>1.9464720194647203</v>
      </c>
      <c r="M30" s="71">
        <v>1.2931034482758621</v>
      </c>
      <c r="N30" s="71">
        <v>2.1818181818181821</v>
      </c>
      <c r="P30" s="71">
        <v>0.40595399188092013</v>
      </c>
      <c r="Q30" s="71">
        <v>0.36496350364963503</v>
      </c>
      <c r="R30" s="71">
        <v>1.053639846743295</v>
      </c>
      <c r="S30" s="71">
        <v>4.3636363636363642</v>
      </c>
    </row>
  </sheetData>
  <mergeCells count="39">
    <mergeCell ref="P23:Q23"/>
    <mergeCell ref="R23:S23"/>
    <mergeCell ref="A23:B23"/>
    <mergeCell ref="C23:D23"/>
    <mergeCell ref="F23:G23"/>
    <mergeCell ref="H23:I23"/>
    <mergeCell ref="K23:L23"/>
    <mergeCell ref="M23:N23"/>
    <mergeCell ref="P13:Q13"/>
    <mergeCell ref="R13:S13"/>
    <mergeCell ref="A22:D22"/>
    <mergeCell ref="F22:I22"/>
    <mergeCell ref="K22:N22"/>
    <mergeCell ref="P22:S22"/>
    <mergeCell ref="A13:B13"/>
    <mergeCell ref="C13:D13"/>
    <mergeCell ref="F13:G13"/>
    <mergeCell ref="H13:I13"/>
    <mergeCell ref="K13:L13"/>
    <mergeCell ref="M13:N13"/>
    <mergeCell ref="A12:D12"/>
    <mergeCell ref="F12:I12"/>
    <mergeCell ref="K12:N12"/>
    <mergeCell ref="P12:S12"/>
    <mergeCell ref="A2:D2"/>
    <mergeCell ref="F2:I2"/>
    <mergeCell ref="K2:N2"/>
    <mergeCell ref="P2:S2"/>
    <mergeCell ref="M3:N3"/>
    <mergeCell ref="P3:Q3"/>
    <mergeCell ref="R3:S3"/>
    <mergeCell ref="U2:X2"/>
    <mergeCell ref="A3:B3"/>
    <mergeCell ref="C3:D3"/>
    <mergeCell ref="F3:G3"/>
    <mergeCell ref="H3:I3"/>
    <mergeCell ref="K3:L3"/>
    <mergeCell ref="U3:V3"/>
    <mergeCell ref="W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Fig.1</vt:lpstr>
      <vt:lpstr>Fig.2</vt:lpstr>
      <vt:lpstr>Fig.3</vt:lpstr>
      <vt:lpstr>Fig.4</vt:lpstr>
      <vt:lpstr>Fig.5</vt:lpstr>
      <vt:lpstr>Fig.6</vt:lpstr>
      <vt:lpstr>Fig.7</vt:lpstr>
      <vt:lpstr>ED.Fig.1</vt:lpstr>
      <vt:lpstr>ED.Fig.2</vt:lpstr>
      <vt:lpstr>ED.Fig.3</vt:lpstr>
      <vt:lpstr>ED.Fig.4</vt:lpstr>
      <vt:lpstr>ED.Fig.5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Junyun Lai</dc:creator>
  <cp:lastModifiedBy>CheokWeng Chan</cp:lastModifiedBy>
  <dcterms:created xsi:type="dcterms:W3CDTF">2024-11-04T02:15:39Z</dcterms:created>
  <dcterms:modified xsi:type="dcterms:W3CDTF">2025-12-15T03:18:59Z</dcterms:modified>
</cp:coreProperties>
</file>