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C Hsieh\Desktop\Liu Lab\3D microdissection project\manuscript\revision_after_acceptance\source_data\"/>
    </mc:Choice>
  </mc:AlternateContent>
  <xr:revisionPtr revIDLastSave="0" documentId="13_ncr:1_{01E8A56A-E77D-4CCB-A005-AC4026AA757E}" xr6:coauthVersionLast="47" xr6:coauthVersionMax="47" xr10:uidLastSave="{00000000-0000-0000-0000-000000000000}"/>
  <bookViews>
    <workbookView xWindow="0" yWindow="2175" windowWidth="21600" windowHeight="11055" activeTab="1" xr2:uid="{00000000-000D-0000-FFFF-FFFF00000000}"/>
  </bookViews>
  <sheets>
    <sheet name="EDF2(b)" sheetId="1" r:id="rId1"/>
    <sheet name="EDF2(c)" sheetId="2" r:id="rId2"/>
    <sheet name="EDF2(d)" sheetId="3" r:id="rId3"/>
    <sheet name="EDF2(f)&amp;(g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2" l="1"/>
  <c r="K39" i="2"/>
  <c r="L38" i="2"/>
  <c r="K38" i="2"/>
  <c r="K14" i="2"/>
  <c r="M9" i="2"/>
  <c r="M10" i="2" s="1"/>
  <c r="L10" i="2"/>
  <c r="M8" i="2"/>
  <c r="M7" i="2"/>
  <c r="M6" i="2"/>
  <c r="M5" i="2"/>
  <c r="M4" i="2"/>
  <c r="L4" i="2"/>
  <c r="K4" i="2"/>
  <c r="K41" i="2" s="1"/>
  <c r="I4" i="1"/>
  <c r="H4" i="1"/>
  <c r="G4" i="1"/>
  <c r="L42" i="2"/>
  <c r="L41" i="2"/>
  <c r="D27" i="4"/>
  <c r="G45" i="4"/>
  <c r="D45" i="4"/>
  <c r="D63" i="4"/>
  <c r="G63" i="4"/>
  <c r="M70" i="4"/>
  <c r="I8" i="4"/>
  <c r="J8" i="4"/>
  <c r="K8" i="4"/>
  <c r="L8" i="4"/>
  <c r="I26" i="4"/>
  <c r="J26" i="4"/>
  <c r="K26" i="4"/>
  <c r="L26" i="4"/>
  <c r="L44" i="4"/>
  <c r="K44" i="4"/>
  <c r="J44" i="4"/>
  <c r="I44" i="4"/>
  <c r="L62" i="4"/>
  <c r="K62" i="4"/>
  <c r="J62" i="4"/>
  <c r="I62" i="4"/>
  <c r="G61" i="4"/>
  <c r="D61" i="4"/>
  <c r="G60" i="4"/>
  <c r="D60" i="4"/>
  <c r="G59" i="4"/>
  <c r="D59" i="4"/>
  <c r="G58" i="4"/>
  <c r="D58" i="4"/>
  <c r="G57" i="4"/>
  <c r="D57" i="4"/>
  <c r="G56" i="4"/>
  <c r="D56" i="4"/>
  <c r="M53" i="4"/>
  <c r="M17" i="4"/>
  <c r="M35" i="4"/>
  <c r="G43" i="4"/>
  <c r="D43" i="4"/>
  <c r="G42" i="4"/>
  <c r="D42" i="4"/>
  <c r="G41" i="4"/>
  <c r="D41" i="4"/>
  <c r="G40" i="4"/>
  <c r="D40" i="4"/>
  <c r="G39" i="4"/>
  <c r="D39" i="4"/>
  <c r="G38" i="4"/>
  <c r="D38" i="4"/>
  <c r="G27" i="4"/>
  <c r="G25" i="4"/>
  <c r="D25" i="4"/>
  <c r="G24" i="4"/>
  <c r="D24" i="4"/>
  <c r="G23" i="4"/>
  <c r="D23" i="4"/>
  <c r="G22" i="4"/>
  <c r="D22" i="4"/>
  <c r="G21" i="4"/>
  <c r="D21" i="4"/>
  <c r="G20" i="4"/>
  <c r="D20" i="4"/>
  <c r="G7" i="4"/>
  <c r="D7" i="4"/>
  <c r="G6" i="4"/>
  <c r="D6" i="4"/>
  <c r="G5" i="4"/>
  <c r="D5" i="4"/>
  <c r="G4" i="4"/>
  <c r="D4" i="4"/>
  <c r="G3" i="4"/>
  <c r="D3" i="4"/>
  <c r="G2" i="4"/>
  <c r="G9" i="4" s="1"/>
  <c r="D2" i="4"/>
  <c r="K6" i="3"/>
  <c r="H6" i="3"/>
  <c r="E6" i="3"/>
  <c r="B6" i="3"/>
  <c r="K5" i="3"/>
  <c r="H5" i="3"/>
  <c r="E5" i="3"/>
  <c r="B5" i="3"/>
  <c r="L20" i="2"/>
  <c r="K20" i="2"/>
  <c r="M11" i="2"/>
  <c r="L11" i="2"/>
  <c r="M38" i="2"/>
  <c r="M37" i="2"/>
  <c r="L37" i="2"/>
  <c r="K37" i="2"/>
  <c r="I37" i="2"/>
  <c r="E37" i="2"/>
  <c r="M36" i="2"/>
  <c r="L36" i="2"/>
  <c r="K36" i="2"/>
  <c r="I36" i="2"/>
  <c r="E36" i="2"/>
  <c r="M35" i="2"/>
  <c r="L35" i="2"/>
  <c r="K35" i="2"/>
  <c r="I35" i="2"/>
  <c r="E35" i="2"/>
  <c r="M34" i="2"/>
  <c r="L34" i="2"/>
  <c r="K34" i="2"/>
  <c r="I34" i="2"/>
  <c r="E34" i="2"/>
  <c r="M33" i="2"/>
  <c r="L33" i="2"/>
  <c r="K33" i="2"/>
  <c r="I33" i="2"/>
  <c r="E33" i="2"/>
  <c r="M30" i="2"/>
  <c r="L30" i="2"/>
  <c r="K30" i="2"/>
  <c r="M29" i="2"/>
  <c r="L29" i="2"/>
  <c r="K29" i="2"/>
  <c r="M28" i="2"/>
  <c r="L28" i="2"/>
  <c r="K28" i="2"/>
  <c r="I28" i="2"/>
  <c r="E28" i="2"/>
  <c r="M27" i="2"/>
  <c r="L27" i="2"/>
  <c r="K27" i="2"/>
  <c r="I27" i="2"/>
  <c r="E27" i="2"/>
  <c r="M26" i="2"/>
  <c r="L26" i="2"/>
  <c r="K26" i="2"/>
  <c r="I26" i="2"/>
  <c r="E26" i="2"/>
  <c r="M25" i="2"/>
  <c r="L25" i="2"/>
  <c r="K25" i="2"/>
  <c r="I25" i="2"/>
  <c r="E25" i="2"/>
  <c r="M24" i="2"/>
  <c r="L24" i="2"/>
  <c r="K24" i="2"/>
  <c r="I24" i="2"/>
  <c r="E24" i="2"/>
  <c r="M21" i="2"/>
  <c r="L21" i="2"/>
  <c r="K21" i="2"/>
  <c r="M20" i="2"/>
  <c r="M19" i="2"/>
  <c r="L19" i="2"/>
  <c r="K19" i="2"/>
  <c r="I19" i="2"/>
  <c r="E19" i="2"/>
  <c r="M18" i="2"/>
  <c r="L18" i="2"/>
  <c r="K18" i="2"/>
  <c r="I18" i="2"/>
  <c r="E18" i="2"/>
  <c r="M17" i="2"/>
  <c r="L17" i="2"/>
  <c r="K17" i="2"/>
  <c r="I17" i="2"/>
  <c r="E17" i="2"/>
  <c r="M16" i="2"/>
  <c r="L16" i="2"/>
  <c r="K16" i="2"/>
  <c r="I16" i="2"/>
  <c r="E16" i="2"/>
  <c r="M15" i="2"/>
  <c r="L15" i="2"/>
  <c r="K15" i="2"/>
  <c r="I15" i="2"/>
  <c r="E15" i="2"/>
  <c r="M14" i="2"/>
  <c r="L14" i="2"/>
  <c r="I14" i="2"/>
  <c r="E14" i="2"/>
  <c r="L9" i="2"/>
  <c r="K9" i="2"/>
  <c r="I9" i="2"/>
  <c r="E9" i="2"/>
  <c r="L8" i="2"/>
  <c r="K8" i="2"/>
  <c r="I8" i="2"/>
  <c r="E8" i="2"/>
  <c r="L7" i="2"/>
  <c r="K7" i="2"/>
  <c r="I7" i="2"/>
  <c r="E7" i="2"/>
  <c r="L6" i="2"/>
  <c r="K6" i="2"/>
  <c r="I6" i="2"/>
  <c r="E6" i="2"/>
  <c r="L5" i="2"/>
  <c r="K5" i="2"/>
  <c r="I5" i="2"/>
  <c r="E5" i="2"/>
  <c r="I4" i="2"/>
  <c r="E4" i="2"/>
  <c r="M42" i="2" l="1"/>
  <c r="M41" i="2"/>
  <c r="K42" i="2"/>
  <c r="K11" i="2"/>
  <c r="K10" i="2"/>
  <c r="D9" i="4"/>
  <c r="R9" i="1" l="1"/>
  <c r="V9" i="1" s="1"/>
  <c r="R8" i="1"/>
  <c r="R7" i="1"/>
  <c r="V7" i="1" s="1"/>
  <c r="R6" i="1"/>
  <c r="R5" i="1"/>
  <c r="R4" i="1"/>
  <c r="Q9" i="1"/>
  <c r="P9" i="1"/>
  <c r="T9" i="1" s="1"/>
  <c r="Q6" i="1"/>
  <c r="P6" i="1"/>
  <c r="Q8" i="1"/>
  <c r="U8" i="1" s="1"/>
  <c r="P8" i="1"/>
  <c r="I9" i="1"/>
  <c r="H9" i="1"/>
  <c r="G9" i="1"/>
  <c r="I8" i="1"/>
  <c r="H8" i="1"/>
  <c r="G8" i="1"/>
  <c r="P4" i="1"/>
  <c r="T4" i="1" s="1"/>
  <c r="I6" i="1"/>
  <c r="H6" i="1"/>
  <c r="G6" i="1"/>
  <c r="I7" i="1"/>
  <c r="H7" i="1"/>
  <c r="G7" i="1"/>
  <c r="Q7" i="1"/>
  <c r="U7" i="1" s="1"/>
  <c r="P7" i="1"/>
  <c r="T7" i="1" s="1"/>
  <c r="Q4" i="1"/>
  <c r="V4" i="1"/>
  <c r="I5" i="1"/>
  <c r="H5" i="1"/>
  <c r="G5" i="1"/>
  <c r="Q5" i="1"/>
  <c r="P5" i="1"/>
  <c r="V6" i="1" l="1"/>
  <c r="V8" i="1"/>
  <c r="V5" i="1"/>
  <c r="V11" i="1" s="1"/>
  <c r="T8" i="1"/>
  <c r="T5" i="1"/>
  <c r="T11" i="1" s="1"/>
  <c r="U6" i="1"/>
  <c r="U4" i="1"/>
  <c r="U11" i="1" s="1"/>
  <c r="U9" i="1"/>
  <c r="U5" i="1"/>
  <c r="T6" i="1"/>
  <c r="U10" i="1"/>
  <c r="V10" i="1" l="1"/>
  <c r="T10" i="1"/>
</calcChain>
</file>

<file path=xl/sharedStrings.xml><?xml version="1.0" encoding="utf-8"?>
<sst xmlns="http://schemas.openxmlformats.org/spreadsheetml/2006/main" count="234" uniqueCount="70">
  <si>
    <t>X</t>
  </si>
  <si>
    <t>Y</t>
  </si>
  <si>
    <t>P2</t>
  </si>
  <si>
    <t>P4</t>
  </si>
  <si>
    <t>P5</t>
  </si>
  <si>
    <t>P10</t>
  </si>
  <si>
    <t>P11</t>
  </si>
  <si>
    <t>Depth</t>
  </si>
  <si>
    <t>P0</t>
  </si>
  <si>
    <t>dX</t>
  </si>
  <si>
    <t>dY</t>
  </si>
  <si>
    <t>dZ</t>
  </si>
  <si>
    <t>error_X</t>
  </si>
  <si>
    <t>error_Y</t>
  </si>
  <si>
    <t>error_Z</t>
  </si>
  <si>
    <t>G-code</t>
  </si>
  <si>
    <t>Stage</t>
  </si>
  <si>
    <t>P1</t>
  </si>
  <si>
    <t>P3</t>
  </si>
  <si>
    <t>P6</t>
  </si>
  <si>
    <t>*P0: the reference coordinate used for co-registration; all displacement vectors (P1–P6) are calculated relative to P0.</t>
    <phoneticPr fontId="1" type="noConversion"/>
  </si>
  <si>
    <t>Average</t>
  </si>
  <si>
    <t>Average</t>
    <phoneticPr fontId="1" type="noConversion"/>
  </si>
  <si>
    <t>STDEV</t>
  </si>
  <si>
    <t>STDEV</t>
    <phoneticPr fontId="1" type="noConversion"/>
  </si>
  <si>
    <t>Measured coordinates</t>
  </si>
  <si>
    <t>Cartilage</t>
  </si>
  <si>
    <t>Z_bottom</t>
  </si>
  <si>
    <t>H&amp;N</t>
  </si>
  <si>
    <t>Prostate</t>
  </si>
  <si>
    <t>Breast</t>
  </si>
  <si>
    <t>P: point (center of the cross)</t>
    <phoneticPr fontId="1" type="noConversion"/>
  </si>
  <si>
    <t>All_average</t>
    <phoneticPr fontId="1" type="noConversion"/>
  </si>
  <si>
    <t>Young's modulus (MPa)</t>
  </si>
  <si>
    <t>Cartilage 1</t>
  </si>
  <si>
    <t>Prostate 1</t>
  </si>
  <si>
    <t>Breast 1</t>
  </si>
  <si>
    <t>Cartilage 2</t>
  </si>
  <si>
    <t>Prostate 2</t>
  </si>
  <si>
    <t>Breast 2</t>
  </si>
  <si>
    <t>Cartilage 3</t>
  </si>
  <si>
    <t>Prostate 3</t>
  </si>
  <si>
    <t>Breast 3</t>
  </si>
  <si>
    <t>Head-and-neck 1</t>
    <phoneticPr fontId="1" type="noConversion"/>
  </si>
  <si>
    <t>Head-and-neck 2</t>
  </si>
  <si>
    <t>Head-and-neck 3</t>
  </si>
  <si>
    <t>Set coordinates (ground truth)</t>
    <phoneticPr fontId="1" type="noConversion"/>
  </si>
  <si>
    <t>Head-and-neck</t>
    <phoneticPr fontId="1" type="noConversion"/>
  </si>
  <si>
    <t>Recall_theoretical</t>
  </si>
  <si>
    <t>Recall_exp</t>
  </si>
  <si>
    <t>Recall_err</t>
  </si>
  <si>
    <t>Precision_theoretical</t>
  </si>
  <si>
    <t>Precision_exp</t>
  </si>
  <si>
    <t>Precision_err</t>
  </si>
  <si>
    <t>Microdissection order</t>
  </si>
  <si>
    <t>long_axis_xy(um)</t>
  </si>
  <si>
    <t>short_axis_xy (um)</t>
  </si>
  <si>
    <t>z_thickness (um)</t>
  </si>
  <si>
    <t>volume (mm^3)</t>
  </si>
  <si>
    <t>label1</t>
  </si>
  <si>
    <t>label2</t>
  </si>
  <si>
    <t>label3</t>
  </si>
  <si>
    <t>label4</t>
  </si>
  <si>
    <t>label5</t>
  </si>
  <si>
    <t>label6</t>
  </si>
  <si>
    <t>Pairwise_voi_distance (um)</t>
  </si>
  <si>
    <t>Cartilage</t>
    <phoneticPr fontId="1" type="noConversion"/>
  </si>
  <si>
    <t>Prostate</t>
    <phoneticPr fontId="1" type="noConversion"/>
  </si>
  <si>
    <t>label1</t>
    <phoneticPr fontId="1" type="noConversion"/>
  </si>
  <si>
    <t>Breast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</si>
</sst>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left"/>
    </xf>
    <xf numFmtId="0" fontId="3" fillId="3" borderId="11" xfId="0" applyFont="1" applyFill="1" applyBorder="1"/>
    <xf numFmtId="0" fontId="2" fillId="3" borderId="11" xfId="0" applyFont="1" applyFill="1" applyBorder="1"/>
    <xf numFmtId="0" fontId="3" fillId="3" borderId="1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3" borderId="12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opLeftCell="B1" workbookViewId="0">
      <selection activeCell="I5" sqref="I5"/>
    </sheetView>
  </sheetViews>
  <sheetFormatPr defaultRowHeight="15" x14ac:dyDescent="0.45"/>
  <cols>
    <col min="11" max="18" width="9.140625" style="1"/>
    <col min="19" max="19" width="13.5703125" style="1" customWidth="1"/>
    <col min="20" max="20" width="12.85546875" style="1" customWidth="1"/>
  </cols>
  <sheetData>
    <row r="1" spans="1:22" ht="15.4" thickBot="1" x14ac:dyDescent="0.5">
      <c r="A1" s="1"/>
      <c r="B1" s="20" t="s">
        <v>15</v>
      </c>
      <c r="C1" s="21"/>
      <c r="D1" s="21"/>
      <c r="E1" s="21"/>
      <c r="F1" s="21"/>
      <c r="G1" s="21"/>
      <c r="H1" s="21"/>
      <c r="I1" s="22"/>
      <c r="J1" s="20" t="s">
        <v>16</v>
      </c>
      <c r="K1" s="23"/>
      <c r="L1" s="23"/>
      <c r="M1" s="23"/>
      <c r="N1" s="23"/>
      <c r="O1" s="23"/>
      <c r="P1" s="23"/>
      <c r="Q1" s="23"/>
      <c r="R1" s="24"/>
      <c r="S1" s="4"/>
      <c r="T1" s="4"/>
      <c r="U1" s="3"/>
      <c r="V1" s="3"/>
    </row>
    <row r="2" spans="1:22" x14ac:dyDescent="0.45">
      <c r="A2" s="1" t="s">
        <v>8</v>
      </c>
      <c r="B2" s="8"/>
      <c r="C2" s="4" t="s">
        <v>0</v>
      </c>
      <c r="D2" s="4" t="s">
        <v>1</v>
      </c>
      <c r="E2" s="4" t="s">
        <v>7</v>
      </c>
      <c r="F2" s="4"/>
      <c r="G2" s="4"/>
      <c r="H2" s="4"/>
      <c r="I2" s="9"/>
      <c r="J2" s="10"/>
      <c r="K2" s="4"/>
      <c r="L2" s="4" t="s">
        <v>0</v>
      </c>
      <c r="M2" s="4" t="s">
        <v>1</v>
      </c>
      <c r="N2" s="4" t="s">
        <v>7</v>
      </c>
      <c r="O2" s="3"/>
      <c r="P2" s="3"/>
      <c r="Q2" s="3"/>
      <c r="R2" s="16"/>
      <c r="S2" s="4"/>
      <c r="T2" s="4"/>
      <c r="U2" s="4"/>
      <c r="V2" s="3"/>
    </row>
    <row r="3" spans="1:22" x14ac:dyDescent="0.45">
      <c r="A3" s="1" t="s">
        <v>2</v>
      </c>
      <c r="B3" s="10" t="s">
        <v>8</v>
      </c>
      <c r="C3" s="4">
        <v>7.0279999999999996</v>
      </c>
      <c r="D3" s="4">
        <v>22.699000000000002</v>
      </c>
      <c r="E3" s="4">
        <v>2.3199999999999998</v>
      </c>
      <c r="F3" s="4"/>
      <c r="G3" s="4" t="s">
        <v>9</v>
      </c>
      <c r="H3" s="4" t="s">
        <v>10</v>
      </c>
      <c r="I3" s="9" t="s">
        <v>11</v>
      </c>
      <c r="J3" s="10"/>
      <c r="K3" s="4" t="s">
        <v>8</v>
      </c>
      <c r="L3" s="4">
        <v>0.948438</v>
      </c>
      <c r="M3" s="4">
        <v>-5.6427620000000003</v>
      </c>
      <c r="N3" s="4">
        <v>0.12374400000000001</v>
      </c>
      <c r="O3" s="3"/>
      <c r="P3" s="4" t="s">
        <v>9</v>
      </c>
      <c r="Q3" s="4" t="s">
        <v>10</v>
      </c>
      <c r="R3" s="9" t="s">
        <v>11</v>
      </c>
      <c r="S3" s="4"/>
      <c r="T3" s="19" t="s">
        <v>12</v>
      </c>
      <c r="U3" s="19" t="s">
        <v>13</v>
      </c>
      <c r="V3" s="18" t="s">
        <v>14</v>
      </c>
    </row>
    <row r="4" spans="1:22" x14ac:dyDescent="0.45">
      <c r="A4" s="1"/>
      <c r="B4" s="10" t="s">
        <v>17</v>
      </c>
      <c r="C4" s="4">
        <v>8.7279999999999998</v>
      </c>
      <c r="D4" s="4">
        <v>23.099</v>
      </c>
      <c r="E4" s="4">
        <v>2.339</v>
      </c>
      <c r="F4" s="4"/>
      <c r="G4" s="4">
        <f>(C4-$C$3)*(-1)</f>
        <v>-1.7000000000000002</v>
      </c>
      <c r="H4" s="4">
        <f>(D4-$D$3)*-1</f>
        <v>-0.39999999999999858</v>
      </c>
      <c r="I4" s="9">
        <f>(E4-$E$3)*(-1)</f>
        <v>-1.9000000000000128E-2</v>
      </c>
      <c r="J4" s="10"/>
      <c r="K4" s="4" t="s">
        <v>17</v>
      </c>
      <c r="L4" s="4">
        <v>-0.79018200000000005</v>
      </c>
      <c r="M4" s="4">
        <v>-6.0567324999999999</v>
      </c>
      <c r="N4" s="4">
        <v>0.119877</v>
      </c>
      <c r="O4" s="3"/>
      <c r="P4" s="4">
        <f t="shared" ref="P4:P9" si="0">L4-$L$3</f>
        <v>-1.7386200000000001</v>
      </c>
      <c r="Q4" s="4">
        <f t="shared" ref="Q4:Q9" si="1">M4-$M$3</f>
        <v>-0.41397049999999957</v>
      </c>
      <c r="R4" s="9">
        <f t="shared" ref="R4:R9" si="2">N4-$N$3</f>
        <v>-3.8670000000000093E-3</v>
      </c>
      <c r="S4" s="4"/>
      <c r="T4" s="5">
        <f>ABS(P4-G4)*1000</f>
        <v>38.619999999999877</v>
      </c>
      <c r="U4" s="5">
        <f t="shared" ref="U4:V9" si="3">ABS(Q4-H4)*1000</f>
        <v>13.970500000000996</v>
      </c>
      <c r="V4" s="5">
        <f>(R4-I4)*1000</f>
        <v>15.133000000000118</v>
      </c>
    </row>
    <row r="5" spans="1:22" x14ac:dyDescent="0.45">
      <c r="A5" s="1" t="s">
        <v>4</v>
      </c>
      <c r="B5" s="10" t="s">
        <v>2</v>
      </c>
      <c r="C5" s="4">
        <v>6.9279999999999999</v>
      </c>
      <c r="D5" s="4">
        <v>21.298999999999999</v>
      </c>
      <c r="E5" s="4">
        <v>2.351</v>
      </c>
      <c r="F5" s="4"/>
      <c r="G5" s="4">
        <f t="shared" ref="G5:G9" si="4">(C5-$C$3)*(-1)</f>
        <v>9.9999999999999645E-2</v>
      </c>
      <c r="H5" s="4">
        <f t="shared" ref="H5:H9" si="5">(D5-$D$3)*-1</f>
        <v>1.4000000000000021</v>
      </c>
      <c r="I5" s="9">
        <f t="shared" ref="I5:I9" si="6">(E5-$E$3)*(-1)</f>
        <v>-3.1000000000000139E-2</v>
      </c>
      <c r="J5" s="10"/>
      <c r="K5" s="4" t="s">
        <v>2</v>
      </c>
      <c r="L5" s="4">
        <v>1.019574</v>
      </c>
      <c r="M5" s="4">
        <v>-4.2701785000000001</v>
      </c>
      <c r="N5" s="4">
        <v>0.1102095</v>
      </c>
      <c r="O5" s="3"/>
      <c r="P5" s="4">
        <f t="shared" si="0"/>
        <v>7.1135999999999977E-2</v>
      </c>
      <c r="Q5" s="4">
        <f t="shared" si="1"/>
        <v>1.3725835000000002</v>
      </c>
      <c r="R5" s="9">
        <f t="shared" si="2"/>
        <v>-1.3534500000000005E-2</v>
      </c>
      <c r="S5" s="4"/>
      <c r="T5" s="5">
        <f t="shared" ref="T5:T9" si="7">ABS(P5-G5)*1000</f>
        <v>28.863999999999667</v>
      </c>
      <c r="U5" s="5">
        <f t="shared" si="3"/>
        <v>27.416500000001953</v>
      </c>
      <c r="V5" s="5">
        <f t="shared" si="3"/>
        <v>17.465500000000134</v>
      </c>
    </row>
    <row r="6" spans="1:22" x14ac:dyDescent="0.45">
      <c r="A6" s="1"/>
      <c r="B6" s="10" t="s">
        <v>18</v>
      </c>
      <c r="C6" s="4">
        <v>6.0279999999999996</v>
      </c>
      <c r="D6" s="4">
        <v>25.699000000000002</v>
      </c>
      <c r="E6" s="4">
        <v>2.3730000000000002</v>
      </c>
      <c r="F6" s="4"/>
      <c r="G6" s="4">
        <f t="shared" si="4"/>
        <v>1</v>
      </c>
      <c r="H6" s="4">
        <f t="shared" si="5"/>
        <v>-3</v>
      </c>
      <c r="I6" s="9">
        <f t="shared" si="6"/>
        <v>-5.300000000000038E-2</v>
      </c>
      <c r="J6" s="10"/>
      <c r="K6" s="4" t="s">
        <v>18</v>
      </c>
      <c r="L6" s="3">
        <v>1.9128510000000001</v>
      </c>
      <c r="M6" s="3">
        <v>-8.6862925000000004</v>
      </c>
      <c r="N6" s="4">
        <v>3.8670000000000003E-2</v>
      </c>
      <c r="O6" s="3"/>
      <c r="P6" s="4">
        <f t="shared" si="0"/>
        <v>0.96441300000000008</v>
      </c>
      <c r="Q6" s="4">
        <f t="shared" si="1"/>
        <v>-3.0435305000000001</v>
      </c>
      <c r="R6" s="9">
        <f t="shared" si="2"/>
        <v>-8.5074000000000011E-2</v>
      </c>
      <c r="S6" s="4"/>
      <c r="T6" s="5">
        <f t="shared" si="7"/>
        <v>35.586999999999925</v>
      </c>
      <c r="U6" s="5">
        <f t="shared" si="3"/>
        <v>43.530500000000139</v>
      </c>
      <c r="V6" s="5">
        <f t="shared" si="3"/>
        <v>32.073999999999629</v>
      </c>
    </row>
    <row r="7" spans="1:22" x14ac:dyDescent="0.45">
      <c r="A7" s="1" t="s">
        <v>5</v>
      </c>
      <c r="B7" s="10" t="s">
        <v>3</v>
      </c>
      <c r="C7" s="4">
        <v>5.5279999999999996</v>
      </c>
      <c r="D7" s="4">
        <v>16.498999999999999</v>
      </c>
      <c r="E7" s="4">
        <v>2.2949999999999999</v>
      </c>
      <c r="F7" s="4"/>
      <c r="G7" s="4">
        <f t="shared" si="4"/>
        <v>1.5</v>
      </c>
      <c r="H7" s="4">
        <f t="shared" si="5"/>
        <v>6.2000000000000028</v>
      </c>
      <c r="I7" s="9">
        <f t="shared" si="6"/>
        <v>2.4999999999999911E-2</v>
      </c>
      <c r="J7" s="10"/>
      <c r="K7" s="4" t="s">
        <v>3</v>
      </c>
      <c r="L7" s="4">
        <v>2.4348960000000002</v>
      </c>
      <c r="M7" s="4">
        <v>0.50556650000000003</v>
      </c>
      <c r="N7" s="4">
        <v>0.1218105</v>
      </c>
      <c r="O7" s="3"/>
      <c r="P7" s="4">
        <f t="shared" si="0"/>
        <v>1.4864580000000003</v>
      </c>
      <c r="Q7" s="4">
        <f t="shared" si="1"/>
        <v>6.1483284999999999</v>
      </c>
      <c r="R7" s="9">
        <f t="shared" si="2"/>
        <v>-1.9335000000000047E-3</v>
      </c>
      <c r="S7" s="4"/>
      <c r="T7" s="5">
        <f t="shared" si="7"/>
        <v>13.541999999999721</v>
      </c>
      <c r="U7" s="5">
        <f t="shared" si="3"/>
        <v>51.671500000002979</v>
      </c>
      <c r="V7" s="5">
        <f t="shared" si="3"/>
        <v>26.933499999999917</v>
      </c>
    </row>
    <row r="8" spans="1:22" x14ac:dyDescent="0.45">
      <c r="A8" s="1" t="s">
        <v>6</v>
      </c>
      <c r="B8" s="10" t="s">
        <v>4</v>
      </c>
      <c r="C8" s="4">
        <v>8.0280000000000005</v>
      </c>
      <c r="D8" s="4">
        <v>17.498999999999999</v>
      </c>
      <c r="E8" s="4">
        <v>2.2650000000000001</v>
      </c>
      <c r="F8" s="4"/>
      <c r="G8" s="4">
        <f t="shared" si="4"/>
        <v>-1.0000000000000009</v>
      </c>
      <c r="H8" s="4">
        <f t="shared" si="5"/>
        <v>5.2000000000000028</v>
      </c>
      <c r="I8" s="9">
        <f t="shared" si="6"/>
        <v>5.4999999999999716E-2</v>
      </c>
      <c r="J8" s="10"/>
      <c r="K8" s="4" t="s">
        <v>4</v>
      </c>
      <c r="L8" s="4">
        <v>-7.4787000000000006E-2</v>
      </c>
      <c r="M8" s="4">
        <v>-0.4727845</v>
      </c>
      <c r="N8" s="4">
        <v>0.14307900000000001</v>
      </c>
      <c r="O8" s="3"/>
      <c r="P8" s="4">
        <f t="shared" si="0"/>
        <v>-1.0232250000000001</v>
      </c>
      <c r="Q8" s="4">
        <f t="shared" si="1"/>
        <v>5.1699774999999999</v>
      </c>
      <c r="R8" s="9">
        <f t="shared" si="2"/>
        <v>1.9335000000000005E-2</v>
      </c>
      <c r="S8" s="4"/>
      <c r="T8" s="5">
        <f t="shared" si="7"/>
        <v>23.224999999999163</v>
      </c>
      <c r="U8" s="5">
        <f t="shared" si="3"/>
        <v>30.02250000000295</v>
      </c>
      <c r="V8" s="5">
        <f t="shared" si="3"/>
        <v>35.664999999999708</v>
      </c>
    </row>
    <row r="9" spans="1:22" ht="15.4" thickBot="1" x14ac:dyDescent="0.5">
      <c r="B9" s="11" t="s">
        <v>19</v>
      </c>
      <c r="C9" s="12">
        <v>8.2279999999999998</v>
      </c>
      <c r="D9" s="12">
        <v>25.199000000000002</v>
      </c>
      <c r="E9" s="12">
        <v>2.2240000000000002</v>
      </c>
      <c r="F9" s="12"/>
      <c r="G9" s="12">
        <f t="shared" si="4"/>
        <v>-1.2000000000000002</v>
      </c>
      <c r="H9" s="12">
        <f t="shared" si="5"/>
        <v>-2.5</v>
      </c>
      <c r="I9" s="13">
        <f t="shared" si="6"/>
        <v>9.5999999999999641E-2</v>
      </c>
      <c r="J9" s="11"/>
      <c r="K9" s="12" t="s">
        <v>19</v>
      </c>
      <c r="L9" s="12">
        <v>-0.29907299999999998</v>
      </c>
      <c r="M9" s="12">
        <v>-8.1487794999999998</v>
      </c>
      <c r="N9" s="12">
        <v>0.185616</v>
      </c>
      <c r="O9" s="17"/>
      <c r="P9" s="12">
        <f t="shared" si="0"/>
        <v>-1.247511</v>
      </c>
      <c r="Q9" s="12">
        <f t="shared" si="1"/>
        <v>-2.5060174999999996</v>
      </c>
      <c r="R9" s="13">
        <f t="shared" si="2"/>
        <v>6.1871999999999996E-2</v>
      </c>
      <c r="S9" s="4"/>
      <c r="T9" s="5">
        <f t="shared" si="7"/>
        <v>47.510999999999861</v>
      </c>
      <c r="U9" s="5">
        <f t="shared" si="3"/>
        <v>6.0174999999995649</v>
      </c>
      <c r="V9" s="5">
        <f t="shared" si="3"/>
        <v>34.127999999999645</v>
      </c>
    </row>
    <row r="10" spans="1:22" x14ac:dyDescent="0.45"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  <c r="S10" s="18" t="s">
        <v>22</v>
      </c>
      <c r="T10" s="4">
        <f>AVERAGE(T4:T9)</f>
        <v>31.224833333333034</v>
      </c>
      <c r="U10" s="4">
        <f>AVERAGE(U4:U9)</f>
        <v>28.771500000001428</v>
      </c>
      <c r="V10" s="4">
        <f>AVERAGE(V4:V9)</f>
        <v>26.899833333333191</v>
      </c>
    </row>
    <row r="11" spans="1:22" x14ac:dyDescent="0.45">
      <c r="B11" s="6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4"/>
      <c r="M11" s="4"/>
      <c r="N11" s="4"/>
      <c r="O11" s="4"/>
      <c r="P11" s="4"/>
      <c r="Q11" s="4"/>
      <c r="R11" s="4"/>
      <c r="S11" s="18" t="s">
        <v>24</v>
      </c>
      <c r="T11" s="4">
        <f>STDEV(T4:T9)</f>
        <v>12.010076393040574</v>
      </c>
      <c r="U11" s="4">
        <f t="shared" ref="U11:V11" si="8">STDEV(U4:U9)</f>
        <v>17.218903704940875</v>
      </c>
      <c r="V11" s="4">
        <f t="shared" si="8"/>
        <v>8.7557145491766075</v>
      </c>
    </row>
    <row r="12" spans="1:22" x14ac:dyDescent="0.45">
      <c r="B12" s="3"/>
      <c r="C12" s="3"/>
      <c r="D12" s="3"/>
      <c r="E12" s="3"/>
      <c r="F12" s="3"/>
      <c r="G12" s="3"/>
      <c r="H12" s="3"/>
      <c r="I12" s="3"/>
      <c r="J12" s="3"/>
      <c r="K12" s="4"/>
      <c r="L12" s="4"/>
      <c r="M12" s="4"/>
      <c r="N12" s="4"/>
      <c r="O12" s="4"/>
      <c r="P12" s="4"/>
      <c r="Q12" s="4"/>
      <c r="R12" s="4"/>
      <c r="S12" s="4"/>
      <c r="T12" s="4"/>
      <c r="U12" s="3"/>
      <c r="V12" s="3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7A78-8DAB-4CD1-BD47-8DDC20AC1080}">
  <dimension ref="A1:M42"/>
  <sheetViews>
    <sheetView tabSelected="1" topLeftCell="A24" zoomScale="80" zoomScaleNormal="80" workbookViewId="0">
      <selection activeCell="P40" sqref="P40"/>
    </sheetView>
  </sheetViews>
  <sheetFormatPr defaultRowHeight="15" x14ac:dyDescent="0.45"/>
  <cols>
    <col min="1" max="1" width="13.42578125" customWidth="1"/>
    <col min="2" max="2" width="15.42578125" customWidth="1"/>
    <col min="3" max="3" width="11.42578125" customWidth="1"/>
    <col min="4" max="4" width="10.5703125" customWidth="1"/>
    <col min="5" max="5" width="11.85546875" customWidth="1"/>
    <col min="6" max="6" width="2.85546875" customWidth="1"/>
    <col min="7" max="7" width="15.140625" customWidth="1"/>
    <col min="8" max="8" width="12.5703125" customWidth="1"/>
    <col min="9" max="9" width="12.85546875" customWidth="1"/>
    <col min="10" max="10" width="14.140625" customWidth="1"/>
  </cols>
  <sheetData>
    <row r="1" spans="1:13" ht="15.4" thickBot="1" x14ac:dyDescent="0.5">
      <c r="A1" s="3"/>
      <c r="B1" s="25" t="s">
        <v>46</v>
      </c>
      <c r="C1" s="26"/>
      <c r="D1" s="27"/>
      <c r="E1" s="28"/>
      <c r="F1" s="3"/>
      <c r="G1" s="25" t="s">
        <v>25</v>
      </c>
      <c r="H1" s="26"/>
      <c r="I1" s="28"/>
      <c r="J1" s="3"/>
      <c r="K1" s="3"/>
      <c r="L1" s="3"/>
      <c r="M1" s="3"/>
    </row>
    <row r="2" spans="1:13" x14ac:dyDescent="0.45">
      <c r="A2" s="29" t="s">
        <v>26</v>
      </c>
      <c r="B2" s="34"/>
      <c r="C2" s="4"/>
      <c r="D2" s="4"/>
      <c r="E2" s="9"/>
      <c r="F2" s="7"/>
      <c r="G2" s="35"/>
      <c r="H2" s="30"/>
      <c r="I2" s="15"/>
      <c r="J2" s="14"/>
      <c r="K2" s="14"/>
      <c r="L2" s="14"/>
      <c r="M2" s="15"/>
    </row>
    <row r="3" spans="1:13" x14ac:dyDescent="0.45">
      <c r="A3" s="10"/>
      <c r="B3" s="10" t="s">
        <v>0</v>
      </c>
      <c r="C3" s="4" t="s">
        <v>1</v>
      </c>
      <c r="D3" s="4" t="s">
        <v>7</v>
      </c>
      <c r="E3" s="9" t="s">
        <v>27</v>
      </c>
      <c r="F3" s="4"/>
      <c r="G3" s="10" t="s">
        <v>0</v>
      </c>
      <c r="H3" s="4" t="s">
        <v>1</v>
      </c>
      <c r="I3" s="9" t="s">
        <v>27</v>
      </c>
      <c r="J3" s="4"/>
      <c r="K3" s="4" t="s">
        <v>12</v>
      </c>
      <c r="L3" s="4" t="s">
        <v>13</v>
      </c>
      <c r="M3" s="9" t="s">
        <v>14</v>
      </c>
    </row>
    <row r="4" spans="1:13" x14ac:dyDescent="0.45">
      <c r="A4" s="10" t="s">
        <v>17</v>
      </c>
      <c r="B4" s="10">
        <v>9.4330619999999996</v>
      </c>
      <c r="C4" s="4">
        <v>5.8017120000000002</v>
      </c>
      <c r="D4" s="4">
        <v>0.1</v>
      </c>
      <c r="E4" s="9">
        <f t="shared" ref="E4:E9" si="0">0.365395 + D4</f>
        <v>0.465395</v>
      </c>
      <c r="F4" s="3"/>
      <c r="G4" s="10">
        <v>9.2783819999999899</v>
      </c>
      <c r="H4" s="4">
        <v>5.8597250000000001</v>
      </c>
      <c r="I4" s="9">
        <f>193*0.003867 - 0.35</f>
        <v>0.3963310000000001</v>
      </c>
      <c r="J4" s="4"/>
      <c r="K4" s="4">
        <f>ABS(G4-B4)*1000</f>
        <v>154.6800000000097</v>
      </c>
      <c r="L4" s="4">
        <f>ABS(H4-C4)*1000</f>
        <v>58.01299999999987</v>
      </c>
      <c r="M4" s="9">
        <f t="shared" ref="M4:M9" si="1">ABS(I4-E4)*1000</f>
        <v>69.063999999999908</v>
      </c>
    </row>
    <row r="5" spans="1:13" x14ac:dyDescent="0.45">
      <c r="A5" s="10" t="s">
        <v>2</v>
      </c>
      <c r="B5" s="10">
        <v>9.4330619999999996</v>
      </c>
      <c r="C5" s="4">
        <v>3.4815119999999999</v>
      </c>
      <c r="D5" s="4">
        <v>0.15</v>
      </c>
      <c r="E5" s="9">
        <f t="shared" si="0"/>
        <v>0.51539500000000005</v>
      </c>
      <c r="F5" s="3"/>
      <c r="G5" s="10">
        <v>9.2783819999999899</v>
      </c>
      <c r="H5" s="4">
        <v>3.5433919999999999</v>
      </c>
      <c r="I5" s="9">
        <f>204*0.003867 - 0.35</f>
        <v>0.43886800000000004</v>
      </c>
      <c r="J5" s="4"/>
      <c r="K5" s="4">
        <f t="shared" ref="K5:L9" si="2">ABS(G5-B5)*1000</f>
        <v>154.6800000000097</v>
      </c>
      <c r="L5" s="4">
        <f t="shared" si="2"/>
        <v>61.879999999999939</v>
      </c>
      <c r="M5" s="9">
        <f t="shared" si="1"/>
        <v>76.527000000000015</v>
      </c>
    </row>
    <row r="6" spans="1:13" x14ac:dyDescent="0.45">
      <c r="A6" s="10" t="s">
        <v>18</v>
      </c>
      <c r="B6" s="10">
        <v>5.7594111999999997</v>
      </c>
      <c r="C6" s="4">
        <v>5.9950700000000001</v>
      </c>
      <c r="D6" s="4">
        <v>0.75</v>
      </c>
      <c r="E6" s="9">
        <f t="shared" si="0"/>
        <v>1.1153949999999999</v>
      </c>
      <c r="F6" s="3"/>
      <c r="G6" s="10">
        <v>5.7014069999999997</v>
      </c>
      <c r="H6" s="4">
        <v>6.0530749999999998</v>
      </c>
      <c r="I6" s="9">
        <f>360*0.003867 - 0.35</f>
        <v>1.0421200000000002</v>
      </c>
      <c r="J6" s="4"/>
      <c r="K6" s="4">
        <f t="shared" si="2"/>
        <v>58.004200000000061</v>
      </c>
      <c r="L6" s="4">
        <f t="shared" si="2"/>
        <v>58.00499999999964</v>
      </c>
      <c r="M6" s="9">
        <f t="shared" si="1"/>
        <v>73.27499999999975</v>
      </c>
    </row>
    <row r="7" spans="1:13" x14ac:dyDescent="0.45">
      <c r="A7" s="10" t="s">
        <v>3</v>
      </c>
      <c r="B7" s="10">
        <v>6.7261612</v>
      </c>
      <c r="C7" s="4">
        <v>4.8349700000000002</v>
      </c>
      <c r="D7" s="4">
        <v>0.8</v>
      </c>
      <c r="E7" s="9">
        <f t="shared" si="0"/>
        <v>1.1653950000000002</v>
      </c>
      <c r="F7" s="3"/>
      <c r="G7" s="10">
        <v>6.6294869999999904</v>
      </c>
      <c r="H7" s="4">
        <v>4.8543050000000001</v>
      </c>
      <c r="I7" s="9">
        <f>374*0.003867 - 0.35</f>
        <v>1.0962580000000002</v>
      </c>
      <c r="J7" s="4"/>
      <c r="K7" s="4">
        <f t="shared" si="2"/>
        <v>96.674200000009591</v>
      </c>
      <c r="L7" s="4">
        <f t="shared" si="2"/>
        <v>19.33499999999988</v>
      </c>
      <c r="M7" s="9">
        <f t="shared" si="1"/>
        <v>69.137</v>
      </c>
    </row>
    <row r="8" spans="1:13" x14ac:dyDescent="0.45">
      <c r="A8" s="10" t="s">
        <v>4</v>
      </c>
      <c r="B8" s="10">
        <v>6.7261612</v>
      </c>
      <c r="C8" s="4">
        <v>3.4815200000000002</v>
      </c>
      <c r="D8" s="4">
        <v>0.6</v>
      </c>
      <c r="E8" s="9">
        <f t="shared" si="0"/>
        <v>0.965395</v>
      </c>
      <c r="F8" s="3"/>
      <c r="G8" s="10">
        <v>6.5908169999999897</v>
      </c>
      <c r="H8" s="4">
        <v>3.5395249999999998</v>
      </c>
      <c r="I8" s="9">
        <f>320*0.003867 - 0.35</f>
        <v>0.88744000000000012</v>
      </c>
      <c r="J8" s="4"/>
      <c r="K8" s="4">
        <f t="shared" si="2"/>
        <v>135.34420000001023</v>
      </c>
      <c r="L8" s="4">
        <f t="shared" si="2"/>
        <v>58.00499999999964</v>
      </c>
      <c r="M8" s="9">
        <f t="shared" si="1"/>
        <v>77.954999999999885</v>
      </c>
    </row>
    <row r="9" spans="1:13" x14ac:dyDescent="0.45">
      <c r="A9" s="10" t="s">
        <v>19</v>
      </c>
      <c r="B9" s="10">
        <v>8.2729619999999997</v>
      </c>
      <c r="C9" s="4">
        <v>4.8349700000000002</v>
      </c>
      <c r="D9" s="4">
        <v>0.65</v>
      </c>
      <c r="E9" s="9">
        <f t="shared" si="0"/>
        <v>1.015395</v>
      </c>
      <c r="F9" s="3"/>
      <c r="G9" s="10">
        <v>8.1376169999999899</v>
      </c>
      <c r="H9" s="4">
        <v>4.8659059999999998</v>
      </c>
      <c r="I9" s="9">
        <f>333*0.003867 - 0.35</f>
        <v>0.93771100000000007</v>
      </c>
      <c r="J9" s="4"/>
      <c r="K9" s="4">
        <f t="shared" si="2"/>
        <v>135.3450000000098</v>
      </c>
      <c r="L9" s="4">
        <f t="shared" si="2"/>
        <v>30.93599999999963</v>
      </c>
      <c r="M9" s="9">
        <f t="shared" si="1"/>
        <v>77.683999999999969</v>
      </c>
    </row>
    <row r="10" spans="1:13" x14ac:dyDescent="0.45">
      <c r="A10" s="8"/>
      <c r="B10" s="8"/>
      <c r="C10" s="3"/>
      <c r="D10" s="3"/>
      <c r="E10" s="16"/>
      <c r="F10" s="3"/>
      <c r="G10" s="10"/>
      <c r="H10" s="4"/>
      <c r="I10" s="9"/>
      <c r="J10" s="4" t="s">
        <v>22</v>
      </c>
      <c r="K10" s="4">
        <f>AVERAGE(K4:K9)</f>
        <v>122.45460000000817</v>
      </c>
      <c r="L10" s="4">
        <f>AVERAGE(L4:L9)</f>
        <v>47.695666666666433</v>
      </c>
      <c r="M10" s="9">
        <f>AVERAGE(M4:M9)</f>
        <v>73.940333333333257</v>
      </c>
    </row>
    <row r="11" spans="1:13" ht="15.4" thickBot="1" x14ac:dyDescent="0.5">
      <c r="A11" s="31"/>
      <c r="B11" s="31"/>
      <c r="C11" s="17"/>
      <c r="D11" s="17"/>
      <c r="E11" s="33"/>
      <c r="F11" s="17"/>
      <c r="G11" s="31"/>
      <c r="H11" s="17"/>
      <c r="I11" s="33"/>
      <c r="J11" s="32" t="s">
        <v>23</v>
      </c>
      <c r="K11" s="12">
        <f>STDEV(K4:K9)</f>
        <v>38.020363214891212</v>
      </c>
      <c r="L11" s="12">
        <f>STDEV(L4:L9)</f>
        <v>17.918823774641751</v>
      </c>
      <c r="M11" s="13">
        <f>STDEV(M4:M9)</f>
        <v>4.1016274656124851</v>
      </c>
    </row>
    <row r="12" spans="1:13" x14ac:dyDescent="0.45">
      <c r="A12" s="29" t="s">
        <v>28</v>
      </c>
      <c r="B12" s="34"/>
      <c r="C12" s="14"/>
      <c r="D12" s="14"/>
      <c r="E12" s="15"/>
      <c r="F12" s="7"/>
      <c r="G12" s="34"/>
      <c r="H12" s="14"/>
      <c r="I12" s="15"/>
      <c r="J12" s="14"/>
      <c r="K12" s="14"/>
      <c r="L12" s="14"/>
      <c r="M12" s="15"/>
    </row>
    <row r="13" spans="1:13" x14ac:dyDescent="0.45">
      <c r="A13" s="10"/>
      <c r="B13" s="10" t="s">
        <v>0</v>
      </c>
      <c r="C13" s="4" t="s">
        <v>1</v>
      </c>
      <c r="D13" s="4" t="s">
        <v>7</v>
      </c>
      <c r="E13" s="9" t="s">
        <v>27</v>
      </c>
      <c r="F13" s="4"/>
      <c r="G13" s="10" t="s">
        <v>0</v>
      </c>
      <c r="H13" s="4" t="s">
        <v>1</v>
      </c>
      <c r="I13" s="9" t="s">
        <v>27</v>
      </c>
      <c r="J13" s="4"/>
      <c r="K13" s="4" t="s">
        <v>12</v>
      </c>
      <c r="L13" s="4" t="s">
        <v>13</v>
      </c>
      <c r="M13" s="9" t="s">
        <v>14</v>
      </c>
    </row>
    <row r="14" spans="1:13" x14ac:dyDescent="0.45">
      <c r="A14" s="10" t="s">
        <v>17</v>
      </c>
      <c r="B14" s="10">
        <v>3.2458619999999998</v>
      </c>
      <c r="C14" s="4">
        <v>4.8349700000000002</v>
      </c>
      <c r="D14" s="4">
        <v>0.9</v>
      </c>
      <c r="E14" s="9">
        <f t="shared" ref="E14:E19" si="3">0.365395 + D14</f>
        <v>1.265395</v>
      </c>
      <c r="F14" s="3"/>
      <c r="G14" s="10">
        <v>3.1569209999999899</v>
      </c>
      <c r="H14" s="4">
        <v>4.8040339999999997</v>
      </c>
      <c r="I14" s="9">
        <f>393*0.003867 - 0.35</f>
        <v>1.1697310000000001</v>
      </c>
      <c r="J14" s="4"/>
      <c r="K14" s="4">
        <f>ABS(G14-B14)*1000</f>
        <v>88.941000000009922</v>
      </c>
      <c r="L14" s="4">
        <f t="shared" ref="K14:L19" si="4">ABS(H14-C14)*1000</f>
        <v>30.936000000000519</v>
      </c>
      <c r="M14" s="9">
        <f t="shared" ref="M14:M19" si="5">ABS(I14-E14)*1000</f>
        <v>95.663999999999973</v>
      </c>
    </row>
    <row r="15" spans="1:13" x14ac:dyDescent="0.45">
      <c r="A15" s="10" t="s">
        <v>2</v>
      </c>
      <c r="B15" s="10">
        <v>1.6990620000000001</v>
      </c>
      <c r="C15" s="4">
        <v>4.0615699999999997</v>
      </c>
      <c r="D15" s="4">
        <v>0.75</v>
      </c>
      <c r="E15" s="9">
        <f t="shared" si="3"/>
        <v>1.1153949999999999</v>
      </c>
      <c r="F15" s="3"/>
      <c r="G15" s="10">
        <v>1.6217219999999899</v>
      </c>
      <c r="H15" s="4">
        <v>4.0306339999999903</v>
      </c>
      <c r="I15" s="9">
        <f>365*0.003867 - 0.35</f>
        <v>1.061455</v>
      </c>
      <c r="J15" s="4"/>
      <c r="K15" s="4">
        <f t="shared" si="4"/>
        <v>77.340000000010178</v>
      </c>
      <c r="L15" s="4">
        <f t="shared" si="4"/>
        <v>30.9360000000094</v>
      </c>
      <c r="M15" s="9">
        <f t="shared" si="5"/>
        <v>53.939999999999877</v>
      </c>
    </row>
    <row r="16" spans="1:13" x14ac:dyDescent="0.45">
      <c r="A16" s="10" t="s">
        <v>18</v>
      </c>
      <c r="B16" s="10">
        <v>-0.427788</v>
      </c>
      <c r="C16" s="4">
        <v>5.2216699999999996</v>
      </c>
      <c r="D16" s="4">
        <v>0.8</v>
      </c>
      <c r="E16" s="9">
        <f t="shared" si="3"/>
        <v>1.1653950000000002</v>
      </c>
      <c r="F16" s="3"/>
      <c r="G16" s="10">
        <v>-0.48579299999999997</v>
      </c>
      <c r="H16" s="4">
        <v>5.2410049999999897</v>
      </c>
      <c r="I16" s="9">
        <f>368*0.003867 - 0.35</f>
        <v>1.0730560000000002</v>
      </c>
      <c r="J16" s="4"/>
      <c r="K16" s="4">
        <f t="shared" si="4"/>
        <v>58.004999999999974</v>
      </c>
      <c r="L16" s="4">
        <f t="shared" si="4"/>
        <v>19.33499999999011</v>
      </c>
      <c r="M16" s="9">
        <f t="shared" si="5"/>
        <v>92.338999999999942</v>
      </c>
    </row>
    <row r="17" spans="1:13" x14ac:dyDescent="0.45">
      <c r="A17" s="10" t="s">
        <v>3</v>
      </c>
      <c r="B17" s="10">
        <v>-1.974588</v>
      </c>
      <c r="C17" s="4">
        <v>3.86822</v>
      </c>
      <c r="D17" s="4">
        <v>0.7</v>
      </c>
      <c r="E17" s="9">
        <f t="shared" si="3"/>
        <v>1.0653950000000001</v>
      </c>
      <c r="F17" s="3"/>
      <c r="G17" s="10">
        <v>-2.0712630000000001</v>
      </c>
      <c r="H17" s="4">
        <v>3.8759539999999899</v>
      </c>
      <c r="I17" s="9">
        <f>335*0.003867 - 0.35</f>
        <v>0.9454450000000002</v>
      </c>
      <c r="J17" s="4"/>
      <c r="K17" s="4">
        <f t="shared" si="4"/>
        <v>96.675000000000068</v>
      </c>
      <c r="L17" s="4">
        <f t="shared" si="4"/>
        <v>7.7339999999899156</v>
      </c>
      <c r="M17" s="9">
        <f t="shared" si="5"/>
        <v>119.94999999999989</v>
      </c>
    </row>
    <row r="18" spans="1:13" x14ac:dyDescent="0.45">
      <c r="A18" s="10" t="s">
        <v>4</v>
      </c>
      <c r="B18" s="10">
        <v>0.73231120000000005</v>
      </c>
      <c r="C18" s="4">
        <v>2.5147699999999999</v>
      </c>
      <c r="D18" s="4">
        <v>0.6</v>
      </c>
      <c r="E18" s="9">
        <f t="shared" si="3"/>
        <v>0.965395</v>
      </c>
      <c r="F18" s="3"/>
      <c r="G18" s="10">
        <v>0.62016899999999897</v>
      </c>
      <c r="H18" s="4">
        <v>2.5341049999999998</v>
      </c>
      <c r="I18" s="9">
        <f>312*0.003867 - 0.35</f>
        <v>0.85650400000000004</v>
      </c>
      <c r="J18" s="4"/>
      <c r="K18" s="4">
        <f t="shared" si="4"/>
        <v>112.14220000000108</v>
      </c>
      <c r="L18" s="4">
        <f t="shared" si="4"/>
        <v>19.33499999999988</v>
      </c>
      <c r="M18" s="9">
        <f t="shared" si="5"/>
        <v>108.89099999999996</v>
      </c>
    </row>
    <row r="19" spans="1:13" x14ac:dyDescent="0.45">
      <c r="A19" s="10" t="s">
        <v>19</v>
      </c>
      <c r="B19" s="10">
        <v>-1.974588</v>
      </c>
      <c r="C19" s="4">
        <v>2.5147699999999999</v>
      </c>
      <c r="D19" s="4">
        <v>0.5</v>
      </c>
      <c r="E19" s="9">
        <f t="shared" si="3"/>
        <v>0.86539500000000003</v>
      </c>
      <c r="F19" s="3"/>
      <c r="G19" s="10">
        <v>-2.090598</v>
      </c>
      <c r="H19" s="4">
        <v>2.5495729999999899</v>
      </c>
      <c r="I19" s="9">
        <f>286*0.003867 - 0.35</f>
        <v>0.75596200000000013</v>
      </c>
      <c r="J19" s="4"/>
      <c r="K19" s="4">
        <f t="shared" si="4"/>
        <v>116.00999999999995</v>
      </c>
      <c r="L19" s="4">
        <f t="shared" si="4"/>
        <v>34.802999999989922</v>
      </c>
      <c r="M19" s="9">
        <f t="shared" si="5"/>
        <v>109.43299999999989</v>
      </c>
    </row>
    <row r="20" spans="1:13" x14ac:dyDescent="0.45">
      <c r="A20" s="8"/>
      <c r="B20" s="8"/>
      <c r="C20" s="3"/>
      <c r="D20" s="3"/>
      <c r="E20" s="16"/>
      <c r="F20" s="3"/>
      <c r="G20" s="8"/>
      <c r="H20" s="3"/>
      <c r="I20" s="16"/>
      <c r="J20" s="4" t="s">
        <v>22</v>
      </c>
      <c r="K20" s="4">
        <f>AVERAGE(K14:K19)</f>
        <v>91.518866666670192</v>
      </c>
      <c r="L20" s="4">
        <f>AVERAGE(L14:L19)</f>
        <v>23.846499999996624</v>
      </c>
      <c r="M20" s="9">
        <f>AVERAGE(M14:M19)</f>
        <v>96.70283333333326</v>
      </c>
    </row>
    <row r="21" spans="1:13" ht="15.4" thickBot="1" x14ac:dyDescent="0.5">
      <c r="A21" s="31"/>
      <c r="B21" s="31"/>
      <c r="C21" s="17"/>
      <c r="D21" s="17"/>
      <c r="E21" s="33"/>
      <c r="F21" s="17"/>
      <c r="G21" s="31"/>
      <c r="H21" s="17"/>
      <c r="I21" s="33"/>
      <c r="J21" s="32" t="s">
        <v>23</v>
      </c>
      <c r="K21" s="12">
        <f>STDEV(K14:K19)</f>
        <v>21.829283616889708</v>
      </c>
      <c r="L21" s="12">
        <f t="shared" ref="L21:M21" si="6">STDEV(L14:L19)</f>
        <v>10.206731440577197</v>
      </c>
      <c r="M21" s="13">
        <f t="shared" si="6"/>
        <v>23.237131659623294</v>
      </c>
    </row>
    <row r="22" spans="1:13" x14ac:dyDescent="0.45">
      <c r="A22" s="29" t="s">
        <v>29</v>
      </c>
      <c r="B22" s="34"/>
      <c r="C22" s="14"/>
      <c r="D22" s="14"/>
      <c r="E22" s="15"/>
      <c r="F22" s="7"/>
      <c r="G22" s="34"/>
      <c r="H22" s="14"/>
      <c r="I22" s="15"/>
      <c r="J22" s="14"/>
      <c r="K22" s="14"/>
      <c r="L22" s="14"/>
      <c r="M22" s="15"/>
    </row>
    <row r="23" spans="1:13" x14ac:dyDescent="0.45">
      <c r="A23" s="10"/>
      <c r="B23" s="10" t="s">
        <v>0</v>
      </c>
      <c r="C23" s="4" t="s">
        <v>1</v>
      </c>
      <c r="D23" s="4" t="s">
        <v>7</v>
      </c>
      <c r="E23" s="9" t="s">
        <v>27</v>
      </c>
      <c r="F23" s="4"/>
      <c r="G23" s="10" t="s">
        <v>0</v>
      </c>
      <c r="H23" s="4" t="s">
        <v>1</v>
      </c>
      <c r="I23" s="9" t="s">
        <v>27</v>
      </c>
      <c r="J23" s="4"/>
      <c r="K23" s="4" t="s">
        <v>12</v>
      </c>
      <c r="L23" s="4" t="s">
        <v>13</v>
      </c>
      <c r="M23" s="9" t="s">
        <v>14</v>
      </c>
    </row>
    <row r="24" spans="1:13" x14ac:dyDescent="0.45">
      <c r="A24" s="10" t="s">
        <v>17</v>
      </c>
      <c r="B24" s="10">
        <v>2.859162</v>
      </c>
      <c r="C24" s="4">
        <v>-3.0923799999999999</v>
      </c>
      <c r="D24" s="4">
        <v>0.4</v>
      </c>
      <c r="E24" s="9">
        <f t="shared" ref="E24" si="7">0.365395 + D24</f>
        <v>0.76539500000000005</v>
      </c>
      <c r="F24" s="3"/>
      <c r="G24" s="10">
        <v>2.7044819999999898</v>
      </c>
      <c r="H24" s="4">
        <v>-3.0653109999999901</v>
      </c>
      <c r="I24" s="9">
        <f>255*0.003867 - 0.35</f>
        <v>0.63608500000000012</v>
      </c>
      <c r="J24" s="4"/>
      <c r="K24" s="4">
        <f t="shared" ref="K24:L28" si="8">ABS(G24-B24)*1000</f>
        <v>154.68000000001015</v>
      </c>
      <c r="L24" s="4">
        <f t="shared" si="8"/>
        <v>27.06900000000978</v>
      </c>
      <c r="M24" s="9">
        <f>ABS(I24-E24)*1000</f>
        <v>129.30999999999992</v>
      </c>
    </row>
    <row r="25" spans="1:13" x14ac:dyDescent="0.45">
      <c r="A25" s="10" t="s">
        <v>2</v>
      </c>
      <c r="B25" s="10">
        <v>1.892412</v>
      </c>
      <c r="C25" s="4">
        <v>-0.19213</v>
      </c>
      <c r="D25" s="4">
        <v>0.1</v>
      </c>
      <c r="E25" s="9">
        <f>0.365395 + D25</f>
        <v>0.465395</v>
      </c>
      <c r="F25" s="3"/>
      <c r="G25" s="10">
        <v>1.7648009999999901</v>
      </c>
      <c r="H25" s="4">
        <v>-0.13412499999999999</v>
      </c>
      <c r="I25" s="9">
        <f>188*0.003867 - 0.35</f>
        <v>0.37699600000000011</v>
      </c>
      <c r="J25" s="4"/>
      <c r="K25" s="4">
        <f t="shared" si="8"/>
        <v>127.61100000000991</v>
      </c>
      <c r="L25" s="4">
        <f t="shared" si="8"/>
        <v>58.005000000000003</v>
      </c>
      <c r="M25" s="9">
        <f>ABS(I25-E25)*1000</f>
        <v>88.398999999999887</v>
      </c>
    </row>
    <row r="26" spans="1:13" x14ac:dyDescent="0.45">
      <c r="A26" s="10" t="s">
        <v>18</v>
      </c>
      <c r="B26" s="10">
        <v>-1.007838</v>
      </c>
      <c r="C26" s="4">
        <v>-0.38547999999999999</v>
      </c>
      <c r="D26" s="4">
        <v>0.9</v>
      </c>
      <c r="E26" s="9">
        <f>0.365395 + D26</f>
        <v>1.265395</v>
      </c>
      <c r="F26" s="3"/>
      <c r="G26" s="10">
        <v>-1.1818529999999901</v>
      </c>
      <c r="H26" s="4">
        <v>-0.33520899999999898</v>
      </c>
      <c r="I26" s="9">
        <f>388*0.003867 - 0.35</f>
        <v>1.1503960000000002</v>
      </c>
      <c r="J26" s="4"/>
      <c r="K26" s="4">
        <f t="shared" si="8"/>
        <v>174.01499999999004</v>
      </c>
      <c r="L26" s="4">
        <f t="shared" si="8"/>
        <v>50.27100000000101</v>
      </c>
      <c r="M26" s="9">
        <f>ABS(I26-E26)*1000</f>
        <v>114.99899999999985</v>
      </c>
    </row>
    <row r="27" spans="1:13" x14ac:dyDescent="0.45">
      <c r="A27" s="10" t="s">
        <v>3</v>
      </c>
      <c r="B27" s="10">
        <v>-0.77581800000000001</v>
      </c>
      <c r="C27" s="4">
        <v>-2.3189799999999998</v>
      </c>
      <c r="D27" s="4">
        <v>0.85</v>
      </c>
      <c r="E27" s="9">
        <f>0.365395 + D27</f>
        <v>1.215395</v>
      </c>
      <c r="F27" s="3"/>
      <c r="G27" s="10">
        <v>-0.94983300000000004</v>
      </c>
      <c r="H27" s="4">
        <v>-2.2145709999999998</v>
      </c>
      <c r="I27" s="9">
        <f>373*0.003867 - 0.35</f>
        <v>1.0923910000000001</v>
      </c>
      <c r="J27" s="4"/>
      <c r="K27" s="4">
        <f t="shared" si="8"/>
        <v>174.01500000000004</v>
      </c>
      <c r="L27" s="4">
        <f t="shared" si="8"/>
        <v>104.40899999999998</v>
      </c>
      <c r="M27" s="9">
        <f>ABS(I27-E27)*1000</f>
        <v>123.00399999999989</v>
      </c>
    </row>
    <row r="28" spans="1:13" x14ac:dyDescent="0.45">
      <c r="A28" s="10" t="s">
        <v>4</v>
      </c>
      <c r="B28" s="10">
        <v>2.4724620000000002</v>
      </c>
      <c r="C28" s="4">
        <v>-1.35223</v>
      </c>
      <c r="D28" s="4">
        <v>0.25</v>
      </c>
      <c r="E28" s="9">
        <f>0.365395 + D28</f>
        <v>0.61539500000000003</v>
      </c>
      <c r="F28" s="3"/>
      <c r="G28" s="10">
        <v>2.3564519999999902</v>
      </c>
      <c r="H28" s="4">
        <v>-1.3135599999999901</v>
      </c>
      <c r="I28" s="9">
        <f>225*0.003867 - 0.35</f>
        <v>0.52007500000000007</v>
      </c>
      <c r="J28" s="4"/>
      <c r="K28" s="4">
        <f t="shared" si="8"/>
        <v>116.01000000000994</v>
      </c>
      <c r="L28" s="4">
        <f t="shared" si="8"/>
        <v>38.670000000009978</v>
      </c>
      <c r="M28" s="9">
        <f>ABS(I28-E28)*1000</f>
        <v>95.319999999999965</v>
      </c>
    </row>
    <row r="29" spans="1:13" x14ac:dyDescent="0.45">
      <c r="A29" s="8"/>
      <c r="B29" s="8"/>
      <c r="C29" s="3"/>
      <c r="D29" s="3"/>
      <c r="E29" s="16"/>
      <c r="F29" s="3"/>
      <c r="G29" s="8"/>
      <c r="H29" s="3"/>
      <c r="I29" s="16"/>
      <c r="J29" s="4" t="s">
        <v>22</v>
      </c>
      <c r="K29" s="4">
        <f>AVERAGE(K23:K28)</f>
        <v>149.26620000000403</v>
      </c>
      <c r="L29" s="4">
        <f>AVERAGE(L23:L28)</f>
        <v>55.684800000004145</v>
      </c>
      <c r="M29" s="9">
        <f>AVERAGE(M23:M28)</f>
        <v>110.20639999999989</v>
      </c>
    </row>
    <row r="30" spans="1:13" ht="15.4" thickBot="1" x14ac:dyDescent="0.5">
      <c r="A30" s="31"/>
      <c r="B30" s="31"/>
      <c r="C30" s="17"/>
      <c r="D30" s="17"/>
      <c r="E30" s="33"/>
      <c r="F30" s="17"/>
      <c r="G30" s="31"/>
      <c r="H30" s="17"/>
      <c r="I30" s="33"/>
      <c r="J30" s="32" t="s">
        <v>23</v>
      </c>
      <c r="K30" s="12">
        <f>STDEV(K23:K28)</f>
        <v>26.595290742904723</v>
      </c>
      <c r="L30" s="12">
        <f t="shared" ref="L30:M30" si="9">STDEV(L23:L28)</f>
        <v>29.652603818210846</v>
      </c>
      <c r="M30" s="13">
        <f t="shared" si="9"/>
        <v>17.66962586757289</v>
      </c>
    </row>
    <row r="31" spans="1:13" x14ac:dyDescent="0.45">
      <c r="A31" s="29" t="s">
        <v>30</v>
      </c>
      <c r="B31" s="34"/>
      <c r="C31" s="14"/>
      <c r="D31" s="14"/>
      <c r="E31" s="15"/>
      <c r="F31" s="7"/>
      <c r="G31" s="34"/>
      <c r="H31" s="14"/>
      <c r="I31" s="15"/>
      <c r="J31" s="14"/>
      <c r="K31" s="14"/>
      <c r="L31" s="14"/>
      <c r="M31" s="15"/>
    </row>
    <row r="32" spans="1:13" x14ac:dyDescent="0.45">
      <c r="A32" s="10"/>
      <c r="B32" s="10" t="s">
        <v>0</v>
      </c>
      <c r="C32" s="4" t="s">
        <v>1</v>
      </c>
      <c r="D32" s="4" t="s">
        <v>7</v>
      </c>
      <c r="E32" s="9" t="s">
        <v>27</v>
      </c>
      <c r="F32" s="4"/>
      <c r="G32" s="10" t="s">
        <v>0</v>
      </c>
      <c r="H32" s="4" t="s">
        <v>1</v>
      </c>
      <c r="I32" s="9" t="s">
        <v>27</v>
      </c>
      <c r="J32" s="4"/>
      <c r="K32" s="4" t="s">
        <v>12</v>
      </c>
      <c r="L32" s="4" t="s">
        <v>13</v>
      </c>
      <c r="M32" s="9" t="s">
        <v>14</v>
      </c>
    </row>
    <row r="33" spans="1:13" x14ac:dyDescent="0.45">
      <c r="A33" s="10" t="s">
        <v>17</v>
      </c>
      <c r="B33" s="10">
        <v>8.35416899999999</v>
      </c>
      <c r="C33" s="4">
        <v>0.19456999999999999</v>
      </c>
      <c r="D33" s="4">
        <v>0.3</v>
      </c>
      <c r="E33" s="9">
        <f>0.365395 + D33</f>
        <v>0.66539499999999996</v>
      </c>
      <c r="F33" s="3"/>
      <c r="G33" s="10">
        <v>8.4392429999999994</v>
      </c>
      <c r="H33" s="4">
        <v>8.9540000000000106E-3</v>
      </c>
      <c r="I33" s="9">
        <f>230*0.003867 - 0.35</f>
        <v>0.53941000000000006</v>
      </c>
      <c r="J33" s="4"/>
      <c r="K33" s="4">
        <f t="shared" ref="K33:L37" si="10">ABS(G33-B33)*1000</f>
        <v>85.07400000000942</v>
      </c>
      <c r="L33" s="4">
        <f t="shared" si="10"/>
        <v>185.61599999999999</v>
      </c>
      <c r="M33" s="9">
        <f>ABS(I33-E33)*1000</f>
        <v>125.9849999999999</v>
      </c>
    </row>
    <row r="34" spans="1:13" x14ac:dyDescent="0.45">
      <c r="A34" s="10" t="s">
        <v>2</v>
      </c>
      <c r="B34" s="10">
        <v>9.4330619999999996</v>
      </c>
      <c r="C34" s="4">
        <v>-0.77217999999999998</v>
      </c>
      <c r="D34" s="4">
        <v>0.2</v>
      </c>
      <c r="E34" s="9">
        <f>0.365395 + D34</f>
        <v>0.56539500000000009</v>
      </c>
      <c r="F34" s="3"/>
      <c r="G34" s="10">
        <v>9.54907199999999</v>
      </c>
      <c r="H34" s="4">
        <v>-0.68323899999999904</v>
      </c>
      <c r="I34" s="9">
        <f>190*0.003867 - 0.35</f>
        <v>0.38473000000000002</v>
      </c>
      <c r="J34" s="4"/>
      <c r="K34" s="4">
        <f t="shared" si="10"/>
        <v>116.0099999999904</v>
      </c>
      <c r="L34" s="4">
        <f t="shared" si="10"/>
        <v>88.94100000000094</v>
      </c>
      <c r="M34" s="9">
        <f>ABS(I34-E34)*1000</f>
        <v>180.66500000000008</v>
      </c>
    </row>
    <row r="35" spans="1:13" x14ac:dyDescent="0.45">
      <c r="A35" s="10" t="s">
        <v>18</v>
      </c>
      <c r="B35" s="10">
        <v>9.4330619999999996</v>
      </c>
      <c r="C35" s="4">
        <v>-2.3189799999999998</v>
      </c>
      <c r="D35" s="4">
        <v>0.4</v>
      </c>
      <c r="E35" s="9">
        <f>0.365395 + D35</f>
        <v>0.76539500000000005</v>
      </c>
      <c r="F35" s="3"/>
      <c r="G35" s="10">
        <v>9.5297369999999901</v>
      </c>
      <c r="H35" s="4">
        <v>-2.3073789999999899</v>
      </c>
      <c r="I35" s="9">
        <f>250*0.003867 - 0.35</f>
        <v>0.61675000000000002</v>
      </c>
      <c r="J35" s="4"/>
      <c r="K35" s="4">
        <f t="shared" si="10"/>
        <v>96.674999999990519</v>
      </c>
      <c r="L35" s="4">
        <f t="shared" si="10"/>
        <v>11.601000000009964</v>
      </c>
      <c r="M35" s="9">
        <f>ABS(I35-E35)*1000</f>
        <v>148.64500000000004</v>
      </c>
    </row>
    <row r="36" spans="1:13" x14ac:dyDescent="0.45">
      <c r="A36" s="10" t="s">
        <v>3</v>
      </c>
      <c r="B36" s="10">
        <v>8.2729619999999997</v>
      </c>
      <c r="C36" s="4">
        <v>-3.0923799999999999</v>
      </c>
      <c r="D36" s="4">
        <v>0.1</v>
      </c>
      <c r="E36" s="9">
        <f>0.365395 + D36</f>
        <v>0.465395</v>
      </c>
      <c r="F36" s="3"/>
      <c r="G36" s="10">
        <v>8.4663119999999896</v>
      </c>
      <c r="H36" s="4">
        <v>-2.991838</v>
      </c>
      <c r="I36" s="9">
        <f>165*0.003867 - 0.35</f>
        <v>0.28805500000000006</v>
      </c>
      <c r="J36" s="4"/>
      <c r="K36" s="4">
        <f t="shared" si="10"/>
        <v>193.3499999999899</v>
      </c>
      <c r="L36" s="4">
        <f t="shared" si="10"/>
        <v>100.54199999999992</v>
      </c>
      <c r="M36" s="9">
        <f>ABS(I36-E36)*1000</f>
        <v>177.33999999999995</v>
      </c>
    </row>
    <row r="37" spans="1:13" x14ac:dyDescent="0.45">
      <c r="A37" s="10" t="s">
        <v>4</v>
      </c>
      <c r="B37" s="10">
        <v>6.1461119999999996</v>
      </c>
      <c r="C37" s="4">
        <v>-2.7056800000000001</v>
      </c>
      <c r="D37" s="4">
        <v>0.15</v>
      </c>
      <c r="E37" s="9">
        <f t="shared" ref="E37" si="11">0.365395 + D37</f>
        <v>0.51539500000000005</v>
      </c>
      <c r="F37" s="3"/>
      <c r="G37" s="10">
        <v>6.2427869999999999</v>
      </c>
      <c r="H37" s="4">
        <v>-2.5509999999999899</v>
      </c>
      <c r="I37" s="9">
        <f>175*0.003867 - 0.35</f>
        <v>0.32672500000000004</v>
      </c>
      <c r="J37" s="4"/>
      <c r="K37" s="4">
        <f t="shared" si="10"/>
        <v>96.675000000000296</v>
      </c>
      <c r="L37" s="4">
        <f t="shared" si="10"/>
        <v>154.68000000001015</v>
      </c>
      <c r="M37" s="9">
        <f>ABS(I37-E37)*1000</f>
        <v>188.67000000000002</v>
      </c>
    </row>
    <row r="38" spans="1:13" x14ac:dyDescent="0.45">
      <c r="A38" s="8"/>
      <c r="B38" s="8"/>
      <c r="C38" s="3"/>
      <c r="D38" s="3"/>
      <c r="E38" s="16"/>
      <c r="F38" s="3"/>
      <c r="G38" s="8"/>
      <c r="H38" s="3"/>
      <c r="I38" s="16"/>
      <c r="J38" s="4" t="s">
        <v>22</v>
      </c>
      <c r="K38" s="4">
        <f>AVERAGE(K32:K37)</f>
        <v>117.55679999999612</v>
      </c>
      <c r="L38" s="4">
        <f>AVERAGE(L32:L37)</f>
        <v>108.27600000000419</v>
      </c>
      <c r="M38" s="9">
        <f>AVERAGE(M32:M37)</f>
        <v>164.26100000000002</v>
      </c>
    </row>
    <row r="39" spans="1:13" ht="15.4" thickBot="1" x14ac:dyDescent="0.5">
      <c r="A39" s="31"/>
      <c r="B39" s="31"/>
      <c r="C39" s="17"/>
      <c r="D39" s="17"/>
      <c r="E39" s="33"/>
      <c r="F39" s="17"/>
      <c r="G39" s="31"/>
      <c r="H39" s="17"/>
      <c r="I39" s="33"/>
      <c r="J39" s="32" t="s">
        <v>23</v>
      </c>
      <c r="K39" s="12">
        <f>STDEV(K32:K37)</f>
        <v>43.801350420958087</v>
      </c>
      <c r="L39" s="12">
        <f>STDEV(L32:L37)</f>
        <v>66.92256611562162</v>
      </c>
      <c r="M39" s="33"/>
    </row>
    <row r="40" spans="1:13" x14ac:dyDescent="0.45">
      <c r="A40" s="3" t="s">
        <v>31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45">
      <c r="A41" s="3"/>
      <c r="B41" s="3"/>
      <c r="C41" s="3"/>
      <c r="D41" s="3"/>
      <c r="E41" s="3"/>
      <c r="F41" s="3"/>
      <c r="G41" s="3"/>
      <c r="H41" s="3"/>
      <c r="I41" s="3"/>
      <c r="J41" s="18" t="s">
        <v>32</v>
      </c>
      <c r="K41" s="19">
        <f>AVERAGE(K4:K9,K14:K19,K24:K28,K33:K37)</f>
        <v>118.99799090909413</v>
      </c>
      <c r="L41" s="19">
        <f>AVERAGE(L4:L9,L14:L19,L24:L28,L33:L37)</f>
        <v>56.775318181819095</v>
      </c>
      <c r="M41" s="19">
        <f>AVERAGE(M4:M9,M14:M19,M24:M28,M33:M37)</f>
        <v>108.91799999999994</v>
      </c>
    </row>
    <row r="42" spans="1:13" x14ac:dyDescent="0.45">
      <c r="A42" s="3"/>
      <c r="B42" s="3"/>
      <c r="C42" s="3"/>
      <c r="D42" s="3"/>
      <c r="E42" s="3"/>
      <c r="F42" s="3"/>
      <c r="G42" s="3"/>
      <c r="H42" s="3"/>
      <c r="I42" s="3"/>
      <c r="J42" s="36" t="s">
        <v>23</v>
      </c>
      <c r="K42" s="19">
        <f>STDEV(K4:K9,K14:K19,K24:K28,K33:K37)</f>
        <v>37.357544926698623</v>
      </c>
      <c r="L42" s="19">
        <f>STDEV(L4:L9,L14:L19,L24:L28,L33:L37)</f>
        <v>45.683155828136911</v>
      </c>
      <c r="M42" s="19">
        <f>STDEV(M4:M9,M14:M19,M24:M28,M33:M37)</f>
        <v>38.007572022527569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C05F-6DE1-47B9-803F-FED10667C519}">
  <dimension ref="A1:K6"/>
  <sheetViews>
    <sheetView workbookViewId="0">
      <selection activeCell="D13" sqref="D13"/>
    </sheetView>
  </sheetViews>
  <sheetFormatPr defaultRowHeight="15" x14ac:dyDescent="0.45"/>
  <cols>
    <col min="1" max="1" width="17.5703125" customWidth="1"/>
    <col min="2" max="2" width="24.140625" customWidth="1"/>
    <col min="4" max="4" width="25" customWidth="1"/>
    <col min="5" max="5" width="27.28515625" customWidth="1"/>
    <col min="7" max="7" width="23.28515625" customWidth="1"/>
    <col min="8" max="8" width="27.140625" customWidth="1"/>
    <col min="10" max="10" width="14.85546875" customWidth="1"/>
    <col min="11" max="11" width="22" customWidth="1"/>
  </cols>
  <sheetData>
    <row r="1" spans="1:11" ht="15.4" thickBot="1" x14ac:dyDescent="0.5">
      <c r="A1" s="43"/>
      <c r="B1" s="60" t="s">
        <v>33</v>
      </c>
      <c r="C1" s="3"/>
      <c r="D1" s="43"/>
      <c r="E1" s="60" t="s">
        <v>33</v>
      </c>
      <c r="F1" s="3"/>
      <c r="G1" s="43"/>
      <c r="H1" s="60" t="s">
        <v>33</v>
      </c>
      <c r="I1" s="3"/>
      <c r="J1" s="43"/>
      <c r="K1" s="60" t="s">
        <v>33</v>
      </c>
    </row>
    <row r="2" spans="1:11" x14ac:dyDescent="0.45">
      <c r="A2" s="38" t="s">
        <v>34</v>
      </c>
      <c r="B2" s="39">
        <v>6.4435500000000001</v>
      </c>
      <c r="C2" s="3"/>
      <c r="D2" s="38" t="s">
        <v>43</v>
      </c>
      <c r="E2" s="39">
        <v>4.3571999999999997</v>
      </c>
      <c r="F2" s="3"/>
      <c r="G2" s="38" t="s">
        <v>35</v>
      </c>
      <c r="H2" s="39">
        <v>2.1538200000000001</v>
      </c>
      <c r="I2" s="3"/>
      <c r="J2" s="38" t="s">
        <v>36</v>
      </c>
      <c r="K2" s="39">
        <v>0.51683000000000001</v>
      </c>
    </row>
    <row r="3" spans="1:11" x14ac:dyDescent="0.45">
      <c r="A3" s="38" t="s">
        <v>37</v>
      </c>
      <c r="B3" s="39">
        <v>9.7484800000000007</v>
      </c>
      <c r="C3" s="3"/>
      <c r="D3" s="38" t="s">
        <v>44</v>
      </c>
      <c r="E3" s="39">
        <v>9.8843899999999998</v>
      </c>
      <c r="F3" s="3"/>
      <c r="G3" s="38" t="s">
        <v>38</v>
      </c>
      <c r="H3" s="39">
        <v>2.3992</v>
      </c>
      <c r="I3" s="3"/>
      <c r="J3" s="38" t="s">
        <v>39</v>
      </c>
      <c r="K3" s="39">
        <v>0.46177000000000001</v>
      </c>
    </row>
    <row r="4" spans="1:11" ht="15.4" thickBot="1" x14ac:dyDescent="0.5">
      <c r="A4" s="38" t="s">
        <v>40</v>
      </c>
      <c r="B4" s="39">
        <v>8.0041499999999992</v>
      </c>
      <c r="C4" s="3"/>
      <c r="D4" s="38" t="s">
        <v>45</v>
      </c>
      <c r="E4" s="39">
        <v>1.5227299999999999</v>
      </c>
      <c r="F4" s="3"/>
      <c r="G4" s="38" t="s">
        <v>41</v>
      </c>
      <c r="H4" s="39">
        <v>0.50497000000000003</v>
      </c>
      <c r="I4" s="3"/>
      <c r="J4" s="38" t="s">
        <v>42</v>
      </c>
      <c r="K4" s="39">
        <v>0.24621999999999999</v>
      </c>
    </row>
    <row r="5" spans="1:11" x14ac:dyDescent="0.45">
      <c r="A5" s="44" t="s">
        <v>21</v>
      </c>
      <c r="B5" s="37">
        <f>AVERAGE(B2:B4)</f>
        <v>8.0653933333333345</v>
      </c>
      <c r="C5" s="5"/>
      <c r="D5" s="44" t="s">
        <v>21</v>
      </c>
      <c r="E5" s="37">
        <f t="shared" ref="E5:K5" si="0">AVERAGE(E2:E4)</f>
        <v>5.2547733333333326</v>
      </c>
      <c r="F5" s="5"/>
      <c r="G5" s="44" t="s">
        <v>21</v>
      </c>
      <c r="H5" s="37">
        <f t="shared" si="0"/>
        <v>1.6859966666666668</v>
      </c>
      <c r="I5" s="5"/>
      <c r="J5" s="44" t="s">
        <v>21</v>
      </c>
      <c r="K5" s="37">
        <f t="shared" si="0"/>
        <v>0.40827333333333332</v>
      </c>
    </row>
    <row r="6" spans="1:11" ht="15.4" thickBot="1" x14ac:dyDescent="0.5">
      <c r="A6" s="45" t="s">
        <v>23</v>
      </c>
      <c r="B6" s="41">
        <f>STDEV(B2:B4)</f>
        <v>1.6533159515450531</v>
      </c>
      <c r="C6" s="5"/>
      <c r="D6" s="45" t="s">
        <v>23</v>
      </c>
      <c r="E6" s="41">
        <f t="shared" ref="E6:K6" si="1">STDEV(E2:E4)</f>
        <v>4.2524778547845887</v>
      </c>
      <c r="F6" s="5"/>
      <c r="G6" s="45" t="s">
        <v>23</v>
      </c>
      <c r="H6" s="41">
        <f t="shared" si="1"/>
        <v>1.0301314608501835</v>
      </c>
      <c r="I6" s="5"/>
      <c r="J6" s="45" t="s">
        <v>23</v>
      </c>
      <c r="K6" s="41">
        <f t="shared" si="1"/>
        <v>0.14301700260225458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899-53CB-435F-8F9A-42363AC98F18}">
  <dimension ref="A1:M70"/>
  <sheetViews>
    <sheetView zoomScale="62" zoomScaleNormal="62" workbookViewId="0">
      <selection activeCell="O54" sqref="O54"/>
    </sheetView>
  </sheetViews>
  <sheetFormatPr defaultRowHeight="15" x14ac:dyDescent="0.45"/>
  <cols>
    <col min="1" max="1" width="19.140625" style="2" customWidth="1"/>
    <col min="2" max="2" width="21.28515625" style="2" customWidth="1"/>
    <col min="3" max="3" width="21" style="2" customWidth="1"/>
    <col min="4" max="4" width="22.140625" style="2" customWidth="1"/>
    <col min="5" max="5" width="21.5703125" style="2" customWidth="1"/>
    <col min="6" max="6" width="20.28515625" style="2" customWidth="1"/>
    <col min="7" max="7" width="23.7109375" style="2" customWidth="1"/>
    <col min="8" max="8" width="26" style="2" customWidth="1"/>
    <col min="9" max="9" width="22.85546875" style="2" customWidth="1"/>
    <col min="10" max="10" width="22.28515625" style="2" customWidth="1"/>
    <col min="11" max="11" width="19.85546875" style="2" customWidth="1"/>
    <col min="12" max="12" width="28.140625" style="2" customWidth="1"/>
    <col min="13" max="13" width="30.42578125" customWidth="1"/>
    <col min="14" max="14" width="30.5703125" customWidth="1"/>
  </cols>
  <sheetData>
    <row r="1" spans="1:13" ht="15.4" thickBot="1" x14ac:dyDescent="0.5">
      <c r="A1" s="56" t="s">
        <v>66</v>
      </c>
      <c r="B1" s="47" t="s">
        <v>48</v>
      </c>
      <c r="C1" s="47" t="s">
        <v>49</v>
      </c>
      <c r="D1" s="47" t="s">
        <v>50</v>
      </c>
      <c r="E1" s="47" t="s">
        <v>51</v>
      </c>
      <c r="F1" s="47" t="s">
        <v>52</v>
      </c>
      <c r="G1" s="47" t="s">
        <v>53</v>
      </c>
      <c r="H1" s="47" t="s">
        <v>54</v>
      </c>
      <c r="I1" s="47" t="s">
        <v>55</v>
      </c>
      <c r="J1" s="47" t="s">
        <v>56</v>
      </c>
      <c r="K1" s="47" t="s">
        <v>57</v>
      </c>
      <c r="L1" s="48" t="s">
        <v>58</v>
      </c>
      <c r="M1" s="54" t="s">
        <v>65</v>
      </c>
    </row>
    <row r="2" spans="1:13" x14ac:dyDescent="0.45">
      <c r="A2" s="51" t="s">
        <v>59</v>
      </c>
      <c r="B2" s="42">
        <v>94.093035323770295</v>
      </c>
      <c r="C2" s="49">
        <v>76.8</v>
      </c>
      <c r="D2" s="49">
        <f>C2-B2</f>
        <v>-17.293035323770297</v>
      </c>
      <c r="E2" s="49">
        <v>87.193504665481896</v>
      </c>
      <c r="F2" s="49">
        <v>63.3</v>
      </c>
      <c r="G2" s="49">
        <f>F2-E2</f>
        <v>-23.893504665481899</v>
      </c>
      <c r="H2" s="49">
        <v>3</v>
      </c>
      <c r="I2" s="49">
        <v>1209.02386273653</v>
      </c>
      <c r="J2" s="49">
        <v>847.07297178353394</v>
      </c>
      <c r="K2" s="49">
        <v>417.63600000000002</v>
      </c>
      <c r="L2" s="37">
        <v>0.62403414823134995</v>
      </c>
      <c r="M2" s="50">
        <v>12047.6146259001</v>
      </c>
    </row>
    <row r="3" spans="1:13" x14ac:dyDescent="0.45">
      <c r="A3" s="51" t="s">
        <v>60</v>
      </c>
      <c r="B3" s="38">
        <v>80.147199396138802</v>
      </c>
      <c r="C3" s="5">
        <v>68</v>
      </c>
      <c r="D3" s="5">
        <f t="shared" ref="D3:D7" si="0">C3-B3</f>
        <v>-12.147199396138802</v>
      </c>
      <c r="E3" s="5">
        <v>85.004588438881996</v>
      </c>
      <c r="F3" s="5">
        <v>60.8</v>
      </c>
      <c r="G3" s="5">
        <f t="shared" ref="G3:G7" si="1">F3-E3</f>
        <v>-24.204588438881999</v>
      </c>
      <c r="H3" s="5">
        <v>6</v>
      </c>
      <c r="I3" s="5">
        <v>1506.3558469398899</v>
      </c>
      <c r="J3" s="5">
        <v>1168.85418182585</v>
      </c>
      <c r="K3" s="5">
        <v>417.63600000000002</v>
      </c>
      <c r="L3" s="39">
        <v>1.1227701778395001</v>
      </c>
      <c r="M3" s="51">
        <v>6191.9765731812404</v>
      </c>
    </row>
    <row r="4" spans="1:13" x14ac:dyDescent="0.45">
      <c r="A4" s="51" t="s">
        <v>61</v>
      </c>
      <c r="B4" s="38">
        <v>82.994710924676198</v>
      </c>
      <c r="C4" s="5">
        <v>70.2</v>
      </c>
      <c r="D4" s="5">
        <f t="shared" si="0"/>
        <v>-12.794710924676195</v>
      </c>
      <c r="E4" s="5">
        <v>85.292245176937698</v>
      </c>
      <c r="F4" s="5">
        <v>67.8</v>
      </c>
      <c r="G4" s="5">
        <f t="shared" si="1"/>
        <v>-17.492245176937701</v>
      </c>
      <c r="H4" s="5">
        <v>4</v>
      </c>
      <c r="I4" s="5">
        <v>1287.4641018682601</v>
      </c>
      <c r="J4" s="5">
        <v>1050.6026984826599</v>
      </c>
      <c r="K4" s="5">
        <v>371.231999999999</v>
      </c>
      <c r="L4" s="39">
        <v>0.76094278544478899</v>
      </c>
      <c r="M4" s="51">
        <v>9325.4164063736298</v>
      </c>
    </row>
    <row r="5" spans="1:13" x14ac:dyDescent="0.45">
      <c r="A5" s="51" t="s">
        <v>62</v>
      </c>
      <c r="B5" s="38">
        <v>66.871259721774393</v>
      </c>
      <c r="C5" s="5">
        <v>62.6</v>
      </c>
      <c r="D5" s="5">
        <f t="shared" si="0"/>
        <v>-4.2712597217743919</v>
      </c>
      <c r="E5" s="5">
        <v>87.141119927856707</v>
      </c>
      <c r="F5" s="5">
        <v>69.599999999999994</v>
      </c>
      <c r="G5" s="5">
        <f t="shared" si="1"/>
        <v>-17.541119927856712</v>
      </c>
      <c r="H5" s="5">
        <v>1</v>
      </c>
      <c r="I5" s="5">
        <v>1494.9061473291299</v>
      </c>
      <c r="J5" s="5">
        <v>1022.4704496867701</v>
      </c>
      <c r="K5" s="5">
        <v>324.82799999999997</v>
      </c>
      <c r="L5" s="39">
        <v>0.70591842002929595</v>
      </c>
      <c r="M5" s="51">
        <v>11601.0749620647</v>
      </c>
    </row>
    <row r="6" spans="1:13" x14ac:dyDescent="0.45">
      <c r="A6" s="51" t="s">
        <v>63</v>
      </c>
      <c r="B6" s="38">
        <v>84.908129444700606</v>
      </c>
      <c r="C6" s="5">
        <v>73.599999999999994</v>
      </c>
      <c r="D6" s="5">
        <f t="shared" si="0"/>
        <v>-11.308129444700612</v>
      </c>
      <c r="E6" s="5">
        <v>86.755055798036594</v>
      </c>
      <c r="F6" s="5">
        <v>61.2</v>
      </c>
      <c r="G6" s="5">
        <f t="shared" si="1"/>
        <v>-25.555055798036591</v>
      </c>
      <c r="H6" s="5">
        <v>2</v>
      </c>
      <c r="I6" s="5">
        <v>1338.77109512473</v>
      </c>
      <c r="J6" s="5">
        <v>815.82664396656401</v>
      </c>
      <c r="K6" s="5">
        <v>324.82799999999997</v>
      </c>
      <c r="L6" s="39">
        <v>0.51754101728420399</v>
      </c>
      <c r="M6" s="51">
        <v>11333.747005330501</v>
      </c>
    </row>
    <row r="7" spans="1:13" ht="15.4" thickBot="1" x14ac:dyDescent="0.5">
      <c r="A7" s="52" t="s">
        <v>64</v>
      </c>
      <c r="B7" s="40">
        <v>79.923462863234604</v>
      </c>
      <c r="C7" s="32">
        <v>67.099999999999994</v>
      </c>
      <c r="D7" s="32">
        <f t="shared" si="0"/>
        <v>-12.82346286323461</v>
      </c>
      <c r="E7" s="32">
        <v>85.099825278720502</v>
      </c>
      <c r="F7" s="32">
        <v>65.3</v>
      </c>
      <c r="G7" s="32">
        <f t="shared" si="1"/>
        <v>-19.799825278720505</v>
      </c>
      <c r="H7" s="32">
        <v>5</v>
      </c>
      <c r="I7" s="32">
        <v>1513.97775929195</v>
      </c>
      <c r="J7" s="32">
        <v>970.32022576451095</v>
      </c>
      <c r="K7" s="32">
        <v>371.231999999999</v>
      </c>
      <c r="L7" s="41">
        <v>0.77414374801117802</v>
      </c>
      <c r="M7" s="51">
        <v>6091.8993341796204</v>
      </c>
    </row>
    <row r="8" spans="1:13" ht="15.4" thickBot="1" x14ac:dyDescent="0.5">
      <c r="A8" s="5"/>
      <c r="B8" s="5"/>
      <c r="C8" s="5"/>
      <c r="D8" s="5"/>
      <c r="E8" s="5"/>
      <c r="F8" s="5"/>
      <c r="G8" s="5"/>
      <c r="H8" s="55" t="s">
        <v>22</v>
      </c>
      <c r="I8" s="46">
        <f>AVERAGE(I2:I7)</f>
        <v>1391.7498022150819</v>
      </c>
      <c r="J8" s="47">
        <f>AVERAGE(J2:J7)</f>
        <v>979.19119525164808</v>
      </c>
      <c r="K8" s="47">
        <f>AVERAGE(K2:K7)</f>
        <v>371.23199999999969</v>
      </c>
      <c r="L8" s="48">
        <f>AVERAGE(L2:L7)</f>
        <v>0.75089171614005279</v>
      </c>
      <c r="M8" s="51">
        <v>2994.0527632349599</v>
      </c>
    </row>
    <row r="9" spans="1:13" ht="15.4" thickBot="1" x14ac:dyDescent="0.5">
      <c r="A9" s="5"/>
      <c r="B9" s="5"/>
      <c r="C9" s="55" t="s">
        <v>22</v>
      </c>
      <c r="D9" s="54">
        <f>AVERAGE(D2:D7)</f>
        <v>-11.772966279049152</v>
      </c>
      <c r="E9" s="5"/>
      <c r="F9" s="55" t="s">
        <v>22</v>
      </c>
      <c r="G9" s="54">
        <f>AVERAGE(G2:G7)</f>
        <v>-21.414389880985897</v>
      </c>
      <c r="H9" s="5"/>
      <c r="I9" s="5"/>
      <c r="J9" s="5"/>
      <c r="K9" s="5"/>
      <c r="L9" s="5"/>
      <c r="M9" s="51">
        <v>1657.27934126282</v>
      </c>
    </row>
    <row r="10" spans="1:13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1">
        <v>3925.19877644907</v>
      </c>
    </row>
    <row r="11" spans="1:13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1">
        <v>3269.7188959997402</v>
      </c>
    </row>
    <row r="12" spans="1:13" x14ac:dyDescent="0.45">
      <c r="C12" s="5"/>
      <c r="D12" s="5"/>
      <c r="E12" s="5"/>
      <c r="F12" s="5"/>
      <c r="G12" s="5"/>
      <c r="H12" s="5"/>
      <c r="I12" s="5"/>
      <c r="J12" s="5"/>
      <c r="K12" s="5"/>
      <c r="L12" s="5"/>
      <c r="M12" s="51">
        <v>6038.6552547293004</v>
      </c>
    </row>
    <row r="13" spans="1:13" x14ac:dyDescent="0.45">
      <c r="C13" s="5"/>
      <c r="D13" s="5"/>
      <c r="E13" s="5"/>
      <c r="F13" s="5"/>
      <c r="G13" s="5"/>
      <c r="H13" s="5"/>
      <c r="I13" s="5"/>
      <c r="J13" s="5"/>
      <c r="K13" s="5"/>
      <c r="L13" s="5"/>
      <c r="M13" s="51">
        <v>5270.0233061321796</v>
      </c>
    </row>
    <row r="14" spans="1:13" x14ac:dyDescent="0.45">
      <c r="C14" s="5"/>
      <c r="D14" s="5"/>
      <c r="E14" s="5"/>
      <c r="F14" s="5"/>
      <c r="G14" s="5"/>
      <c r="H14" s="5"/>
      <c r="I14" s="5"/>
      <c r="J14" s="5"/>
      <c r="K14" s="5"/>
      <c r="L14" s="5"/>
      <c r="M14" s="51">
        <v>3146.8715595365402</v>
      </c>
    </row>
    <row r="15" spans="1:13" x14ac:dyDescent="0.45">
      <c r="C15" s="5"/>
      <c r="D15" s="5"/>
      <c r="E15" s="5"/>
      <c r="F15" s="5"/>
      <c r="G15" s="5"/>
      <c r="H15" s="5"/>
      <c r="I15" s="5"/>
      <c r="J15" s="5"/>
      <c r="K15" s="5"/>
      <c r="L15" s="5"/>
      <c r="M15" s="51">
        <v>3291.7172414628099</v>
      </c>
    </row>
    <row r="16" spans="1:13" ht="15.4" thickBot="1" x14ac:dyDescent="0.5">
      <c r="C16" s="5"/>
      <c r="D16" s="5"/>
      <c r="E16" s="5"/>
      <c r="F16" s="5"/>
      <c r="G16" s="5"/>
      <c r="H16" s="5"/>
      <c r="I16" s="5"/>
      <c r="J16" s="5"/>
      <c r="K16" s="5"/>
      <c r="L16" s="5"/>
      <c r="M16" s="52">
        <v>5189.7821289779004</v>
      </c>
    </row>
    <row r="17" spans="1:13" ht="15.4" thickBot="1" x14ac:dyDescent="0.5">
      <c r="C17" s="5"/>
      <c r="D17" s="5"/>
      <c r="E17" s="5"/>
      <c r="F17" s="5"/>
      <c r="G17" s="5"/>
      <c r="H17" s="5"/>
      <c r="I17" s="5"/>
      <c r="J17" s="5"/>
      <c r="K17" s="5"/>
      <c r="L17" s="55" t="s">
        <v>22</v>
      </c>
      <c r="M17" s="54">
        <f>AVERAGE(M2:M16)</f>
        <v>6091.6685449876732</v>
      </c>
    </row>
    <row r="18" spans="1:13" ht="15.4" thickBot="1" x14ac:dyDescent="0.5"/>
    <row r="19" spans="1:13" ht="15.4" thickBot="1" x14ac:dyDescent="0.5">
      <c r="A19" s="56" t="s">
        <v>47</v>
      </c>
      <c r="B19" s="47" t="s">
        <v>48</v>
      </c>
      <c r="C19" s="47" t="s">
        <v>49</v>
      </c>
      <c r="D19" s="47" t="s">
        <v>50</v>
      </c>
      <c r="E19" s="47" t="s">
        <v>51</v>
      </c>
      <c r="F19" s="47" t="s">
        <v>52</v>
      </c>
      <c r="G19" s="47" t="s">
        <v>53</v>
      </c>
      <c r="H19" s="47" t="s">
        <v>54</v>
      </c>
      <c r="I19" s="47" t="s">
        <v>55</v>
      </c>
      <c r="J19" s="47" t="s">
        <v>56</v>
      </c>
      <c r="K19" s="47" t="s">
        <v>57</v>
      </c>
      <c r="L19" s="48" t="s">
        <v>58</v>
      </c>
      <c r="M19" s="54" t="s">
        <v>65</v>
      </c>
    </row>
    <row r="20" spans="1:13" x14ac:dyDescent="0.45">
      <c r="A20" s="51" t="s">
        <v>59</v>
      </c>
      <c r="B20" s="42">
        <v>91.888217181227105</v>
      </c>
      <c r="C20" s="49">
        <v>73.5</v>
      </c>
      <c r="D20" s="49">
        <f>C20-B20</f>
        <v>-18.388217181227105</v>
      </c>
      <c r="E20" s="49">
        <v>93.544744285496805</v>
      </c>
      <c r="F20" s="49">
        <v>71.3</v>
      </c>
      <c r="G20" s="49">
        <f>F20-E20</f>
        <v>-22.244744285496807</v>
      </c>
      <c r="H20" s="49">
        <v>1</v>
      </c>
      <c r="I20" s="49">
        <v>768.60293885753299</v>
      </c>
      <c r="J20" s="49">
        <v>674.86088613026698</v>
      </c>
      <c r="K20" s="49">
        <v>378.96600000000001</v>
      </c>
      <c r="L20" s="49">
        <v>0.266069064375558</v>
      </c>
      <c r="M20" s="50">
        <v>3526.5951141509099</v>
      </c>
    </row>
    <row r="21" spans="1:13" x14ac:dyDescent="0.45">
      <c r="A21" s="51" t="s">
        <v>60</v>
      </c>
      <c r="B21" s="38">
        <v>88.488355704419703</v>
      </c>
      <c r="C21" s="5">
        <v>68.900000000000006</v>
      </c>
      <c r="D21" s="5">
        <f t="shared" ref="D21:D25" si="2">C21-B21</f>
        <v>-19.588355704419698</v>
      </c>
      <c r="E21" s="5">
        <v>85.038416491603599</v>
      </c>
      <c r="F21" s="5">
        <v>63</v>
      </c>
      <c r="G21" s="5">
        <f t="shared" ref="G21:G25" si="3">F21-E21</f>
        <v>-22.038416491603599</v>
      </c>
      <c r="H21" s="5">
        <v>5</v>
      </c>
      <c r="I21" s="5">
        <v>1127.6106734622099</v>
      </c>
      <c r="J21" s="5">
        <v>722.95089298370704</v>
      </c>
      <c r="K21" s="5">
        <v>324.82799999999997</v>
      </c>
      <c r="L21" s="5">
        <v>0.33478984480027002</v>
      </c>
      <c r="M21" s="51">
        <v>2454.60780738432</v>
      </c>
    </row>
    <row r="22" spans="1:13" x14ac:dyDescent="0.45">
      <c r="A22" s="51" t="s">
        <v>61</v>
      </c>
      <c r="B22" s="38">
        <v>48.769475400197699</v>
      </c>
      <c r="C22" s="5">
        <v>60</v>
      </c>
      <c r="D22" s="5">
        <f t="shared" si="2"/>
        <v>11.230524599802301</v>
      </c>
      <c r="E22" s="5">
        <v>85.302043382437105</v>
      </c>
      <c r="F22" s="5">
        <v>68.5</v>
      </c>
      <c r="G22" s="5">
        <f t="shared" si="3"/>
        <v>-16.802043382437105</v>
      </c>
      <c r="H22" s="5">
        <v>6</v>
      </c>
      <c r="I22" s="5">
        <v>1057.8202223302501</v>
      </c>
      <c r="J22" s="5">
        <v>860.83865811577698</v>
      </c>
      <c r="K22" s="5">
        <v>324.82799999999997</v>
      </c>
      <c r="L22" s="5">
        <v>0.34620606831489498</v>
      </c>
      <c r="M22" s="51">
        <v>786.064673193261</v>
      </c>
    </row>
    <row r="23" spans="1:13" x14ac:dyDescent="0.45">
      <c r="A23" s="51" t="s">
        <v>62</v>
      </c>
      <c r="B23" s="38">
        <v>67.482237459912398</v>
      </c>
      <c r="C23" s="5">
        <v>49.3</v>
      </c>
      <c r="D23" s="5">
        <f t="shared" si="2"/>
        <v>-18.1822374599124</v>
      </c>
      <c r="E23" s="5">
        <v>85.461463435066307</v>
      </c>
      <c r="F23" s="5">
        <v>61.3</v>
      </c>
      <c r="G23" s="5">
        <f t="shared" si="3"/>
        <v>-24.16146343506631</v>
      </c>
      <c r="H23" s="5">
        <v>3</v>
      </c>
      <c r="I23" s="5">
        <v>1590.91043896114</v>
      </c>
      <c r="J23" s="5">
        <v>971.73658675740501</v>
      </c>
      <c r="K23" s="5">
        <v>371.231999999999</v>
      </c>
      <c r="L23" s="5">
        <v>0.78327284092136495</v>
      </c>
      <c r="M23" s="51">
        <v>2549.57608847027</v>
      </c>
    </row>
    <row r="24" spans="1:13" x14ac:dyDescent="0.45">
      <c r="A24" s="51" t="s">
        <v>63</v>
      </c>
      <c r="B24" s="38">
        <v>73.581809155425006</v>
      </c>
      <c r="C24" s="5">
        <v>65.099999999999994</v>
      </c>
      <c r="D24" s="5">
        <f t="shared" si="2"/>
        <v>-8.4818091554250117</v>
      </c>
      <c r="E24" s="5">
        <v>91.745061933188296</v>
      </c>
      <c r="F24" s="5">
        <v>66.400000000000006</v>
      </c>
      <c r="G24" s="5">
        <f t="shared" si="3"/>
        <v>-25.34506193318829</v>
      </c>
      <c r="H24" s="5">
        <v>2</v>
      </c>
      <c r="I24" s="5">
        <v>1291.6695361833199</v>
      </c>
      <c r="J24" s="5">
        <v>893.93295199408703</v>
      </c>
      <c r="K24" s="5">
        <v>417.63600000000002</v>
      </c>
      <c r="L24" s="5">
        <v>0.51809614607168897</v>
      </c>
      <c r="M24" s="51">
        <v>3239.4752690242799</v>
      </c>
    </row>
    <row r="25" spans="1:13" ht="15.4" thickBot="1" x14ac:dyDescent="0.5">
      <c r="A25" s="52" t="s">
        <v>64</v>
      </c>
      <c r="B25" s="40">
        <v>83.202532515233599</v>
      </c>
      <c r="C25" s="32">
        <v>68.400000000000006</v>
      </c>
      <c r="D25" s="32">
        <f t="shared" si="2"/>
        <v>-14.802532515233594</v>
      </c>
      <c r="E25" s="32">
        <v>87.965782548205596</v>
      </c>
      <c r="F25" s="32">
        <v>67.599999999999994</v>
      </c>
      <c r="G25" s="32">
        <f t="shared" si="3"/>
        <v>-20.365782548205601</v>
      </c>
      <c r="H25" s="32">
        <v>4</v>
      </c>
      <c r="I25" s="32">
        <v>1349.6847358431801</v>
      </c>
      <c r="J25" s="32">
        <v>859.06598813740698</v>
      </c>
      <c r="K25" s="32">
        <v>371.231999999999</v>
      </c>
      <c r="L25" s="32">
        <v>0.52520457019543099</v>
      </c>
      <c r="M25" s="51">
        <v>3681.1455148627301</v>
      </c>
    </row>
    <row r="26" spans="1:13" ht="15.4" thickBot="1" x14ac:dyDescent="0.5">
      <c r="A26" s="5"/>
      <c r="B26" s="5"/>
      <c r="C26" s="5"/>
      <c r="D26" s="5"/>
      <c r="E26" s="5"/>
      <c r="F26" s="5"/>
      <c r="G26" s="5"/>
      <c r="H26" s="55" t="s">
        <v>22</v>
      </c>
      <c r="I26" s="57">
        <f>AVERAGE(I20:I25)</f>
        <v>1197.7164242729389</v>
      </c>
      <c r="J26" s="58">
        <f>AVERAGE(J20:J25)</f>
        <v>830.5643273531083</v>
      </c>
      <c r="K26" s="58">
        <f>AVERAGE(K20:K25)</f>
        <v>364.78699999999964</v>
      </c>
      <c r="L26" s="59">
        <f>AVERAGE(L20:L25)</f>
        <v>0.46227308911320125</v>
      </c>
      <c r="M26" s="51">
        <v>3026.0965415547698</v>
      </c>
    </row>
    <row r="27" spans="1:13" ht="15.4" thickBot="1" x14ac:dyDescent="0.5">
      <c r="C27" s="55" t="s">
        <v>22</v>
      </c>
      <c r="D27" s="54">
        <f>AVERAGE(D20:D25)</f>
        <v>-11.36877123606925</v>
      </c>
      <c r="E27" s="5"/>
      <c r="F27" s="55" t="s">
        <v>22</v>
      </c>
      <c r="G27" s="54">
        <f>AVERAGE(G20:G25)</f>
        <v>-21.826252012666288</v>
      </c>
      <c r="H27" s="5"/>
      <c r="I27" s="5"/>
      <c r="J27" s="5"/>
      <c r="K27" s="5"/>
      <c r="L27" s="5"/>
      <c r="M27" s="51">
        <v>1894.4762553790999</v>
      </c>
    </row>
    <row r="28" spans="1:13" x14ac:dyDescent="0.45">
      <c r="C28" s="5"/>
      <c r="D28" s="5"/>
      <c r="E28" s="5"/>
      <c r="F28" s="5"/>
      <c r="G28" s="5"/>
      <c r="H28" s="5"/>
      <c r="I28" s="5"/>
      <c r="J28" s="5"/>
      <c r="K28" s="5"/>
      <c r="L28" s="5"/>
      <c r="M28" s="51">
        <v>4713.3562362060602</v>
      </c>
    </row>
    <row r="29" spans="1:13" x14ac:dyDescent="0.45">
      <c r="M29" s="51">
        <v>1980.4946673843799</v>
      </c>
    </row>
    <row r="30" spans="1:13" x14ac:dyDescent="0.45">
      <c r="M30" s="51">
        <v>3921.6540437798199</v>
      </c>
    </row>
    <row r="31" spans="1:13" x14ac:dyDescent="0.45">
      <c r="M31" s="51">
        <v>1301.42032389155</v>
      </c>
    </row>
    <row r="32" spans="1:13" x14ac:dyDescent="0.45">
      <c r="M32" s="51">
        <v>2326.2918360814301</v>
      </c>
    </row>
    <row r="33" spans="1:13" x14ac:dyDescent="0.45">
      <c r="M33" s="51">
        <v>3010.9461525787001</v>
      </c>
    </row>
    <row r="34" spans="1:13" ht="15.4" thickBot="1" x14ac:dyDescent="0.5">
      <c r="M34" s="52">
        <v>5013.2785644123396</v>
      </c>
    </row>
    <row r="35" spans="1:13" ht="15.4" thickBot="1" x14ac:dyDescent="0.5">
      <c r="L35" s="55" t="s">
        <v>22</v>
      </c>
      <c r="M35" s="54">
        <f>AVERAGE(M20:M34)</f>
        <v>2895.0319392235951</v>
      </c>
    </row>
    <row r="36" spans="1:13" ht="15.4" thickBot="1" x14ac:dyDescent="0.5"/>
    <row r="37" spans="1:13" ht="15.4" thickBot="1" x14ac:dyDescent="0.5">
      <c r="A37" s="56" t="s">
        <v>67</v>
      </c>
      <c r="B37" s="47" t="s">
        <v>48</v>
      </c>
      <c r="C37" s="47" t="s">
        <v>49</v>
      </c>
      <c r="D37" s="47" t="s">
        <v>50</v>
      </c>
      <c r="E37" s="47" t="s">
        <v>51</v>
      </c>
      <c r="F37" s="47" t="s">
        <v>52</v>
      </c>
      <c r="G37" s="47" t="s">
        <v>53</v>
      </c>
      <c r="H37" s="47" t="s">
        <v>54</v>
      </c>
      <c r="I37" s="47" t="s">
        <v>55</v>
      </c>
      <c r="J37" s="47" t="s">
        <v>56</v>
      </c>
      <c r="K37" s="47" t="s">
        <v>57</v>
      </c>
      <c r="L37" s="47" t="s">
        <v>58</v>
      </c>
      <c r="M37" s="54" t="s">
        <v>65</v>
      </c>
    </row>
    <row r="38" spans="1:13" x14ac:dyDescent="0.45">
      <c r="A38" s="50" t="s">
        <v>68</v>
      </c>
      <c r="B38" s="42">
        <v>95.243700000000004</v>
      </c>
      <c r="C38" s="49">
        <v>68.599999999999994</v>
      </c>
      <c r="D38" s="49">
        <f>C38-B38</f>
        <v>-26.64370000000001</v>
      </c>
      <c r="E38" s="49">
        <v>95.050399999999996</v>
      </c>
      <c r="F38" s="49">
        <v>70.400000000000006</v>
      </c>
      <c r="G38" s="49">
        <f>F38-E38</f>
        <v>-24.650399999999991</v>
      </c>
      <c r="H38" s="49">
        <v>3</v>
      </c>
      <c r="I38" s="49">
        <v>1059.65554240047</v>
      </c>
      <c r="J38" s="49">
        <v>814.826984487402</v>
      </c>
      <c r="K38" s="49">
        <v>556.84799999999996</v>
      </c>
      <c r="L38" s="37">
        <v>0.62606869523748199</v>
      </c>
      <c r="M38" s="51">
        <v>3683.07517422605</v>
      </c>
    </row>
    <row r="39" spans="1:13" x14ac:dyDescent="0.45">
      <c r="A39" s="51" t="s">
        <v>60</v>
      </c>
      <c r="B39" s="38">
        <v>91.347099999999998</v>
      </c>
      <c r="C39" s="5">
        <v>69.099999999999994</v>
      </c>
      <c r="D39" s="5">
        <f t="shared" ref="D39:D43" si="4">C39-B39</f>
        <v>-22.247100000000003</v>
      </c>
      <c r="E39" s="5">
        <v>96.304199999999994</v>
      </c>
      <c r="F39" s="5">
        <v>69.3</v>
      </c>
      <c r="G39" s="5">
        <f t="shared" ref="G39:G43" si="5">F39-E39</f>
        <v>-27.004199999999997</v>
      </c>
      <c r="H39" s="5">
        <v>4</v>
      </c>
      <c r="I39" s="5">
        <v>1317.20772624193</v>
      </c>
      <c r="J39" s="5">
        <v>936.48930104686895</v>
      </c>
      <c r="K39" s="5">
        <v>603.25199999999995</v>
      </c>
      <c r="L39" s="39">
        <v>0.86019426135919597</v>
      </c>
      <c r="M39" s="51">
        <v>2682.4305076114401</v>
      </c>
    </row>
    <row r="40" spans="1:13" x14ac:dyDescent="0.45">
      <c r="A40" s="51" t="s">
        <v>61</v>
      </c>
      <c r="B40" s="38">
        <v>56.81</v>
      </c>
      <c r="C40" s="5">
        <v>54</v>
      </c>
      <c r="D40" s="5">
        <f t="shared" si="4"/>
        <v>-2.8100000000000023</v>
      </c>
      <c r="E40" s="5">
        <v>88.5</v>
      </c>
      <c r="F40" s="5">
        <v>68.400000000000006</v>
      </c>
      <c r="G40" s="5">
        <f t="shared" si="5"/>
        <v>-20.099999999999994</v>
      </c>
      <c r="H40" s="5">
        <v>1</v>
      </c>
      <c r="I40" s="5">
        <v>1725.3562542433699</v>
      </c>
      <c r="J40" s="5">
        <v>1488.1818199716799</v>
      </c>
      <c r="K40" s="5">
        <v>324.82799999999997</v>
      </c>
      <c r="L40" s="39">
        <v>1.23314365901117</v>
      </c>
      <c r="M40" s="51">
        <v>3171.6239059128802</v>
      </c>
    </row>
    <row r="41" spans="1:13" x14ac:dyDescent="0.45">
      <c r="A41" s="51" t="s">
        <v>62</v>
      </c>
      <c r="B41" s="38">
        <v>59.063699999999997</v>
      </c>
      <c r="C41" s="5">
        <v>73.3</v>
      </c>
      <c r="D41" s="5">
        <f t="shared" si="4"/>
        <v>14.2363</v>
      </c>
      <c r="E41" s="5">
        <v>90.063688900000002</v>
      </c>
      <c r="F41" s="5">
        <v>72.599999999999994</v>
      </c>
      <c r="G41" s="5">
        <f t="shared" si="5"/>
        <v>-17.463688900000008</v>
      </c>
      <c r="H41" s="5">
        <v>5</v>
      </c>
      <c r="I41" s="5">
        <v>2127.2025544899402</v>
      </c>
      <c r="J41" s="5">
        <v>1391.9465758230899</v>
      </c>
      <c r="K41" s="5">
        <v>417.63600000000002</v>
      </c>
      <c r="L41" s="39">
        <v>1.7349217943747399</v>
      </c>
      <c r="M41" s="51">
        <v>4726.6913596193899</v>
      </c>
    </row>
    <row r="42" spans="1:13" x14ac:dyDescent="0.45">
      <c r="A42" s="51" t="s">
        <v>63</v>
      </c>
      <c r="B42" s="38">
        <v>63.7483</v>
      </c>
      <c r="C42" s="5">
        <v>52.9</v>
      </c>
      <c r="D42" s="5">
        <f t="shared" si="4"/>
        <v>-10.848300000000002</v>
      </c>
      <c r="E42" s="5">
        <v>85.040700000000001</v>
      </c>
      <c r="F42" s="5">
        <v>66.5</v>
      </c>
      <c r="G42" s="5">
        <f t="shared" si="5"/>
        <v>-18.540700000000001</v>
      </c>
      <c r="H42" s="5">
        <v>2</v>
      </c>
      <c r="I42" s="5">
        <v>1698.2693706022501</v>
      </c>
      <c r="J42" s="5">
        <v>1512.1959561901399</v>
      </c>
      <c r="K42" s="5">
        <v>324.82799999999997</v>
      </c>
      <c r="L42" s="39">
        <v>1.2947962621492299</v>
      </c>
      <c r="M42" s="51">
        <v>3786.1659729185099</v>
      </c>
    </row>
    <row r="43" spans="1:13" ht="15.4" thickBot="1" x14ac:dyDescent="0.5">
      <c r="A43" s="52" t="s">
        <v>64</v>
      </c>
      <c r="B43" s="40">
        <v>91.504000000000005</v>
      </c>
      <c r="C43" s="32">
        <v>64.900000000000006</v>
      </c>
      <c r="D43" s="32">
        <f t="shared" si="4"/>
        <v>-26.603999999999999</v>
      </c>
      <c r="E43" s="32">
        <v>85.971090000000004</v>
      </c>
      <c r="F43" s="32">
        <v>68.8</v>
      </c>
      <c r="G43" s="32">
        <f t="shared" si="5"/>
        <v>-17.171090000000007</v>
      </c>
      <c r="H43" s="32">
        <v>6</v>
      </c>
      <c r="I43" s="32">
        <v>1567.3970787376199</v>
      </c>
      <c r="J43" s="32">
        <v>755.471479401176</v>
      </c>
      <c r="K43" s="32">
        <v>556.84799999999996</v>
      </c>
      <c r="L43" s="41">
        <v>0.91504098556269498</v>
      </c>
      <c r="M43" s="51">
        <v>6281.5881622420502</v>
      </c>
    </row>
    <row r="44" spans="1:13" ht="15.4" thickBot="1" x14ac:dyDescent="0.5">
      <c r="A44" s="5"/>
      <c r="B44" s="5"/>
      <c r="C44" s="5"/>
      <c r="D44" s="5"/>
      <c r="E44" s="5"/>
      <c r="F44" s="5"/>
      <c r="G44" s="5"/>
      <c r="H44" s="55" t="s">
        <v>22</v>
      </c>
      <c r="I44" s="57">
        <f>AVERAGE(I38:I43)</f>
        <v>1582.5147544525964</v>
      </c>
      <c r="J44" s="58">
        <f>AVERAGE(J38:J43)</f>
        <v>1149.852019486726</v>
      </c>
      <c r="K44" s="58">
        <f>AVERAGE(K38:K43)</f>
        <v>464.03999999999996</v>
      </c>
      <c r="L44" s="59">
        <f>AVERAGE(L38:L43)</f>
        <v>1.1106942762824188</v>
      </c>
      <c r="M44" s="51">
        <v>6818.1017463426497</v>
      </c>
    </row>
    <row r="45" spans="1:13" ht="15.4" thickBot="1" x14ac:dyDescent="0.5">
      <c r="A45" s="5"/>
      <c r="B45" s="5"/>
      <c r="C45" s="55" t="s">
        <v>22</v>
      </c>
      <c r="D45" s="53">
        <f>AVERAGE(D38:D43)</f>
        <v>-12.486133333333337</v>
      </c>
      <c r="E45" s="5"/>
      <c r="F45" s="55" t="s">
        <v>22</v>
      </c>
      <c r="G45" s="53">
        <f>AVERAGE(G38:G43)</f>
        <v>-20.821679816666666</v>
      </c>
      <c r="H45" s="5"/>
      <c r="I45" s="5"/>
      <c r="J45" s="5"/>
      <c r="K45" s="5"/>
      <c r="L45" s="5"/>
      <c r="M45" s="51">
        <v>2989.4293464577499</v>
      </c>
    </row>
    <row r="46" spans="1:13" x14ac:dyDescent="0.45">
      <c r="M46" s="51">
        <v>5130.9225182914797</v>
      </c>
    </row>
    <row r="47" spans="1:13" x14ac:dyDescent="0.45">
      <c r="M47" s="51">
        <v>845.18928207025499</v>
      </c>
    </row>
    <row r="48" spans="1:13" x14ac:dyDescent="0.45">
      <c r="M48" s="51">
        <v>7190.46073528538</v>
      </c>
    </row>
    <row r="49" spans="1:13" x14ac:dyDescent="0.45">
      <c r="M49" s="51">
        <v>5273.3460574777</v>
      </c>
    </row>
    <row r="50" spans="1:13" x14ac:dyDescent="0.45">
      <c r="M50" s="51">
        <v>7683.2067996586402</v>
      </c>
    </row>
    <row r="51" spans="1:13" x14ac:dyDescent="0.45">
      <c r="M51" s="51">
        <v>5531.84672275504</v>
      </c>
    </row>
    <row r="52" spans="1:13" ht="15.4" thickBot="1" x14ac:dyDescent="0.5">
      <c r="M52" s="52">
        <v>3574.1027188828002</v>
      </c>
    </row>
    <row r="53" spans="1:13" ht="15.4" thickBot="1" x14ac:dyDescent="0.5">
      <c r="L53" s="55" t="s">
        <v>22</v>
      </c>
      <c r="M53" s="53">
        <f>AVERAGE(M38:M52)</f>
        <v>4624.545400650135</v>
      </c>
    </row>
    <row r="54" spans="1:13" ht="15.4" thickBot="1" x14ac:dyDescent="0.5">
      <c r="L54" s="36"/>
      <c r="M54" s="36"/>
    </row>
    <row r="55" spans="1:13" ht="15.4" thickBot="1" x14ac:dyDescent="0.5">
      <c r="A55" s="56" t="s">
        <v>69</v>
      </c>
      <c r="B55" s="46" t="s">
        <v>48</v>
      </c>
      <c r="C55" s="47" t="s">
        <v>49</v>
      </c>
      <c r="D55" s="47" t="s">
        <v>50</v>
      </c>
      <c r="E55" s="47" t="s">
        <v>51</v>
      </c>
      <c r="F55" s="47" t="s">
        <v>52</v>
      </c>
      <c r="G55" s="47" t="s">
        <v>53</v>
      </c>
      <c r="H55" s="47" t="s">
        <v>54</v>
      </c>
      <c r="I55" s="47" t="s">
        <v>55</v>
      </c>
      <c r="J55" s="47" t="s">
        <v>56</v>
      </c>
      <c r="K55" s="47" t="s">
        <v>57</v>
      </c>
      <c r="L55" s="47" t="s">
        <v>58</v>
      </c>
      <c r="M55" s="54" t="s">
        <v>65</v>
      </c>
    </row>
    <row r="56" spans="1:13" x14ac:dyDescent="0.45">
      <c r="A56" s="50" t="s">
        <v>68</v>
      </c>
      <c r="B56" s="42">
        <v>73.362691891782603</v>
      </c>
      <c r="C56" s="49">
        <v>64.3</v>
      </c>
      <c r="D56" s="49">
        <f>C56-B56</f>
        <v>-9.062691891782606</v>
      </c>
      <c r="E56" s="49">
        <v>89.632433880759095</v>
      </c>
      <c r="F56" s="49">
        <v>63.1</v>
      </c>
      <c r="G56" s="49">
        <f>F56-E56</f>
        <v>-26.532433880759093</v>
      </c>
      <c r="H56" s="49">
        <v>4</v>
      </c>
      <c r="I56" s="49">
        <v>1359.31397830066</v>
      </c>
      <c r="J56" s="49">
        <v>1147.2455360051199</v>
      </c>
      <c r="K56" s="49">
        <v>464.04</v>
      </c>
      <c r="L56" s="49">
        <v>0.91549063988055701</v>
      </c>
      <c r="M56" s="50">
        <v>4539.7825156939898</v>
      </c>
    </row>
    <row r="57" spans="1:13" x14ac:dyDescent="0.45">
      <c r="A57" s="51" t="s">
        <v>60</v>
      </c>
      <c r="B57" s="38">
        <v>72.386730960500103</v>
      </c>
      <c r="C57" s="5">
        <v>61</v>
      </c>
      <c r="D57" s="5">
        <f t="shared" ref="D57:D61" si="6">C57-B57</f>
        <v>-11.386730960500103</v>
      </c>
      <c r="E57" s="5">
        <v>93.716685325519094</v>
      </c>
      <c r="F57" s="5">
        <v>69.8</v>
      </c>
      <c r="G57" s="5">
        <f t="shared" ref="G57:G61" si="7">F57-E57</f>
        <v>-23.916685325519097</v>
      </c>
      <c r="H57" s="5">
        <v>1</v>
      </c>
      <c r="I57" s="5">
        <v>1071.12179648493</v>
      </c>
      <c r="J57" s="5">
        <v>782.23284194664404</v>
      </c>
      <c r="K57" s="5">
        <v>324.82799999999997</v>
      </c>
      <c r="L57" s="5">
        <v>0.416746283340589</v>
      </c>
      <c r="M57" s="51">
        <v>3022.0360092074902</v>
      </c>
    </row>
    <row r="58" spans="1:13" x14ac:dyDescent="0.45">
      <c r="A58" s="51" t="s">
        <v>61</v>
      </c>
      <c r="B58" s="38">
        <v>78.017637885173201</v>
      </c>
      <c r="C58" s="5">
        <v>61</v>
      </c>
      <c r="D58" s="5">
        <f t="shared" si="6"/>
        <v>-17.017637885173201</v>
      </c>
      <c r="E58" s="5">
        <v>85.928254560432507</v>
      </c>
      <c r="F58" s="5">
        <v>54.7</v>
      </c>
      <c r="G58" s="5">
        <f t="shared" si="7"/>
        <v>-31.228254560432504</v>
      </c>
      <c r="H58" s="5">
        <v>5</v>
      </c>
      <c r="I58" s="5">
        <v>1296.1859889182199</v>
      </c>
      <c r="J58" s="5">
        <v>921.11522109578004</v>
      </c>
      <c r="K58" s="5">
        <v>371.231999999999</v>
      </c>
      <c r="L58" s="5">
        <v>0.538094660640828</v>
      </c>
      <c r="M58" s="51">
        <v>6914.7977122247103</v>
      </c>
    </row>
    <row r="59" spans="1:13" x14ac:dyDescent="0.45">
      <c r="A59" s="51" t="s">
        <v>62</v>
      </c>
      <c r="B59" s="38">
        <v>77.3538242388708</v>
      </c>
      <c r="C59" s="5">
        <v>66.400000000000006</v>
      </c>
      <c r="D59" s="5">
        <f t="shared" si="6"/>
        <v>-10.953824238870794</v>
      </c>
      <c r="E59" s="5">
        <v>85.095725124309894</v>
      </c>
      <c r="F59" s="5">
        <v>44.3</v>
      </c>
      <c r="G59" s="5">
        <f t="shared" si="7"/>
        <v>-40.795725124309897</v>
      </c>
      <c r="H59" s="5">
        <v>3</v>
      </c>
      <c r="I59" s="5">
        <v>1392.49823682344</v>
      </c>
      <c r="J59" s="5">
        <v>1124.43591276657</v>
      </c>
      <c r="K59" s="5">
        <v>371.231999999999</v>
      </c>
      <c r="L59" s="5">
        <v>0.70537161817362304</v>
      </c>
      <c r="M59" s="51">
        <v>5358.0987535374397</v>
      </c>
    </row>
    <row r="60" spans="1:13" x14ac:dyDescent="0.45">
      <c r="A60" s="51" t="s">
        <v>63</v>
      </c>
      <c r="B60" s="38">
        <v>95.658273346907905</v>
      </c>
      <c r="C60" s="5">
        <v>62.9</v>
      </c>
      <c r="D60" s="5">
        <f t="shared" si="6"/>
        <v>-32.758273346907906</v>
      </c>
      <c r="E60" s="5">
        <v>87.626551483699501</v>
      </c>
      <c r="F60" s="5">
        <v>50.9</v>
      </c>
      <c r="G60" s="5">
        <f t="shared" si="7"/>
        <v>-36.726551483699502</v>
      </c>
      <c r="H60" s="5">
        <v>6</v>
      </c>
      <c r="I60" s="5">
        <v>1141.3837877306601</v>
      </c>
      <c r="J60" s="5">
        <v>627.52910679735396</v>
      </c>
      <c r="K60" s="5">
        <v>417.63600000000002</v>
      </c>
      <c r="L60" s="5">
        <v>0.38713571381614897</v>
      </c>
      <c r="M60" s="51">
        <v>5167.3871290487596</v>
      </c>
    </row>
    <row r="61" spans="1:13" ht="15.4" thickBot="1" x14ac:dyDescent="0.5">
      <c r="A61" s="52" t="s">
        <v>64</v>
      </c>
      <c r="B61" s="40">
        <v>93.485120869032997</v>
      </c>
      <c r="C61" s="32">
        <v>61.4</v>
      </c>
      <c r="D61" s="32">
        <f t="shared" si="6"/>
        <v>-32.085120869032998</v>
      </c>
      <c r="E61" s="32">
        <v>87.817563372943695</v>
      </c>
      <c r="F61" s="32">
        <v>46.1</v>
      </c>
      <c r="G61" s="32">
        <f t="shared" si="7"/>
        <v>-41.717563372943694</v>
      </c>
      <c r="H61" s="32">
        <v>2</v>
      </c>
      <c r="I61" s="32">
        <v>954.05709661322396</v>
      </c>
      <c r="J61" s="32">
        <v>735.10400308290104</v>
      </c>
      <c r="K61" s="32">
        <v>417.63600000000002</v>
      </c>
      <c r="L61" s="32">
        <v>0.43539861060007801</v>
      </c>
      <c r="M61" s="51">
        <v>3730.8498907421199</v>
      </c>
    </row>
    <row r="62" spans="1:13" ht="15.4" thickBot="1" x14ac:dyDescent="0.5">
      <c r="A62" s="5"/>
      <c r="B62" s="5"/>
      <c r="C62" s="5"/>
      <c r="D62" s="5"/>
      <c r="E62" s="5"/>
      <c r="F62" s="5"/>
      <c r="G62" s="5"/>
      <c r="H62" s="55" t="s">
        <v>22</v>
      </c>
      <c r="I62" s="57">
        <f>AVERAGE(I56:I61)</f>
        <v>1202.4268141451887</v>
      </c>
      <c r="J62" s="58">
        <f t="shared" ref="J62:L62" si="8">AVERAGE(J56:J61)</f>
        <v>889.61043694906141</v>
      </c>
      <c r="K62" s="58">
        <f t="shared" si="8"/>
        <v>394.43399999999968</v>
      </c>
      <c r="L62" s="59">
        <f t="shared" si="8"/>
        <v>0.56637292107530401</v>
      </c>
      <c r="M62" s="51">
        <v>7718.2357265415803</v>
      </c>
    </row>
    <row r="63" spans="1:13" ht="15.4" thickBot="1" x14ac:dyDescent="0.5">
      <c r="A63" s="5"/>
      <c r="B63" s="5"/>
      <c r="C63" s="55" t="s">
        <v>22</v>
      </c>
      <c r="D63" s="53">
        <f>AVERAGE(D56:D61)</f>
        <v>-18.877379865377936</v>
      </c>
      <c r="E63" s="5"/>
      <c r="F63" s="55" t="s">
        <v>22</v>
      </c>
      <c r="G63" s="53">
        <f>AVERAGE(G56:G61)</f>
        <v>-33.486202291277301</v>
      </c>
      <c r="H63" s="5"/>
      <c r="I63" s="5"/>
      <c r="J63" s="5"/>
      <c r="K63" s="5"/>
      <c r="L63" s="5"/>
      <c r="M63" s="51">
        <v>6024.59190716387</v>
      </c>
    </row>
    <row r="64" spans="1:13" x14ac:dyDescent="0.45">
      <c r="M64" s="51">
        <v>4637.2521954113499</v>
      </c>
    </row>
    <row r="65" spans="12:13" x14ac:dyDescent="0.45">
      <c r="M65" s="51">
        <v>5900.6048170016802</v>
      </c>
    </row>
    <row r="66" spans="12:13" x14ac:dyDescent="0.45">
      <c r="M66" s="51">
        <v>6204.5722273694901</v>
      </c>
    </row>
    <row r="67" spans="12:13" x14ac:dyDescent="0.45">
      <c r="M67" s="51">
        <v>4105.9169935926902</v>
      </c>
    </row>
    <row r="68" spans="12:13" x14ac:dyDescent="0.45">
      <c r="M68" s="51">
        <v>2361.2494160804999</v>
      </c>
    </row>
    <row r="69" spans="12:13" ht="15.4" thickBot="1" x14ac:dyDescent="0.5">
      <c r="M69" s="51">
        <v>2647.6172698362202</v>
      </c>
    </row>
    <row r="70" spans="12:13" ht="15.4" thickBot="1" x14ac:dyDescent="0.5">
      <c r="L70" s="55" t="s">
        <v>22</v>
      </c>
      <c r="M70" s="53">
        <f>AVERAGE(M55:M69)</f>
        <v>4880.9280402465638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EDF2(b)</vt:lpstr>
      <vt:lpstr>EDF2(c)</vt:lpstr>
      <vt:lpstr>EDF2(d)</vt:lpstr>
      <vt:lpstr>EDF2(f)&amp;(g)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解淮清</dc:creator>
  <cp:lastModifiedBy>Huai-Ching Hsieh</cp:lastModifiedBy>
  <dcterms:created xsi:type="dcterms:W3CDTF">2015-06-05T18:17:20Z</dcterms:created>
  <dcterms:modified xsi:type="dcterms:W3CDTF">2026-03-31T05:22:19Z</dcterms:modified>
</cp:coreProperties>
</file>