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ce/Dropbox/Clurman_Lab_BTH_Mice/2018 Bruce EL paper and data/PLOS ONE SUBMISSION/Final figures/Sup Tables/"/>
    </mc:Choice>
  </mc:AlternateContent>
  <xr:revisionPtr revIDLastSave="0" documentId="13_ncr:1_{E76CB577-7280-E641-A903-EC65E7A2DD2F}" xr6:coauthVersionLast="36" xr6:coauthVersionMax="38" xr10:uidLastSave="{00000000-0000-0000-0000-000000000000}"/>
  <bookViews>
    <workbookView xWindow="-34540" yWindow="2240" windowWidth="27240" windowHeight="15920" activeTab="1" xr2:uid="{5E2D7EE1-2980-D445-8647-94AFD15D70EB}"/>
  </bookViews>
  <sheets>
    <sheet name="T-ALL only total gCIS" sheetId="2" r:id="rId1"/>
    <sheet name="EL only total gCIS" sheetId="1" r:id="rId2"/>
    <sheet name="Sheet3" sheetId="3" r:id="rId3"/>
  </sheets>
  <definedNames>
    <definedName name="gCIS.txt_all_total_cis_upload_2_cutoff" localSheetId="0">'T-ALL only total gCIS'!$A$1:$J$75</definedName>
    <definedName name="gCIS.txt_el_only_total_cis_upload" localSheetId="1">'EL only total gCIS'!$A$1:$J$37</definedName>
  </definedName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" i="2" l="1"/>
  <c r="A75" i="2"/>
  <c r="I74" i="2"/>
  <c r="A74" i="2"/>
  <c r="I73" i="2"/>
  <c r="A73" i="2"/>
  <c r="I72" i="2"/>
  <c r="A72" i="2"/>
  <c r="I71" i="2"/>
  <c r="A71" i="2"/>
  <c r="I70" i="2"/>
  <c r="A70" i="2"/>
  <c r="I69" i="2"/>
  <c r="A69" i="2"/>
  <c r="I68" i="2"/>
  <c r="A68" i="2"/>
  <c r="I67" i="2"/>
  <c r="A67" i="2"/>
  <c r="I66" i="2"/>
  <c r="A66" i="2"/>
  <c r="I65" i="2"/>
  <c r="A65" i="2"/>
  <c r="I64" i="2"/>
  <c r="A64" i="2"/>
  <c r="I63" i="2"/>
  <c r="A63" i="2"/>
  <c r="I62" i="2"/>
  <c r="A62" i="2"/>
  <c r="I61" i="2"/>
  <c r="A61" i="2"/>
  <c r="I60" i="2"/>
  <c r="A60" i="2"/>
  <c r="I59" i="2"/>
  <c r="A59" i="2"/>
  <c r="I58" i="2"/>
  <c r="A58" i="2"/>
  <c r="I57" i="2"/>
  <c r="A57" i="2"/>
  <c r="I56" i="2"/>
  <c r="A56" i="2"/>
  <c r="I55" i="2"/>
  <c r="A55" i="2"/>
  <c r="I54" i="2"/>
  <c r="A54" i="2"/>
  <c r="I53" i="2"/>
  <c r="A53" i="2"/>
  <c r="I52" i="2"/>
  <c r="A52" i="2"/>
  <c r="I51" i="2"/>
  <c r="A51" i="2"/>
  <c r="I50" i="2"/>
  <c r="A50" i="2"/>
  <c r="I49" i="2"/>
  <c r="A49" i="2"/>
  <c r="I48" i="2"/>
  <c r="A48" i="2"/>
  <c r="I47" i="2"/>
  <c r="A47" i="2"/>
  <c r="I46" i="2"/>
  <c r="A46" i="2"/>
  <c r="I45" i="2"/>
  <c r="A45" i="2"/>
  <c r="I44" i="2"/>
  <c r="A44" i="2"/>
  <c r="I43" i="2"/>
  <c r="A43" i="2"/>
  <c r="I42" i="2"/>
  <c r="A42" i="2"/>
  <c r="I41" i="2"/>
  <c r="A41" i="2"/>
  <c r="I40" i="2"/>
  <c r="A40" i="2"/>
  <c r="I39" i="2"/>
  <c r="A39" i="2"/>
  <c r="I38" i="2"/>
  <c r="A38" i="2"/>
  <c r="I37" i="2"/>
  <c r="A37" i="2"/>
  <c r="I36" i="2"/>
  <c r="A36" i="2"/>
  <c r="I35" i="2"/>
  <c r="A35" i="2"/>
  <c r="I34" i="2"/>
  <c r="A34" i="2"/>
  <c r="I33" i="2"/>
  <c r="A33" i="2"/>
  <c r="I32" i="2"/>
  <c r="A32" i="2"/>
  <c r="I31" i="2"/>
  <c r="A31" i="2"/>
  <c r="I30" i="2"/>
  <c r="A30" i="2"/>
  <c r="I29" i="2"/>
  <c r="A29" i="2"/>
  <c r="I28" i="2"/>
  <c r="A28" i="2"/>
  <c r="I27" i="2"/>
  <c r="A27" i="2"/>
  <c r="I26" i="2"/>
  <c r="A26" i="2"/>
  <c r="I25" i="2"/>
  <c r="A25" i="2"/>
  <c r="I24" i="2"/>
  <c r="A24" i="2"/>
  <c r="I23" i="2"/>
  <c r="A23" i="2"/>
  <c r="I22" i="2"/>
  <c r="A22" i="2"/>
  <c r="I21" i="2"/>
  <c r="A21" i="2"/>
  <c r="I20" i="2"/>
  <c r="A20" i="2"/>
  <c r="I19" i="2"/>
  <c r="A19" i="2"/>
  <c r="I18" i="2"/>
  <c r="A18" i="2"/>
  <c r="I17" i="2"/>
  <c r="A17" i="2"/>
  <c r="I16" i="2"/>
  <c r="A16" i="2"/>
  <c r="I15" i="2"/>
  <c r="A15" i="2"/>
  <c r="I14" i="2"/>
  <c r="A14" i="2"/>
  <c r="I13" i="2"/>
  <c r="A13" i="2"/>
  <c r="I12" i="2"/>
  <c r="A12" i="2"/>
  <c r="I11" i="2"/>
  <c r="A11" i="2"/>
  <c r="I10" i="2"/>
  <c r="A10" i="2"/>
  <c r="I9" i="2"/>
  <c r="A9" i="2"/>
  <c r="I8" i="2"/>
  <c r="A8" i="2"/>
  <c r="I7" i="2"/>
  <c r="A7" i="2"/>
  <c r="I6" i="2"/>
  <c r="A6" i="2"/>
  <c r="I5" i="2"/>
  <c r="A5" i="2"/>
  <c r="I4" i="2"/>
  <c r="A4" i="2"/>
  <c r="I3" i="2"/>
  <c r="A3" i="2"/>
  <c r="I2" i="2"/>
  <c r="A2" i="2"/>
  <c r="I37" i="1"/>
  <c r="A37" i="1"/>
  <c r="I36" i="1"/>
  <c r="A36" i="1"/>
  <c r="I35" i="1"/>
  <c r="A35" i="1"/>
  <c r="I34" i="1"/>
  <c r="A34" i="1"/>
  <c r="I33" i="1"/>
  <c r="A33" i="1"/>
  <c r="I32" i="1"/>
  <c r="A32" i="1"/>
  <c r="I31" i="1"/>
  <c r="A31" i="1"/>
  <c r="I30" i="1"/>
  <c r="A30" i="1"/>
  <c r="I29" i="1"/>
  <c r="A29" i="1"/>
  <c r="I28" i="1"/>
  <c r="A28" i="1"/>
  <c r="I27" i="1"/>
  <c r="A27" i="1"/>
  <c r="I26" i="1"/>
  <c r="A26" i="1"/>
  <c r="I25" i="1"/>
  <c r="A25" i="1"/>
  <c r="I24" i="1"/>
  <c r="A24" i="1"/>
  <c r="I23" i="1"/>
  <c r="A23" i="1"/>
  <c r="I22" i="1"/>
  <c r="A22" i="1"/>
  <c r="I21" i="1"/>
  <c r="A21" i="1"/>
  <c r="I20" i="1"/>
  <c r="A20" i="1"/>
  <c r="I19" i="1"/>
  <c r="A19" i="1"/>
  <c r="I18" i="1"/>
  <c r="A18" i="1"/>
  <c r="I17" i="1"/>
  <c r="A17" i="1"/>
  <c r="I16" i="1"/>
  <c r="A16" i="1"/>
  <c r="I15" i="1"/>
  <c r="A15" i="1"/>
  <c r="I14" i="1"/>
  <c r="A14" i="1"/>
  <c r="I13" i="1"/>
  <c r="A13" i="1"/>
  <c r="I12" i="1"/>
  <c r="A12" i="1"/>
  <c r="I11" i="1"/>
  <c r="A11" i="1"/>
  <c r="I10" i="1"/>
  <c r="A10" i="1"/>
  <c r="I9" i="1"/>
  <c r="A9" i="1"/>
  <c r="I8" i="1"/>
  <c r="A8" i="1"/>
  <c r="I7" i="1"/>
  <c r="A7" i="1"/>
  <c r="I6" i="1"/>
  <c r="A6" i="1"/>
  <c r="I5" i="1"/>
  <c r="A5" i="1"/>
  <c r="I4" i="1"/>
  <c r="A4" i="1"/>
  <c r="I3" i="1"/>
  <c r="A3" i="1"/>
  <c r="I2" i="1"/>
  <c r="A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A000000}" name="gCIS.txt_all-total-cis-upload-2-cutoff.txt" type="6" refreshedVersion="0" background="1" saveData="1">
    <textPr fileType="mac" sourceFile="Macintosh HD:Users:dupuylab:Desktop:Illumina Runs:Lower cut off data:Hughes:processed_703:gCIS.txt_all-total-cis-upload-2-cutoff.txt">
      <textFields>
        <textField/>
      </textFields>
    </textPr>
  </connection>
  <connection id="2" xr16:uid="{00000000-0015-0000-FFFF-FFFF0E000000}" name="gCIS.txt_el-only-total-cis-upload.txt" type="6" refreshedVersion="0" background="1" saveData="1">
    <textPr fileType="mac" sourceFile="Macintosh HD:Users:dupuylab:Desktop:Illumina Runs:Lower cut off data:Hughes:processed_698:gCIS.txt_el-only-total-cis-upload.txt">
      <textFields>
        <textField/>
      </textFields>
    </textPr>
  </connection>
</connections>
</file>

<file path=xl/sharedStrings.xml><?xml version="1.0" encoding="utf-8"?>
<sst xmlns="http://schemas.openxmlformats.org/spreadsheetml/2006/main" count="238" uniqueCount="225">
  <si>
    <t>Gene Symbol</t>
  </si>
  <si>
    <t>Chi-squared</t>
  </si>
  <si>
    <t>D.F.</t>
  </si>
  <si>
    <t>P-value</t>
  </si>
  <si>
    <t>Q-value</t>
  </si>
  <si>
    <t># of tumors</t>
  </si>
  <si>
    <t>Reads per tumor</t>
  </si>
  <si>
    <t>Tumors with insertions</t>
  </si>
  <si>
    <t>UCSC link</t>
  </si>
  <si>
    <t>75.987;44.547;56.516;54.147;4.194;19.22;27.928;15.186;55.04;38.237;24.462;33.757;14.911;35.067;50.081;4.381;53.181;3.067;56.222;45.154;28.417;3.74</t>
  </si>
  <si>
    <t>ID=Hughes102;ID=Hughes106;ID=Hughes11;ID=Hughes14;ID=Hughes17;ID=Hughes3;ID=Hughes30;ID=Hughes4;ID=Hughes40;ID=Hughes41;ID=Hughes61;ID=Hughes75;ID=Hughes76;ID=Hughes78;ID=Hughes82;ID=Hughes84;ID=Hughes85;ID=Hughes88;ID=Hughes90;ID=Hughes91;ID=Hughes96;ID=Hughes97</t>
  </si>
  <si>
    <t>2.046;9.159;39.191;3.119;34.656;2.807;3.747;27.047;24.618;3.126;3.912;8.47;5.735;64.664</t>
  </si>
  <si>
    <t>ID=Hughes101;ID=Hughes16;ID=Hughes25;ID=Hughes37;ID=Hughes4;ID=Hughes41;ID=Hughes72;ID=Hughes75;ID=Hughes82;ID=Hughes85;ID=Hughes88;ID=Hughes90;ID=Hughes91;ID=Hughes94</t>
  </si>
  <si>
    <t>36.457;56.464;4.613;22.382;13.034;8.762;9.581;13.111;4.656;2.849;15.385</t>
  </si>
  <si>
    <t>ID=Hughes100;ID=Hughes101;ID=Hughes25;ID=Hughes41;ID=Hughes71;ID=Hughes75;ID=Hughes84;ID=Hughes85;ID=Hughes88;ID=Hughes90;ID=Hughes99</t>
  </si>
  <si>
    <t>86.459;8.104;12.514;4.764;34.486;53.132;36.798;68.948</t>
  </si>
  <si>
    <t>ID=Hughes102;ID=Hughes106;ID=Hughes3;ID=Hughes72;ID=Hughes75;ID=Hughes91;ID=Hughes94;ID=Hughes96</t>
  </si>
  <si>
    <t>8.364;3.178;3.87;3.655;3.846;6.904</t>
  </si>
  <si>
    <t>ID=Hughes101;ID=Hughes16;ID=Hughes25;ID=Hughes72;ID=Hughes75;ID=Hughes88</t>
  </si>
  <si>
    <t>22.266;2.035;14.862;2.708;9.957</t>
  </si>
  <si>
    <t>ID=Hughes4;ID=Hughes40;ID=Hughes41;ID=Hughes61;ID=Hughes96</t>
  </si>
  <si>
    <t>4.066;9.458;17.531;2.479;8.087</t>
  </si>
  <si>
    <t>ID=Hughes71;ID=Hughes75;ID=Hughes86;ID=Hughes90;ID=Hughes99</t>
  </si>
  <si>
    <t>2.776;55.912;4.361;4.458;9.229</t>
  </si>
  <si>
    <t>ID=Hughes102;ID=Hughes75;ID=Hughes78;ID=Hughes82;ID=Hughes84</t>
  </si>
  <si>
    <t>2.911;3.81;16.248;21.877;2.726</t>
  </si>
  <si>
    <t>ID=Hughes101;ID=Hughes106;ID=Hughes14;ID=Hughes72;ID=Hughes91</t>
  </si>
  <si>
    <t>30.197;2.022;3.822;9.944;21.795</t>
  </si>
  <si>
    <t>ID=Hughes106;ID=Hughes71;ID=Hughes85;ID=Hughes86;ID=Hughes91</t>
  </si>
  <si>
    <t>8.284;13.452;4.9;81.144</t>
  </si>
  <si>
    <t>ID=Hughes14;ID=Hughes30;ID=Hughes31;ID=Hughes97</t>
  </si>
  <si>
    <t>20.273;3.547;2.619;8.079</t>
  </si>
  <si>
    <t>ID=Hughes101;ID=Hughes14;ID=Hughes82;ID=Hughes88</t>
  </si>
  <si>
    <t>2.18;2.151;20.65;6.393</t>
  </si>
  <si>
    <t>ID=Hughes101;ID=Hughes25;ID=Hughes31;ID=Hughes82</t>
  </si>
  <si>
    <t>6.514;43;8.761;13.979</t>
  </si>
  <si>
    <t>ID=Hughes30;ID=Hughes31;ID=Hughes41;ID=Hughes76</t>
  </si>
  <si>
    <t>10.236;7.171;4.254;4.536</t>
  </si>
  <si>
    <t>ID=Hughes3;ID=Hughes37;ID=Hughes4;ID=Hughes40</t>
  </si>
  <si>
    <t>8.636;2.2;39.276;2.044</t>
  </si>
  <si>
    <t>ID=Hughes101;ID=Hughes71;ID=Hughes76;ID=Hughes88</t>
  </si>
  <si>
    <t>2.52;4.947;3.562</t>
  </si>
  <si>
    <t>ID=Hughes72;ID=Hughes85;ID=Hughes99</t>
  </si>
  <si>
    <t>4.246;5.482;10.803</t>
  </si>
  <si>
    <t>ID=Hughes72;ID=Hughes76;ID=Hughes90</t>
  </si>
  <si>
    <t>3.151;7.082;8.307</t>
  </si>
  <si>
    <t>ID=Hughes71;ID=Hughes78;ID=Hughes82</t>
  </si>
  <si>
    <t>33.453;21.712;2.08</t>
  </si>
  <si>
    <t>ID=Hughes4;ID=Hughes41;ID=Hughes82</t>
  </si>
  <si>
    <t>33.307;11.05;42.696</t>
  </si>
  <si>
    <t>ID=Hughes75;ID=Hughes76;ID=Hughes99</t>
  </si>
  <si>
    <t>3.64;15.146;59.198</t>
  </si>
  <si>
    <t>ID=Hughes4;ID=Hughes88;ID=Hughes96</t>
  </si>
  <si>
    <t>8.761;29.98;16.037</t>
  </si>
  <si>
    <t>ID=Hughes106;ID=Hughes17;ID=Hughes94</t>
  </si>
  <si>
    <t>6.291;2.577;47.702</t>
  </si>
  <si>
    <t>ID=Hughes30;ID=Hughes75;ID=Hughes96</t>
  </si>
  <si>
    <t>5.53;9.97;2.463</t>
  </si>
  <si>
    <t>ID=Hughes40;ID=Hughes41;ID=Hughes85</t>
  </si>
  <si>
    <t>2.04;62.418;5.972</t>
  </si>
  <si>
    <t>ID=Hughes102;ID=Hughes78;ID=Hughes82</t>
  </si>
  <si>
    <t>32.536;2.743;2.849</t>
  </si>
  <si>
    <t>ID=Hughes37;ID=Hughes4;ID=Hughes41</t>
  </si>
  <si>
    <t>6.649;9.069;3.814</t>
  </si>
  <si>
    <t>ID=Hughes3;ID=Hughes40;ID=Hughes94</t>
  </si>
  <si>
    <t>2.134;9.654;7.674</t>
  </si>
  <si>
    <t>ID=Hughes40;ID=Hughes41;ID=Hughes78</t>
  </si>
  <si>
    <t>3.039;8.45;9.931</t>
  </si>
  <si>
    <t>ID=Hughes16;ID=Hughes40;ID=Hughes49</t>
  </si>
  <si>
    <t>31.419;2.712;14.149</t>
  </si>
  <si>
    <t>ID=Hughes14;ID=Hughes37;ID=Hughes4</t>
  </si>
  <si>
    <t>30.004;12.407;5.945</t>
  </si>
  <si>
    <t>ID=Hughes100;ID=Hughes101;ID=Hughes78</t>
  </si>
  <si>
    <t>3.827;57.886;5.37</t>
  </si>
  <si>
    <t>ID=Hughes40;ID=Hughes71;ID=Hughes82</t>
  </si>
  <si>
    <t>12.822;2.435;4.151</t>
  </si>
  <si>
    <t>ID=Hughes25;ID=Hughes40;ID=Hughes41</t>
  </si>
  <si>
    <t>3.061;7.913;35.303</t>
  </si>
  <si>
    <t>ID=Hughes16;ID=Hughes4;ID=Hughes41</t>
  </si>
  <si>
    <t>3.136;27.398;6.908;45.982;9.743;81.962;28.432;16.521;28.948;44.749;111.664;43.662;18.629;18.855;35.334;21.245;7.33;31.509;17.204;11.156;24.428;28.491;24.22;4.891;8.082;66.787;21.95;15.45;21.258;7.62;57.111;12.886;41.928;39.147;19.888;24.617;38.387;11.256;9.042;53.782</t>
  </si>
  <si>
    <t>ID=Hughes10;ID=Hughes13;ID=Hughes15;ID=Hughes18;ID=Hughes19;ID=Hughes2;ID=Hughes22;ID=Hughes24;ID=Hughes27;ID=Hughes29;ID=Hughes33;ID=Hughes34;ID=Hughes36;ID=Hughes38;ID=Hughes43;ID=Hughes44;ID=Hughes46;ID=Hughes5;ID=Hughes50;ID=Hughes51;ID=Hughes53;ID=Hughes54;ID=Hughes56;ID=Hughes57;ID=Hughes58;ID=Hughes6;ID=Hughes60;ID=Hughes62;ID=Hughes64;ID=Hughes65;ID=Hughes66;ID=Hughes68;ID=Hughes73;ID=Hughes77;ID=Hughes8;ID=Hughes80;ID=Hughes89;ID=Hughes9;ID=Hughes92;ID=Hughes93</t>
  </si>
  <si>
    <t>10.279;45.438;38.05;20.298;50.234;19.844;43.603;37.825;19.981;4.39;4.522;78.321;44.894;100;2.563;5.285;45.85;33.275;3.18;100;13.773;5.155;19.05;21.211;50.008;63.82;26.356;22.8</t>
  </si>
  <si>
    <t>ID=Hughes10;ID=Hughes13;ID=Hughes15;ID=Hughes18;ID=Hughes19;ID=Hughes2;ID=Hughes26;ID=Hughes29;ID=Hughes33;ID=Hughes39;ID=Hughes45;ID=Hughes46;ID=Hughes48;ID=Hughes5;ID=Hughes53;ID=Hughes58;ID=Hughes6;ID=Hughes60;ID=Hughes62;ID=Hughes64;ID=Hughes66;ID=Hughes68;ID=Hughes73;ID=Hughes77;ID=Hughes79;ID=Hughes89;ID=Hughes9;ID=Hughes92</t>
  </si>
  <si>
    <t>11.06;17.683;37.845;36.35;19.666;21.754;44.94;36.147;47.224;13.994;4.08;15.855;24.258;39.962;45.572;28.801;31.354;63.02;100;58.103</t>
  </si>
  <si>
    <t>ID=Hughes15;ID=Hughes19;ID=Hughes2;ID=Hughes27;ID=Hughes33;ID=Hughes44;ID=Hughes46;ID=Hughes48;ID=Hughes53;ID=Hughes57;ID=Hughes58;ID=Hughes60;ID=Hughes65;ID=Hughes66;ID=Hughes68;ID=Hughes70;ID=Hughes77;ID=Hughes80;ID=Hughes92;ID=Hughes95</t>
  </si>
  <si>
    <t>2.542;2.37;27.198;44.053;28.852;2.567;3.49;8.21;2.468;63.364;6.865;60.843;44.716;9.975;27.003</t>
  </si>
  <si>
    <t>ID=Hughes13;ID=Hughes15;ID=Hughes19;ID=Hughes21;ID=Hughes22;ID=Hughes32;ID=Hughes44;ID=Hughes50;ID=Hughes55;ID=Hughes56;ID=Hughes6;ID=Hughes65;ID=Hughes8;ID=Hughes80;ID=Hughes81</t>
  </si>
  <si>
    <t>60.976;51.163;4.756;68.371;21.498;38.555;11.172;55.606;46.705;31.906;43.516;28.365;95.373;2.059;40.434</t>
  </si>
  <si>
    <t>ID=Hughes1;ID=Hughes10;ID=Hughes22;ID=Hughes26;ID=Hughes33;ID=Hughes34;ID=Hughes48;ID=Hughes50;ID=Hughes53;ID=Hughes68;ID=Hughes70;ID=Hughes79;ID=Hughes8;ID=Hughes81;ID=Hughes93</t>
  </si>
  <si>
    <t>30.587;3.241;72.901;66.602;11.107;8.807;52.095;35.519;7.804;19.738;7.547;27.083;4.7</t>
  </si>
  <si>
    <t>ID=Hughes22;ID=Hughes32;ID=Hughes34;ID=Hughes38;ID=Hughes44;ID=Hughes45;ID=Hughes50;ID=Hughes57;ID=Hughes6;ID=Hughes62;ID=Hughes66;ID=Hughes68;ID=Hughes93</t>
  </si>
  <si>
    <t>10.944;4.074;5.728;2.723;27.313;7.009;3.273;12.886;10.106;11.926;11.583</t>
  </si>
  <si>
    <t>ID=Hughes19;ID=Hughes21;ID=Hughes22;ID=Hughes24;ID=Hughes29;ID=Hughes32;ID=Hughes58;ID=Hughes62;ID=Hughes66;ID=Hughes8;ID=Hughes95</t>
  </si>
  <si>
    <t>8.135;9.163;3.387;2.512;5.999;42.055;16.212;2.476;33.293;4.618</t>
  </si>
  <si>
    <t>ID=Hughes22;ID=Hughes23;ID=Hughes24;ID=Hughes33;ID=Hughes43;ID=Hughes54;ID=Hughes56;ID=Hughes62;ID=Hughes65;ID=Hughes8</t>
  </si>
  <si>
    <t>45.416;2.997;3.146;15.288;15.814;3.506;3.311;4.762;6.452;11.782</t>
  </si>
  <si>
    <t>ID=Hughes19;ID=Hughes2;ID=Hughes22;ID=Hughes36;ID=Hughes5;ID=Hughes54;ID=Hughes57;ID=Hughes62;ID=Hughes66;ID=Hughes95</t>
  </si>
  <si>
    <t>50;50.291;17.626;7.957;8.059;4.492;51;38.348;7.818;21.66</t>
  </si>
  <si>
    <t>ID=Hughes21;ID=Hughes22;ID=Hughes23;ID=Hughes32;ID=Hughes43;ID=Hughes45;ID=Hughes55;ID=Hughes79;ID=Hughes81;ID=Hughes93</t>
  </si>
  <si>
    <t>48.943;5.29;9.742;39.458;26.282;2.795;3.456;2.385;9.301</t>
  </si>
  <si>
    <t>ID=Hughes1;ID=Hughes10;ID=Hughes13;ID=Hughes21;ID=Hughes22;ID=Hughes45;ID=Hughes55;ID=Hughes56;ID=Hughes62</t>
  </si>
  <si>
    <t>3.446;35.463;31.97;36.239;11.791;38.467;20.216;37.072</t>
  </si>
  <si>
    <t>ID=Hughes15;ID=Hughes29;ID=Hughes32;ID=Hughes34;ID=Hughes36;ID=Hughes39;ID=Hughes66;ID=Hughes68</t>
  </si>
  <si>
    <t>10.605;6.657;5.665;6.037;7.214;2.591;29.965;3.998</t>
  </si>
  <si>
    <t>ID=Hughes19;ID=Hughes29;ID=Hughes34;ID=Hughes46;ID=Hughes57;ID=Hughes6;ID=Hughes62;ID=Hughes68</t>
  </si>
  <si>
    <t>24.995;36.414;4.83;28.657;2.149;17.296;6.018;17.099</t>
  </si>
  <si>
    <t>ID=Hughes15;ID=Hughes24;ID=Hughes27;ID=Hughes32;ID=Hughes48;ID=Hughes51;ID=Hughes53;ID=Hughes70</t>
  </si>
  <si>
    <t>5.523;12.988;13.152;13.643;2.199;29.041;26.081;5.369</t>
  </si>
  <si>
    <t>ID=Hughes15;ID=Hughes19;ID=Hughes23;ID=Hughes24;ID=Hughes44;ID=Hughes46;ID=Hughes57;ID=Hughes68</t>
  </si>
  <si>
    <t>7.856;17.011;7.828;2.396;3.547;4.321;7.592;15.662</t>
  </si>
  <si>
    <t>ID=Hughes15;ID=Hughes33;ID=Hughes5;ID=Hughes50;ID=Hughes66;ID=Hughes8;ID=Hughes9;ID=Hughes93</t>
  </si>
  <si>
    <t>3.163;13.99;13.407;6.901;4.179;3.707;28.297;12.315</t>
  </si>
  <si>
    <t>ID=Hughes10;ID=Hughes15;ID=Hughes2;ID=Hughes21;ID=Hughes24;ID=Hughes33;ID=Hughes51;ID=Hughes9</t>
  </si>
  <si>
    <t>31.767;4.336;25.304;63.999;25.284;30.418;3.386</t>
  </si>
  <si>
    <t>ID=Hughes13;ID=Hughes22;ID=Hughes39;ID=Hughes44;ID=Hughes46;ID=Hughes58;ID=Hughes73</t>
  </si>
  <si>
    <t>7.793;4.121;3.49;6.002;18.122;5.992;2.253</t>
  </si>
  <si>
    <t>ID=Hughes22;ID=Hughes43;ID=Hughes45;ID=Hughes58;ID=Hughes60;ID=Hughes62;ID=Hughes8</t>
  </si>
  <si>
    <t>17.997;62.541;36.123;12.112;4.668;45.06</t>
  </si>
  <si>
    <t>ID=Hughes10;ID=Hughes21;ID=Hughes32;ID=Hughes50;ID=Hughes66;ID=Hughes68</t>
  </si>
  <si>
    <t>3.799;19.687;2.692;38.687;4.474;8.46</t>
  </si>
  <si>
    <t>ID=Hughes26;ID=Hughes39;ID=Hughes44;ID=Hughes53;ID=Hughes6;ID=Hughes66</t>
  </si>
  <si>
    <t>2.965;2.234;6.838;22.387;10.37;8.414</t>
  </si>
  <si>
    <t>ID=Hughes10;ID=Hughes33;ID=Hughes48;ID=Hughes60;ID=Hughes66;ID=Hughes68</t>
  </si>
  <si>
    <t>15.664;7.402;10.849;49.214;2.281</t>
  </si>
  <si>
    <t>ID=Hughes10;ID=Hughes22;ID=Hughes58;ID=Hughes9;ID=Hughes93</t>
  </si>
  <si>
    <t>2.055;3.166;3.56;2.211;9.441</t>
  </si>
  <si>
    <t>ID=Hughes13;ID=Hughes18;ID=Hughes6;ID=Hughes9;ID=Hughes93</t>
  </si>
  <si>
    <t>12.654;14.938;6.895;16.117;4.743</t>
  </si>
  <si>
    <t>ID=Hughes27;ID=Hughes33;ID=Hughes66;ID=Hughes68;ID=Hughes93</t>
  </si>
  <si>
    <t>3.026;17.306;2.652;5.804;23.658</t>
  </si>
  <si>
    <t>ID=Hughes24;ID=Hughes54;ID=Hughes57;ID=Hughes6;ID=Hughes9</t>
  </si>
  <si>
    <t>10.027;13.556;2.238;2.212;6.905</t>
  </si>
  <si>
    <t>ID=Hughes27;ID=Hughes29;ID=Hughes39;ID=Hughes53;ID=Hughes70</t>
  </si>
  <si>
    <t>4.392;3.765;13.856;26.989;4.474</t>
  </si>
  <si>
    <t>ID=Hughes15;ID=Hughes19;ID=Hughes36;ID=Hughes57;ID=Hughes58</t>
  </si>
  <si>
    <t>13.435;3.966;9.79;2.498;6.375</t>
  </si>
  <si>
    <t>ID=Hughes21;ID=Hughes44;ID=Hughes54;ID=Hughes6;ID=Hughes68</t>
  </si>
  <si>
    <t>2.46;3.67;10.899;3.627;22.999</t>
  </si>
  <si>
    <t>ID=Hughes15;ID=Hughes19;ID=Hughes46;ID=Hughes51;ID=Hughes58</t>
  </si>
  <si>
    <t>7.673;6.36;28.784;12.807</t>
  </si>
  <si>
    <t>ID=Hughes13;ID=Hughes21;ID=Hughes24;ID=Hughes45</t>
  </si>
  <si>
    <t>18.757;3.889;14.469;4.299</t>
  </si>
  <si>
    <t>ID=Hughes22;ID=Hughes53;ID=Hughes54;ID=Hughes9</t>
  </si>
  <si>
    <t>14.864;37.278;33.542;40.68</t>
  </si>
  <si>
    <t>ID=Hughes1;ID=Hughes50;ID=Hughes66;ID=Hughes9</t>
  </si>
  <si>
    <t>2.251;58.05;37.039;37.937</t>
  </si>
  <si>
    <t>ID=Hughes1;ID=Hughes57;ID=Hughes77;ID=Hughes9</t>
  </si>
  <si>
    <t>7.321;35.544;43.884;47.615</t>
  </si>
  <si>
    <t>ID=Hughes27;ID=Hughes32;ID=Hughes58;ID=Hughes62</t>
  </si>
  <si>
    <t>9.883;12.597;13.29;7.667</t>
  </si>
  <si>
    <t>ID=Hughes19;ID=Hughes45;ID=Hughes50;ID=Hughes68</t>
  </si>
  <si>
    <t>8.203;96.841;8.206;15.101</t>
  </si>
  <si>
    <t>ID=Hughes33;ID=Hughes45;ID=Hughes50;ID=Hughes8</t>
  </si>
  <si>
    <t>3.616;8.88;7.92;46.325</t>
  </si>
  <si>
    <t>ID=Hughes24;ID=Hughes57;ID=Hughes62;ID=Hughes9</t>
  </si>
  <si>
    <t>17.997;62.541;12.112;45.06</t>
  </si>
  <si>
    <t>ID=Hughes10;ID=Hughes21;ID=Hughes50;ID=Hughes68</t>
  </si>
  <si>
    <t>3.491;55.898;2.074;6.691</t>
  </si>
  <si>
    <t>ID=Hughes13;ID=Hughes19;ID=Hughes2;ID=Hughes50</t>
  </si>
  <si>
    <t>21.429;9.085;3.978;5.907</t>
  </si>
  <si>
    <t>ID=Hughes22;ID=Hughes24;ID=Hughes26;ID=Hughes27</t>
  </si>
  <si>
    <t>28.045;3.175;2.798;12.41</t>
  </si>
  <si>
    <t>ID=Hughes51;ID=Hughes58;ID=Hughes89;ID=Hughes92</t>
  </si>
  <si>
    <t>3.494;2.883;10.684;3.975</t>
  </si>
  <si>
    <t>ID=Hughes18;ID=Hughes22;ID=Hughes24;ID=Hughes68</t>
  </si>
  <si>
    <t>3.323;50;3.313;3.099</t>
  </si>
  <si>
    <t>ID=Hughes21;ID=Hughes23;ID=Hughes32;ID=Hughes65</t>
  </si>
  <si>
    <t>58.97;3.596;22.349;20.817</t>
  </si>
  <si>
    <t>ID=Hughes32;ID=Hughes44;ID=Hughes68;ID=Hughes9</t>
  </si>
  <si>
    <t>2.534;2.9;4.921;15.235</t>
  </si>
  <si>
    <t>ID=Hughes18;ID=Hughes22;ID=Hughes39;ID=Hughes6</t>
  </si>
  <si>
    <t>10.318;3.909;37.331;5.907</t>
  </si>
  <si>
    <t>ID=Hughes29;ID=Hughes50;ID=Hughes68;ID=Hughes95</t>
  </si>
  <si>
    <t>21.256;2.095;8.067;7.423</t>
  </si>
  <si>
    <t>ID=Hughes19;ID=Hughes2;ID=Hughes29;ID=Hughes45</t>
  </si>
  <si>
    <t>3.788;28.879;45.53</t>
  </si>
  <si>
    <t>ID=Hughes23;ID=Hughes33;ID=Hughes68</t>
  </si>
  <si>
    <t>17.136;28.542;3.77</t>
  </si>
  <si>
    <t>ID=Hughes26;ID=Hughes58;ID=Hughes66</t>
  </si>
  <si>
    <t>6.591;22.09;7.233</t>
  </si>
  <si>
    <t>ID=Hughes19;ID=Hughes53;ID=Hughes8</t>
  </si>
  <si>
    <t>5.025;36.748;7.014</t>
  </si>
  <si>
    <t>ID=Hughes21;ID=Hughes6;ID=Hughes65</t>
  </si>
  <si>
    <t>23.1;10.25;2.28</t>
  </si>
  <si>
    <t>ID=Hughes27;ID=Hughes29;ID=Hughes44</t>
  </si>
  <si>
    <t>31.663;2.204;2.257</t>
  </si>
  <si>
    <t>ID=Hughes29;ID=Hughes6;ID=Hughes8</t>
  </si>
  <si>
    <t>11.599;27.034;37.829</t>
  </si>
  <si>
    <t>ID=Hughes23;ID=Hughes51;ID=Hughes95</t>
  </si>
  <si>
    <t>2.628;40.461;6.658</t>
  </si>
  <si>
    <t>ID=Hughes48;ID=Hughes58;ID=Hughes9</t>
  </si>
  <si>
    <t>3.746;2.183;43.358</t>
  </si>
  <si>
    <t>ID=Hughes36;ID=Hughes45;ID=Hughes8</t>
  </si>
  <si>
    <t>6.504;3.564;11.245</t>
  </si>
  <si>
    <t>ID=Hughes21;ID=Hughes45;ID=Hughes68</t>
  </si>
  <si>
    <t>10.7;10.812;3.123</t>
  </si>
  <si>
    <t>ID=Hughes2;ID=Hughes26;ID=Hughes8</t>
  </si>
  <si>
    <t>3.788;28.879;54.337</t>
  </si>
  <si>
    <t>ID=Hughes23;ID=Hughes33;ID=Hughes57</t>
  </si>
  <si>
    <t>12.142;2.385;22.56</t>
  </si>
  <si>
    <t>ID=Hughes29;ID=Hughes58;ID=Hughes9</t>
  </si>
  <si>
    <t>39.331;6.746;12.851</t>
  </si>
  <si>
    <t>ID=Hughes21;ID=Hughes29;ID=Hughes6</t>
  </si>
  <si>
    <t>6.442;4.563;7.66</t>
  </si>
  <si>
    <t>ID=Hughes39;ID=Hughes51;ID=Hughes68</t>
  </si>
  <si>
    <t>3.857;4.854;14.849</t>
  </si>
  <si>
    <t>ID=Hughes15;ID=Hughes46;ID=Hughes62</t>
  </si>
  <si>
    <t>30.107;20.211;6.777</t>
  </si>
  <si>
    <t>ID=Hughes10;ID=Hughes15;ID=Hughes43</t>
  </si>
  <si>
    <t>5.051;22.503;3.079</t>
  </si>
  <si>
    <t>ID=Hughes15;ID=Hughes27;ID=Hughes60</t>
  </si>
  <si>
    <t>40.702;50.793;2.143</t>
  </si>
  <si>
    <t>ID=Hughes46;ID=Hughes55;ID=Hughes6</t>
  </si>
  <si>
    <t>5.87;5.663;3.41</t>
  </si>
  <si>
    <t>ID=Hughes10;ID=Hughes66;ID=Hughes9</t>
  </si>
  <si>
    <t>3.929;2.285;5.747</t>
  </si>
  <si>
    <t>ID=Hughes10;ID=Hughes44;ID=Hughes45</t>
  </si>
  <si>
    <t>19.89;17.173;3.587</t>
  </si>
  <si>
    <t>ID=Hughes10;ID=Hughes21;ID=Hughes24</t>
  </si>
  <si>
    <t>3.28;4.082;21.865</t>
  </si>
  <si>
    <t>ID=Hughes15;ID=Hughes5;ID=Hughes95</t>
  </si>
  <si>
    <t>14.807;7.235;11.421</t>
  </si>
  <si>
    <t>ID=Hughes1;ID=Hughes15;ID=Hughes21</t>
  </si>
  <si>
    <t>15.311;24.831;2.86</t>
  </si>
  <si>
    <t>ID=Hughes23;ID=Hughes44;ID=Hughes5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</si>
</sst>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CIS.txt_all-total-cis-upload-2-cutoff" connectionId="1" xr16:uid="{630AE35D-9BD1-9C4B-9A02-E4B81788AFAC}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CIS.txt_el-only-total-cis-upload" connectionId="2" xr16:uid="{95B639A3-BDF5-0942-B530-26B8F6A95CB6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8FCF-4D28-414F-89BC-4DE5B0424993}">
  <dimension ref="A1:I75"/>
  <sheetViews>
    <sheetView workbookViewId="0">
      <selection sqref="A1:XFD1048576"/>
    </sheetView>
  </sheetViews>
  <sheetFormatPr baseColWidth="10" defaultRowHeight="16" x14ac:dyDescent="0.2"/>
  <cols>
    <col min="1" max="1" width="13.83203125" bestFit="1" customWidth="1"/>
    <col min="2" max="2" width="11" bestFit="1" customWidth="1"/>
    <col min="3" max="3" width="4.33203125" bestFit="1" customWidth="1"/>
    <col min="4" max="4" width="8.33203125" bestFit="1" customWidth="1"/>
    <col min="5" max="5" width="9.1640625" bestFit="1" customWidth="1"/>
    <col min="6" max="6" width="10.6640625" bestFit="1" customWidth="1"/>
    <col min="7" max="8" width="80.6640625" bestFit="1" customWidth="1"/>
    <col min="9" max="9" width="29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tr">
        <f>T("Notch1")</f>
        <v>Notch1</v>
      </c>
      <c r="B2">
        <v>30241.342000000001</v>
      </c>
      <c r="C2">
        <v>1</v>
      </c>
      <c r="D2">
        <v>0</v>
      </c>
      <c r="E2">
        <v>0</v>
      </c>
      <c r="F2">
        <v>40</v>
      </c>
      <c r="G2" t="s">
        <v>79</v>
      </c>
      <c r="H2" t="s">
        <v>80</v>
      </c>
      <c r="I2" t="str">
        <f>HYPERLINK("http://genome.ucsc.edu/cgi-bin/hgTracks?db=mm9&amp;position=chr2:26313421-26359342","LINK:chr2:26313421-26359342")</f>
        <v>LINK:chr2:26313421-26359342</v>
      </c>
    </row>
    <row r="3" spans="1:9" x14ac:dyDescent="0.2">
      <c r="A3" t="str">
        <f>T("Ikzf1")</f>
        <v>Ikzf1</v>
      </c>
      <c r="B3">
        <v>5570.4170000000004</v>
      </c>
      <c r="C3">
        <v>1</v>
      </c>
      <c r="D3">
        <v>0</v>
      </c>
      <c r="E3">
        <v>0</v>
      </c>
      <c r="F3">
        <v>28</v>
      </c>
      <c r="G3" t="s">
        <v>81</v>
      </c>
      <c r="H3" t="s">
        <v>82</v>
      </c>
      <c r="I3" t="str">
        <f>HYPERLINK("http://genome.ucsc.edu/cgi-bin/hgTracks?db=mm9&amp;position=chr11:11586215-11672929","LINK:chr11:11586215-11672929")</f>
        <v>LINK:chr11:11586215-11672929</v>
      </c>
    </row>
    <row r="4" spans="1:9" x14ac:dyDescent="0.2">
      <c r="A4" t="str">
        <f>T("Erg")</f>
        <v>Erg</v>
      </c>
      <c r="B4">
        <v>1687.3050000000001</v>
      </c>
      <c r="C4">
        <v>1</v>
      </c>
      <c r="D4">
        <v>0</v>
      </c>
      <c r="E4">
        <v>0</v>
      </c>
      <c r="F4">
        <v>20</v>
      </c>
      <c r="G4" t="s">
        <v>83</v>
      </c>
      <c r="H4" t="s">
        <v>84</v>
      </c>
      <c r="I4" t="str">
        <f>HYPERLINK("http://genome.ucsc.edu/cgi-bin/hgTracks?db=mm9&amp;position=chr16:95581810-95751972","LINK:chr16:95581810-95751972")</f>
        <v>LINK:chr16:95581810-95751972</v>
      </c>
    </row>
    <row r="5" spans="1:9" x14ac:dyDescent="0.2">
      <c r="A5" t="str">
        <f>T("Akt2")</f>
        <v>Akt2</v>
      </c>
      <c r="B5">
        <v>3374.6149999999998</v>
      </c>
      <c r="C5">
        <v>1</v>
      </c>
      <c r="D5">
        <v>0</v>
      </c>
      <c r="E5">
        <v>0</v>
      </c>
      <c r="F5">
        <v>15</v>
      </c>
      <c r="G5" t="s">
        <v>85</v>
      </c>
      <c r="H5" t="s">
        <v>86</v>
      </c>
      <c r="I5" t="str">
        <f>HYPERLINK("http://genome.ucsc.edu/cgi-bin/hgTracks?db=mm9&amp;position=chr7:28376578-28424472","LINK:chr7:28376578-28424472")</f>
        <v>LINK:chr7:28376578-28424472</v>
      </c>
    </row>
    <row r="6" spans="1:9" x14ac:dyDescent="0.2">
      <c r="A6" t="str">
        <f>T("Rasgrp1")</f>
        <v>Rasgrp1</v>
      </c>
      <c r="B6">
        <v>2103.1790000000001</v>
      </c>
      <c r="C6">
        <v>1</v>
      </c>
      <c r="D6">
        <v>0</v>
      </c>
      <c r="E6">
        <v>0</v>
      </c>
      <c r="F6">
        <v>15</v>
      </c>
      <c r="G6" t="s">
        <v>87</v>
      </c>
      <c r="H6" t="s">
        <v>88</v>
      </c>
      <c r="I6" t="str">
        <f>HYPERLINK("http://genome.ucsc.edu/cgi-bin/hgTracks?db=mm9&amp;position=chr2:117105728-117168613","LINK:chr2:117105728-117168613")</f>
        <v>LINK:chr2:117105728-117168613</v>
      </c>
    </row>
    <row r="7" spans="1:9" x14ac:dyDescent="0.2">
      <c r="A7" t="str">
        <f>T("Pard3b")</f>
        <v>Pard3b</v>
      </c>
      <c r="B7">
        <v>75.194999999999993</v>
      </c>
      <c r="C7">
        <v>1</v>
      </c>
      <c r="D7" s="1">
        <v>4.2599999999999997E-18</v>
      </c>
      <c r="E7" s="1">
        <v>1.9799999999999998E-15</v>
      </c>
      <c r="F7">
        <v>13</v>
      </c>
      <c r="G7" t="s">
        <v>89</v>
      </c>
      <c r="H7" t="s">
        <v>90</v>
      </c>
      <c r="I7" t="str">
        <f>HYPERLINK("http://genome.ucsc.edu/cgi-bin/hgTracks?db=mm9&amp;position=chr1:61685397-62688858","LINK:chr1:61685397-62688858")</f>
        <v>LINK:chr1:61685397-62688858</v>
      </c>
    </row>
    <row r="8" spans="1:9" x14ac:dyDescent="0.2">
      <c r="A8" t="str">
        <f>T("Spag16")</f>
        <v>Spag16</v>
      </c>
      <c r="B8">
        <v>54.566000000000003</v>
      </c>
      <c r="C8">
        <v>1</v>
      </c>
      <c r="D8" s="1">
        <v>1.4999999999999999E-13</v>
      </c>
      <c r="E8" s="1">
        <v>4.1599999999999997E-11</v>
      </c>
      <c r="F8">
        <v>11</v>
      </c>
      <c r="G8" t="s">
        <v>91</v>
      </c>
      <c r="H8" t="s">
        <v>92</v>
      </c>
      <c r="I8" t="str">
        <f>HYPERLINK("http://genome.ucsc.edu/cgi-bin/hgTracks?db=mm9&amp;position=chr1:69873561-70771706","LINK:chr1:69873561-70771706")</f>
        <v>LINK:chr1:69873561-70771706</v>
      </c>
    </row>
    <row r="9" spans="1:9" x14ac:dyDescent="0.2">
      <c r="A9" t="str">
        <f>T("Ncoa2")</f>
        <v>Ncoa2</v>
      </c>
      <c r="B9">
        <v>270.79300000000001</v>
      </c>
      <c r="C9">
        <v>1</v>
      </c>
      <c r="D9" s="1">
        <v>7.6200000000000003E-61</v>
      </c>
      <c r="E9" s="1">
        <v>1.18E-57</v>
      </c>
      <c r="F9">
        <v>10</v>
      </c>
      <c r="G9" t="s">
        <v>93</v>
      </c>
      <c r="H9" t="s">
        <v>94</v>
      </c>
      <c r="I9" t="str">
        <f>HYPERLINK("http://genome.ucsc.edu/cgi-bin/hgTracks?db=mm9&amp;position=chr1:13129239-13364164","LINK:chr1:13129239-13364164")</f>
        <v>LINK:chr1:13129239-13364164</v>
      </c>
    </row>
    <row r="10" spans="1:9" x14ac:dyDescent="0.2">
      <c r="A10" t="str">
        <f>T("Rims1")</f>
        <v>Rims1</v>
      </c>
      <c r="B10">
        <v>93.397999999999996</v>
      </c>
      <c r="C10">
        <v>1</v>
      </c>
      <c r="D10" s="1">
        <v>4.28E-22</v>
      </c>
      <c r="E10" s="1">
        <v>2.5499999999999999E-19</v>
      </c>
      <c r="F10">
        <v>10</v>
      </c>
      <c r="G10" t="s">
        <v>95</v>
      </c>
      <c r="H10" t="s">
        <v>96</v>
      </c>
      <c r="I10" t="str">
        <f>HYPERLINK("http://genome.ucsc.edu/cgi-bin/hgTracks?db=mm9&amp;position=chr1:22278502-22812563","LINK:chr1:22278502-22812563")</f>
        <v>LINK:chr1:22278502-22812563</v>
      </c>
    </row>
    <row r="11" spans="1:9" x14ac:dyDescent="0.2">
      <c r="A11" t="str">
        <f>T("Runx1")</f>
        <v>Runx1</v>
      </c>
      <c r="B11">
        <v>356.14600000000002</v>
      </c>
      <c r="C11">
        <v>1</v>
      </c>
      <c r="D11" s="1">
        <v>1.9400000000000001E-79</v>
      </c>
      <c r="E11" s="1">
        <v>3.77E-76</v>
      </c>
      <c r="F11">
        <v>10</v>
      </c>
      <c r="G11" t="s">
        <v>97</v>
      </c>
      <c r="H11" t="s">
        <v>98</v>
      </c>
      <c r="I11" t="str">
        <f>HYPERLINK("http://genome.ucsc.edu/cgi-bin/hgTracks?db=mm9&amp;position=chr16:92601710-92826311","LINK:chr16:92601710-92826311")</f>
        <v>LINK:chr16:92601710-92826311</v>
      </c>
    </row>
    <row r="12" spans="1:9" x14ac:dyDescent="0.2">
      <c r="A12" t="str">
        <f>T("Zmiz1")</f>
        <v>Zmiz1</v>
      </c>
      <c r="B12">
        <v>385.05700000000002</v>
      </c>
      <c r="C12">
        <v>1</v>
      </c>
      <c r="D12" s="1">
        <v>9.8599999999999997E-86</v>
      </c>
      <c r="E12" s="1">
        <v>2.3E-82</v>
      </c>
      <c r="F12">
        <v>9</v>
      </c>
      <c r="G12" t="s">
        <v>99</v>
      </c>
      <c r="H12" t="s">
        <v>100</v>
      </c>
      <c r="I12" t="str">
        <f>HYPERLINK("http://genome.ucsc.edu/cgi-bin/hgTracks?db=mm9&amp;position=chr14:26278670-26486233","LINK:chr14:26278670-26486233")</f>
        <v>LINK:chr14:26278670-26486233</v>
      </c>
    </row>
    <row r="13" spans="1:9" x14ac:dyDescent="0.2">
      <c r="A13" t="str">
        <f>T("9430031J16Rik")</f>
        <v>9430031J16Rik</v>
      </c>
      <c r="B13">
        <v>159.09700000000001</v>
      </c>
      <c r="C13">
        <v>1</v>
      </c>
      <c r="D13" s="1">
        <v>1.7800000000000001E-36</v>
      </c>
      <c r="E13" s="1">
        <v>1.9699999999999998E-33</v>
      </c>
      <c r="F13">
        <v>8</v>
      </c>
      <c r="G13" t="s">
        <v>101</v>
      </c>
      <c r="H13" t="s">
        <v>102</v>
      </c>
      <c r="I13" t="str">
        <f>HYPERLINK("http://genome.ucsc.edu/cgi-bin/hgTracks?db=mm9&amp;position=chr1:81073891-81268226","LINK:chr1:81073891-81268226")</f>
        <v>LINK:chr1:81073891-81268226</v>
      </c>
    </row>
    <row r="14" spans="1:9" x14ac:dyDescent="0.2">
      <c r="A14" t="str">
        <f>T("Cntnap5a")</f>
        <v>Cntnap5a</v>
      </c>
      <c r="B14">
        <v>26.844000000000001</v>
      </c>
      <c r="C14">
        <v>1</v>
      </c>
      <c r="D14" s="1">
        <v>2.2100000000000001E-7</v>
      </c>
      <c r="E14" s="1">
        <v>1.63E-5</v>
      </c>
      <c r="F14">
        <v>8</v>
      </c>
      <c r="G14" t="s">
        <v>103</v>
      </c>
      <c r="H14" t="s">
        <v>104</v>
      </c>
      <c r="I14" t="str">
        <f>HYPERLINK("http://genome.ucsc.edu/cgi-bin/hgTracks?db=mm9&amp;position=chr1:117581713-118477251","LINK:chr1:117581713-118477251")</f>
        <v>LINK:chr1:117581713-118477251</v>
      </c>
    </row>
    <row r="15" spans="1:9" x14ac:dyDescent="0.2">
      <c r="A15" t="str">
        <f>T("Foxp1")</f>
        <v>Foxp1</v>
      </c>
      <c r="B15">
        <v>78.744</v>
      </c>
      <c r="C15">
        <v>1</v>
      </c>
      <c r="D15" s="1">
        <v>7.0699999999999997E-19</v>
      </c>
      <c r="E15" s="1">
        <v>3.58E-16</v>
      </c>
      <c r="F15">
        <v>8</v>
      </c>
      <c r="G15" t="s">
        <v>105</v>
      </c>
      <c r="H15" t="s">
        <v>106</v>
      </c>
      <c r="I15" t="str">
        <f>HYPERLINK("http://genome.ucsc.edu/cgi-bin/hgTracks?db=mm9&amp;position=chr6:98875335-99385339","LINK:chr6:98875335-99385339")</f>
        <v>LINK:chr6:98875335-99385339</v>
      </c>
    </row>
    <row r="16" spans="1:9" x14ac:dyDescent="0.2">
      <c r="A16" t="str">
        <f>T("Nckap5")</f>
        <v>Nckap5</v>
      </c>
      <c r="B16">
        <v>32.326000000000001</v>
      </c>
      <c r="C16">
        <v>1</v>
      </c>
      <c r="D16" s="1">
        <v>1.3000000000000001E-8</v>
      </c>
      <c r="E16" s="1">
        <v>1.2699999999999999E-6</v>
      </c>
      <c r="F16">
        <v>8</v>
      </c>
      <c r="G16" t="s">
        <v>107</v>
      </c>
      <c r="H16" t="s">
        <v>108</v>
      </c>
      <c r="I16" t="str">
        <f>HYPERLINK("http://genome.ucsc.edu/cgi-bin/hgTracks?db=mm9&amp;position=chr1:127810212-128727209","LINK:chr1:127810212-128727209")</f>
        <v>LINK:chr1:127810212-128727209</v>
      </c>
    </row>
    <row r="17" spans="1:9" x14ac:dyDescent="0.2">
      <c r="A17" t="str">
        <f>T("Sntg1")</f>
        <v>Sntg1</v>
      </c>
      <c r="B17">
        <v>24.728999999999999</v>
      </c>
      <c r="C17">
        <v>1</v>
      </c>
      <c r="D17" s="1">
        <v>6.6000000000000003E-7</v>
      </c>
      <c r="E17" s="1">
        <v>4.3900000000000003E-5</v>
      </c>
      <c r="F17">
        <v>8</v>
      </c>
      <c r="G17" t="s">
        <v>109</v>
      </c>
      <c r="H17" t="s">
        <v>110</v>
      </c>
      <c r="I17" t="str">
        <f>HYPERLINK("http://genome.ucsc.edu/cgi-bin/hgTracks?db=mm9&amp;position=chr1:8352741-9289811","LINK:chr1:8352741-9289811")</f>
        <v>LINK:chr1:8352741-9289811</v>
      </c>
    </row>
    <row r="18" spans="1:9" x14ac:dyDescent="0.2">
      <c r="A18" t="str">
        <f>T("Tmeff2")</f>
        <v>Tmeff2</v>
      </c>
      <c r="B18">
        <v>115.59</v>
      </c>
      <c r="C18">
        <v>1</v>
      </c>
      <c r="D18" s="1">
        <v>5.8499999999999999E-27</v>
      </c>
      <c r="E18" s="1">
        <v>4.53E-24</v>
      </c>
      <c r="F18">
        <v>8</v>
      </c>
      <c r="G18" t="s">
        <v>111</v>
      </c>
      <c r="H18" t="s">
        <v>112</v>
      </c>
      <c r="I18" t="str">
        <f>HYPERLINK("http://genome.ucsc.edu/cgi-bin/hgTracks?db=mm9&amp;position=chr1:50984366-51244114","LINK:chr1:50984366-51244114")</f>
        <v>LINK:chr1:50984366-51244114</v>
      </c>
    </row>
    <row r="19" spans="1:9" x14ac:dyDescent="0.2">
      <c r="A19" t="str">
        <f>T("Akt1")</f>
        <v>Akt1</v>
      </c>
      <c r="B19">
        <v>1855.8689999999999</v>
      </c>
      <c r="C19">
        <v>1</v>
      </c>
      <c r="D19">
        <v>0</v>
      </c>
      <c r="E19">
        <v>0</v>
      </c>
      <c r="F19">
        <v>7</v>
      </c>
      <c r="G19" t="s">
        <v>113</v>
      </c>
      <c r="H19" t="s">
        <v>114</v>
      </c>
      <c r="I19" t="str">
        <f>HYPERLINK("http://genome.ucsc.edu/cgi-bin/hgTracks?db=mm9&amp;position=chr12:113892031-113912487","LINK:chr12:113892031-113912487")</f>
        <v>LINK:chr12:113892031-113912487</v>
      </c>
    </row>
    <row r="20" spans="1:9" x14ac:dyDescent="0.2">
      <c r="A20" t="str">
        <f>T("Xkr4")</f>
        <v>Xkr4</v>
      </c>
      <c r="B20">
        <v>48.183</v>
      </c>
      <c r="C20">
        <v>1</v>
      </c>
      <c r="D20" s="1">
        <v>3.8799999999999996E-12</v>
      </c>
      <c r="E20" s="1">
        <v>8.6000000000000003E-10</v>
      </c>
      <c r="F20">
        <v>7</v>
      </c>
      <c r="G20" t="s">
        <v>115</v>
      </c>
      <c r="H20" t="s">
        <v>116</v>
      </c>
      <c r="I20" t="str">
        <f>HYPERLINK("http://genome.ucsc.edu/cgi-bin/hgTracks?db=mm9&amp;position=chr1:3204562-3661579","LINK:chr1:3204562-3661579")</f>
        <v>LINK:chr1:3204562-3661579</v>
      </c>
    </row>
    <row r="21" spans="1:9" x14ac:dyDescent="0.2">
      <c r="A21" t="str">
        <f>T("Zbtb42")</f>
        <v>Zbtb42</v>
      </c>
      <c r="B21">
        <v>3711.143</v>
      </c>
      <c r="C21">
        <v>1</v>
      </c>
      <c r="D21">
        <v>0</v>
      </c>
      <c r="E21">
        <v>0</v>
      </c>
      <c r="F21">
        <v>7</v>
      </c>
      <c r="G21" t="s">
        <v>113</v>
      </c>
      <c r="H21" t="s">
        <v>114</v>
      </c>
      <c r="I21" t="str">
        <f>HYPERLINK("http://genome.ucsc.edu/cgi-bin/hgTracks?db=mm9&amp;position=chr12:113917050-113920958","LINK:chr12:113917050-113920958")</f>
        <v>LINK:chr12:113917050-113920958</v>
      </c>
    </row>
    <row r="22" spans="1:9" x14ac:dyDescent="0.2">
      <c r="A22" t="str">
        <f>T("Gigyf2")</f>
        <v>Gigyf2</v>
      </c>
      <c r="B22">
        <v>140.185</v>
      </c>
      <c r="C22">
        <v>1</v>
      </c>
      <c r="D22" s="1">
        <v>2.4200000000000001E-32</v>
      </c>
      <c r="E22" s="1">
        <v>2.3499999999999999E-29</v>
      </c>
      <c r="F22">
        <v>6</v>
      </c>
      <c r="G22" t="s">
        <v>117</v>
      </c>
      <c r="H22" t="s">
        <v>118</v>
      </c>
      <c r="I22" t="str">
        <f>HYPERLINK("http://genome.ucsc.edu/cgi-bin/hgTracks?db=mm9&amp;position=chr1:89223572-89347385","LINK:chr1:89223572-89347385")</f>
        <v>LINK:chr1:89223572-89347385</v>
      </c>
    </row>
    <row r="23" spans="1:9" x14ac:dyDescent="0.2">
      <c r="A23" t="str">
        <f>T("Kcnq5")</f>
        <v>Kcnq5</v>
      </c>
      <c r="B23">
        <v>24.922999999999998</v>
      </c>
      <c r="C23">
        <v>1</v>
      </c>
      <c r="D23" s="1">
        <v>5.9699999999999996E-7</v>
      </c>
      <c r="E23" s="1">
        <v>3.9900000000000001E-5</v>
      </c>
      <c r="F23">
        <v>6</v>
      </c>
      <c r="G23" t="s">
        <v>119</v>
      </c>
      <c r="H23" t="s">
        <v>120</v>
      </c>
      <c r="I23" t="str">
        <f>HYPERLINK("http://genome.ucsc.edu/cgi-bin/hgTracks?db=mm9&amp;position=chr1:21388483-21952023","LINK:chr1:21388483-21952023")</f>
        <v>LINK:chr1:21388483-21952023</v>
      </c>
    </row>
    <row r="24" spans="1:9" x14ac:dyDescent="0.2">
      <c r="A24" t="str">
        <f>T("Phlpp1")</f>
        <v>Phlpp1</v>
      </c>
      <c r="B24">
        <v>83.903000000000006</v>
      </c>
      <c r="C24">
        <v>1</v>
      </c>
      <c r="D24" s="1">
        <v>5.1999999999999999E-20</v>
      </c>
      <c r="E24" s="1">
        <v>2.8800000000000001E-17</v>
      </c>
      <c r="F24">
        <v>6</v>
      </c>
      <c r="G24" t="s">
        <v>121</v>
      </c>
      <c r="H24" t="s">
        <v>122</v>
      </c>
      <c r="I24" t="str">
        <f>HYPERLINK("http://genome.ucsc.edu/cgi-bin/hgTracks?db=mm9&amp;position=chr1:108068445-108290822","LINK:chr1:108068445-108290822")</f>
        <v>LINK:chr1:108068445-108290822</v>
      </c>
    </row>
    <row r="25" spans="1:9" x14ac:dyDescent="0.2">
      <c r="A25" t="str">
        <f>T("Acsl3")</f>
        <v>Acsl3</v>
      </c>
      <c r="B25">
        <v>248.73599999999999</v>
      </c>
      <c r="C25">
        <v>1</v>
      </c>
      <c r="D25" s="1">
        <v>4.9E-56</v>
      </c>
      <c r="E25" s="1">
        <v>6.7100000000000003E-53</v>
      </c>
      <c r="F25">
        <v>5</v>
      </c>
      <c r="G25" t="s">
        <v>123</v>
      </c>
      <c r="H25" t="s">
        <v>124</v>
      </c>
      <c r="I25" t="str">
        <f>HYPERLINK("http://genome.ucsc.edu/cgi-bin/hgTracks?db=mm9&amp;position=chr1:78654399-78704318","LINK:chr1:78654399-78704318")</f>
        <v>LINK:chr1:78654399-78704318</v>
      </c>
    </row>
    <row r="26" spans="1:9" x14ac:dyDescent="0.2">
      <c r="A26" t="str">
        <f>T("Cdkn2a")</f>
        <v>Cdkn2a</v>
      </c>
      <c r="B26">
        <v>489.43900000000002</v>
      </c>
      <c r="C26">
        <v>1</v>
      </c>
      <c r="D26">
        <v>0</v>
      </c>
      <c r="E26">
        <v>0</v>
      </c>
      <c r="F26">
        <v>5</v>
      </c>
      <c r="G26" t="s">
        <v>125</v>
      </c>
      <c r="H26" t="s">
        <v>126</v>
      </c>
      <c r="I26" t="str">
        <f>HYPERLINK("http://genome.ucsc.edu/cgi-bin/hgTracks?db=mm9&amp;position=chr4:88920376-88940523","LINK:chr4:88920376-88940523")</f>
        <v>LINK:chr4:88920376-88940523</v>
      </c>
    </row>
    <row r="27" spans="1:9" x14ac:dyDescent="0.2">
      <c r="A27" t="str">
        <f>T("Dock10")</f>
        <v>Dock10</v>
      </c>
      <c r="B27">
        <v>47.58</v>
      </c>
      <c r="C27">
        <v>1</v>
      </c>
      <c r="D27" s="1">
        <v>5.2800000000000001E-12</v>
      </c>
      <c r="E27" s="1">
        <v>1.13E-9</v>
      </c>
      <c r="F27">
        <v>5</v>
      </c>
      <c r="G27" t="s">
        <v>127</v>
      </c>
      <c r="H27" t="s">
        <v>128</v>
      </c>
      <c r="I27" t="str">
        <f>HYPERLINK("http://genome.ucsc.edu/cgi-bin/hgTracks?db=mm9&amp;position=chr1:80497647-80755128","LINK:chr1:80497647-80755128")</f>
        <v>LINK:chr1:80497647-80755128</v>
      </c>
    </row>
    <row r="28" spans="1:9" x14ac:dyDescent="0.2">
      <c r="A28" t="str">
        <f>T("Kcnb2")</f>
        <v>Kcnb2</v>
      </c>
      <c r="B28">
        <v>28.29</v>
      </c>
      <c r="C28">
        <v>1</v>
      </c>
      <c r="D28" s="1">
        <v>1.04E-7</v>
      </c>
      <c r="E28" s="1">
        <v>8.1799999999999996E-6</v>
      </c>
      <c r="F28">
        <v>5</v>
      </c>
      <c r="G28" t="s">
        <v>129</v>
      </c>
      <c r="H28" t="s">
        <v>130</v>
      </c>
      <c r="I28" t="str">
        <f>HYPERLINK("http://genome.ucsc.edu/cgi-bin/hgTracks?db=mm9&amp;position=chr1:15302532-15704295","LINK:chr1:15302532-15704295")</f>
        <v>LINK:chr1:15302532-15704295</v>
      </c>
    </row>
    <row r="29" spans="1:9" x14ac:dyDescent="0.2">
      <c r="A29" t="str">
        <f>T("Kras")</f>
        <v>Kras</v>
      </c>
      <c r="B29">
        <v>301.36099999999999</v>
      </c>
      <c r="C29">
        <v>1</v>
      </c>
      <c r="D29" s="1">
        <v>1.6600000000000001E-67</v>
      </c>
      <c r="E29" s="1">
        <v>2.98E-64</v>
      </c>
      <c r="F29">
        <v>5</v>
      </c>
      <c r="G29" t="s">
        <v>131</v>
      </c>
      <c r="H29" t="s">
        <v>132</v>
      </c>
      <c r="I29" t="str">
        <f>HYPERLINK("http://genome.ucsc.edu/cgi-bin/hgTracks?db=mm9&amp;position=chr6:145165218-145198751","LINK:chr6:145165218-145198751")</f>
        <v>LINK:chr6:145165218-145198751</v>
      </c>
    </row>
    <row r="30" spans="1:9" x14ac:dyDescent="0.2">
      <c r="A30" t="str">
        <f>T("Satb2")</f>
        <v>Satb2</v>
      </c>
      <c r="B30">
        <v>76.497</v>
      </c>
      <c r="C30">
        <v>1</v>
      </c>
      <c r="D30" s="1">
        <v>2.2100000000000002E-18</v>
      </c>
      <c r="E30" s="1">
        <v>1.0499999999999999E-15</v>
      </c>
      <c r="F30">
        <v>5</v>
      </c>
      <c r="G30" t="s">
        <v>133</v>
      </c>
      <c r="H30" t="s">
        <v>134</v>
      </c>
      <c r="I30" t="str">
        <f>HYPERLINK("http://genome.ucsc.edu/cgi-bin/hgTracks?db=mm9&amp;position=chr1:56850824-57028178","LINK:chr1:56850824-57028178")</f>
        <v>LINK:chr1:56850824-57028178</v>
      </c>
    </row>
    <row r="31" spans="1:9" x14ac:dyDescent="0.2">
      <c r="A31" t="str">
        <f>T("Sfi1")</f>
        <v>Sfi1</v>
      </c>
      <c r="B31">
        <v>248.99199999999999</v>
      </c>
      <c r="C31">
        <v>1</v>
      </c>
      <c r="D31" s="1">
        <v>4.3100000000000002E-56</v>
      </c>
      <c r="E31" s="1">
        <v>6.2599999999999998E-53</v>
      </c>
      <c r="F31">
        <v>5</v>
      </c>
      <c r="G31" t="s">
        <v>135</v>
      </c>
      <c r="H31" t="s">
        <v>136</v>
      </c>
      <c r="I31" t="str">
        <f>HYPERLINK("http://genome.ucsc.edu/cgi-bin/hgTracks?db=mm9&amp;position=chr11:3031852-3093466","LINK:chr11:3031852-3093466")</f>
        <v>LINK:chr11:3031852-3093466</v>
      </c>
    </row>
    <row r="32" spans="1:9" x14ac:dyDescent="0.2">
      <c r="A32" t="str">
        <f>T("Stat5b")</f>
        <v>Stat5b</v>
      </c>
      <c r="B32">
        <v>244.08500000000001</v>
      </c>
      <c r="C32">
        <v>1</v>
      </c>
      <c r="D32" s="1">
        <v>5.0600000000000003E-55</v>
      </c>
      <c r="E32" s="1">
        <v>6.5399999999999998E-52</v>
      </c>
      <c r="F32">
        <v>5</v>
      </c>
      <c r="G32" t="s">
        <v>137</v>
      </c>
      <c r="H32" t="s">
        <v>138</v>
      </c>
      <c r="I32" t="str">
        <f>HYPERLINK("http://genome.ucsc.edu/cgi-bin/hgTracks?db=mm9&amp;position=chr11:100642044-100711899","LINK:chr11:100642044-100711899")</f>
        <v>LINK:chr11:100642044-100711899</v>
      </c>
    </row>
    <row r="33" spans="1:9" x14ac:dyDescent="0.2">
      <c r="A33" t="str">
        <f>T("Agfg1")</f>
        <v>Agfg1</v>
      </c>
      <c r="B33">
        <v>127.934</v>
      </c>
      <c r="C33">
        <v>1</v>
      </c>
      <c r="D33" s="1">
        <v>1.16E-29</v>
      </c>
      <c r="E33" s="1">
        <v>1.0400000000000001E-26</v>
      </c>
      <c r="F33">
        <v>4</v>
      </c>
      <c r="G33" t="s">
        <v>139</v>
      </c>
      <c r="H33" t="s">
        <v>140</v>
      </c>
      <c r="I33" t="str">
        <f>HYPERLINK("http://genome.ucsc.edu/cgi-bin/hgTracks?db=mm9&amp;position=chr1:82836057-82892850","LINK:chr1:82836057-82892850")</f>
        <v>LINK:chr1:82836057-82892850</v>
      </c>
    </row>
    <row r="34" spans="1:9" x14ac:dyDescent="0.2">
      <c r="A34" t="str">
        <f>T("Ankrd44")</f>
        <v>Ankrd44</v>
      </c>
      <c r="B34">
        <v>29.585000000000001</v>
      </c>
      <c r="C34">
        <v>1</v>
      </c>
      <c r="D34" s="1">
        <v>5.3500000000000003E-8</v>
      </c>
      <c r="E34" s="1">
        <v>4.5499999999999996E-6</v>
      </c>
      <c r="F34">
        <v>4</v>
      </c>
      <c r="G34" t="s">
        <v>141</v>
      </c>
      <c r="H34" t="s">
        <v>142</v>
      </c>
      <c r="I34" t="str">
        <f>HYPERLINK("http://genome.ucsc.edu/cgi-bin/hgTracks?db=mm9&amp;position=chr1:54702183-54983231","LINK:chr1:54702183-54983231")</f>
        <v>LINK:chr1:54702183-54983231</v>
      </c>
    </row>
    <row r="35" spans="1:9" x14ac:dyDescent="0.2">
      <c r="A35" t="str">
        <f>T("Bard1")</f>
        <v>Bard1</v>
      </c>
      <c r="B35">
        <v>96.835999999999999</v>
      </c>
      <c r="C35">
        <v>1</v>
      </c>
      <c r="D35" s="1">
        <v>7.5300000000000005E-23</v>
      </c>
      <c r="E35" s="1">
        <v>5.0100000000000002E-20</v>
      </c>
      <c r="F35">
        <v>4</v>
      </c>
      <c r="G35" t="s">
        <v>143</v>
      </c>
      <c r="H35" t="s">
        <v>144</v>
      </c>
      <c r="I35" t="str">
        <f>HYPERLINK("http://genome.ucsc.edu/cgi-bin/hgTracks?db=mm9&amp;position=chr1:71074108-71149546","LINK:chr1:71074108-71149546")</f>
        <v>LINK:chr1:71074108-71149546</v>
      </c>
    </row>
    <row r="36" spans="1:9" x14ac:dyDescent="0.2">
      <c r="A36" t="str">
        <f>T("Crebbp")</f>
        <v>Crebbp</v>
      </c>
      <c r="B36">
        <v>65.138999999999996</v>
      </c>
      <c r="C36">
        <v>1</v>
      </c>
      <c r="D36" s="1">
        <v>6.98E-16</v>
      </c>
      <c r="E36" s="1">
        <v>2.7100000000000001E-13</v>
      </c>
      <c r="F36">
        <v>4</v>
      </c>
      <c r="G36" t="s">
        <v>145</v>
      </c>
      <c r="H36" t="s">
        <v>146</v>
      </c>
      <c r="I36" t="str">
        <f>HYPERLINK("http://genome.ucsc.edu/cgi-bin/hgTracks?db=mm9&amp;position=chr16:4084047-4213404","LINK:chr16:4084047-4213404")</f>
        <v>LINK:chr16:4084047-4213404</v>
      </c>
    </row>
    <row r="37" spans="1:9" x14ac:dyDescent="0.2">
      <c r="A37" t="str">
        <f>T("Dennd1b")</f>
        <v>Dennd1b</v>
      </c>
      <c r="B37">
        <v>33.765000000000001</v>
      </c>
      <c r="C37">
        <v>1</v>
      </c>
      <c r="D37" s="1">
        <v>6.2199999999999996E-9</v>
      </c>
      <c r="E37" s="1">
        <v>6.5199999999999996E-7</v>
      </c>
      <c r="F37">
        <v>4</v>
      </c>
      <c r="G37" t="s">
        <v>147</v>
      </c>
      <c r="H37" t="s">
        <v>148</v>
      </c>
      <c r="I37" t="str">
        <f>HYPERLINK("http://genome.ucsc.edu/cgi-bin/hgTracks?db=mm9&amp;position=chr1:140860285-141072619","LINK:chr1:140860285-141072619")</f>
        <v>LINK:chr1:140860285-141072619</v>
      </c>
    </row>
    <row r="38" spans="1:9" x14ac:dyDescent="0.2">
      <c r="A38" t="str">
        <f>T("Epb4.1l5")</f>
        <v>Epb4.1l5</v>
      </c>
      <c r="B38">
        <v>73.043999999999997</v>
      </c>
      <c r="C38">
        <v>1</v>
      </c>
      <c r="D38" s="1">
        <v>1.27E-17</v>
      </c>
      <c r="E38" s="1">
        <v>5.68E-15</v>
      </c>
      <c r="F38">
        <v>4</v>
      </c>
      <c r="G38" t="s">
        <v>149</v>
      </c>
      <c r="H38" t="s">
        <v>150</v>
      </c>
      <c r="I38" t="str">
        <f>HYPERLINK("http://genome.ucsc.edu/cgi-bin/hgTracks?db=mm9&amp;position=chr1:121441609-121545577","LINK:chr1:121441609-121545577")</f>
        <v>LINK:chr1:121441609-121545577</v>
      </c>
    </row>
    <row r="39" spans="1:9" x14ac:dyDescent="0.2">
      <c r="A39" t="str">
        <f>T("Eya1")</f>
        <v>Eya1</v>
      </c>
      <c r="B39">
        <v>56.884</v>
      </c>
      <c r="C39">
        <v>1</v>
      </c>
      <c r="D39" s="1">
        <v>4.6200000000000001E-14</v>
      </c>
      <c r="E39" s="1">
        <v>1.4700000000000002E-11</v>
      </c>
      <c r="F39">
        <v>4</v>
      </c>
      <c r="G39" t="s">
        <v>151</v>
      </c>
      <c r="H39" t="s">
        <v>152</v>
      </c>
      <c r="I39" t="str">
        <f>HYPERLINK("http://genome.ucsc.edu/cgi-bin/hgTracks?db=mm9&amp;position=chr1:14159038-14300280","LINK:chr1:14159038-14300280")</f>
        <v>LINK:chr1:14159038-14300280</v>
      </c>
    </row>
    <row r="40" spans="1:9" x14ac:dyDescent="0.2">
      <c r="A40" t="str">
        <f>T("Gulp1")</f>
        <v>Gulp1</v>
      </c>
      <c r="B40">
        <v>26.774999999999999</v>
      </c>
      <c r="C40">
        <v>1</v>
      </c>
      <c r="D40" s="1">
        <v>2.29E-7</v>
      </c>
      <c r="E40" s="1">
        <v>1.6699999999999999E-5</v>
      </c>
      <c r="F40">
        <v>4</v>
      </c>
      <c r="G40" t="s">
        <v>153</v>
      </c>
      <c r="H40" t="s">
        <v>154</v>
      </c>
      <c r="I40" t="str">
        <f>HYPERLINK("http://genome.ucsc.edu/cgi-bin/hgTracks?db=mm9&amp;position=chr1:44608515-44853681","LINK:chr1:44608515-44853681")</f>
        <v>LINK:chr1:44608515-44853681</v>
      </c>
    </row>
    <row r="41" spans="1:9" x14ac:dyDescent="0.2">
      <c r="A41" t="str">
        <f>T("Kcnj13")</f>
        <v>Kcnj13</v>
      </c>
      <c r="B41">
        <v>362.358</v>
      </c>
      <c r="C41">
        <v>1</v>
      </c>
      <c r="D41" s="1">
        <v>8.6300000000000009E-81</v>
      </c>
      <c r="E41" s="1">
        <v>1.8299999999999999E-77</v>
      </c>
      <c r="F41">
        <v>4</v>
      </c>
      <c r="G41" t="s">
        <v>155</v>
      </c>
      <c r="H41" t="s">
        <v>156</v>
      </c>
      <c r="I41" t="str">
        <f>HYPERLINK("http://genome.ucsc.edu/cgi-bin/hgTracks?db=mm9&amp;position=chr1:89282858-89291304","LINK:chr1:89282858-89291304")</f>
        <v>LINK:chr1:89282858-89291304</v>
      </c>
    </row>
    <row r="42" spans="1:9" x14ac:dyDescent="0.2">
      <c r="A42" t="str">
        <f>T("Map4k4")</f>
        <v>Map4k4</v>
      </c>
      <c r="B42">
        <v>81.582999999999998</v>
      </c>
      <c r="C42">
        <v>1</v>
      </c>
      <c r="D42" s="1">
        <v>1.6799999999999999E-19</v>
      </c>
      <c r="E42" s="1">
        <v>8.89E-17</v>
      </c>
      <c r="F42">
        <v>4</v>
      </c>
      <c r="G42" t="s">
        <v>157</v>
      </c>
      <c r="H42" t="s">
        <v>158</v>
      </c>
      <c r="I42" t="str">
        <f>HYPERLINK("http://genome.ucsc.edu/cgi-bin/hgTracks?db=mm9&amp;position=chr1:39957757-40083155","LINK:chr1:39957757-40083155")</f>
        <v>LINK:chr1:39957757-40083155</v>
      </c>
    </row>
    <row r="43" spans="1:9" x14ac:dyDescent="0.2">
      <c r="A43" t="str">
        <f>T("Nbeal1")</f>
        <v>Nbeal1</v>
      </c>
      <c r="B43">
        <v>43.579000000000001</v>
      </c>
      <c r="C43">
        <v>1</v>
      </c>
      <c r="D43" s="1">
        <v>4.0699999999999999E-11</v>
      </c>
      <c r="E43" s="1">
        <v>6.9699999999999997E-9</v>
      </c>
      <c r="F43">
        <v>4</v>
      </c>
      <c r="G43" t="s">
        <v>159</v>
      </c>
      <c r="H43" t="s">
        <v>160</v>
      </c>
      <c r="I43" t="str">
        <f>HYPERLINK("http://genome.ucsc.edu/cgi-bin/hgTracks?db=mm9&amp;position=chr1:60237442-60391549","LINK:chr1:60237442-60391549")</f>
        <v>LINK:chr1:60237442-60391549</v>
      </c>
    </row>
    <row r="44" spans="1:9" x14ac:dyDescent="0.2">
      <c r="A44" t="str">
        <f>T("Nedd9")</f>
        <v>Nedd9</v>
      </c>
      <c r="B44">
        <v>53.738</v>
      </c>
      <c r="C44">
        <v>1</v>
      </c>
      <c r="D44" s="1">
        <v>2.2899999999999998E-13</v>
      </c>
      <c r="E44" s="1">
        <v>6.0600000000000003E-11</v>
      </c>
      <c r="F44">
        <v>4</v>
      </c>
      <c r="G44" t="s">
        <v>161</v>
      </c>
      <c r="H44" t="s">
        <v>162</v>
      </c>
      <c r="I44" t="str">
        <f>HYPERLINK("http://genome.ucsc.edu/cgi-bin/hgTracks?db=mm9&amp;position=chr13:41405284-41582689","LINK:chr13:41405284-41582689")</f>
        <v>LINK:chr13:41405284-41582689</v>
      </c>
    </row>
    <row r="45" spans="1:9" x14ac:dyDescent="0.2">
      <c r="A45" t="str">
        <f>T("Pam")</f>
        <v>Pam</v>
      </c>
      <c r="B45">
        <v>26.061</v>
      </c>
      <c r="C45">
        <v>1</v>
      </c>
      <c r="D45" s="1">
        <v>3.3099999999999999E-7</v>
      </c>
      <c r="E45" s="1">
        <v>2.34E-5</v>
      </c>
      <c r="F45">
        <v>4</v>
      </c>
      <c r="G45" t="s">
        <v>163</v>
      </c>
      <c r="H45" t="s">
        <v>164</v>
      </c>
      <c r="I45" t="str">
        <f>HYPERLINK("http://genome.ucsc.edu/cgi-bin/hgTracks?db=mm9&amp;position=chr1:99717670-99992209","LINK:chr1:99717670-99992209")</f>
        <v>LINK:chr1:99717670-99992209</v>
      </c>
    </row>
    <row r="46" spans="1:9" x14ac:dyDescent="0.2">
      <c r="A46" t="str">
        <f>T("Phf3")</f>
        <v>Phf3</v>
      </c>
      <c r="B46">
        <v>116.92700000000001</v>
      </c>
      <c r="C46">
        <v>1</v>
      </c>
      <c r="D46" s="1">
        <v>2.98E-27</v>
      </c>
      <c r="E46" s="1">
        <v>2.3899999999999998E-24</v>
      </c>
      <c r="F46">
        <v>4</v>
      </c>
      <c r="G46" t="s">
        <v>165</v>
      </c>
      <c r="H46" t="s">
        <v>166</v>
      </c>
      <c r="I46" t="str">
        <f>HYPERLINK("http://genome.ucsc.edu/cgi-bin/hgTracks?db=mm9&amp;position=chr1:30859186-30920101","LINK:chr1:30859186-30920101")</f>
        <v>LINK:chr1:30859186-30920101</v>
      </c>
    </row>
    <row r="47" spans="1:9" x14ac:dyDescent="0.2">
      <c r="A47" t="str">
        <f>T("Pik3c2b")</f>
        <v>Pik3c2b</v>
      </c>
      <c r="B47">
        <v>181.96299999999999</v>
      </c>
      <c r="C47">
        <v>1</v>
      </c>
      <c r="D47" s="1">
        <v>1.8100000000000001E-41</v>
      </c>
      <c r="E47" s="1">
        <v>2.21E-38</v>
      </c>
      <c r="F47">
        <v>4</v>
      </c>
      <c r="G47" t="s">
        <v>167</v>
      </c>
      <c r="H47" t="s">
        <v>168</v>
      </c>
      <c r="I47" t="str">
        <f>HYPERLINK("http://genome.ucsc.edu/cgi-bin/hgTracks?db=mm9&amp;position=chr1:134942588-135005265","LINK:chr1:134942588-135005265")</f>
        <v>LINK:chr1:134942588-135005265</v>
      </c>
    </row>
    <row r="48" spans="1:9" x14ac:dyDescent="0.2">
      <c r="A48" t="str">
        <f>T("Scai")</f>
        <v>Scai</v>
      </c>
      <c r="B48">
        <v>60.615000000000002</v>
      </c>
      <c r="C48">
        <v>1</v>
      </c>
      <c r="D48" s="1">
        <v>6.94E-15</v>
      </c>
      <c r="E48" s="1">
        <v>2.41E-12</v>
      </c>
      <c r="F48">
        <v>4</v>
      </c>
      <c r="G48" t="s">
        <v>169</v>
      </c>
      <c r="H48" t="s">
        <v>170</v>
      </c>
      <c r="I48" t="str">
        <f>HYPERLINK("http://genome.ucsc.edu/cgi-bin/hgTracks?db=mm9&amp;position=chr2:38921734-39046250","LINK:chr2:38921734-39046250")</f>
        <v>LINK:chr2:38921734-39046250</v>
      </c>
    </row>
    <row r="49" spans="1:9" x14ac:dyDescent="0.2">
      <c r="A49" t="str">
        <f>T("Sik3")</f>
        <v>Sik3</v>
      </c>
      <c r="B49">
        <v>48.481999999999999</v>
      </c>
      <c r="C49">
        <v>1</v>
      </c>
      <c r="D49" s="1">
        <v>3.3300000000000001E-12</v>
      </c>
      <c r="E49" s="1">
        <v>7.5299999999999998E-10</v>
      </c>
      <c r="F49">
        <v>4</v>
      </c>
      <c r="G49" t="s">
        <v>171</v>
      </c>
      <c r="H49" t="s">
        <v>172</v>
      </c>
      <c r="I49" t="str">
        <f>HYPERLINK("http://genome.ucsc.edu/cgi-bin/hgTracks?db=mm9&amp;position=chr9:45820902-46032277","LINK:chr9:45820902-46032277")</f>
        <v>LINK:chr9:45820902-46032277</v>
      </c>
    </row>
    <row r="50" spans="1:9" x14ac:dyDescent="0.2">
      <c r="A50" t="str">
        <f>T("Stau2")</f>
        <v>Stau2</v>
      </c>
      <c r="B50">
        <v>25.667000000000002</v>
      </c>
      <c r="C50">
        <v>1</v>
      </c>
      <c r="D50" s="1">
        <v>4.0600000000000001E-7</v>
      </c>
      <c r="E50" s="1">
        <v>2.7800000000000001E-5</v>
      </c>
      <c r="F50">
        <v>4</v>
      </c>
      <c r="G50" t="s">
        <v>173</v>
      </c>
      <c r="H50" t="s">
        <v>174</v>
      </c>
      <c r="I50" t="str">
        <f>HYPERLINK("http://genome.ucsc.edu/cgi-bin/hgTracks?db=mm9&amp;position=chr1:16218890-16509383","LINK:chr1:16218890-16509383")</f>
        <v>LINK:chr1:16218890-16509383</v>
      </c>
    </row>
    <row r="51" spans="1:9" x14ac:dyDescent="0.2">
      <c r="A51" t="str">
        <f>T("2310035C23Rik")</f>
        <v>2310035C23Rik</v>
      </c>
      <c r="B51">
        <v>36.725000000000001</v>
      </c>
      <c r="C51">
        <v>1</v>
      </c>
      <c r="D51" s="1">
        <v>1.3600000000000001E-9</v>
      </c>
      <c r="E51" s="1">
        <v>1.6299999999999999E-7</v>
      </c>
      <c r="F51">
        <v>3</v>
      </c>
      <c r="G51" t="s">
        <v>175</v>
      </c>
      <c r="H51" t="s">
        <v>176</v>
      </c>
      <c r="I51" t="str">
        <f>HYPERLINK("http://genome.ucsc.edu/cgi-bin/hgTracks?db=mm9&amp;position=chr1:107560437-107651708","LINK:chr1:107560437-107651708")</f>
        <v>LINK:chr1:107560437-107651708</v>
      </c>
    </row>
    <row r="52" spans="1:9" x14ac:dyDescent="0.2">
      <c r="A52" t="str">
        <f>T("Arfgef1")</f>
        <v>Arfgef1</v>
      </c>
      <c r="B52">
        <v>40.255000000000003</v>
      </c>
      <c r="C52">
        <v>1</v>
      </c>
      <c r="D52" s="1">
        <v>2.2300000000000001E-10</v>
      </c>
      <c r="E52" s="1">
        <v>3.0199999999999999E-8</v>
      </c>
      <c r="F52">
        <v>3</v>
      </c>
      <c r="G52" t="s">
        <v>177</v>
      </c>
      <c r="H52" t="s">
        <v>178</v>
      </c>
      <c r="I52" t="str">
        <f>HYPERLINK("http://genome.ucsc.edu/cgi-bin/hgTracks?db=mm9&amp;position=chr1:10127587-10222751","LINK:chr1:10127587-10222751")</f>
        <v>LINK:chr1:10127587-10222751</v>
      </c>
    </row>
    <row r="53" spans="1:9" x14ac:dyDescent="0.2">
      <c r="A53" t="str">
        <f>T("Clasp1")</f>
        <v>Clasp1</v>
      </c>
      <c r="B53">
        <v>22.946000000000002</v>
      </c>
      <c r="C53">
        <v>1</v>
      </c>
      <c r="D53" s="1">
        <v>1.6700000000000001E-6</v>
      </c>
      <c r="E53">
        <v>1.03E-4</v>
      </c>
      <c r="F53">
        <v>3</v>
      </c>
      <c r="G53" t="s">
        <v>179</v>
      </c>
      <c r="H53" t="s">
        <v>180</v>
      </c>
      <c r="I53" t="str">
        <f>HYPERLINK("http://genome.ucsc.edu/cgi-bin/hgTracks?db=mm9&amp;position=chr1:120285634-120506039","LINK:chr1:120285634-120506039")</f>
        <v>LINK:chr1:120285634-120506039</v>
      </c>
    </row>
    <row r="54" spans="1:9" x14ac:dyDescent="0.2">
      <c r="A54" t="str">
        <f>T("Col5a2")</f>
        <v>Col5a2</v>
      </c>
      <c r="B54">
        <v>26.681000000000001</v>
      </c>
      <c r="C54">
        <v>1</v>
      </c>
      <c r="D54" s="1">
        <v>2.3999999999999998E-7</v>
      </c>
      <c r="E54" s="1">
        <v>1.7399999999999999E-5</v>
      </c>
      <c r="F54">
        <v>3</v>
      </c>
      <c r="G54" t="s">
        <v>181</v>
      </c>
      <c r="H54" t="s">
        <v>182</v>
      </c>
      <c r="I54" t="str">
        <f>HYPERLINK("http://genome.ucsc.edu/cgi-bin/hgTracks?db=mm9&amp;position=chr1:45431175-45560127","LINK:chr1:45431175-45560127")</f>
        <v>LINK:chr1:45431175-45560127</v>
      </c>
    </row>
    <row r="55" spans="1:9" x14ac:dyDescent="0.2">
      <c r="A55" t="str">
        <f>T("Cspp1")</f>
        <v>Cspp1</v>
      </c>
      <c r="B55">
        <v>41.204000000000001</v>
      </c>
      <c r="C55">
        <v>1</v>
      </c>
      <c r="D55" s="1">
        <v>1.3699999999999999E-10</v>
      </c>
      <c r="E55" s="1">
        <v>1.9700000000000001E-8</v>
      </c>
      <c r="F55">
        <v>3</v>
      </c>
      <c r="G55" t="s">
        <v>183</v>
      </c>
      <c r="H55" t="s">
        <v>184</v>
      </c>
      <c r="I55" t="str">
        <f>HYPERLINK("http://genome.ucsc.edu/cgi-bin/hgTracks?db=mm9&amp;position=chr1:10028298-10126849","LINK:chr1:10028298-10126849")</f>
        <v>LINK:chr1:10028298-10126849</v>
      </c>
    </row>
    <row r="56" spans="1:9" x14ac:dyDescent="0.2">
      <c r="A56" t="str">
        <f>T("Il1rl2")</f>
        <v>Il1rl2</v>
      </c>
      <c r="B56">
        <v>112.749</v>
      </c>
      <c r="C56">
        <v>1</v>
      </c>
      <c r="D56" s="1">
        <v>2.45E-26</v>
      </c>
      <c r="E56" s="1">
        <v>1.8400000000000001E-23</v>
      </c>
      <c r="F56">
        <v>3</v>
      </c>
      <c r="G56" t="s">
        <v>185</v>
      </c>
      <c r="H56" t="s">
        <v>186</v>
      </c>
      <c r="I56" t="str">
        <f>HYPERLINK("http://genome.ucsc.edu/cgi-bin/hgTracks?db=mm9&amp;position=chr1:40381471-40422316","LINK:chr1:40381471-40422316")</f>
        <v>LINK:chr1:40381471-40422316</v>
      </c>
    </row>
    <row r="57" spans="1:9" x14ac:dyDescent="0.2">
      <c r="A57" t="str">
        <f>T("Kansl1l")</f>
        <v>Kansl1l</v>
      </c>
      <c r="B57">
        <v>34.526000000000003</v>
      </c>
      <c r="C57">
        <v>1</v>
      </c>
      <c r="D57" s="1">
        <v>4.2100000000000001E-9</v>
      </c>
      <c r="E57" s="1">
        <v>4.5699999999999998E-7</v>
      </c>
      <c r="F57">
        <v>3</v>
      </c>
      <c r="G57" t="s">
        <v>187</v>
      </c>
      <c r="H57" t="s">
        <v>188</v>
      </c>
      <c r="I57" t="str">
        <f>HYPERLINK("http://genome.ucsc.edu/cgi-bin/hgTracks?db=mm9&amp;position=chr1:66765816-66864169","LINK:chr1:66765816-66864169")</f>
        <v>LINK:chr1:66765816-66864169</v>
      </c>
    </row>
    <row r="58" spans="1:9" x14ac:dyDescent="0.2">
      <c r="A58" t="str">
        <f>T("Kdsr")</f>
        <v>Kdsr</v>
      </c>
      <c r="B58">
        <v>110.68899999999999</v>
      </c>
      <c r="C58">
        <v>1</v>
      </c>
      <c r="D58" s="1">
        <v>6.9199999999999999E-26</v>
      </c>
      <c r="E58" s="1">
        <v>4.8800000000000003E-23</v>
      </c>
      <c r="F58">
        <v>3</v>
      </c>
      <c r="G58" t="s">
        <v>189</v>
      </c>
      <c r="H58" t="s">
        <v>190</v>
      </c>
      <c r="I58" t="str">
        <f>HYPERLINK("http://genome.ucsc.edu/cgi-bin/hgTracks?db=mm9&amp;position=chr1:108616986-108656319","LINK:chr1:108616986-108656319")</f>
        <v>LINK:chr1:108616986-108656319</v>
      </c>
    </row>
    <row r="59" spans="1:9" x14ac:dyDescent="0.2">
      <c r="A59" t="str">
        <f>T("Mrps9")</f>
        <v>Mrps9</v>
      </c>
      <c r="B59">
        <v>74.367000000000004</v>
      </c>
      <c r="C59">
        <v>1</v>
      </c>
      <c r="D59" s="1">
        <v>6.4900000000000001E-18</v>
      </c>
      <c r="E59" s="1">
        <v>2.96E-15</v>
      </c>
      <c r="F59">
        <v>3</v>
      </c>
      <c r="G59" t="s">
        <v>191</v>
      </c>
      <c r="H59" t="s">
        <v>192</v>
      </c>
      <c r="I59" t="str">
        <f>HYPERLINK("http://genome.ucsc.edu/cgi-bin/hgTracks?db=mm9&amp;position=chr1:42908077-42962528","LINK:chr1:42908077-42962528")</f>
        <v>LINK:chr1:42908077-42962528</v>
      </c>
    </row>
    <row r="60" spans="1:9" x14ac:dyDescent="0.2">
      <c r="A60" t="str">
        <f>T("Nck2")</f>
        <v>Nck2</v>
      </c>
      <c r="B60">
        <v>41.168999999999997</v>
      </c>
      <c r="C60">
        <v>1</v>
      </c>
      <c r="D60" s="1">
        <v>1.4000000000000001E-10</v>
      </c>
      <c r="E60" s="1">
        <v>1.9799999999999999E-8</v>
      </c>
      <c r="F60">
        <v>3</v>
      </c>
      <c r="G60" t="s">
        <v>193</v>
      </c>
      <c r="H60" t="s">
        <v>194</v>
      </c>
      <c r="I60" t="str">
        <f>HYPERLINK("http://genome.ucsc.edu/cgi-bin/hgTracks?db=mm9&amp;position=chr1:43502595-43627363","LINK:chr1:43502595-43627363")</f>
        <v>LINK:chr1:43502595-43627363</v>
      </c>
    </row>
    <row r="61" spans="1:9" x14ac:dyDescent="0.2">
      <c r="A61" t="str">
        <f>T("Nfil3")</f>
        <v>Nfil3</v>
      </c>
      <c r="B61">
        <v>275.40800000000002</v>
      </c>
      <c r="C61">
        <v>1</v>
      </c>
      <c r="D61" s="1">
        <v>7.5200000000000001E-62</v>
      </c>
      <c r="E61" s="1">
        <v>1.2499999999999999E-58</v>
      </c>
      <c r="F61">
        <v>3</v>
      </c>
      <c r="G61" t="s">
        <v>195</v>
      </c>
      <c r="H61" t="s">
        <v>196</v>
      </c>
      <c r="I61" t="str">
        <f>HYPERLINK("http://genome.ucsc.edu/cgi-bin/hgTracks?db=mm9&amp;position=chr13:53062577-53076408","LINK:chr13:53062577-53076408")</f>
        <v>LINK:chr13:53062577-53076408</v>
      </c>
    </row>
    <row r="62" spans="1:9" x14ac:dyDescent="0.2">
      <c r="A62" t="str">
        <f>T("Pign")</f>
        <v>Pign</v>
      </c>
      <c r="B62">
        <v>26.071000000000002</v>
      </c>
      <c r="C62">
        <v>1</v>
      </c>
      <c r="D62" s="1">
        <v>3.2899999999999999E-7</v>
      </c>
      <c r="E62" s="1">
        <v>2.34E-5</v>
      </c>
      <c r="F62">
        <v>3</v>
      </c>
      <c r="G62" t="s">
        <v>197</v>
      </c>
      <c r="H62" t="s">
        <v>198</v>
      </c>
      <c r="I62" t="str">
        <f>HYPERLINK("http://genome.ucsc.edu/cgi-bin/hgTracks?db=mm9&amp;position=chr1:107414998-107560253","LINK:chr1:107414998-107560253")</f>
        <v>LINK:chr1:107414998-107560253</v>
      </c>
    </row>
    <row r="63" spans="1:9" x14ac:dyDescent="0.2">
      <c r="A63" t="str">
        <f>T("Pik3r5")</f>
        <v>Pik3r5</v>
      </c>
      <c r="B63">
        <v>94.908000000000001</v>
      </c>
      <c r="C63">
        <v>1</v>
      </c>
      <c r="D63" s="1">
        <v>1.9899999999999999E-22</v>
      </c>
      <c r="E63" s="1">
        <v>1.2500000000000001E-19</v>
      </c>
      <c r="F63">
        <v>3</v>
      </c>
      <c r="G63" t="s">
        <v>199</v>
      </c>
      <c r="H63" t="s">
        <v>200</v>
      </c>
      <c r="I63" t="str">
        <f>HYPERLINK("http://genome.ucsc.edu/cgi-bin/hgTracks?db=mm9&amp;position=chr11:68245626-68311348","LINK:chr11:68245626-68311348")</f>
        <v>LINK:chr11:68245626-68311348</v>
      </c>
    </row>
    <row r="64" spans="1:9" x14ac:dyDescent="0.2">
      <c r="A64" t="str">
        <f>T("Ptpn14")</f>
        <v>Ptpn14</v>
      </c>
      <c r="B64">
        <v>46.575000000000003</v>
      </c>
      <c r="C64">
        <v>1</v>
      </c>
      <c r="D64" s="1">
        <v>8.82E-12</v>
      </c>
      <c r="E64" s="1">
        <v>1.8E-9</v>
      </c>
      <c r="F64">
        <v>3</v>
      </c>
      <c r="G64" t="s">
        <v>201</v>
      </c>
      <c r="H64" t="s">
        <v>202</v>
      </c>
      <c r="I64" t="str">
        <f>HYPERLINK("http://genome.ucsc.edu/cgi-bin/hgTracks?db=mm9&amp;position=chr1:191552146-191700572","LINK:chr1:191552146-191700572")</f>
        <v>LINK:chr1:191552146-191700572</v>
      </c>
    </row>
    <row r="65" spans="1:9" x14ac:dyDescent="0.2">
      <c r="A65" t="str">
        <f>T("Rnf152")</f>
        <v>Rnf152</v>
      </c>
      <c r="B65">
        <v>62</v>
      </c>
      <c r="C65">
        <v>1</v>
      </c>
      <c r="D65" s="1">
        <v>3.4300000000000001E-15</v>
      </c>
      <c r="E65" s="1">
        <v>1.2100000000000001E-12</v>
      </c>
      <c r="F65">
        <v>3</v>
      </c>
      <c r="G65" t="s">
        <v>203</v>
      </c>
      <c r="H65" t="s">
        <v>204</v>
      </c>
      <c r="I65" t="str">
        <f>HYPERLINK("http://genome.ucsc.edu/cgi-bin/hgTracks?db=mm9&amp;position=chr1:107173493-107253287","LINK:chr1:107173493-107253287")</f>
        <v>LINK:chr1:107173493-107253287</v>
      </c>
    </row>
    <row r="66" spans="1:9" x14ac:dyDescent="0.2">
      <c r="A66" t="str">
        <f>T("Sgk3")</f>
        <v>Sgk3</v>
      </c>
      <c r="B66">
        <v>43.753</v>
      </c>
      <c r="C66">
        <v>1</v>
      </c>
      <c r="D66" s="1">
        <v>3.7300000000000003E-11</v>
      </c>
      <c r="E66" s="1">
        <v>6.4199999999999998E-9</v>
      </c>
      <c r="F66">
        <v>3</v>
      </c>
      <c r="G66" t="s">
        <v>205</v>
      </c>
      <c r="H66" t="s">
        <v>206</v>
      </c>
      <c r="I66" t="str">
        <f>HYPERLINK("http://genome.ucsc.edu/cgi-bin/hgTracks?db=mm9&amp;position=chr1:9788210-9892649","LINK:chr1:9788210-9892649")</f>
        <v>LINK:chr1:9788210-9892649</v>
      </c>
    </row>
    <row r="67" spans="1:9" x14ac:dyDescent="0.2">
      <c r="A67" t="str">
        <f>T("Slc9a2")</f>
        <v>Slc9a2</v>
      </c>
      <c r="B67">
        <v>56.116</v>
      </c>
      <c r="C67">
        <v>1</v>
      </c>
      <c r="D67" s="1">
        <v>6.8299999999999997E-14</v>
      </c>
      <c r="E67" s="1">
        <v>2.09E-11</v>
      </c>
      <c r="F67">
        <v>3</v>
      </c>
      <c r="G67" t="s">
        <v>207</v>
      </c>
      <c r="H67" t="s">
        <v>208</v>
      </c>
      <c r="I67" t="str">
        <f>HYPERLINK("http://genome.ucsc.edu/cgi-bin/hgTracks?db=mm9&amp;position=chr1:40738556-40825730","LINK:chr1:40738556-40825730")</f>
        <v>LINK:chr1:40738556-40825730</v>
      </c>
    </row>
    <row r="68" spans="1:9" x14ac:dyDescent="0.2">
      <c r="A68" t="str">
        <f>T("Sos1")</f>
        <v>Sos1</v>
      </c>
      <c r="B68">
        <v>49.08</v>
      </c>
      <c r="C68">
        <v>1</v>
      </c>
      <c r="D68" s="1">
        <v>2.46E-12</v>
      </c>
      <c r="E68" s="1">
        <v>5.7199999999999999E-10</v>
      </c>
      <c r="F68">
        <v>3</v>
      </c>
      <c r="G68" t="s">
        <v>209</v>
      </c>
      <c r="H68" t="s">
        <v>210</v>
      </c>
      <c r="I68" t="str">
        <f>HYPERLINK("http://genome.ucsc.edu/cgi-bin/hgTracks?db=mm9&amp;position=chr17:80793091-80879793","LINK:chr17:80793091-80879793")</f>
        <v>LINK:chr17:80793091-80879793</v>
      </c>
    </row>
    <row r="69" spans="1:9" x14ac:dyDescent="0.2">
      <c r="A69" t="str">
        <f>T("Spats2l")</f>
        <v>Spats2l</v>
      </c>
      <c r="B69">
        <v>28.206</v>
      </c>
      <c r="C69">
        <v>1</v>
      </c>
      <c r="D69" s="1">
        <v>1.09E-7</v>
      </c>
      <c r="E69" s="1">
        <v>8.49E-6</v>
      </c>
      <c r="F69">
        <v>3</v>
      </c>
      <c r="G69" t="s">
        <v>211</v>
      </c>
      <c r="H69" t="s">
        <v>212</v>
      </c>
      <c r="I69" t="str">
        <f>HYPERLINK("http://genome.ucsc.edu/cgi-bin/hgTracks?db=mm9&amp;position=chr1:57831704-58005241","LINK:chr1:57831704-58005241")</f>
        <v>LINK:chr1:57831704-58005241</v>
      </c>
    </row>
    <row r="70" spans="1:9" x14ac:dyDescent="0.2">
      <c r="A70" t="str">
        <f>T("Suco")</f>
        <v>Suco</v>
      </c>
      <c r="B70">
        <v>54.850999999999999</v>
      </c>
      <c r="C70">
        <v>1</v>
      </c>
      <c r="D70" s="1">
        <v>1.3E-13</v>
      </c>
      <c r="E70" s="1">
        <v>3.7400000000000001E-11</v>
      </c>
      <c r="F70">
        <v>3</v>
      </c>
      <c r="G70" t="s">
        <v>213</v>
      </c>
      <c r="H70" t="s">
        <v>214</v>
      </c>
      <c r="I70" t="str">
        <f>HYPERLINK("http://genome.ucsc.edu/cgi-bin/hgTracks?db=mm9&amp;position=chr1:163746242-163806792","LINK:chr1:163746242-163806792")</f>
        <v>LINK:chr1:163746242-163806792</v>
      </c>
    </row>
    <row r="71" spans="1:9" x14ac:dyDescent="0.2">
      <c r="A71" t="str">
        <f>T("Tgfbrap1")</f>
        <v>Tgfbrap1</v>
      </c>
      <c r="B71">
        <v>93.444000000000003</v>
      </c>
      <c r="C71">
        <v>1</v>
      </c>
      <c r="D71" s="1">
        <v>4.1799999999999998E-22</v>
      </c>
      <c r="E71" s="1">
        <v>2.5599999999999998E-19</v>
      </c>
      <c r="F71">
        <v>3</v>
      </c>
      <c r="G71" t="s">
        <v>215</v>
      </c>
      <c r="H71" t="s">
        <v>216</v>
      </c>
      <c r="I71" t="str">
        <f>HYPERLINK("http://genome.ucsc.edu/cgi-bin/hgTracks?db=mm9&amp;position=chr1:43104113-43155467","LINK:chr1:43104113-43155467")</f>
        <v>LINK:chr1:43104113-43155467</v>
      </c>
    </row>
    <row r="72" spans="1:9" x14ac:dyDescent="0.2">
      <c r="A72" t="str">
        <f>T("Tpp2")</f>
        <v>Tpp2</v>
      </c>
      <c r="B72">
        <v>51.829000000000001</v>
      </c>
      <c r="C72">
        <v>1</v>
      </c>
      <c r="D72" s="1">
        <v>6.0600000000000004E-13</v>
      </c>
      <c r="E72" s="1">
        <v>1.4800000000000001E-10</v>
      </c>
      <c r="F72">
        <v>3</v>
      </c>
      <c r="G72" t="s">
        <v>217</v>
      </c>
      <c r="H72" t="s">
        <v>218</v>
      </c>
      <c r="I72" t="str">
        <f>HYPERLINK("http://genome.ucsc.edu/cgi-bin/hgTracks?db=mm9&amp;position=chr1:43990851-44059816","LINK:chr1:43990851-44059816")</f>
        <v>LINK:chr1:43990851-44059816</v>
      </c>
    </row>
    <row r="73" spans="1:9" x14ac:dyDescent="0.2">
      <c r="A73" t="str">
        <f>T("Trip12")</f>
        <v>Trip12</v>
      </c>
      <c r="B73">
        <v>32.384</v>
      </c>
      <c r="C73">
        <v>1</v>
      </c>
      <c r="D73" s="1">
        <v>1.27E-8</v>
      </c>
      <c r="E73" s="1">
        <v>1.24E-6</v>
      </c>
      <c r="F73">
        <v>3</v>
      </c>
      <c r="G73" t="s">
        <v>219</v>
      </c>
      <c r="H73" t="s">
        <v>220</v>
      </c>
      <c r="I73" t="str">
        <f>HYPERLINK("http://genome.ucsc.edu/cgi-bin/hgTracks?db=mm9&amp;position=chr1:84717763-84835879","LINK:chr1:84717763-84835879")</f>
        <v>LINK:chr1:84717763-84835879</v>
      </c>
    </row>
    <row r="74" spans="1:9" x14ac:dyDescent="0.2">
      <c r="A74" t="str">
        <f>T("Vcpip1")</f>
        <v>Vcpip1</v>
      </c>
      <c r="B74">
        <v>125.574</v>
      </c>
      <c r="C74">
        <v>1</v>
      </c>
      <c r="D74" s="1">
        <v>3.81E-29</v>
      </c>
      <c r="E74" s="1">
        <v>3.2899999999999999E-26</v>
      </c>
      <c r="F74">
        <v>3</v>
      </c>
      <c r="G74" t="s">
        <v>221</v>
      </c>
      <c r="H74" t="s">
        <v>222</v>
      </c>
      <c r="I74" t="str">
        <f>HYPERLINK("http://genome.ucsc.edu/cgi-bin/hgTracks?db=mm9&amp;position=chr1:9713277-9738463","LINK:chr1:9713277-9738463")</f>
        <v>LINK:chr1:9713277-9738463</v>
      </c>
    </row>
    <row r="75" spans="1:9" x14ac:dyDescent="0.2">
      <c r="A75" t="str">
        <f>T("Wdr69")</f>
        <v>Wdr69</v>
      </c>
      <c r="B75">
        <v>83.234999999999999</v>
      </c>
      <c r="C75">
        <v>1</v>
      </c>
      <c r="D75" s="1">
        <v>7.2799999999999997E-20</v>
      </c>
      <c r="E75" s="1">
        <v>3.9400000000000003E-17</v>
      </c>
      <c r="F75">
        <v>3</v>
      </c>
      <c r="G75" t="s">
        <v>223</v>
      </c>
      <c r="H75" t="s">
        <v>224</v>
      </c>
      <c r="I75" t="str">
        <f>HYPERLINK("http://genome.ucsc.edu/cgi-bin/hgTracks?db=mm9&amp;position=chr1:83156336-83207147","LINK:chr1:83156336-83207147")</f>
        <v>LINK:chr1:83156336-83207147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D16E-BBB8-2649-ADD3-F80F11BCEA06}">
  <dimension ref="A1:I37"/>
  <sheetViews>
    <sheetView tabSelected="1" workbookViewId="0">
      <selection activeCell="H27" sqref="H27"/>
    </sheetView>
  </sheetViews>
  <sheetFormatPr baseColWidth="10" defaultRowHeight="16" x14ac:dyDescent="0.2"/>
  <cols>
    <col min="1" max="1" width="13.83203125" style="2" bestFit="1" customWidth="1"/>
    <col min="2" max="2" width="11" style="2" bestFit="1" customWidth="1"/>
    <col min="3" max="3" width="4.33203125" style="2" bestFit="1" customWidth="1"/>
    <col min="4" max="4" width="8.33203125" style="2" bestFit="1" customWidth="1"/>
    <col min="5" max="5" width="9.1640625" style="2" bestFit="1" customWidth="1"/>
    <col min="6" max="6" width="10.6640625" style="2" bestFit="1" customWidth="1"/>
    <col min="7" max="8" width="80.6640625" style="2" bestFit="1" customWidth="1"/>
    <col min="9" max="9" width="29.5" style="2" bestFit="1" customWidth="1"/>
    <col min="10" max="16384" width="10.83203125" style="2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2" t="str">
        <f>T("Erg")</f>
        <v>Erg</v>
      </c>
      <c r="B2" s="2">
        <v>3636.7289999999998</v>
      </c>
      <c r="C2" s="2">
        <v>1</v>
      </c>
      <c r="D2" s="2">
        <v>0</v>
      </c>
      <c r="E2" s="2">
        <v>0</v>
      </c>
      <c r="F2" s="2">
        <v>22</v>
      </c>
      <c r="G2" s="2" t="s">
        <v>9</v>
      </c>
      <c r="H2" s="2" t="s">
        <v>10</v>
      </c>
      <c r="I2" s="2" t="str">
        <f>HYPERLINK("http://genome.ucsc.edu/cgi-bin/hgTracks?db=mm9&amp;position=chr16:95581810-95751972","LINK:chr16:95581810-95751972")</f>
        <v>LINK:chr16:95581810-95751972</v>
      </c>
    </row>
    <row r="3" spans="1:9" x14ac:dyDescent="0.2">
      <c r="A3" s="2" t="str">
        <f>T("Ets1")</f>
        <v>Ets1</v>
      </c>
      <c r="B3" s="2">
        <v>3582.9140000000002</v>
      </c>
      <c r="C3" s="2">
        <v>1</v>
      </c>
      <c r="D3" s="2">
        <v>0</v>
      </c>
      <c r="E3" s="2">
        <v>0</v>
      </c>
      <c r="F3" s="2">
        <v>14</v>
      </c>
      <c r="G3" s="2" t="s">
        <v>11</v>
      </c>
      <c r="H3" s="2" t="s">
        <v>12</v>
      </c>
      <c r="I3" s="2" t="str">
        <f>HYPERLINK("http://genome.ucsc.edu/cgi-bin/hgTracks?db=mm9&amp;position=chr9:32503626-32565405","LINK:chr9:32503626-32565405")</f>
        <v>LINK:chr9:32503626-32565405</v>
      </c>
    </row>
    <row r="4" spans="1:9" x14ac:dyDescent="0.2">
      <c r="A4" s="2" t="str">
        <f>T("Csf3r")</f>
        <v>Csf3r</v>
      </c>
      <c r="B4" s="2">
        <v>5406.2539999999999</v>
      </c>
      <c r="C4" s="2">
        <v>1</v>
      </c>
      <c r="D4" s="2">
        <v>0</v>
      </c>
      <c r="E4" s="2">
        <v>0</v>
      </c>
      <c r="F4" s="2">
        <v>11</v>
      </c>
      <c r="G4" s="2" t="s">
        <v>13</v>
      </c>
      <c r="H4" s="2" t="s">
        <v>14</v>
      </c>
      <c r="I4" s="2" t="str">
        <f>HYPERLINK("http://genome.ucsc.edu/cgi-bin/hgTracks?db=mm9&amp;position=chr4:125701902-125722219","LINK:chr4:125701902-125722219")</f>
        <v>LINK:chr4:125701902-125722219</v>
      </c>
    </row>
    <row r="5" spans="1:9" x14ac:dyDescent="0.2">
      <c r="A5" s="2" t="str">
        <f>T("Bach2")</f>
        <v>Bach2</v>
      </c>
      <c r="B5" s="2">
        <v>444.20499999999998</v>
      </c>
      <c r="C5" s="2">
        <v>1</v>
      </c>
      <c r="D5" s="2">
        <v>0</v>
      </c>
      <c r="E5" s="2">
        <v>0</v>
      </c>
      <c r="F5" s="2">
        <v>8</v>
      </c>
      <c r="G5" s="2" t="s">
        <v>15</v>
      </c>
      <c r="H5" s="2" t="s">
        <v>16</v>
      </c>
      <c r="I5" s="2" t="str">
        <f>HYPERLINK("http://genome.ucsc.edu/cgi-bin/hgTracks?db=mm9&amp;position=chr4:32504409-32673083","LINK:chr4:32504409-32673083")</f>
        <v>LINK:chr4:32504409-32673083</v>
      </c>
    </row>
    <row r="6" spans="1:9" x14ac:dyDescent="0.2">
      <c r="A6" s="2" t="str">
        <f>T("Eras")</f>
        <v>Eras</v>
      </c>
      <c r="B6" s="2">
        <v>2811.7660000000001</v>
      </c>
      <c r="C6" s="2">
        <v>1</v>
      </c>
      <c r="D6" s="2">
        <v>0</v>
      </c>
      <c r="E6" s="2">
        <v>0</v>
      </c>
      <c r="F6" s="2">
        <v>6</v>
      </c>
      <c r="G6" s="2" t="s">
        <v>17</v>
      </c>
      <c r="H6" s="2" t="s">
        <v>18</v>
      </c>
      <c r="I6" s="2" t="str">
        <f>HYPERLINK("http://genome.ucsc.edu/cgi-bin/hgTracks?db=mm9&amp;position=chrX:7501401-7505733","LINK:chrX:7501401-7505733")</f>
        <v>LINK:chrX:7501401-7505733</v>
      </c>
    </row>
    <row r="7" spans="1:9" x14ac:dyDescent="0.2">
      <c r="A7" s="2" t="str">
        <f>T("Cntnap5b")</f>
        <v>Cntnap5b</v>
      </c>
      <c r="B7" s="2">
        <v>25.353000000000002</v>
      </c>
      <c r="C7" s="2">
        <v>1</v>
      </c>
      <c r="D7" s="3">
        <v>4.7700000000000005E-7</v>
      </c>
      <c r="E7" s="3">
        <v>2.9600000000000001E-5</v>
      </c>
      <c r="F7" s="2">
        <v>5</v>
      </c>
      <c r="G7" s="2" t="s">
        <v>19</v>
      </c>
      <c r="H7" s="2" t="s">
        <v>20</v>
      </c>
      <c r="I7" s="2" t="str">
        <f>HYPERLINK("http://genome.ucsc.edu/cgi-bin/hgTracks?db=mm9&amp;position=chr1:101669341-102382519","LINK:chr1:101669341-102382519")</f>
        <v>LINK:chr1:101669341-102382519</v>
      </c>
    </row>
    <row r="8" spans="1:9" x14ac:dyDescent="0.2">
      <c r="A8" s="2" t="str">
        <f>T("Faf1")</f>
        <v>Faf1</v>
      </c>
      <c r="B8" s="2">
        <v>67.781000000000006</v>
      </c>
      <c r="C8" s="2">
        <v>1</v>
      </c>
      <c r="D8" s="3">
        <v>1.8299999999999999E-16</v>
      </c>
      <c r="E8" s="3">
        <v>3.1E-14</v>
      </c>
      <c r="F8" s="2">
        <v>5</v>
      </c>
      <c r="G8" s="2" t="s">
        <v>21</v>
      </c>
      <c r="H8" s="2" t="s">
        <v>22</v>
      </c>
      <c r="I8" s="2" t="str">
        <f>HYPERLINK("http://genome.ucsc.edu/cgi-bin/hgTracks?db=mm9&amp;position=chr4:109349231-109636565","LINK:chr4:109349231-109636565")</f>
        <v>LINK:chr4:109349231-109636565</v>
      </c>
    </row>
    <row r="9" spans="1:9" x14ac:dyDescent="0.2">
      <c r="A9" s="2" t="str">
        <f>T("Nfia")</f>
        <v>Nfia</v>
      </c>
      <c r="B9" s="2">
        <v>43.691000000000003</v>
      </c>
      <c r="C9" s="2">
        <v>1</v>
      </c>
      <c r="D9" s="3">
        <v>3.8500000000000003E-11</v>
      </c>
      <c r="E9" s="3">
        <v>3.5199999999999998E-9</v>
      </c>
      <c r="F9" s="2">
        <v>5</v>
      </c>
      <c r="G9" s="2" t="s">
        <v>23</v>
      </c>
      <c r="H9" s="2" t="s">
        <v>24</v>
      </c>
      <c r="I9" s="2" t="str">
        <f>HYPERLINK("http://genome.ucsc.edu/cgi-bin/hgTracks?db=mm9&amp;position=chr4:97248633-97785567","LINK:chr4:97248633-97785567")</f>
        <v>LINK:chr4:97248633-97785567</v>
      </c>
    </row>
    <row r="10" spans="1:9" x14ac:dyDescent="0.2">
      <c r="A10" s="2" t="str">
        <f>T("Nfyc")</f>
        <v>Nfyc</v>
      </c>
      <c r="B10" s="2">
        <v>315.75700000000001</v>
      </c>
      <c r="C10" s="2">
        <v>1</v>
      </c>
      <c r="D10" s="3">
        <v>1.22E-70</v>
      </c>
      <c r="E10" s="3">
        <v>2.36E-67</v>
      </c>
      <c r="F10" s="2">
        <v>5</v>
      </c>
      <c r="G10" s="2" t="s">
        <v>25</v>
      </c>
      <c r="H10" s="2" t="s">
        <v>26</v>
      </c>
      <c r="I10" s="2" t="str">
        <f>HYPERLINK("http://genome.ucsc.edu/cgi-bin/hgTracks?db=mm9&amp;position=chr4:120430039-120504180","LINK:chr4:120430039-120504180")</f>
        <v>LINK:chr4:120430039-120504180</v>
      </c>
    </row>
    <row r="11" spans="1:9" x14ac:dyDescent="0.2">
      <c r="A11" s="2" t="str">
        <f>T("Pde4b")</f>
        <v>Pde4b</v>
      </c>
      <c r="B11" s="2">
        <v>65.703999999999994</v>
      </c>
      <c r="C11" s="2">
        <v>1</v>
      </c>
      <c r="D11" s="3">
        <v>5.2400000000000003E-16</v>
      </c>
      <c r="E11" s="3">
        <v>8.4699999999999995E-14</v>
      </c>
      <c r="F11" s="2">
        <v>5</v>
      </c>
      <c r="G11" s="2" t="s">
        <v>27</v>
      </c>
      <c r="H11" s="2" t="s">
        <v>28</v>
      </c>
      <c r="I11" s="2" t="str">
        <f>HYPERLINK("http://genome.ucsc.edu/cgi-bin/hgTracks?db=mm9&amp;position=chr4:101927543-102279867","LINK:chr4:101927543-102279867")</f>
        <v>LINK:chr4:101927543-102279867</v>
      </c>
    </row>
    <row r="12" spans="1:9" x14ac:dyDescent="0.2">
      <c r="A12" s="2" t="str">
        <f>T("Bcl2")</f>
        <v>Bcl2</v>
      </c>
      <c r="B12" s="2">
        <v>96.94</v>
      </c>
      <c r="C12" s="2">
        <v>1</v>
      </c>
      <c r="D12" s="3">
        <v>7.15E-23</v>
      </c>
      <c r="E12" s="3">
        <v>3.1400000000000001E-20</v>
      </c>
      <c r="F12" s="2">
        <v>4</v>
      </c>
      <c r="G12" s="2" t="s">
        <v>29</v>
      </c>
      <c r="H12" s="2" t="s">
        <v>30</v>
      </c>
      <c r="I12" s="2" t="str">
        <f>HYPERLINK("http://genome.ucsc.edu/cgi-bin/hgTracks?db=mm9&amp;position=chr1:108434755-108610867","LINK:chr1:108434755-108610867")</f>
        <v>LINK:chr1:108434755-108610867</v>
      </c>
    </row>
    <row r="13" spans="1:9" x14ac:dyDescent="0.2">
      <c r="A13" s="2" t="str">
        <f>T("Cdkn2a")</f>
        <v>Cdkn2a</v>
      </c>
      <c r="B13" s="2">
        <v>555.13900000000001</v>
      </c>
      <c r="C13" s="2">
        <v>1</v>
      </c>
      <c r="D13" s="2">
        <v>0</v>
      </c>
      <c r="E13" s="2">
        <v>0</v>
      </c>
      <c r="F13" s="2">
        <v>4</v>
      </c>
      <c r="G13" s="2" t="s">
        <v>31</v>
      </c>
      <c r="H13" s="2" t="s">
        <v>32</v>
      </c>
      <c r="I13" s="2" t="str">
        <f>HYPERLINK("http://genome.ucsc.edu/cgi-bin/hgTracks?db=mm9&amp;position=chr4:88920376-88940523","LINK:chr4:88920376-88940523")</f>
        <v>LINK:chr4:88920376-88940523</v>
      </c>
    </row>
    <row r="14" spans="1:9" x14ac:dyDescent="0.2">
      <c r="A14" s="2" t="str">
        <f>T("Dyrk1a")</f>
        <v>Dyrk1a</v>
      </c>
      <c r="B14" s="2">
        <v>128.959</v>
      </c>
      <c r="C14" s="2">
        <v>1</v>
      </c>
      <c r="D14" s="3">
        <v>6.9199999999999997E-30</v>
      </c>
      <c r="E14" s="3">
        <v>5.5600000000000003E-27</v>
      </c>
      <c r="F14" s="2">
        <v>4</v>
      </c>
      <c r="G14" s="2" t="s">
        <v>33</v>
      </c>
      <c r="H14" s="2" t="s">
        <v>34</v>
      </c>
      <c r="I14" s="2" t="str">
        <f>HYPERLINK("http://genome.ucsc.edu/cgi-bin/hgTracks?db=mm9&amp;position=chr16:94791812-94917126","LINK:chr16:94791812-94917126")</f>
        <v>LINK:chr16:94791812-94917126</v>
      </c>
    </row>
    <row r="15" spans="1:9" x14ac:dyDescent="0.2">
      <c r="A15" s="2" t="str">
        <f>T("Ncoa2")</f>
        <v>Ncoa2</v>
      </c>
      <c r="B15" s="2">
        <v>74.010999999999996</v>
      </c>
      <c r="C15" s="2">
        <v>1</v>
      </c>
      <c r="D15" s="3">
        <v>7.7699999999999995E-18</v>
      </c>
      <c r="E15" s="3">
        <v>1.6699999999999999E-15</v>
      </c>
      <c r="F15" s="2">
        <v>4</v>
      </c>
      <c r="G15" s="2" t="s">
        <v>35</v>
      </c>
      <c r="H15" s="2" t="s">
        <v>36</v>
      </c>
      <c r="I15" s="2" t="str">
        <f>HYPERLINK("http://genome.ucsc.edu/cgi-bin/hgTracks?db=mm9&amp;position=chr1:13129239-13364164","LINK:chr1:13129239-13364164")</f>
        <v>LINK:chr1:13129239-13364164</v>
      </c>
    </row>
    <row r="16" spans="1:9" x14ac:dyDescent="0.2">
      <c r="A16" s="2" t="str">
        <f>T("Pkhd1")</f>
        <v>Pkhd1</v>
      </c>
      <c r="B16" s="2">
        <v>22.405000000000001</v>
      </c>
      <c r="C16" s="2">
        <v>1</v>
      </c>
      <c r="D16" s="3">
        <v>2.21E-6</v>
      </c>
      <c r="E16" s="2">
        <v>1.2400000000000001E-4</v>
      </c>
      <c r="F16" s="2">
        <v>4</v>
      </c>
      <c r="G16" s="2" t="s">
        <v>37</v>
      </c>
      <c r="H16" s="2" t="s">
        <v>38</v>
      </c>
      <c r="I16" s="2" t="str">
        <f>HYPERLINK("http://genome.ucsc.edu/cgi-bin/hgTracks?db=mm9&amp;position=chr1:20047859-20608138","LINK:chr1:20047859-20608138")</f>
        <v>LINK:chr1:20047859-20608138</v>
      </c>
    </row>
    <row r="17" spans="1:9" x14ac:dyDescent="0.2">
      <c r="A17" s="2" t="str">
        <f>T("Tle1")</f>
        <v>Tle1</v>
      </c>
      <c r="B17" s="2">
        <v>175.13</v>
      </c>
      <c r="C17" s="2">
        <v>1</v>
      </c>
      <c r="D17" s="3">
        <v>5.6099999999999998E-40</v>
      </c>
      <c r="E17" s="3">
        <v>5.9300000000000002E-37</v>
      </c>
      <c r="F17" s="2">
        <v>4</v>
      </c>
      <c r="G17" s="2" t="s">
        <v>39</v>
      </c>
      <c r="H17" s="2" t="s">
        <v>40</v>
      </c>
      <c r="I17" s="2" t="str">
        <f>HYPERLINK("http://genome.ucsc.edu/cgi-bin/hgTracks?db=mm9&amp;position=chr4:71778175-71861953","LINK:chr4:71778175-71861953")</f>
        <v>LINK:chr4:71778175-71861953</v>
      </c>
    </row>
    <row r="18" spans="1:9" x14ac:dyDescent="0.2">
      <c r="A18" s="2" t="str">
        <f>T("0610043K17Rik")</f>
        <v>0610043K17Rik</v>
      </c>
      <c r="B18" s="2">
        <v>184.708</v>
      </c>
      <c r="C18" s="2">
        <v>1</v>
      </c>
      <c r="D18" s="3">
        <v>4.5400000000000002E-42</v>
      </c>
      <c r="E18" s="3">
        <v>5.29E-39</v>
      </c>
      <c r="F18" s="2">
        <v>3</v>
      </c>
      <c r="G18" s="2" t="s">
        <v>41</v>
      </c>
      <c r="H18" s="2" t="s">
        <v>42</v>
      </c>
      <c r="I18" s="2" t="str">
        <f>HYPERLINK("http://genome.ucsc.edu/cgi-bin/hgTracks?db=mm9&amp;position=chr4:101026387-101071790","LINK:chr4:101026387-101071790")</f>
        <v>LINK:chr4:101026387-101071790</v>
      </c>
    </row>
    <row r="19" spans="1:9" x14ac:dyDescent="0.2">
      <c r="A19" s="2" t="str">
        <f>T("Acer2")</f>
        <v>Acer2</v>
      </c>
      <c r="B19" s="2">
        <v>183.72499999999999</v>
      </c>
      <c r="C19" s="2">
        <v>1</v>
      </c>
      <c r="D19" s="3">
        <v>7.4499999999999994E-42</v>
      </c>
      <c r="E19" s="3">
        <v>8.2500000000000006E-39</v>
      </c>
      <c r="F19" s="2">
        <v>3</v>
      </c>
      <c r="G19" s="2" t="s">
        <v>43</v>
      </c>
      <c r="H19" s="2" t="s">
        <v>44</v>
      </c>
      <c r="I19" s="2" t="str">
        <f>HYPERLINK("http://genome.ucsc.edu/cgi-bin/hgTracks?db=mm9&amp;position=chr4:86520317-86566785","LINK:chr4:86520317-86566785")</f>
        <v>LINK:chr4:86520317-86566785</v>
      </c>
    </row>
    <row r="20" spans="1:9" x14ac:dyDescent="0.2">
      <c r="A20" s="2" t="str">
        <f>T("BC057079")</f>
        <v>BC057079</v>
      </c>
      <c r="B20" s="2">
        <v>24.029</v>
      </c>
      <c r="C20" s="2">
        <v>1</v>
      </c>
      <c r="D20" s="3">
        <v>9.4900000000000004E-7</v>
      </c>
      <c r="E20" s="3">
        <v>5.6799999999999998E-5</v>
      </c>
      <c r="F20" s="2">
        <v>3</v>
      </c>
      <c r="G20" s="2" t="s">
        <v>45</v>
      </c>
      <c r="H20" s="2" t="s">
        <v>46</v>
      </c>
      <c r="I20" s="2" t="str">
        <f>HYPERLINK("http://genome.ucsc.edu/cgi-bin/hgTracks?db=mm9&amp;position=chr4:87740533-88056915","LINK:chr4:87740533-88056915")</f>
        <v>LINK:chr4:87740533-88056915</v>
      </c>
    </row>
    <row r="21" spans="1:9" x14ac:dyDescent="0.2">
      <c r="A21" s="2" t="str">
        <f>T("Clasp1")</f>
        <v>Clasp1</v>
      </c>
      <c r="B21" s="2">
        <v>44.621000000000002</v>
      </c>
      <c r="C21" s="2">
        <v>1</v>
      </c>
      <c r="D21" s="3">
        <v>2.39E-11</v>
      </c>
      <c r="E21" s="3">
        <v>2.2400000000000001E-9</v>
      </c>
      <c r="F21" s="2">
        <v>3</v>
      </c>
      <c r="G21" s="2" t="s">
        <v>47</v>
      </c>
      <c r="H21" s="2" t="s">
        <v>48</v>
      </c>
      <c r="I21" s="2" t="str">
        <f>HYPERLINK("http://genome.ucsc.edu/cgi-bin/hgTracks?db=mm9&amp;position=chr1:120285634-120506039","LINK:chr1:120285634-120506039")</f>
        <v>LINK:chr1:120285634-120506039</v>
      </c>
    </row>
    <row r="22" spans="1:9" x14ac:dyDescent="0.2">
      <c r="A22" s="2" t="str">
        <f>T("Fli1")</f>
        <v>Fli1</v>
      </c>
      <c r="B22" s="2">
        <v>94.554000000000002</v>
      </c>
      <c r="C22" s="2">
        <v>1</v>
      </c>
      <c r="D22" s="3">
        <v>2.3899999999999999E-22</v>
      </c>
      <c r="E22" s="3">
        <v>9.2500000000000001E-20</v>
      </c>
      <c r="F22" s="2">
        <v>3</v>
      </c>
      <c r="G22" s="2" t="s">
        <v>49</v>
      </c>
      <c r="H22" s="2" t="s">
        <v>50</v>
      </c>
      <c r="I22" s="2" t="str">
        <f>HYPERLINK("http://genome.ucsc.edu/cgi-bin/hgTracks?db=mm9&amp;position=chr9:32229792-32348953","LINK:chr9:32229792-32348953")</f>
        <v>LINK:chr9:32229792-32348953</v>
      </c>
    </row>
    <row r="23" spans="1:9" x14ac:dyDescent="0.2">
      <c r="A23" s="2" t="str">
        <f>T("Flt3")</f>
        <v>Flt3</v>
      </c>
      <c r="B23" s="2">
        <v>138.596</v>
      </c>
      <c r="C23" s="2">
        <v>1</v>
      </c>
      <c r="D23" s="3">
        <v>5.3999999999999996E-32</v>
      </c>
      <c r="E23" s="3">
        <v>5.0199999999999999E-29</v>
      </c>
      <c r="F23" s="2">
        <v>3</v>
      </c>
      <c r="G23" s="2" t="s">
        <v>51</v>
      </c>
      <c r="H23" s="2" t="s">
        <v>52</v>
      </c>
      <c r="I23" s="2" t="str">
        <f>HYPERLINK("http://genome.ucsc.edu/cgi-bin/hgTracks?db=mm9&amp;position=chr5:148142316-148212065","LINK:chr5:148142316-148212065")</f>
        <v>LINK:chr5:148142316-148212065</v>
      </c>
    </row>
    <row r="24" spans="1:9" x14ac:dyDescent="0.2">
      <c r="A24" s="2" t="str">
        <f>T("Gigyf1")</f>
        <v>Gigyf1</v>
      </c>
      <c r="B24" s="2">
        <v>744.85599999999999</v>
      </c>
      <c r="C24" s="2">
        <v>1</v>
      </c>
      <c r="D24" s="2">
        <v>0</v>
      </c>
      <c r="E24" s="2">
        <v>0</v>
      </c>
      <c r="F24" s="2">
        <v>3</v>
      </c>
      <c r="G24" s="2" t="s">
        <v>53</v>
      </c>
      <c r="H24" s="2" t="s">
        <v>54</v>
      </c>
      <c r="I24" s="2" t="str">
        <f>HYPERLINK("http://genome.ucsc.edu/cgi-bin/hgTracks?db=mm9&amp;position=chr5:137960107-137969163","LINK:chr5:137960107-137969163")</f>
        <v>LINK:chr5:137960107-137969163</v>
      </c>
    </row>
    <row r="25" spans="1:9" x14ac:dyDescent="0.2">
      <c r="A25" s="2" t="str">
        <f>T("Jarid2")</f>
        <v>Jarid2</v>
      </c>
      <c r="B25" s="2">
        <v>46.250999999999998</v>
      </c>
      <c r="C25" s="2">
        <v>1</v>
      </c>
      <c r="D25" s="3">
        <v>1.0399999999999999E-11</v>
      </c>
      <c r="E25" s="3">
        <v>1.02E-9</v>
      </c>
      <c r="F25" s="2">
        <v>3</v>
      </c>
      <c r="G25" s="2" t="s">
        <v>55</v>
      </c>
      <c r="H25" s="2" t="s">
        <v>56</v>
      </c>
      <c r="I25" s="2" t="str">
        <f>HYPERLINK("http://genome.ucsc.edu/cgi-bin/hgTracks?db=mm9&amp;position=chr13:44826142-45017012","LINK:chr13:44826142-45017012")</f>
        <v>LINK:chr13:44826142-45017012</v>
      </c>
    </row>
    <row r="26" spans="1:9" x14ac:dyDescent="0.2">
      <c r="A26" s="2" t="str">
        <f>T("Kras")</f>
        <v>Kras</v>
      </c>
      <c r="B26" s="2">
        <v>191.47</v>
      </c>
      <c r="C26" s="2">
        <v>1</v>
      </c>
      <c r="D26" s="3">
        <v>1.52E-43</v>
      </c>
      <c r="E26" s="3">
        <v>1.8599999999999999E-40</v>
      </c>
      <c r="F26" s="2">
        <v>3</v>
      </c>
      <c r="G26" s="2" t="s">
        <v>57</v>
      </c>
      <c r="H26" s="2" t="s">
        <v>58</v>
      </c>
      <c r="I26" s="2" t="str">
        <f>HYPERLINK("http://genome.ucsc.edu/cgi-bin/hgTracks?db=mm9&amp;position=chr6:145165218-145198751","LINK:chr6:145165218-145198751")</f>
        <v>LINK:chr6:145165218-145198751</v>
      </c>
    </row>
    <row r="27" spans="1:9" x14ac:dyDescent="0.2">
      <c r="A27" s="2" t="str">
        <f>T("Megf9")</f>
        <v>Megf9</v>
      </c>
      <c r="B27" s="2">
        <v>66.635000000000005</v>
      </c>
      <c r="C27" s="2">
        <v>1</v>
      </c>
      <c r="D27" s="3">
        <v>3.2699999999999999E-16</v>
      </c>
      <c r="E27" s="3">
        <v>5.4700000000000003E-14</v>
      </c>
      <c r="F27" s="2">
        <v>3</v>
      </c>
      <c r="G27" s="2" t="s">
        <v>59</v>
      </c>
      <c r="H27" s="2" t="s">
        <v>60</v>
      </c>
      <c r="I27" s="2" t="str">
        <f>HYPERLINK("http://genome.ucsc.edu/cgi-bin/hgTracks?db=mm9&amp;position=chr4:70092960-70195962","LINK:chr4:70092960-70195962")</f>
        <v>LINK:chr4:70092960-70195962</v>
      </c>
    </row>
    <row r="28" spans="1:9" x14ac:dyDescent="0.2">
      <c r="A28" s="2" t="str">
        <f>T("Mrps9")</f>
        <v>Mrps9</v>
      </c>
      <c r="B28" s="2">
        <v>135.453</v>
      </c>
      <c r="C28" s="2">
        <v>1</v>
      </c>
      <c r="D28" s="3">
        <v>2.6299999999999999E-31</v>
      </c>
      <c r="E28" s="3">
        <v>2.2699999999999998E-28</v>
      </c>
      <c r="F28" s="2">
        <v>3</v>
      </c>
      <c r="G28" s="2" t="s">
        <v>61</v>
      </c>
      <c r="H28" s="2" t="s">
        <v>62</v>
      </c>
      <c r="I28" s="2" t="str">
        <f>HYPERLINK("http://genome.ucsc.edu/cgi-bin/hgTracks?db=mm9&amp;position=chr1:42908077-42962528","LINK:chr1:42908077-42962528")</f>
        <v>LINK:chr1:42908077-42962528</v>
      </c>
    </row>
    <row r="29" spans="1:9" x14ac:dyDescent="0.2">
      <c r="A29" s="2" t="str">
        <f>T("Mtap2")</f>
        <v>Mtap2</v>
      </c>
      <c r="B29" s="2">
        <v>26.08</v>
      </c>
      <c r="C29" s="2">
        <v>1</v>
      </c>
      <c r="D29" s="3">
        <v>3.2800000000000003E-7</v>
      </c>
      <c r="E29" s="3">
        <v>2.09E-5</v>
      </c>
      <c r="F29" s="2">
        <v>3</v>
      </c>
      <c r="G29" s="2" t="s">
        <v>63</v>
      </c>
      <c r="H29" s="2" t="s">
        <v>64</v>
      </c>
      <c r="I29" s="2" t="str">
        <f>HYPERLINK("http://genome.ucsc.edu/cgi-bin/hgTracks?db=mm9&amp;position=chr1:66221902-66489157","LINK:chr1:66221902-66489157")</f>
        <v>LINK:chr1:66221902-66489157</v>
      </c>
    </row>
    <row r="30" spans="1:9" x14ac:dyDescent="0.2">
      <c r="A30" s="2" t="str">
        <f>T("Myo1b")</f>
        <v>Myo1b</v>
      </c>
      <c r="B30" s="2">
        <v>56.156999999999996</v>
      </c>
      <c r="C30" s="2">
        <v>1</v>
      </c>
      <c r="D30" s="3">
        <v>6.6899999999999998E-14</v>
      </c>
      <c r="E30" s="3">
        <v>8.0300000000000003E-12</v>
      </c>
      <c r="F30" s="2">
        <v>3</v>
      </c>
      <c r="G30" s="2" t="s">
        <v>65</v>
      </c>
      <c r="H30" s="2" t="s">
        <v>66</v>
      </c>
      <c r="I30" s="2" t="str">
        <f>HYPERLINK("http://genome.ucsc.edu/cgi-bin/hgTracks?db=mm9&amp;position=chr1:51806609-51972818","LINK:chr1:51806609-51972818")</f>
        <v>LINK:chr1:51806609-51972818</v>
      </c>
    </row>
    <row r="31" spans="1:9" x14ac:dyDescent="0.2">
      <c r="A31" s="2" t="str">
        <f>T("Plcl1")</f>
        <v>Plcl1</v>
      </c>
      <c r="B31" s="2">
        <v>22.620999999999999</v>
      </c>
      <c r="C31" s="2">
        <v>1</v>
      </c>
      <c r="D31" s="3">
        <v>1.9700000000000002E-6</v>
      </c>
      <c r="E31" s="2">
        <v>1.11E-4</v>
      </c>
      <c r="F31" s="2">
        <v>3</v>
      </c>
      <c r="G31" s="2" t="s">
        <v>67</v>
      </c>
      <c r="H31" s="2" t="s">
        <v>68</v>
      </c>
      <c r="I31" s="2" t="str">
        <f>HYPERLINK("http://genome.ucsc.edu/cgi-bin/hgTracks?db=mm9&amp;position=chr1:55462789-55811129","LINK:chr1:55462789-55811129")</f>
        <v>LINK:chr1:55462789-55811129</v>
      </c>
    </row>
    <row r="32" spans="1:9" x14ac:dyDescent="0.2">
      <c r="A32" s="2" t="str">
        <f>T("Pop7")</f>
        <v>Pop7</v>
      </c>
      <c r="B32" s="2">
        <v>937.86</v>
      </c>
      <c r="C32" s="2">
        <v>1</v>
      </c>
      <c r="D32" s="2">
        <v>0</v>
      </c>
      <c r="E32" s="2">
        <v>0</v>
      </c>
      <c r="F32" s="2">
        <v>3</v>
      </c>
      <c r="G32" s="2" t="s">
        <v>53</v>
      </c>
      <c r="H32" s="2" t="s">
        <v>54</v>
      </c>
      <c r="I32" s="2" t="str">
        <f>HYPERLINK("http://genome.ucsc.edu/cgi-bin/hgTracks?db=mm9&amp;position=chr5:137942666-137943657","LINK:chr5:137942666-137943657")</f>
        <v>LINK:chr5:137942666-137943657</v>
      </c>
    </row>
    <row r="33" spans="1:9" x14ac:dyDescent="0.2">
      <c r="A33" s="2" t="str">
        <f>T("Ptpn4")</f>
        <v>Ptpn4</v>
      </c>
      <c r="B33" s="2">
        <v>38.841000000000001</v>
      </c>
      <c r="C33" s="2">
        <v>1</v>
      </c>
      <c r="D33" s="3">
        <v>4.6000000000000001E-10</v>
      </c>
      <c r="E33" s="3">
        <v>3.8899999999999998E-8</v>
      </c>
      <c r="F33" s="2">
        <v>3</v>
      </c>
      <c r="G33" s="2" t="s">
        <v>69</v>
      </c>
      <c r="H33" s="2" t="s">
        <v>70</v>
      </c>
      <c r="I33" s="2" t="str">
        <f>HYPERLINK("http://genome.ucsc.edu/cgi-bin/hgTracks?db=mm9&amp;position=chr1:121554669-121733648","LINK:chr1:121554669-121733648")</f>
        <v>LINK:chr1:121554669-121733648</v>
      </c>
    </row>
    <row r="34" spans="1:9" x14ac:dyDescent="0.2">
      <c r="A34" s="2" t="str">
        <f>T("Scmh1")</f>
        <v>Scmh1</v>
      </c>
      <c r="B34" s="2">
        <v>61.802999999999997</v>
      </c>
      <c r="C34" s="2">
        <v>1</v>
      </c>
      <c r="D34" s="3">
        <v>3.8000000000000002E-15</v>
      </c>
      <c r="E34" s="3">
        <v>5.2599999999999998E-13</v>
      </c>
      <c r="F34" s="2">
        <v>3</v>
      </c>
      <c r="G34" s="2" t="s">
        <v>71</v>
      </c>
      <c r="H34" s="2" t="s">
        <v>72</v>
      </c>
      <c r="I34" s="2" t="str">
        <f>HYPERLINK("http://genome.ucsc.edu/cgi-bin/hgTracks?db=mm9&amp;position=chr4:120077885-120202804","LINK:chr4:120077885-120202804")</f>
        <v>LINK:chr4:120077885-120202804</v>
      </c>
    </row>
    <row r="35" spans="1:9" x14ac:dyDescent="0.2">
      <c r="A35" s="2" t="str">
        <f>T("Stat5b")</f>
        <v>Stat5b</v>
      </c>
      <c r="B35" s="2">
        <v>155.137</v>
      </c>
      <c r="C35" s="2">
        <v>1</v>
      </c>
      <c r="D35" s="3">
        <v>1.31E-35</v>
      </c>
      <c r="E35" s="3">
        <v>1.2700000000000001E-32</v>
      </c>
      <c r="F35" s="2">
        <v>3</v>
      </c>
      <c r="G35" s="2" t="s">
        <v>73</v>
      </c>
      <c r="H35" s="2" t="s">
        <v>74</v>
      </c>
      <c r="I35" s="2" t="str">
        <f>HYPERLINK("http://genome.ucsc.edu/cgi-bin/hgTracks?db=mm9&amp;position=chr11:100642044-100711899","LINK:chr11:100642044-100711899")</f>
        <v>LINK:chr11:100642044-100711899</v>
      </c>
    </row>
    <row r="36" spans="1:9" x14ac:dyDescent="0.2">
      <c r="A36" s="2" t="str">
        <f>T("Tbc1d8")</f>
        <v>Tbc1d8</v>
      </c>
      <c r="B36" s="2">
        <v>104.03400000000001</v>
      </c>
      <c r="C36" s="2">
        <v>1</v>
      </c>
      <c r="D36" s="3">
        <v>1.9899999999999999E-24</v>
      </c>
      <c r="E36" s="3">
        <v>1.0299999999999999E-21</v>
      </c>
      <c r="F36" s="2">
        <v>3</v>
      </c>
      <c r="G36" s="2" t="s">
        <v>75</v>
      </c>
      <c r="H36" s="2" t="s">
        <v>76</v>
      </c>
      <c r="I36" s="2" t="str">
        <f>HYPERLINK("http://genome.ucsc.edu/cgi-bin/hgTracks?db=mm9&amp;position=chr1:39428341-39535592","LINK:chr1:39428341-39535592")</f>
        <v>LINK:chr1:39428341-39535592</v>
      </c>
    </row>
    <row r="37" spans="1:9" x14ac:dyDescent="0.2">
      <c r="A37" s="2" t="str">
        <f>T("Trip12")</f>
        <v>Trip12</v>
      </c>
      <c r="B37" s="2">
        <v>61.338999999999999</v>
      </c>
      <c r="C37" s="2">
        <v>1</v>
      </c>
      <c r="D37" s="3">
        <v>4.8099999999999997E-15</v>
      </c>
      <c r="E37" s="3">
        <v>6.5800000000000002E-13</v>
      </c>
      <c r="F37" s="2">
        <v>3</v>
      </c>
      <c r="G37" s="2" t="s">
        <v>77</v>
      </c>
      <c r="H37" s="2" t="s">
        <v>78</v>
      </c>
      <c r="I37" s="2" t="str">
        <f>HYPERLINK("http://genome.ucsc.edu/cgi-bin/hgTracks?db=mm9&amp;position=chr1:84717763-84835879","LINK:chr1:84717763-84835879")</f>
        <v>LINK:chr1:84717763-84835879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8760-C06D-A34D-BC7C-340889204F02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T-ALL only total gCIS</vt:lpstr>
      <vt:lpstr>EL only total gCIS</vt:lpstr>
      <vt:lpstr>Sheet3</vt:lpstr>
      <vt:lpstr>'T-ALL only total gCIS'!gCIS.txt_all_total_cis_upload_2_cutoff</vt:lpstr>
      <vt:lpstr>'EL only total gCIS'!gCIS.txt_el_only_total_cis_upload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LOEB</dc:creator>
  <cp:lastModifiedBy>Bruce Clurman</cp:lastModifiedBy>
  <dcterms:created xsi:type="dcterms:W3CDTF">2018-10-30T23:28:47Z</dcterms:created>
  <dcterms:modified xsi:type="dcterms:W3CDTF">2018-12-01T18:20:18Z</dcterms:modified>
</cp:coreProperties>
</file>