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8800" windowHeight="16440"/>
  </bookViews>
  <sheets>
    <sheet name="Summary" sheetId="1" r:id="rId1"/>
    <sheet name="LAND PREPARATION" sheetId="2" r:id="rId2"/>
    <sheet name="TRANSPLANTING" sheetId="3" r:id="rId3"/>
    <sheet name="agr inputs" sheetId="4" state="hidden" r:id="rId4"/>
    <sheet name="Fertilizer 2015WS" sheetId="12" r:id="rId5"/>
    <sheet name="Fertilizer 2016DS" sheetId="13" r:id="rId6"/>
    <sheet name="FERTILIZER APPLICATION" sheetId="5" state="hidden" r:id="rId7"/>
    <sheet name="Grain and ricestraw" sheetId="6" r:id="rId8"/>
    <sheet name="Energy - WS2015" sheetId="8" r:id="rId9"/>
    <sheet name="Energy - DS2016" sheetId="9" r:id="rId10"/>
    <sheet name="GHFE and Human Toxicity" sheetId="11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Pal_Workbook_GUID" hidden="1">"E9V6PLUVZP5PPPYKTXH158G9"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ATSTbaselineRequested" hidden="1">TRUE</definedName>
    <definedName name="riskATSTboxGraph" hidden="1">TRUE</definedName>
    <definedName name="riskATSTcomparisonGraph" hidden="1">TRUE</definedName>
    <definedName name="riskATSThistogramGraph" hidden="1">FALSE</definedName>
    <definedName name="riskATSToutputStatistic" hidden="1">4</definedName>
    <definedName name="riskATSTprintReport" hidden="1">FALSE</definedName>
    <definedName name="riskATSTreportsInActiveBook" hidden="1">FALSE</definedName>
    <definedName name="riskATSTreportsSelected" hidden="1">TRUE</definedName>
    <definedName name="riskATSTsequentialStress" hidden="1">TRUE</definedName>
    <definedName name="riskATSTsummaryReport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Optimization" hidden="1">TRUE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tress1TF" hidden="1">0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Z_B6B32F45_A9D9_479B_AD0E_29A61458D679_.wvu.Cols" localSheetId="10" hidden="1">'GHFE and Human Toxicity'!$F:$R</definedName>
    <definedName name="Z_B6B32F45_A9D9_479B_AD0E_29A61458D679_.wvu.Cols" localSheetId="7" hidden="1">'Grain and ricestraw'!$AG:$AQ</definedName>
    <definedName name="Z_B6B32F45_A9D9_479B_AD0E_29A61458D679_.wvu.Cols" localSheetId="0" hidden="1">Summary!$A:$H,Summary!$AB:$AJ</definedName>
    <definedName name="Z_B6B32F45_A9D9_479B_AD0E_29A61458D679_.wvu.Rows" localSheetId="0" hidden="1">Summary!$1:$41</definedName>
  </definedNames>
  <calcPr calcId="191029"/>
  <customWorkbookViews>
    <customWorkbookView name="Nguyen Van, Hung (IRRI) - Personal View" guid="{B6B32F45-A9D9-479B-AD0E-29A61458D679}" mergeInterval="0" personalView="1" maximized="1" windowWidth="1920" windowHeight="89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95" i="13" l="1"/>
  <c r="H94" i="13" s="1"/>
  <c r="E94" i="13"/>
  <c r="G94" i="13" s="1"/>
  <c r="D94" i="13"/>
  <c r="G93" i="13"/>
  <c r="E93" i="13"/>
  <c r="D93" i="13"/>
  <c r="H92" i="13"/>
  <c r="D92" i="13"/>
  <c r="E92" i="13" s="1"/>
  <c r="G92" i="13" s="1"/>
  <c r="H91" i="13"/>
  <c r="E91" i="13"/>
  <c r="G91" i="13" s="1"/>
  <c r="D91" i="13"/>
  <c r="H90" i="13"/>
  <c r="E90" i="13"/>
  <c r="G90" i="13" s="1"/>
  <c r="D90" i="13"/>
  <c r="H89" i="13"/>
  <c r="G89" i="13"/>
  <c r="E89" i="13"/>
  <c r="D89" i="13"/>
  <c r="H88" i="13"/>
  <c r="D88" i="13"/>
  <c r="E88" i="13" s="1"/>
  <c r="G88" i="13" s="1"/>
  <c r="H87" i="13"/>
  <c r="E87" i="13"/>
  <c r="G87" i="13" s="1"/>
  <c r="D87" i="13"/>
  <c r="H86" i="13"/>
  <c r="E86" i="13"/>
  <c r="G86" i="13" s="1"/>
  <c r="D86" i="13"/>
  <c r="H85" i="13"/>
  <c r="G85" i="13"/>
  <c r="E85" i="13"/>
  <c r="D85" i="13"/>
  <c r="H84" i="13"/>
  <c r="D84" i="13"/>
  <c r="E84" i="13" s="1"/>
  <c r="G84" i="13" s="1"/>
  <c r="H83" i="13"/>
  <c r="E83" i="13"/>
  <c r="G83" i="13" s="1"/>
  <c r="D83" i="13"/>
  <c r="B73" i="13"/>
  <c r="B75" i="13" s="1"/>
  <c r="C60" i="13"/>
  <c r="H59" i="13"/>
  <c r="D59" i="13"/>
  <c r="E59" i="13" s="1"/>
  <c r="G59" i="13" s="1"/>
  <c r="H58" i="13"/>
  <c r="E58" i="13"/>
  <c r="G58" i="13" s="1"/>
  <c r="D58" i="13"/>
  <c r="H57" i="13"/>
  <c r="D57" i="13"/>
  <c r="E57" i="13" s="1"/>
  <c r="G57" i="13" s="1"/>
  <c r="H56" i="13"/>
  <c r="G56" i="13"/>
  <c r="E56" i="13"/>
  <c r="D56" i="13"/>
  <c r="H55" i="13"/>
  <c r="D55" i="13"/>
  <c r="E55" i="13" s="1"/>
  <c r="G55" i="13" s="1"/>
  <c r="H54" i="13"/>
  <c r="E54" i="13"/>
  <c r="G54" i="13" s="1"/>
  <c r="D54" i="13"/>
  <c r="H53" i="13"/>
  <c r="D53" i="13"/>
  <c r="E53" i="13" s="1"/>
  <c r="G53" i="13" s="1"/>
  <c r="H52" i="13"/>
  <c r="G52" i="13"/>
  <c r="E52" i="13"/>
  <c r="D52" i="13"/>
  <c r="H51" i="13"/>
  <c r="H60" i="13" s="1"/>
  <c r="D51" i="13"/>
  <c r="E51" i="13" s="1"/>
  <c r="G51" i="13" s="1"/>
  <c r="H50" i="13"/>
  <c r="E50" i="13"/>
  <c r="G50" i="13" s="1"/>
  <c r="D50" i="13"/>
  <c r="H49" i="13"/>
  <c r="D49" i="13"/>
  <c r="E49" i="13" s="1"/>
  <c r="G49" i="13" s="1"/>
  <c r="H48" i="13"/>
  <c r="G48" i="13"/>
  <c r="E48" i="13"/>
  <c r="D48" i="13"/>
  <c r="B40" i="13"/>
  <c r="B38" i="13"/>
  <c r="B39" i="13" s="1"/>
  <c r="F27" i="13"/>
  <c r="F29" i="13" s="1"/>
  <c r="H29" i="13" s="1"/>
  <c r="C26" i="13"/>
  <c r="H25" i="13"/>
  <c r="E25" i="13"/>
  <c r="G25" i="13" s="1"/>
  <c r="D25" i="13"/>
  <c r="H24" i="13"/>
  <c r="E24" i="13"/>
  <c r="G24" i="13" s="1"/>
  <c r="D24" i="13"/>
  <c r="H23" i="13"/>
  <c r="E23" i="13"/>
  <c r="G23" i="13" s="1"/>
  <c r="D23" i="13"/>
  <c r="H22" i="13"/>
  <c r="E22" i="13"/>
  <c r="G22" i="13" s="1"/>
  <c r="D22" i="13"/>
  <c r="H21" i="13"/>
  <c r="E21" i="13"/>
  <c r="G21" i="13" s="1"/>
  <c r="D21" i="13"/>
  <c r="H20" i="13"/>
  <c r="E20" i="13"/>
  <c r="G20" i="13" s="1"/>
  <c r="D20" i="13"/>
  <c r="H19" i="13"/>
  <c r="E19" i="13"/>
  <c r="G19" i="13" s="1"/>
  <c r="D19" i="13"/>
  <c r="H18" i="13"/>
  <c r="E18" i="13"/>
  <c r="G18" i="13" s="1"/>
  <c r="D18" i="13"/>
  <c r="H17" i="13"/>
  <c r="E17" i="13"/>
  <c r="G17" i="13" s="1"/>
  <c r="D17" i="13"/>
  <c r="H16" i="13"/>
  <c r="E16" i="13"/>
  <c r="G16" i="13" s="1"/>
  <c r="D16" i="13"/>
  <c r="H15" i="13"/>
  <c r="E15" i="13"/>
  <c r="G15" i="13" s="1"/>
  <c r="D15" i="13"/>
  <c r="H14" i="13"/>
  <c r="E14" i="13"/>
  <c r="G14" i="13" s="1"/>
  <c r="D14" i="13"/>
  <c r="J4" i="13"/>
  <c r="K4" i="13" s="1"/>
  <c r="G105" i="12"/>
  <c r="H105" i="12" s="1"/>
  <c r="F105" i="12"/>
  <c r="C97" i="12"/>
  <c r="F92" i="12" s="1"/>
  <c r="D96" i="12"/>
  <c r="E96" i="12" s="1"/>
  <c r="D95" i="12"/>
  <c r="E95" i="12" s="1"/>
  <c r="D94" i="12"/>
  <c r="E94" i="12" s="1"/>
  <c r="D93" i="12"/>
  <c r="E93" i="12" s="1"/>
  <c r="E92" i="12"/>
  <c r="D92" i="12"/>
  <c r="E91" i="12"/>
  <c r="D91" i="12"/>
  <c r="E90" i="12"/>
  <c r="D90" i="12"/>
  <c r="F89" i="12"/>
  <c r="D89" i="12"/>
  <c r="E89" i="12" s="1"/>
  <c r="E88" i="12"/>
  <c r="D88" i="12"/>
  <c r="E87" i="12"/>
  <c r="D87" i="12"/>
  <c r="E86" i="12"/>
  <c r="D86" i="12"/>
  <c r="E85" i="12"/>
  <c r="D85" i="12"/>
  <c r="B82" i="12"/>
  <c r="D76" i="12" s="1"/>
  <c r="B81" i="12"/>
  <c r="L75" i="12"/>
  <c r="B75" i="12"/>
  <c r="C68" i="12"/>
  <c r="F63" i="12" s="1"/>
  <c r="F67" i="12"/>
  <c r="D67" i="12"/>
  <c r="E67" i="12" s="1"/>
  <c r="F66" i="12"/>
  <c r="D66" i="12"/>
  <c r="E66" i="12" s="1"/>
  <c r="F65" i="12"/>
  <c r="D65" i="12"/>
  <c r="E65" i="12" s="1"/>
  <c r="F64" i="12"/>
  <c r="D64" i="12"/>
  <c r="E64" i="12" s="1"/>
  <c r="E63" i="12"/>
  <c r="D63" i="12"/>
  <c r="E62" i="12"/>
  <c r="D62" i="12"/>
  <c r="E61" i="12"/>
  <c r="D61" i="12"/>
  <c r="F60" i="12"/>
  <c r="D60" i="12"/>
  <c r="E60" i="12" s="1"/>
  <c r="K59" i="12"/>
  <c r="K88" i="12" s="1"/>
  <c r="E59" i="12"/>
  <c r="D59" i="12"/>
  <c r="K58" i="12"/>
  <c r="K87" i="12" s="1"/>
  <c r="F58" i="12"/>
  <c r="D58" i="12"/>
  <c r="E58" i="12" s="1"/>
  <c r="K57" i="12"/>
  <c r="K86" i="12" s="1"/>
  <c r="E57" i="12"/>
  <c r="D57" i="12"/>
  <c r="F56" i="12"/>
  <c r="E56" i="12"/>
  <c r="B52" i="12"/>
  <c r="L47" i="12"/>
  <c r="D46" i="12"/>
  <c r="H67" i="12" s="1"/>
  <c r="C26" i="12"/>
  <c r="E25" i="12"/>
  <c r="E24" i="12"/>
  <c r="E23" i="12"/>
  <c r="E22" i="12"/>
  <c r="E21" i="12"/>
  <c r="L20" i="12"/>
  <c r="E20" i="12"/>
  <c r="K19" i="12"/>
  <c r="K60" i="12" s="1"/>
  <c r="K89" i="12" s="1"/>
  <c r="E19" i="12"/>
  <c r="E18" i="12"/>
  <c r="W17" i="12"/>
  <c r="E17" i="12"/>
  <c r="K16" i="12"/>
  <c r="E16" i="12"/>
  <c r="K15" i="12"/>
  <c r="K56" i="12" s="1"/>
  <c r="K85" i="12" s="1"/>
  <c r="E15" i="12"/>
  <c r="K14" i="12"/>
  <c r="K55" i="12" s="1"/>
  <c r="K84" i="12" s="1"/>
  <c r="E14" i="12"/>
  <c r="E26" i="12" s="1"/>
  <c r="S12" i="12"/>
  <c r="S10" i="12"/>
  <c r="L5" i="12"/>
  <c r="L6" i="12" s="1"/>
  <c r="I5" i="12"/>
  <c r="I6" i="12" s="1"/>
  <c r="D5" i="12"/>
  <c r="H24" i="12" s="1"/>
  <c r="S4" i="12"/>
  <c r="O4" i="12"/>
  <c r="B4" i="12"/>
  <c r="L2" i="12"/>
  <c r="I2" i="12"/>
  <c r="F56" i="13" l="1"/>
  <c r="F52" i="13"/>
  <c r="F48" i="13"/>
  <c r="F59" i="13"/>
  <c r="F55" i="13"/>
  <c r="F51" i="13"/>
  <c r="F58" i="13"/>
  <c r="F54" i="13"/>
  <c r="F50" i="13"/>
  <c r="F57" i="13"/>
  <c r="F53" i="13"/>
  <c r="F49" i="13"/>
  <c r="H105" i="13"/>
  <c r="H104" i="13"/>
  <c r="E65" i="13"/>
  <c r="B4" i="13"/>
  <c r="E31" i="13"/>
  <c r="B74" i="13"/>
  <c r="H93" i="13"/>
  <c r="H87" i="12"/>
  <c r="H86" i="12"/>
  <c r="H85" i="12"/>
  <c r="H96" i="12"/>
  <c r="H95" i="12"/>
  <c r="H94" i="12"/>
  <c r="H93" i="12"/>
  <c r="H89" i="12"/>
  <c r="H92" i="12"/>
  <c r="H91" i="12"/>
  <c r="H90" i="12"/>
  <c r="H88" i="12"/>
  <c r="H23" i="12"/>
  <c r="F93" i="12"/>
  <c r="F94" i="12"/>
  <c r="F95" i="12"/>
  <c r="F96" i="12"/>
  <c r="H15" i="12"/>
  <c r="H16" i="12"/>
  <c r="H20" i="12"/>
  <c r="H21" i="12"/>
  <c r="H22" i="12"/>
  <c r="F57" i="12"/>
  <c r="J56" i="12" s="1"/>
  <c r="H58" i="12"/>
  <c r="F59" i="12"/>
  <c r="J55" i="12" s="1"/>
  <c r="F61" i="12"/>
  <c r="J60" i="12" s="1"/>
  <c r="F62" i="12"/>
  <c r="J57" i="12" s="1"/>
  <c r="F85" i="12"/>
  <c r="F86" i="12"/>
  <c r="J85" i="12" s="1"/>
  <c r="F87" i="12"/>
  <c r="B6" i="12"/>
  <c r="H25" i="12"/>
  <c r="H57" i="12"/>
  <c r="H59" i="12"/>
  <c r="H61" i="12"/>
  <c r="H62" i="12"/>
  <c r="H63" i="12"/>
  <c r="H14" i="12"/>
  <c r="H17" i="12"/>
  <c r="M14" i="12" s="1"/>
  <c r="H18" i="12"/>
  <c r="H19" i="12"/>
  <c r="M19" i="12" s="1"/>
  <c r="H56" i="12"/>
  <c r="H60" i="12"/>
  <c r="H64" i="12"/>
  <c r="H65" i="12"/>
  <c r="H66" i="12"/>
  <c r="F88" i="12"/>
  <c r="F90" i="12"/>
  <c r="J89" i="12" s="1"/>
  <c r="F91" i="12"/>
  <c r="J86" i="12" s="1"/>
  <c r="F93" i="13" l="1"/>
  <c r="F89" i="13"/>
  <c r="F85" i="13"/>
  <c r="F92" i="13"/>
  <c r="F88" i="13"/>
  <c r="F84" i="13"/>
  <c r="F91" i="13"/>
  <c r="F87" i="13"/>
  <c r="F83" i="13"/>
  <c r="F96" i="13" s="1"/>
  <c r="F94" i="13"/>
  <c r="F90" i="13"/>
  <c r="F86" i="13"/>
  <c r="K5" i="13"/>
  <c r="F61" i="13"/>
  <c r="H68" i="12"/>
  <c r="M55" i="12"/>
  <c r="H26" i="12"/>
  <c r="M15" i="12"/>
  <c r="M21" i="12" s="1"/>
  <c r="F68" i="12"/>
  <c r="M56" i="12"/>
  <c r="M89" i="12"/>
  <c r="M84" i="12"/>
  <c r="H97" i="12"/>
  <c r="H98" i="12" s="1"/>
  <c r="F97" i="12"/>
  <c r="J84" i="12"/>
  <c r="M57" i="12"/>
  <c r="M85" i="12"/>
  <c r="M60" i="12"/>
  <c r="F23" i="12"/>
  <c r="F15" i="12"/>
  <c r="F19" i="12"/>
  <c r="F17" i="12"/>
  <c r="F24" i="12"/>
  <c r="F18" i="12"/>
  <c r="F25" i="12"/>
  <c r="F14" i="12"/>
  <c r="F22" i="12"/>
  <c r="F20" i="12"/>
  <c r="F16" i="12"/>
  <c r="J16" i="12" s="1"/>
  <c r="F21" i="12"/>
  <c r="M16" i="12"/>
  <c r="M86" i="12"/>
  <c r="F98" i="13" l="1"/>
  <c r="H98" i="13" s="1"/>
  <c r="G96" i="13"/>
  <c r="H100" i="13" s="1"/>
  <c r="F63" i="13"/>
  <c r="G63" i="13" s="1"/>
  <c r="G61" i="13"/>
  <c r="J14" i="12"/>
  <c r="F27" i="12"/>
  <c r="F101" i="12"/>
  <c r="G101" i="12" s="1"/>
  <c r="V15" i="12"/>
  <c r="V16" i="12" s="1"/>
  <c r="L92" i="12"/>
  <c r="H77" i="12"/>
  <c r="F98" i="12"/>
  <c r="J19" i="12"/>
  <c r="F70" i="12"/>
  <c r="G70" i="12" s="1"/>
  <c r="L63" i="12"/>
  <c r="U5" i="12"/>
  <c r="U4" i="12" s="1"/>
  <c r="V4" i="12" s="1"/>
  <c r="U15" i="12"/>
  <c r="U16" i="12" s="1"/>
  <c r="H49" i="12"/>
  <c r="U12" i="12"/>
  <c r="U10" i="12" s="1"/>
  <c r="J15" i="12"/>
  <c r="H103" i="13" l="1"/>
  <c r="V10" i="12"/>
  <c r="V11" i="12"/>
  <c r="W11" i="12" s="1"/>
  <c r="K27" i="12"/>
  <c r="L27" i="12" s="1"/>
  <c r="M27" i="12" s="1"/>
  <c r="N27" i="12" s="1"/>
  <c r="T15" i="12"/>
  <c r="F29" i="12"/>
  <c r="G29" i="12" s="1"/>
  <c r="G104" i="12" s="1"/>
  <c r="G106" i="12" s="1"/>
  <c r="F28" i="12"/>
  <c r="W4" i="12"/>
  <c r="W5" i="12" s="1"/>
  <c r="V5" i="12"/>
  <c r="L103" i="12"/>
  <c r="L105" i="12" s="1"/>
  <c r="L85" i="12"/>
  <c r="L84" i="12"/>
  <c r="L87" i="12" s="1"/>
  <c r="L86" i="12"/>
  <c r="AO8" i="11"/>
  <c r="AN8" i="11"/>
  <c r="AO6" i="11"/>
  <c r="AN6" i="11"/>
  <c r="AK12" i="11"/>
  <c r="D43" i="9"/>
  <c r="E43" i="9"/>
  <c r="F43" i="9"/>
  <c r="C43" i="9"/>
  <c r="D44" i="8"/>
  <c r="E44" i="8"/>
  <c r="F44" i="8"/>
  <c r="C44" i="8"/>
  <c r="C33" i="11"/>
  <c r="B33" i="11"/>
  <c r="V12" i="12" l="1"/>
  <c r="W10" i="12"/>
  <c r="T16" i="12"/>
  <c r="W16" i="12" s="1"/>
  <c r="W18" i="12"/>
  <c r="K80" i="1"/>
  <c r="L80" i="1"/>
  <c r="M80" i="1"/>
  <c r="J80" i="1"/>
  <c r="K74" i="1"/>
  <c r="L74" i="1"/>
  <c r="M74" i="1"/>
  <c r="J74" i="1"/>
  <c r="K53" i="1"/>
  <c r="L53" i="1"/>
  <c r="M53" i="1"/>
  <c r="J53" i="1"/>
  <c r="K89" i="1"/>
  <c r="L89" i="1"/>
  <c r="M89" i="1"/>
  <c r="J89" i="1"/>
  <c r="K88" i="1"/>
  <c r="L88" i="1"/>
  <c r="M88" i="1"/>
  <c r="J88" i="1"/>
  <c r="Z13" i="11"/>
  <c r="AA13" i="11"/>
  <c r="AB13" i="11"/>
  <c r="AC13" i="11"/>
  <c r="AB5" i="11"/>
  <c r="AC5" i="11"/>
  <c r="AD5" i="11"/>
  <c r="AE5" i="11"/>
  <c r="AC12" i="11" s="1"/>
  <c r="AB6" i="11"/>
  <c r="AC6" i="11"/>
  <c r="AD6" i="11"/>
  <c r="AE6" i="11"/>
  <c r="AE4" i="11"/>
  <c r="AC11" i="11" s="1"/>
  <c r="AD4" i="11"/>
  <c r="AB11" i="11" s="1"/>
  <c r="AC4" i="11"/>
  <c r="AA11" i="11" s="1"/>
  <c r="AB4" i="11"/>
  <c r="Y19" i="11"/>
  <c r="Y20" i="11"/>
  <c r="Z20" i="11"/>
  <c r="AA20" i="11"/>
  <c r="AB20" i="11"/>
  <c r="AC20" i="11"/>
  <c r="Y21" i="11"/>
  <c r="Z21" i="11"/>
  <c r="AA21" i="11"/>
  <c r="AB21" i="11"/>
  <c r="AC21" i="11"/>
  <c r="Y22" i="11"/>
  <c r="Z22" i="11"/>
  <c r="AA22" i="11"/>
  <c r="AB22" i="11"/>
  <c r="AC22" i="11"/>
  <c r="Y23" i="11"/>
  <c r="Z23" i="11"/>
  <c r="AA23" i="11"/>
  <c r="AB23" i="11"/>
  <c r="AC23" i="11"/>
  <c r="Y24" i="11"/>
  <c r="Z24" i="11"/>
  <c r="AA24" i="11"/>
  <c r="AB24" i="11"/>
  <c r="AC24" i="11"/>
  <c r="Y25" i="11"/>
  <c r="Z25" i="11"/>
  <c r="AA25" i="11"/>
  <c r="AB25" i="11"/>
  <c r="AC25" i="11"/>
  <c r="Y26" i="11"/>
  <c r="Z26" i="11"/>
  <c r="AA26" i="11"/>
  <c r="AB26" i="11"/>
  <c r="AC26" i="11"/>
  <c r="Y27" i="11"/>
  <c r="Z27" i="11"/>
  <c r="AA27" i="11"/>
  <c r="AB27" i="11"/>
  <c r="AC27" i="11"/>
  <c r="Z18" i="11"/>
  <c r="AA18" i="11"/>
  <c r="AB18" i="11"/>
  <c r="AC18" i="11"/>
  <c r="Y18" i="11"/>
  <c r="AA12" i="11"/>
  <c r="AB12" i="11"/>
  <c r="Z12" i="11"/>
  <c r="Z11" i="11"/>
  <c r="Z14" i="11" s="1"/>
  <c r="Z19" i="11" s="1"/>
  <c r="AA9" i="11"/>
  <c r="AD3" i="11"/>
  <c r="AB10" i="11" s="1"/>
  <c r="AE3" i="11"/>
  <c r="AC10" i="11" s="1"/>
  <c r="AC3" i="11"/>
  <c r="AA10" i="11" s="1"/>
  <c r="AB3" i="11"/>
  <c r="Z10" i="11" s="1"/>
  <c r="AC2" i="11"/>
  <c r="AJ7" i="11"/>
  <c r="AK7" i="11" s="1"/>
  <c r="AL7" i="11" s="1"/>
  <c r="W12" i="12" l="1"/>
  <c r="X12" i="12" s="1"/>
  <c r="AA14" i="11"/>
  <c r="AA19" i="11" s="1"/>
  <c r="AA28" i="11" s="1"/>
  <c r="AC14" i="11"/>
  <c r="AC19" i="11" s="1"/>
  <c r="AC28" i="11" s="1"/>
  <c r="AB14" i="11"/>
  <c r="AB19" i="11" s="1"/>
  <c r="AB28" i="11" s="1"/>
  <c r="Z28" i="11"/>
  <c r="V5" i="11" l="1"/>
  <c r="W5" i="11" s="1"/>
  <c r="V6" i="11"/>
  <c r="W6" i="11" s="1"/>
  <c r="V4" i="11"/>
  <c r="W4" i="11" s="1"/>
  <c r="AI2" i="11"/>
  <c r="M33" i="9"/>
  <c r="M32" i="9"/>
  <c r="M31" i="9"/>
  <c r="J27" i="8"/>
  <c r="J24" i="8"/>
  <c r="N36" i="8"/>
  <c r="N35" i="8"/>
  <c r="N34" i="8"/>
  <c r="N37" i="8" s="1"/>
  <c r="W7" i="11" l="1"/>
  <c r="B4" i="11" s="1"/>
  <c r="C4" i="11" s="1"/>
  <c r="C13" i="11" s="1"/>
  <c r="G9" i="11" s="1"/>
  <c r="M34" i="9"/>
  <c r="AJ2" i="11"/>
  <c r="AK2" i="11"/>
  <c r="AL2" i="11"/>
  <c r="A26" i="11"/>
  <c r="B26" i="11"/>
  <c r="C26" i="11"/>
  <c r="D26" i="11"/>
  <c r="E26" i="11"/>
  <c r="A27" i="11"/>
  <c r="B27" i="11"/>
  <c r="C27" i="11"/>
  <c r="D27" i="11"/>
  <c r="E27" i="11"/>
  <c r="B21" i="11"/>
  <c r="C21" i="11"/>
  <c r="D21" i="11"/>
  <c r="E21" i="11"/>
  <c r="B22" i="11"/>
  <c r="C22" i="11"/>
  <c r="D22" i="11"/>
  <c r="E22" i="11"/>
  <c r="B23" i="11"/>
  <c r="C23" i="11"/>
  <c r="D23" i="11"/>
  <c r="E23" i="11"/>
  <c r="B24" i="11"/>
  <c r="C24" i="11"/>
  <c r="D24" i="11"/>
  <c r="E24" i="11"/>
  <c r="B25" i="11"/>
  <c r="C25" i="11"/>
  <c r="D25" i="11"/>
  <c r="E25" i="11"/>
  <c r="C19" i="11"/>
  <c r="D19" i="11"/>
  <c r="E19" i="11"/>
  <c r="B19" i="11"/>
  <c r="A20" i="11"/>
  <c r="A21" i="11"/>
  <c r="A22" i="11"/>
  <c r="A23" i="11"/>
  <c r="A24" i="11"/>
  <c r="A25" i="11"/>
  <c r="A19" i="11"/>
  <c r="B13" i="11"/>
  <c r="F7" i="11" s="1"/>
  <c r="B20" i="11" l="1"/>
  <c r="C20" i="11"/>
  <c r="F9" i="11"/>
  <c r="D4" i="11"/>
  <c r="D20" i="11" s="1"/>
  <c r="D29" i="11" s="1"/>
  <c r="F4" i="11"/>
  <c r="J27" i="9"/>
  <c r="J21" i="9"/>
  <c r="J18" i="9"/>
  <c r="J24" i="9"/>
  <c r="C29" i="11"/>
  <c r="F5" i="11"/>
  <c r="F6" i="11"/>
  <c r="F8" i="11"/>
  <c r="G3" i="11"/>
  <c r="G4" i="11"/>
  <c r="G5" i="11"/>
  <c r="G6" i="11"/>
  <c r="G7" i="11"/>
  <c r="G8" i="11"/>
  <c r="F3" i="11"/>
  <c r="B29" i="11"/>
  <c r="D13" i="11" l="1"/>
  <c r="H4" i="11" s="1"/>
  <c r="E4" i="11"/>
  <c r="E13" i="11" s="1"/>
  <c r="F13" i="11"/>
  <c r="G13" i="11"/>
  <c r="AJ22" i="11"/>
  <c r="AK22" i="11"/>
  <c r="AL22" i="11"/>
  <c r="AI22" i="11"/>
  <c r="AI10" i="11"/>
  <c r="AI21" i="11"/>
  <c r="AI19" i="11"/>
  <c r="AI18" i="11"/>
  <c r="AI17" i="11"/>
  <c r="AH26" i="11"/>
  <c r="AH22" i="11"/>
  <c r="AL21" i="11"/>
  <c r="AK21" i="11"/>
  <c r="AJ21" i="11"/>
  <c r="AH21" i="11"/>
  <c r="AL20" i="11"/>
  <c r="AK20" i="11"/>
  <c r="AJ20" i="11"/>
  <c r="AI20" i="11"/>
  <c r="AH20" i="11"/>
  <c r="AL19" i="11"/>
  <c r="AK19" i="11"/>
  <c r="AJ19" i="11"/>
  <c r="AH19" i="11"/>
  <c r="AL18" i="11"/>
  <c r="AK18" i="11"/>
  <c r="AJ18" i="11"/>
  <c r="AH18" i="11"/>
  <c r="AL17" i="11"/>
  <c r="AK17" i="11"/>
  <c r="AK26" i="11" s="1"/>
  <c r="AJ17" i="11"/>
  <c r="AH17" i="11"/>
  <c r="AH16" i="11"/>
  <c r="G17" i="11"/>
  <c r="H17" i="11"/>
  <c r="M17" i="11"/>
  <c r="R17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AJ16" i="11"/>
  <c r="AK16" i="11"/>
  <c r="AL16" i="11"/>
  <c r="AI16" i="11"/>
  <c r="AJ10" i="11"/>
  <c r="AK10" i="11"/>
  <c r="AL10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R38" i="11"/>
  <c r="J4" i="8"/>
  <c r="L4" i="8"/>
  <c r="I4" i="8"/>
  <c r="K87" i="1"/>
  <c r="L87" i="1"/>
  <c r="M87" i="1"/>
  <c r="J87" i="1"/>
  <c r="I96" i="1"/>
  <c r="B96" i="1"/>
  <c r="B94" i="1"/>
  <c r="M93" i="1"/>
  <c r="K93" i="1"/>
  <c r="J93" i="1"/>
  <c r="I92" i="1"/>
  <c r="F89" i="1"/>
  <c r="E89" i="1"/>
  <c r="D89" i="1"/>
  <c r="C89" i="1"/>
  <c r="I86" i="1"/>
  <c r="F86" i="1"/>
  <c r="E86" i="1"/>
  <c r="D86" i="1"/>
  <c r="C86" i="1"/>
  <c r="I85" i="1"/>
  <c r="I80" i="1"/>
  <c r="I79" i="1"/>
  <c r="I95" i="1" s="1"/>
  <c r="B79" i="1"/>
  <c r="I78" i="1"/>
  <c r="I94" i="1" s="1"/>
  <c r="F78" i="1"/>
  <c r="E78" i="1"/>
  <c r="D78" i="1"/>
  <c r="C78" i="1"/>
  <c r="F74" i="1"/>
  <c r="E74" i="1"/>
  <c r="D74" i="1"/>
  <c r="C74" i="1"/>
  <c r="B73" i="1"/>
  <c r="M71" i="1"/>
  <c r="M77" i="1" s="1"/>
  <c r="L71" i="1"/>
  <c r="L84" i="1" s="1"/>
  <c r="L93" i="1" s="1"/>
  <c r="K71" i="1"/>
  <c r="K77" i="1" s="1"/>
  <c r="J71" i="1"/>
  <c r="J77" i="1" s="1"/>
  <c r="I68" i="1"/>
  <c r="B62" i="1"/>
  <c r="I61" i="1"/>
  <c r="I60" i="1"/>
  <c r="B60" i="1"/>
  <c r="I59" i="1"/>
  <c r="F59" i="1"/>
  <c r="E59" i="1"/>
  <c r="D59" i="1"/>
  <c r="C59" i="1"/>
  <c r="AE57" i="1"/>
  <c r="AF55" i="1"/>
  <c r="AE55" i="1"/>
  <c r="AD55" i="1"/>
  <c r="AC55" i="1"/>
  <c r="AF54" i="1"/>
  <c r="AE54" i="1"/>
  <c r="AD54" i="1"/>
  <c r="AC54" i="1"/>
  <c r="F53" i="1"/>
  <c r="E53" i="1"/>
  <c r="D53" i="1"/>
  <c r="C53" i="1"/>
  <c r="G62" i="1" s="1"/>
  <c r="B52" i="1"/>
  <c r="B88" i="1" s="1"/>
  <c r="M50" i="1"/>
  <c r="M58" i="1" s="1"/>
  <c r="L50" i="1"/>
  <c r="L58" i="1" s="1"/>
  <c r="K50" i="1"/>
  <c r="K58" i="1" s="1"/>
  <c r="J50" i="1"/>
  <c r="J58" i="1" s="1"/>
  <c r="B30" i="1"/>
  <c r="B29" i="1"/>
  <c r="B28" i="1"/>
  <c r="B27" i="1"/>
  <c r="F26" i="1"/>
  <c r="E26" i="1"/>
  <c r="D26" i="1"/>
  <c r="C26" i="1"/>
  <c r="F23" i="1"/>
  <c r="E23" i="1"/>
  <c r="D23" i="1"/>
  <c r="C23" i="1"/>
  <c r="F22" i="1"/>
  <c r="E22" i="1"/>
  <c r="D22" i="1"/>
  <c r="G29" i="1" s="1"/>
  <c r="C29" i="1" s="1"/>
  <c r="C22" i="1"/>
  <c r="F21" i="1"/>
  <c r="E21" i="1"/>
  <c r="D21" i="1"/>
  <c r="C21" i="1"/>
  <c r="F20" i="1"/>
  <c r="E20" i="1"/>
  <c r="D20" i="1"/>
  <c r="G27" i="1" s="1"/>
  <c r="C27" i="1" s="1"/>
  <c r="C20" i="1"/>
  <c r="AF8" i="6"/>
  <c r="AE11" i="6"/>
  <c r="AF5" i="6" s="1"/>
  <c r="AE14" i="6"/>
  <c r="H9" i="11" l="1"/>
  <c r="H8" i="11"/>
  <c r="E20" i="11"/>
  <c r="E29" i="11" s="1"/>
  <c r="H5" i="11"/>
  <c r="H7" i="11"/>
  <c r="H3" i="11"/>
  <c r="H6" i="11"/>
  <c r="I8" i="11"/>
  <c r="I9" i="11"/>
  <c r="I6" i="11"/>
  <c r="I3" i="11"/>
  <c r="I5" i="11"/>
  <c r="I7" i="11"/>
  <c r="I4" i="11"/>
  <c r="AL26" i="11"/>
  <c r="AJ26" i="11"/>
  <c r="AI26" i="11"/>
  <c r="E27" i="1"/>
  <c r="E29" i="1"/>
  <c r="D62" i="1"/>
  <c r="F27" i="1"/>
  <c r="F29" i="1"/>
  <c r="E62" i="1"/>
  <c r="G28" i="1"/>
  <c r="E28" i="1" s="1"/>
  <c r="G30" i="1"/>
  <c r="E30" i="1" s="1"/>
  <c r="F62" i="1"/>
  <c r="C62" i="1"/>
  <c r="D27" i="1"/>
  <c r="D29" i="1"/>
  <c r="G89" i="1"/>
  <c r="C96" i="1" s="1"/>
  <c r="L77" i="1"/>
  <c r="H13" i="11" l="1"/>
  <c r="I13" i="11"/>
  <c r="C28" i="1"/>
  <c r="D28" i="1"/>
  <c r="C30" i="1"/>
  <c r="F28" i="1"/>
  <c r="D30" i="1"/>
  <c r="F30" i="1"/>
  <c r="F96" i="1"/>
  <c r="D96" i="1"/>
  <c r="E96" i="1"/>
  <c r="Y11" i="6" l="1"/>
  <c r="Y12" i="6"/>
  <c r="Y13" i="6"/>
  <c r="AB14" i="6"/>
  <c r="AA14" i="6"/>
  <c r="AA11" i="6"/>
  <c r="AA8" i="6"/>
  <c r="Z18" i="6"/>
  <c r="AA5" i="6"/>
  <c r="Z17" i="6"/>
  <c r="O40" i="6"/>
  <c r="O39" i="6"/>
  <c r="C35" i="6"/>
  <c r="J35" i="6" s="1"/>
  <c r="Q35" i="6" s="1"/>
  <c r="E35" i="6"/>
  <c r="L35" i="6" s="1"/>
  <c r="S35" i="6" s="1"/>
  <c r="B35" i="6"/>
  <c r="I35" i="6" s="1"/>
  <c r="P35" i="6" s="1"/>
  <c r="AF17" i="6" l="1"/>
  <c r="AB8" i="6"/>
  <c r="AB11" i="6"/>
  <c r="AB5" i="6"/>
  <c r="AC39" i="6"/>
  <c r="AC40" i="6"/>
  <c r="AC41" i="6"/>
  <c r="AC42" i="6"/>
  <c r="AC43" i="6"/>
  <c r="AC44" i="6"/>
  <c r="AC45" i="6"/>
  <c r="AC46" i="6"/>
  <c r="AC47" i="6"/>
  <c r="AC48" i="6"/>
  <c r="AC49" i="6"/>
  <c r="AC38" i="6"/>
  <c r="Q4" i="6"/>
  <c r="C95" i="5"/>
  <c r="H93" i="5" s="1"/>
  <c r="H94" i="5"/>
  <c r="D94" i="5"/>
  <c r="E94" i="5" s="1"/>
  <c r="G94" i="5" s="1"/>
  <c r="E93" i="5"/>
  <c r="G93" i="5" s="1"/>
  <c r="D93" i="5"/>
  <c r="D92" i="5"/>
  <c r="E92" i="5" s="1"/>
  <c r="G92" i="5" s="1"/>
  <c r="H91" i="5"/>
  <c r="D91" i="5"/>
  <c r="E91" i="5" s="1"/>
  <c r="G91" i="5" s="1"/>
  <c r="H90" i="5"/>
  <c r="D90" i="5"/>
  <c r="E90" i="5" s="1"/>
  <c r="G90" i="5" s="1"/>
  <c r="D89" i="5"/>
  <c r="E89" i="5" s="1"/>
  <c r="G89" i="5" s="1"/>
  <c r="D88" i="5"/>
  <c r="E88" i="5" s="1"/>
  <c r="G88" i="5" s="1"/>
  <c r="H87" i="5"/>
  <c r="D87" i="5"/>
  <c r="E87" i="5" s="1"/>
  <c r="G87" i="5" s="1"/>
  <c r="H86" i="5"/>
  <c r="D86" i="5"/>
  <c r="E86" i="5" s="1"/>
  <c r="G86" i="5" s="1"/>
  <c r="E85" i="5"/>
  <c r="G85" i="5" s="1"/>
  <c r="D85" i="5"/>
  <c r="D84" i="5"/>
  <c r="E84" i="5" s="1"/>
  <c r="G84" i="5" s="1"/>
  <c r="H83" i="5"/>
  <c r="D83" i="5"/>
  <c r="E83" i="5" s="1"/>
  <c r="G83" i="5" s="1"/>
  <c r="B73" i="5"/>
  <c r="B75" i="5" s="1"/>
  <c r="Q66" i="5"/>
  <c r="C60" i="5"/>
  <c r="H59" i="5" s="1"/>
  <c r="G59" i="5"/>
  <c r="D59" i="5"/>
  <c r="E59" i="5" s="1"/>
  <c r="H58" i="5"/>
  <c r="D58" i="5"/>
  <c r="E58" i="5" s="1"/>
  <c r="G58" i="5" s="1"/>
  <c r="D57" i="5"/>
  <c r="E57" i="5" s="1"/>
  <c r="G57" i="5" s="1"/>
  <c r="E56" i="5"/>
  <c r="G56" i="5" s="1"/>
  <c r="D56" i="5"/>
  <c r="H55" i="5"/>
  <c r="D55" i="5"/>
  <c r="E55" i="5" s="1"/>
  <c r="G55" i="5" s="1"/>
  <c r="H54" i="5"/>
  <c r="D54" i="5"/>
  <c r="E54" i="5" s="1"/>
  <c r="G54" i="5" s="1"/>
  <c r="H53" i="5"/>
  <c r="D53" i="5"/>
  <c r="E53" i="5" s="1"/>
  <c r="G53" i="5" s="1"/>
  <c r="H52" i="5"/>
  <c r="E52" i="5"/>
  <c r="G52" i="5" s="1"/>
  <c r="D52" i="5"/>
  <c r="H51" i="5"/>
  <c r="D51" i="5"/>
  <c r="E51" i="5" s="1"/>
  <c r="G51" i="5" s="1"/>
  <c r="H50" i="5"/>
  <c r="D50" i="5"/>
  <c r="E50" i="5" s="1"/>
  <c r="G50" i="5" s="1"/>
  <c r="H49" i="5"/>
  <c r="E49" i="5"/>
  <c r="G49" i="5" s="1"/>
  <c r="D49" i="5"/>
  <c r="H48" i="5"/>
  <c r="D48" i="5"/>
  <c r="E48" i="5" s="1"/>
  <c r="G48" i="5" s="1"/>
  <c r="B40" i="5"/>
  <c r="B38" i="5"/>
  <c r="B39" i="5" s="1"/>
  <c r="F27" i="5"/>
  <c r="C26" i="5"/>
  <c r="D25" i="5"/>
  <c r="E25" i="5" s="1"/>
  <c r="G25" i="5" s="1"/>
  <c r="D24" i="5"/>
  <c r="E24" i="5" s="1"/>
  <c r="G24" i="5" s="1"/>
  <c r="D23" i="5"/>
  <c r="E23" i="5" s="1"/>
  <c r="G23" i="5" s="1"/>
  <c r="D22" i="5"/>
  <c r="E22" i="5" s="1"/>
  <c r="G22" i="5" s="1"/>
  <c r="D21" i="5"/>
  <c r="E21" i="5" s="1"/>
  <c r="G21" i="5" s="1"/>
  <c r="D20" i="5"/>
  <c r="E20" i="5" s="1"/>
  <c r="G20" i="5" s="1"/>
  <c r="D19" i="5"/>
  <c r="E19" i="5" s="1"/>
  <c r="G19" i="5" s="1"/>
  <c r="D18" i="5"/>
  <c r="E18" i="5" s="1"/>
  <c r="G18" i="5" s="1"/>
  <c r="D17" i="5"/>
  <c r="E17" i="5" s="1"/>
  <c r="G17" i="5" s="1"/>
  <c r="D16" i="5"/>
  <c r="E16" i="5" s="1"/>
  <c r="G16" i="5" s="1"/>
  <c r="D15" i="5"/>
  <c r="E15" i="5" s="1"/>
  <c r="G15" i="5" s="1"/>
  <c r="D14" i="5"/>
  <c r="E14" i="5" s="1"/>
  <c r="B4" i="5"/>
  <c r="N3" i="5"/>
  <c r="M3" i="5"/>
  <c r="B5" i="4"/>
  <c r="C5" i="4" s="1"/>
  <c r="D5" i="4" s="1"/>
  <c r="E5" i="4" s="1"/>
  <c r="B4" i="4"/>
  <c r="C4" i="4" s="1"/>
  <c r="D4" i="4" s="1"/>
  <c r="E4" i="4" s="1"/>
  <c r="D3" i="4"/>
  <c r="C3" i="4"/>
  <c r="B3" i="4"/>
  <c r="E3" i="4" s="1"/>
  <c r="A3" i="4"/>
  <c r="E2" i="4"/>
  <c r="D2" i="4"/>
  <c r="C2" i="4"/>
  <c r="B2" i="4"/>
  <c r="E1" i="4"/>
  <c r="D1" i="4"/>
  <c r="C1" i="4"/>
  <c r="B1" i="4"/>
  <c r="A1" i="4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  <c r="F8" i="3"/>
  <c r="G8" i="3" s="1"/>
  <c r="F7" i="3"/>
  <c r="G7" i="3" s="1"/>
  <c r="F6" i="3"/>
  <c r="G6" i="3" s="1"/>
  <c r="F5" i="3"/>
  <c r="G5" i="3" s="1"/>
  <c r="F4" i="3"/>
  <c r="G4" i="3" s="1"/>
  <c r="F3" i="3"/>
  <c r="G3" i="3" s="1"/>
  <c r="H57" i="5" l="1"/>
  <c r="H56" i="5"/>
  <c r="B74" i="5"/>
  <c r="F29" i="5"/>
  <c r="N28" i="5" s="1"/>
  <c r="AD41" i="6"/>
  <c r="AE41" i="6"/>
  <c r="AE44" i="6"/>
  <c r="AD44" i="6"/>
  <c r="AE47" i="6"/>
  <c r="AD47" i="6"/>
  <c r="AC51" i="6"/>
  <c r="AE38" i="6"/>
  <c r="AC50" i="6"/>
  <c r="AD38" i="6"/>
  <c r="L48" i="5"/>
  <c r="L47" i="5"/>
  <c r="L83" i="5"/>
  <c r="F58" i="5"/>
  <c r="F54" i="5"/>
  <c r="F50" i="5"/>
  <c r="F57" i="5"/>
  <c r="F53" i="5"/>
  <c r="F49" i="5"/>
  <c r="N4" i="5"/>
  <c r="F48" i="5"/>
  <c r="H16" i="5"/>
  <c r="H18" i="5"/>
  <c r="H20" i="5"/>
  <c r="H22" i="5"/>
  <c r="H24" i="5"/>
  <c r="F56" i="5"/>
  <c r="F55" i="5"/>
  <c r="F51" i="5"/>
  <c r="F59" i="5"/>
  <c r="F91" i="5"/>
  <c r="F87" i="5"/>
  <c r="F94" i="5"/>
  <c r="F90" i="5"/>
  <c r="F86" i="5"/>
  <c r="F83" i="5"/>
  <c r="F93" i="5"/>
  <c r="F89" i="5"/>
  <c r="F85" i="5"/>
  <c r="F92" i="5"/>
  <c r="H14" i="5"/>
  <c r="G14" i="5"/>
  <c r="L82" i="5"/>
  <c r="H15" i="5"/>
  <c r="H17" i="5"/>
  <c r="H19" i="5"/>
  <c r="H21" i="5"/>
  <c r="H23" i="5"/>
  <c r="H25" i="5"/>
  <c r="F52" i="5"/>
  <c r="H84" i="5"/>
  <c r="H88" i="5"/>
  <c r="H92" i="5"/>
  <c r="H85" i="5"/>
  <c r="H89" i="5"/>
  <c r="G17" i="3"/>
  <c r="G16" i="3"/>
  <c r="F125" i="2"/>
  <c r="G125" i="2" s="1"/>
  <c r="D125" i="2"/>
  <c r="J125" i="2" s="1"/>
  <c r="S116" i="2" s="1"/>
  <c r="F124" i="2"/>
  <c r="G124" i="2" s="1"/>
  <c r="D124" i="2"/>
  <c r="J124" i="2" s="1"/>
  <c r="S115" i="2" s="1"/>
  <c r="F123" i="2"/>
  <c r="G123" i="2" s="1"/>
  <c r="D123" i="2"/>
  <c r="J123" i="2" s="1"/>
  <c r="S114" i="2" s="1"/>
  <c r="F122" i="2"/>
  <c r="G122" i="2" s="1"/>
  <c r="D122" i="2"/>
  <c r="J122" i="2" s="1"/>
  <c r="R116" i="2" s="1"/>
  <c r="F121" i="2"/>
  <c r="G121" i="2" s="1"/>
  <c r="D121" i="2"/>
  <c r="J121" i="2" s="1"/>
  <c r="R115" i="2" s="1"/>
  <c r="F120" i="2"/>
  <c r="G120" i="2" s="1"/>
  <c r="D120" i="2"/>
  <c r="J120" i="2" s="1"/>
  <c r="R114" i="2" s="1"/>
  <c r="F119" i="2"/>
  <c r="G119" i="2" s="1"/>
  <c r="D119" i="2"/>
  <c r="J119" i="2" s="1"/>
  <c r="Q116" i="2" s="1"/>
  <c r="F118" i="2"/>
  <c r="G118" i="2" s="1"/>
  <c r="D118" i="2"/>
  <c r="J118" i="2" s="1"/>
  <c r="Q115" i="2" s="1"/>
  <c r="F117" i="2"/>
  <c r="G117" i="2" s="1"/>
  <c r="D117" i="2"/>
  <c r="J117" i="2" s="1"/>
  <c r="Q114" i="2" s="1"/>
  <c r="F116" i="2"/>
  <c r="G116" i="2" s="1"/>
  <c r="D116" i="2"/>
  <c r="J116" i="2" s="1"/>
  <c r="P116" i="2" s="1"/>
  <c r="F115" i="2"/>
  <c r="G115" i="2" s="1"/>
  <c r="D115" i="2"/>
  <c r="J115" i="2" s="1"/>
  <c r="P115" i="2" s="1"/>
  <c r="F114" i="2"/>
  <c r="G114" i="2" s="1"/>
  <c r="D114" i="2"/>
  <c r="J114" i="2" s="1"/>
  <c r="P114" i="2" s="1"/>
  <c r="S113" i="2"/>
  <c r="R113" i="2"/>
  <c r="Q113" i="2"/>
  <c r="P113" i="2"/>
  <c r="G108" i="2"/>
  <c r="K108" i="2" s="1"/>
  <c r="F108" i="2"/>
  <c r="D108" i="2"/>
  <c r="J108" i="2" s="1"/>
  <c r="F107" i="2"/>
  <c r="G107" i="2" s="1"/>
  <c r="I107" i="2" s="1"/>
  <c r="D107" i="2"/>
  <c r="J107" i="2" s="1"/>
  <c r="S98" i="2" s="1"/>
  <c r="F106" i="2"/>
  <c r="G106" i="2" s="1"/>
  <c r="D106" i="2"/>
  <c r="J106" i="2" s="1"/>
  <c r="S97" i="2" s="1"/>
  <c r="F105" i="2"/>
  <c r="G105" i="2" s="1"/>
  <c r="I105" i="2" s="1"/>
  <c r="D105" i="2"/>
  <c r="J105" i="2" s="1"/>
  <c r="R99" i="2" s="1"/>
  <c r="F104" i="2"/>
  <c r="G104" i="2" s="1"/>
  <c r="K104" i="2" s="1"/>
  <c r="D104" i="2"/>
  <c r="J104" i="2" s="1"/>
  <c r="R98" i="2" s="1"/>
  <c r="F103" i="2"/>
  <c r="G103" i="2" s="1"/>
  <c r="I103" i="2" s="1"/>
  <c r="D103" i="2"/>
  <c r="J103" i="2" s="1"/>
  <c r="R97" i="2" s="1"/>
  <c r="I102" i="2"/>
  <c r="F102" i="2"/>
  <c r="G102" i="2" s="1"/>
  <c r="K102" i="2" s="1"/>
  <c r="D102" i="2"/>
  <c r="J102" i="2" s="1"/>
  <c r="Q99" i="2" s="1"/>
  <c r="F101" i="2"/>
  <c r="G101" i="2" s="1"/>
  <c r="I101" i="2" s="1"/>
  <c r="D101" i="2"/>
  <c r="J101" i="2" s="1"/>
  <c r="Q98" i="2" s="1"/>
  <c r="F100" i="2"/>
  <c r="G100" i="2" s="1"/>
  <c r="I100" i="2" s="1"/>
  <c r="D100" i="2"/>
  <c r="J100" i="2" s="1"/>
  <c r="Q97" i="2" s="1"/>
  <c r="Q100" i="2" s="1"/>
  <c r="S99" i="2"/>
  <c r="F99" i="2"/>
  <c r="G99" i="2" s="1"/>
  <c r="I99" i="2" s="1"/>
  <c r="D99" i="2"/>
  <c r="J99" i="2" s="1"/>
  <c r="P99" i="2" s="1"/>
  <c r="I98" i="2"/>
  <c r="F98" i="2"/>
  <c r="G98" i="2" s="1"/>
  <c r="D98" i="2"/>
  <c r="J98" i="2" s="1"/>
  <c r="P98" i="2" s="1"/>
  <c r="K97" i="2"/>
  <c r="F97" i="2"/>
  <c r="G97" i="2" s="1"/>
  <c r="I97" i="2" s="1"/>
  <c r="D97" i="2"/>
  <c r="J97" i="2" s="1"/>
  <c r="P97" i="2" s="1"/>
  <c r="S96" i="2"/>
  <c r="R96" i="2"/>
  <c r="Q96" i="2"/>
  <c r="P96" i="2"/>
  <c r="F89" i="2"/>
  <c r="G89" i="2" s="1"/>
  <c r="I89" i="2" s="1"/>
  <c r="D89" i="2"/>
  <c r="J89" i="2" s="1"/>
  <c r="S80" i="2" s="1"/>
  <c r="F88" i="2"/>
  <c r="G88" i="2" s="1"/>
  <c r="D88" i="2"/>
  <c r="J88" i="2" s="1"/>
  <c r="F87" i="2"/>
  <c r="G87" i="2" s="1"/>
  <c r="I87" i="2" s="1"/>
  <c r="D87" i="2"/>
  <c r="J87" i="2" s="1"/>
  <c r="S78" i="2" s="1"/>
  <c r="F86" i="2"/>
  <c r="G86" i="2" s="1"/>
  <c r="I86" i="2" s="1"/>
  <c r="D86" i="2"/>
  <c r="J86" i="2" s="1"/>
  <c r="R80" i="2" s="1"/>
  <c r="F85" i="2"/>
  <c r="G85" i="2" s="1"/>
  <c r="I85" i="2" s="1"/>
  <c r="D85" i="2"/>
  <c r="J85" i="2" s="1"/>
  <c r="R79" i="2" s="1"/>
  <c r="F84" i="2"/>
  <c r="G84" i="2" s="1"/>
  <c r="K84" i="2" s="1"/>
  <c r="D84" i="2"/>
  <c r="J84" i="2" s="1"/>
  <c r="R78" i="2" s="1"/>
  <c r="F83" i="2"/>
  <c r="G83" i="2" s="1"/>
  <c r="I83" i="2" s="1"/>
  <c r="D83" i="2"/>
  <c r="J83" i="2" s="1"/>
  <c r="F82" i="2"/>
  <c r="G82" i="2" s="1"/>
  <c r="K82" i="2" s="1"/>
  <c r="D82" i="2"/>
  <c r="J82" i="2" s="1"/>
  <c r="Q79" i="2" s="1"/>
  <c r="F81" i="2"/>
  <c r="G81" i="2" s="1"/>
  <c r="I81" i="2" s="1"/>
  <c r="D81" i="2"/>
  <c r="J81" i="2" s="1"/>
  <c r="Q80" i="2"/>
  <c r="F80" i="2"/>
  <c r="G80" i="2" s="1"/>
  <c r="K80" i="2" s="1"/>
  <c r="D80" i="2"/>
  <c r="J80" i="2" s="1"/>
  <c r="P80" i="2" s="1"/>
  <c r="S79" i="2"/>
  <c r="S81" i="2" s="1"/>
  <c r="F79" i="2"/>
  <c r="G79" i="2" s="1"/>
  <c r="I79" i="2" s="1"/>
  <c r="D79" i="2"/>
  <c r="J79" i="2" s="1"/>
  <c r="P79" i="2" s="1"/>
  <c r="Q78" i="2"/>
  <c r="Q81" i="2" s="1"/>
  <c r="F78" i="2"/>
  <c r="G78" i="2" s="1"/>
  <c r="D78" i="2"/>
  <c r="J78" i="2" s="1"/>
  <c r="P78" i="2" s="1"/>
  <c r="S77" i="2"/>
  <c r="R77" i="2"/>
  <c r="Q77" i="2"/>
  <c r="P77" i="2"/>
  <c r="F71" i="2"/>
  <c r="G71" i="2" s="1"/>
  <c r="D71" i="2"/>
  <c r="J71" i="2" s="1"/>
  <c r="S62" i="2" s="1"/>
  <c r="F70" i="2"/>
  <c r="G70" i="2" s="1"/>
  <c r="I70" i="2" s="1"/>
  <c r="D70" i="2"/>
  <c r="J70" i="2" s="1"/>
  <c r="S61" i="2" s="1"/>
  <c r="F69" i="2"/>
  <c r="G69" i="2" s="1"/>
  <c r="K69" i="2" s="1"/>
  <c r="D69" i="2"/>
  <c r="J69" i="2" s="1"/>
  <c r="S60" i="2" s="1"/>
  <c r="F68" i="2"/>
  <c r="G68" i="2" s="1"/>
  <c r="I68" i="2" s="1"/>
  <c r="D68" i="2"/>
  <c r="J68" i="2" s="1"/>
  <c r="R62" i="2" s="1"/>
  <c r="I67" i="2"/>
  <c r="F67" i="2"/>
  <c r="G67" i="2" s="1"/>
  <c r="K67" i="2" s="1"/>
  <c r="D67" i="2"/>
  <c r="J67" i="2" s="1"/>
  <c r="R61" i="2" s="1"/>
  <c r="F66" i="2"/>
  <c r="G66" i="2" s="1"/>
  <c r="I66" i="2" s="1"/>
  <c r="D66" i="2"/>
  <c r="J66" i="2" s="1"/>
  <c r="R60" i="2" s="1"/>
  <c r="F65" i="2"/>
  <c r="G65" i="2" s="1"/>
  <c r="K65" i="2" s="1"/>
  <c r="D65" i="2"/>
  <c r="J65" i="2" s="1"/>
  <c r="Q62" i="2" s="1"/>
  <c r="F64" i="2"/>
  <c r="G64" i="2" s="1"/>
  <c r="I64" i="2" s="1"/>
  <c r="D64" i="2"/>
  <c r="J64" i="2" s="1"/>
  <c r="Q61" i="2" s="1"/>
  <c r="F63" i="2"/>
  <c r="G63" i="2" s="1"/>
  <c r="K63" i="2" s="1"/>
  <c r="D63" i="2"/>
  <c r="J63" i="2" s="1"/>
  <c r="Q60" i="2" s="1"/>
  <c r="Q63" i="2" s="1"/>
  <c r="F62" i="2"/>
  <c r="G62" i="2" s="1"/>
  <c r="I62" i="2" s="1"/>
  <c r="D62" i="2"/>
  <c r="J62" i="2" s="1"/>
  <c r="P62" i="2" s="1"/>
  <c r="I61" i="2"/>
  <c r="F61" i="2"/>
  <c r="G61" i="2" s="1"/>
  <c r="K61" i="2" s="1"/>
  <c r="D61" i="2"/>
  <c r="J61" i="2" s="1"/>
  <c r="P61" i="2" s="1"/>
  <c r="F60" i="2"/>
  <c r="G60" i="2" s="1"/>
  <c r="I60" i="2" s="1"/>
  <c r="D60" i="2"/>
  <c r="J60" i="2" s="1"/>
  <c r="P60" i="2" s="1"/>
  <c r="S59" i="2"/>
  <c r="R59" i="2"/>
  <c r="Q59" i="2"/>
  <c r="P59" i="2"/>
  <c r="F53" i="2"/>
  <c r="G53" i="2" s="1"/>
  <c r="I53" i="2" s="1"/>
  <c r="D53" i="2"/>
  <c r="F52" i="2"/>
  <c r="G52" i="2" s="1"/>
  <c r="D52" i="2"/>
  <c r="F51" i="2"/>
  <c r="G51" i="2" s="1"/>
  <c r="I51" i="2" s="1"/>
  <c r="D51" i="2"/>
  <c r="F50" i="2"/>
  <c r="G50" i="2" s="1"/>
  <c r="K50" i="2" s="1"/>
  <c r="D50" i="2"/>
  <c r="D49" i="2"/>
  <c r="F48" i="2"/>
  <c r="G48" i="2" s="1"/>
  <c r="D48" i="2"/>
  <c r="F47" i="2"/>
  <c r="G47" i="2" s="1"/>
  <c r="K47" i="2" s="1"/>
  <c r="D47" i="2"/>
  <c r="F46" i="2"/>
  <c r="G46" i="2" s="1"/>
  <c r="D46" i="2"/>
  <c r="G45" i="2"/>
  <c r="F45" i="2"/>
  <c r="D45" i="2"/>
  <c r="D44" i="2"/>
  <c r="F43" i="2"/>
  <c r="G43" i="2" s="1"/>
  <c r="K43" i="2" s="1"/>
  <c r="D43" i="2"/>
  <c r="F42" i="2"/>
  <c r="G42" i="2" s="1"/>
  <c r="D42" i="2"/>
  <c r="S41" i="2"/>
  <c r="R41" i="2"/>
  <c r="Q41" i="2"/>
  <c r="P41" i="2"/>
  <c r="F35" i="2"/>
  <c r="G35" i="2" s="1"/>
  <c r="D35" i="2"/>
  <c r="J35" i="2" s="1"/>
  <c r="S26" i="2" s="1"/>
  <c r="F34" i="2"/>
  <c r="G34" i="2" s="1"/>
  <c r="D34" i="2"/>
  <c r="J34" i="2" s="1"/>
  <c r="S25" i="2" s="1"/>
  <c r="F33" i="2"/>
  <c r="G33" i="2" s="1"/>
  <c r="D33" i="2"/>
  <c r="J33" i="2" s="1"/>
  <c r="S24" i="2" s="1"/>
  <c r="F32" i="2"/>
  <c r="G32" i="2" s="1"/>
  <c r="I32" i="2" s="1"/>
  <c r="D32" i="2"/>
  <c r="J32" i="2" s="1"/>
  <c r="G31" i="2"/>
  <c r="F31" i="2"/>
  <c r="D31" i="2"/>
  <c r="J31" i="2" s="1"/>
  <c r="R25" i="2" s="1"/>
  <c r="I30" i="2"/>
  <c r="G30" i="2"/>
  <c r="F30" i="2"/>
  <c r="D30" i="2"/>
  <c r="J30" i="2" s="1"/>
  <c r="R24" i="2" s="1"/>
  <c r="F29" i="2"/>
  <c r="G29" i="2" s="1"/>
  <c r="K29" i="2" s="1"/>
  <c r="D29" i="2"/>
  <c r="J29" i="2" s="1"/>
  <c r="Q26" i="2" s="1"/>
  <c r="G28" i="2"/>
  <c r="I28" i="2" s="1"/>
  <c r="F28" i="2"/>
  <c r="D28" i="2"/>
  <c r="J28" i="2" s="1"/>
  <c r="Q25" i="2" s="1"/>
  <c r="F27" i="2"/>
  <c r="G27" i="2" s="1"/>
  <c r="K27" i="2" s="1"/>
  <c r="D27" i="2"/>
  <c r="J27" i="2" s="1"/>
  <c r="Q24" i="2" s="1"/>
  <c r="F26" i="2"/>
  <c r="G26" i="2" s="1"/>
  <c r="I26" i="2" s="1"/>
  <c r="D26" i="2"/>
  <c r="J26" i="2" s="1"/>
  <c r="F25" i="2"/>
  <c r="G25" i="2" s="1"/>
  <c r="D25" i="2"/>
  <c r="J25" i="2" s="1"/>
  <c r="P25" i="2" s="1"/>
  <c r="F24" i="2"/>
  <c r="G24" i="2" s="1"/>
  <c r="D24" i="2"/>
  <c r="J24" i="2" s="1"/>
  <c r="P24" i="2" s="1"/>
  <c r="S23" i="2"/>
  <c r="R23" i="2"/>
  <c r="Q23" i="2"/>
  <c r="P23" i="2"/>
  <c r="P22" i="2"/>
  <c r="D16" i="2"/>
  <c r="D15" i="2"/>
  <c r="D14" i="2"/>
  <c r="D13" i="2"/>
  <c r="D12" i="2"/>
  <c r="D11" i="2"/>
  <c r="D10" i="2"/>
  <c r="D9" i="2"/>
  <c r="D8" i="2"/>
  <c r="D7" i="2"/>
  <c r="D6" i="2"/>
  <c r="D5" i="2"/>
  <c r="D17" i="2" s="1"/>
  <c r="G2" i="2" s="1"/>
  <c r="K33" i="2" l="1"/>
  <c r="I33" i="2"/>
  <c r="K35" i="2"/>
  <c r="I35" i="2"/>
  <c r="K106" i="2"/>
  <c r="I106" i="2"/>
  <c r="K71" i="2"/>
  <c r="I71" i="2"/>
  <c r="K125" i="2"/>
  <c r="I125" i="2"/>
  <c r="I50" i="2"/>
  <c r="K52" i="2"/>
  <c r="K62" i="2"/>
  <c r="K88" i="2"/>
  <c r="K98" i="2"/>
  <c r="K99" i="2"/>
  <c r="K107" i="2"/>
  <c r="I108" i="2"/>
  <c r="J45" i="2"/>
  <c r="Q42" i="2" s="1"/>
  <c r="I52" i="2"/>
  <c r="I65" i="2"/>
  <c r="I88" i="2"/>
  <c r="F88" i="5"/>
  <c r="F84" i="5"/>
  <c r="F96" i="5" s="1"/>
  <c r="I43" i="2"/>
  <c r="K60" i="2"/>
  <c r="K64" i="2"/>
  <c r="K73" i="2" s="1"/>
  <c r="K30" i="2"/>
  <c r="K31" i="2"/>
  <c r="I63" i="2"/>
  <c r="I69" i="2"/>
  <c r="K78" i="2"/>
  <c r="I84" i="2"/>
  <c r="K86" i="2"/>
  <c r="K100" i="2"/>
  <c r="K101" i="2"/>
  <c r="I104" i="2"/>
  <c r="AH50" i="6"/>
  <c r="AS50" i="6"/>
  <c r="L13" i="5"/>
  <c r="L14" i="5"/>
  <c r="F61" i="5"/>
  <c r="I24" i="2"/>
  <c r="K24" i="2"/>
  <c r="I42" i="2"/>
  <c r="K42" i="2"/>
  <c r="Q28" i="2"/>
  <c r="Q27" i="2"/>
  <c r="S27" i="2"/>
  <c r="S28" i="2"/>
  <c r="E16" i="2"/>
  <c r="F16" i="2" s="1"/>
  <c r="E12" i="2"/>
  <c r="F12" i="2" s="1"/>
  <c r="E8" i="2"/>
  <c r="F8" i="2" s="1"/>
  <c r="E5" i="2"/>
  <c r="F5" i="2" s="1"/>
  <c r="E15" i="2"/>
  <c r="F15" i="2" s="1"/>
  <c r="E7" i="2"/>
  <c r="F7" i="2" s="1"/>
  <c r="E13" i="2"/>
  <c r="F13" i="2" s="1"/>
  <c r="E9" i="2"/>
  <c r="F9" i="2" s="1"/>
  <c r="E14" i="2"/>
  <c r="F14" i="2" s="1"/>
  <c r="E10" i="2"/>
  <c r="F10" i="2" s="1"/>
  <c r="E6" i="2"/>
  <c r="F6" i="2" s="1"/>
  <c r="E11" i="2"/>
  <c r="F11" i="2" s="1"/>
  <c r="I25" i="2"/>
  <c r="K25" i="2"/>
  <c r="R28" i="2"/>
  <c r="R27" i="2"/>
  <c r="K34" i="2"/>
  <c r="I34" i="2"/>
  <c r="S63" i="2"/>
  <c r="S64" i="2"/>
  <c r="P28" i="2"/>
  <c r="P27" i="2"/>
  <c r="S100" i="2"/>
  <c r="S101" i="2"/>
  <c r="I48" i="2"/>
  <c r="K48" i="2"/>
  <c r="R82" i="2"/>
  <c r="R81" i="2"/>
  <c r="I27" i="2"/>
  <c r="K28" i="2"/>
  <c r="I29" i="2"/>
  <c r="I31" i="2"/>
  <c r="J48" i="2"/>
  <c r="R42" i="2" s="1"/>
  <c r="J46" i="2"/>
  <c r="Q43" i="2" s="1"/>
  <c r="Q45" i="2" s="1"/>
  <c r="J52" i="2"/>
  <c r="S43" i="2" s="1"/>
  <c r="J50" i="2"/>
  <c r="R44" i="2" s="1"/>
  <c r="J42" i="2"/>
  <c r="P42" i="2" s="1"/>
  <c r="J53" i="2"/>
  <c r="S44" i="2" s="1"/>
  <c r="J51" i="2"/>
  <c r="S42" i="2" s="1"/>
  <c r="J43" i="2"/>
  <c r="P43" i="2" s="1"/>
  <c r="J47" i="2"/>
  <c r="Q44" i="2" s="1"/>
  <c r="K53" i="2"/>
  <c r="R63" i="2"/>
  <c r="R64" i="2"/>
  <c r="K68" i="2"/>
  <c r="P81" i="2"/>
  <c r="P82" i="2"/>
  <c r="K85" i="2"/>
  <c r="S82" i="2"/>
  <c r="K89" i="2"/>
  <c r="R100" i="2"/>
  <c r="R101" i="2"/>
  <c r="K105" i="2"/>
  <c r="I115" i="2"/>
  <c r="K115" i="2"/>
  <c r="I117" i="2"/>
  <c r="K117" i="2"/>
  <c r="I119" i="2"/>
  <c r="K119" i="2"/>
  <c r="I121" i="2"/>
  <c r="K121" i="2"/>
  <c r="I123" i="2"/>
  <c r="K123" i="2"/>
  <c r="I46" i="2"/>
  <c r="K46" i="2"/>
  <c r="Q82" i="2"/>
  <c r="K45" i="2"/>
  <c r="I45" i="2"/>
  <c r="P64" i="2"/>
  <c r="P63" i="2"/>
  <c r="Q64" i="2"/>
  <c r="P101" i="2"/>
  <c r="P100" i="2"/>
  <c r="Q101" i="2"/>
  <c r="P117" i="2"/>
  <c r="P118" i="2"/>
  <c r="R118" i="2"/>
  <c r="R117" i="2"/>
  <c r="Q117" i="2"/>
  <c r="Q118" i="2"/>
  <c r="S118" i="2"/>
  <c r="S117" i="2"/>
  <c r="K51" i="2"/>
  <c r="K66" i="2"/>
  <c r="K70" i="2"/>
  <c r="I78" i="2"/>
  <c r="K79" i="2"/>
  <c r="I80" i="2"/>
  <c r="K81" i="2"/>
  <c r="I82" i="2"/>
  <c r="K83" i="2"/>
  <c r="K87" i="2"/>
  <c r="K103" i="2"/>
  <c r="K110" i="2" s="1"/>
  <c r="K114" i="2"/>
  <c r="I114" i="2"/>
  <c r="K116" i="2"/>
  <c r="I116" i="2"/>
  <c r="K118" i="2"/>
  <c r="I118" i="2"/>
  <c r="K120" i="2"/>
  <c r="I120" i="2"/>
  <c r="K122" i="2"/>
  <c r="I122" i="2"/>
  <c r="K124" i="2"/>
  <c r="I124" i="2"/>
  <c r="I47" i="2"/>
  <c r="B4" i="6"/>
  <c r="I4" i="6" s="1"/>
  <c r="I5" i="8" s="1"/>
  <c r="K109" i="2" l="1"/>
  <c r="Q46" i="2"/>
  <c r="K90" i="2"/>
  <c r="K72" i="2"/>
  <c r="F63" i="5"/>
  <c r="G61" i="5"/>
  <c r="F98" i="5"/>
  <c r="G96" i="5"/>
  <c r="K127" i="2"/>
  <c r="K126" i="2"/>
  <c r="K91" i="2"/>
  <c r="P45" i="2"/>
  <c r="P46" i="2"/>
  <c r="R46" i="2"/>
  <c r="R45" i="2"/>
  <c r="K55" i="2"/>
  <c r="K54" i="2"/>
  <c r="S45" i="2"/>
  <c r="S46" i="2"/>
  <c r="K36" i="2"/>
  <c r="K37" i="2"/>
  <c r="N29" i="5" l="1"/>
  <c r="L49" i="11"/>
  <c r="L48" i="11"/>
  <c r="L47" i="11"/>
  <c r="N46" i="11"/>
  <c r="N47" i="11" s="1"/>
  <c r="N48" i="11" s="1"/>
  <c r="N49" i="11" s="1"/>
  <c r="L46" i="11"/>
  <c r="Q3" i="11"/>
  <c r="Q17" i="11" s="1"/>
  <c r="P3" i="11"/>
  <c r="P17" i="11" s="1"/>
  <c r="O3" i="11"/>
  <c r="O17" i="11" s="1"/>
  <c r="N3" i="11"/>
  <c r="N17" i="11" s="1"/>
  <c r="L3" i="11"/>
  <c r="L17" i="11" s="1"/>
  <c r="K3" i="11"/>
  <c r="K17" i="11" s="1"/>
  <c r="J3" i="11"/>
  <c r="J17" i="11" s="1"/>
  <c r="I17" i="11"/>
  <c r="F17" i="11"/>
  <c r="P49" i="11" l="1"/>
  <c r="P46" i="11"/>
  <c r="P6" i="11"/>
  <c r="J5" i="11"/>
  <c r="O5" i="11"/>
  <c r="P47" i="11"/>
  <c r="P48" i="11"/>
  <c r="J6" i="11"/>
  <c r="N6" i="11"/>
  <c r="K6" i="11"/>
  <c r="O6" i="11"/>
  <c r="N5" i="11"/>
  <c r="I51" i="11" l="1"/>
  <c r="H51" i="11"/>
  <c r="G51" i="11"/>
  <c r="F51" i="11" l="1"/>
  <c r="F38" i="9" l="1"/>
  <c r="E38" i="9"/>
  <c r="D38" i="9"/>
  <c r="D37" i="9"/>
  <c r="C37" i="9"/>
  <c r="B37" i="9"/>
  <c r="F36" i="9"/>
  <c r="E36" i="9"/>
  <c r="D36" i="9"/>
  <c r="C36" i="9"/>
  <c r="B36" i="9"/>
  <c r="F35" i="9"/>
  <c r="E35" i="9"/>
  <c r="D35" i="9"/>
  <c r="C35" i="9"/>
  <c r="B35" i="9"/>
  <c r="F34" i="9"/>
  <c r="E34" i="9"/>
  <c r="D34" i="9"/>
  <c r="C34" i="9"/>
  <c r="C39" i="9" s="1"/>
  <c r="B34" i="9"/>
  <c r="F33" i="9"/>
  <c r="E33" i="9"/>
  <c r="D33" i="9"/>
  <c r="C33" i="9"/>
  <c r="B33" i="9"/>
  <c r="F32" i="9"/>
  <c r="E32" i="9"/>
  <c r="D32" i="9"/>
  <c r="C32" i="9"/>
  <c r="B32" i="9"/>
  <c r="F31" i="9"/>
  <c r="F39" i="9" s="1"/>
  <c r="E31" i="9"/>
  <c r="D31" i="9"/>
  <c r="C31" i="9"/>
  <c r="B31" i="9"/>
  <c r="A26" i="9"/>
  <c r="F30" i="9" s="1"/>
  <c r="A23" i="9"/>
  <c r="E30" i="9" s="1"/>
  <c r="A20" i="9"/>
  <c r="D30" i="9" s="1"/>
  <c r="F38" i="8"/>
  <c r="E38" i="8"/>
  <c r="D38" i="8"/>
  <c r="D37" i="8"/>
  <c r="C37" i="8"/>
  <c r="B37" i="8"/>
  <c r="F36" i="8"/>
  <c r="E36" i="8"/>
  <c r="D36" i="8"/>
  <c r="C36" i="8"/>
  <c r="B36" i="8"/>
  <c r="F35" i="8"/>
  <c r="E35" i="8"/>
  <c r="D35" i="8"/>
  <c r="C35" i="8"/>
  <c r="B35" i="8"/>
  <c r="F34" i="8"/>
  <c r="E34" i="8"/>
  <c r="D34" i="8"/>
  <c r="C34" i="8"/>
  <c r="B34" i="8"/>
  <c r="F33" i="8"/>
  <c r="E33" i="8"/>
  <c r="D33" i="8"/>
  <c r="C33" i="8"/>
  <c r="B33" i="8"/>
  <c r="F32" i="8"/>
  <c r="E32" i="8"/>
  <c r="D32" i="8"/>
  <c r="C32" i="8"/>
  <c r="B32" i="8"/>
  <c r="F31" i="8"/>
  <c r="E31" i="8"/>
  <c r="E39" i="8" s="1"/>
  <c r="D31" i="8"/>
  <c r="C31" i="8"/>
  <c r="B31" i="8"/>
  <c r="A26" i="8"/>
  <c r="F30" i="8" s="1"/>
  <c r="A23" i="8"/>
  <c r="E30" i="8" s="1"/>
  <c r="A20" i="8"/>
  <c r="D30" i="8" s="1"/>
  <c r="A17" i="8"/>
  <c r="C30" i="8" s="1"/>
  <c r="AO8" i="6"/>
  <c r="AO11" i="6" s="1"/>
  <c r="K61" i="1" s="1"/>
  <c r="K96" i="1" s="1"/>
  <c r="AP8" i="6"/>
  <c r="AP11" i="6" s="1"/>
  <c r="L61" i="1" s="1"/>
  <c r="L96" i="1" s="1"/>
  <c r="AQ8" i="6"/>
  <c r="AQ11" i="6" s="1"/>
  <c r="M61" i="1" s="1"/>
  <c r="M96" i="1" s="1"/>
  <c r="AN8" i="6"/>
  <c r="AN11" i="6" s="1"/>
  <c r="J61" i="1" s="1"/>
  <c r="J96" i="1" s="1"/>
  <c r="AJ13" i="6"/>
  <c r="AK13" i="6"/>
  <c r="AI13" i="6"/>
  <c r="AH13" i="6"/>
  <c r="AI10" i="6"/>
  <c r="AJ10" i="6"/>
  <c r="AK10" i="6"/>
  <c r="AH10" i="6"/>
  <c r="E46" i="6"/>
  <c r="R56" i="6"/>
  <c r="Q56" i="6"/>
  <c r="P56" i="6"/>
  <c r="S54" i="6"/>
  <c r="R54" i="6"/>
  <c r="Q54" i="6"/>
  <c r="P54" i="6"/>
  <c r="V53" i="6"/>
  <c r="U53" i="6"/>
  <c r="T53" i="6"/>
  <c r="S53" i="6"/>
  <c r="R53" i="6"/>
  <c r="Q53" i="6"/>
  <c r="P53" i="6"/>
  <c r="V52" i="6"/>
  <c r="U52" i="6"/>
  <c r="T52" i="6"/>
  <c r="S52" i="6"/>
  <c r="R52" i="6"/>
  <c r="Q52" i="6"/>
  <c r="P52" i="6"/>
  <c r="P51" i="6"/>
  <c r="T48" i="6"/>
  <c r="S48" i="6"/>
  <c r="R48" i="6"/>
  <c r="Q48" i="6"/>
  <c r="P48" i="6"/>
  <c r="T47" i="6"/>
  <c r="S47" i="6"/>
  <c r="R47" i="6"/>
  <c r="Q47" i="6"/>
  <c r="P47" i="6"/>
  <c r="T46" i="6"/>
  <c r="S46" i="6"/>
  <c r="R46" i="6"/>
  <c r="Q46" i="6"/>
  <c r="P46" i="6"/>
  <c r="T45" i="6"/>
  <c r="S45" i="6"/>
  <c r="R45" i="6"/>
  <c r="Q45" i="6"/>
  <c r="P45" i="6"/>
  <c r="T44" i="6"/>
  <c r="S44" i="6"/>
  <c r="R44" i="6"/>
  <c r="Q44" i="6"/>
  <c r="P44" i="6"/>
  <c r="P43" i="6"/>
  <c r="S38" i="6"/>
  <c r="R38" i="6"/>
  <c r="Q38" i="6"/>
  <c r="P38" i="6"/>
  <c r="S37" i="6"/>
  <c r="R37" i="6"/>
  <c r="Q37" i="6"/>
  <c r="P37" i="6"/>
  <c r="S36" i="6"/>
  <c r="S39" i="6" s="1"/>
  <c r="R36" i="6"/>
  <c r="R39" i="6" s="1"/>
  <c r="Q36" i="6"/>
  <c r="Q39" i="6" s="1"/>
  <c r="P36" i="6"/>
  <c r="P39" i="6" s="1"/>
  <c r="C57" i="6"/>
  <c r="B57" i="6"/>
  <c r="A57" i="6"/>
  <c r="D55" i="6"/>
  <c r="C55" i="6"/>
  <c r="B55" i="6"/>
  <c r="A55" i="6"/>
  <c r="G54" i="6"/>
  <c r="F54" i="6"/>
  <c r="E54" i="6"/>
  <c r="D54" i="6"/>
  <c r="C54" i="6"/>
  <c r="B54" i="6"/>
  <c r="A54" i="6"/>
  <c r="G53" i="6"/>
  <c r="F53" i="6"/>
  <c r="E53" i="6"/>
  <c r="D53" i="6"/>
  <c r="C53" i="6"/>
  <c r="B53" i="6"/>
  <c r="A53" i="6"/>
  <c r="A52" i="6"/>
  <c r="E49" i="6"/>
  <c r="D49" i="6"/>
  <c r="C49" i="6"/>
  <c r="B49" i="6"/>
  <c r="A49" i="6"/>
  <c r="E48" i="6"/>
  <c r="D48" i="6"/>
  <c r="C48" i="6"/>
  <c r="B48" i="6"/>
  <c r="A48" i="6"/>
  <c r="E47" i="6"/>
  <c r="D47" i="6"/>
  <c r="C47" i="6"/>
  <c r="B47" i="6"/>
  <c r="A47" i="6"/>
  <c r="D46" i="6"/>
  <c r="C46" i="6"/>
  <c r="B46" i="6"/>
  <c r="A46" i="6"/>
  <c r="E38" i="6"/>
  <c r="L38" i="6" s="1"/>
  <c r="D38" i="6"/>
  <c r="K38" i="6" s="1"/>
  <c r="C38" i="6"/>
  <c r="J38" i="6" s="1"/>
  <c r="B38" i="6"/>
  <c r="I38" i="6" s="1"/>
  <c r="E45" i="6"/>
  <c r="D45" i="6"/>
  <c r="C45" i="6"/>
  <c r="B45" i="6"/>
  <c r="A45" i="6"/>
  <c r="E37" i="6"/>
  <c r="L37" i="6" s="1"/>
  <c r="D37" i="6"/>
  <c r="K37" i="6" s="1"/>
  <c r="C37" i="6"/>
  <c r="J37" i="6" s="1"/>
  <c r="B37" i="6"/>
  <c r="I37" i="6" s="1"/>
  <c r="A44" i="6"/>
  <c r="E36" i="6"/>
  <c r="L36" i="6" s="1"/>
  <c r="D36" i="6"/>
  <c r="K36" i="6" s="1"/>
  <c r="C36" i="6"/>
  <c r="J36" i="6" s="1"/>
  <c r="B36" i="6"/>
  <c r="A42" i="6"/>
  <c r="C27" i="6"/>
  <c r="B27" i="6"/>
  <c r="A27" i="6"/>
  <c r="R24" i="6"/>
  <c r="Q24" i="6"/>
  <c r="P24" i="6"/>
  <c r="D25" i="6"/>
  <c r="C25" i="6"/>
  <c r="B25" i="6"/>
  <c r="A25" i="6"/>
  <c r="S22" i="6"/>
  <c r="R22" i="6"/>
  <c r="Q22" i="6"/>
  <c r="P22" i="6"/>
  <c r="G24" i="6"/>
  <c r="F24" i="6"/>
  <c r="E24" i="6"/>
  <c r="D24" i="6"/>
  <c r="C24" i="6"/>
  <c r="B24" i="6"/>
  <c r="A24" i="6"/>
  <c r="U21" i="6"/>
  <c r="T21" i="6"/>
  <c r="S21" i="6"/>
  <c r="R21" i="6"/>
  <c r="Q21" i="6"/>
  <c r="P21" i="6"/>
  <c r="G23" i="6"/>
  <c r="F23" i="6"/>
  <c r="E23" i="6"/>
  <c r="D23" i="6"/>
  <c r="C23" i="6"/>
  <c r="B23" i="6"/>
  <c r="A23" i="6"/>
  <c r="U20" i="6"/>
  <c r="T20" i="6"/>
  <c r="S20" i="6"/>
  <c r="R20" i="6"/>
  <c r="Q20" i="6"/>
  <c r="P20" i="6"/>
  <c r="A22" i="6"/>
  <c r="P19" i="6"/>
  <c r="E20" i="6"/>
  <c r="D20" i="6"/>
  <c r="C20" i="6"/>
  <c r="B20" i="6"/>
  <c r="A20" i="6"/>
  <c r="T17" i="6"/>
  <c r="S17" i="6"/>
  <c r="R17" i="6"/>
  <c r="Q17" i="6"/>
  <c r="P17" i="6"/>
  <c r="E19" i="6"/>
  <c r="D19" i="6"/>
  <c r="C19" i="6"/>
  <c r="B19" i="6"/>
  <c r="A19" i="6"/>
  <c r="T16" i="6"/>
  <c r="S16" i="6"/>
  <c r="R16" i="6"/>
  <c r="Q16" i="6"/>
  <c r="P16" i="6"/>
  <c r="E18" i="6"/>
  <c r="D18" i="6"/>
  <c r="C18" i="6"/>
  <c r="B18" i="6"/>
  <c r="A18" i="6"/>
  <c r="T15" i="6"/>
  <c r="S15" i="6"/>
  <c r="R15" i="6"/>
  <c r="Q15" i="6"/>
  <c r="P15" i="6"/>
  <c r="E17" i="6"/>
  <c r="D17" i="6"/>
  <c r="C17" i="6"/>
  <c r="B17" i="6"/>
  <c r="A17" i="6"/>
  <c r="T14" i="6"/>
  <c r="S14" i="6"/>
  <c r="R14" i="6"/>
  <c r="Q14" i="6"/>
  <c r="P14" i="6"/>
  <c r="E16" i="6"/>
  <c r="D16" i="6"/>
  <c r="C16" i="6"/>
  <c r="B16" i="6"/>
  <c r="A16" i="6"/>
  <c r="T13" i="6"/>
  <c r="S13" i="6"/>
  <c r="R13" i="6"/>
  <c r="Q13" i="6"/>
  <c r="P13" i="6"/>
  <c r="A15" i="6"/>
  <c r="P12" i="6"/>
  <c r="A13" i="6"/>
  <c r="P10" i="6"/>
  <c r="AK5" i="6"/>
  <c r="AJ5" i="6"/>
  <c r="AI5" i="6"/>
  <c r="AH5" i="6"/>
  <c r="T6" i="6"/>
  <c r="S6" i="6"/>
  <c r="R6" i="6"/>
  <c r="Q6" i="6"/>
  <c r="E6" i="6"/>
  <c r="L6" i="6" s="1"/>
  <c r="L7" i="8" s="1"/>
  <c r="D6" i="6"/>
  <c r="K6" i="6" s="1"/>
  <c r="K7" i="8" s="1"/>
  <c r="C6" i="6"/>
  <c r="J6" i="6" s="1"/>
  <c r="J7" i="8" s="1"/>
  <c r="B6" i="6"/>
  <c r="I6" i="6" s="1"/>
  <c r="I7" i="8" s="1"/>
  <c r="T5" i="6"/>
  <c r="S5" i="6"/>
  <c r="R5" i="6"/>
  <c r="Q5" i="6"/>
  <c r="E5" i="6"/>
  <c r="L5" i="6" s="1"/>
  <c r="L6" i="8" s="1"/>
  <c r="D5" i="6"/>
  <c r="K5" i="6" s="1"/>
  <c r="K6" i="8" s="1"/>
  <c r="C5" i="6"/>
  <c r="J5" i="6" s="1"/>
  <c r="J6" i="8" s="1"/>
  <c r="B5" i="6"/>
  <c r="T4" i="6"/>
  <c r="T8" i="6" s="1"/>
  <c r="M60" i="1" s="1"/>
  <c r="S4" i="6"/>
  <c r="R4" i="6"/>
  <c r="E4" i="6"/>
  <c r="L4" i="6" s="1"/>
  <c r="L5" i="8" s="1"/>
  <c r="D4" i="6"/>
  <c r="C4" i="6"/>
  <c r="J4" i="6" s="1"/>
  <c r="J5" i="8" s="1"/>
  <c r="L3" i="6"/>
  <c r="T3" i="6" s="1"/>
  <c r="D3" i="6"/>
  <c r="K4" i="8" s="1"/>
  <c r="J3" i="6"/>
  <c r="R3" i="6" s="1"/>
  <c r="Y41" i="6" s="1"/>
  <c r="I3" i="6"/>
  <c r="Q3" i="6" s="1"/>
  <c r="Y38" i="6" s="1"/>
  <c r="F39" i="8" l="1"/>
  <c r="C39" i="8"/>
  <c r="D39" i="9"/>
  <c r="D39" i="8"/>
  <c r="E39" i="9"/>
  <c r="L9" i="8"/>
  <c r="L8" i="8"/>
  <c r="J9" i="8"/>
  <c r="J8" i="8"/>
  <c r="AK6" i="6"/>
  <c r="Y48" i="6"/>
  <c r="Y47" i="6"/>
  <c r="Y14" i="6" s="1"/>
  <c r="Y39" i="6"/>
  <c r="Y5" i="6"/>
  <c r="AH3" i="6"/>
  <c r="Y42" i="6"/>
  <c r="Y8" i="6"/>
  <c r="AO3" i="6"/>
  <c r="L40" i="6"/>
  <c r="L39" i="6"/>
  <c r="K40" i="6"/>
  <c r="K39" i="6"/>
  <c r="I36" i="6"/>
  <c r="B39" i="6"/>
  <c r="K3" i="6"/>
  <c r="S3" i="6" s="1"/>
  <c r="AP3" i="6" s="1"/>
  <c r="D35" i="6"/>
  <c r="K35" i="6" s="1"/>
  <c r="R35" i="6" s="1"/>
  <c r="J40" i="6"/>
  <c r="J39" i="6"/>
  <c r="D8" i="6"/>
  <c r="L59" i="1" s="1"/>
  <c r="K4" i="6"/>
  <c r="K5" i="8" s="1"/>
  <c r="L7" i="6"/>
  <c r="L8" i="6"/>
  <c r="B8" i="6"/>
  <c r="J59" i="1" s="1"/>
  <c r="I5" i="6"/>
  <c r="I6" i="8" s="1"/>
  <c r="J8" i="6"/>
  <c r="J7" i="6"/>
  <c r="E8" i="6"/>
  <c r="M59" i="1" s="1"/>
  <c r="C8" i="6"/>
  <c r="K59" i="1" s="1"/>
  <c r="E40" i="6"/>
  <c r="M78" i="1" s="1"/>
  <c r="AQ3" i="6"/>
  <c r="C39" i="6"/>
  <c r="D40" i="6"/>
  <c r="L78" i="1" s="1"/>
  <c r="P40" i="6"/>
  <c r="J79" i="1" s="1"/>
  <c r="Q8" i="6"/>
  <c r="J60" i="1" s="1"/>
  <c r="AH6" i="6"/>
  <c r="AN3" i="6"/>
  <c r="S40" i="6"/>
  <c r="M79" i="1" s="1"/>
  <c r="M95" i="1" s="1"/>
  <c r="D39" i="6"/>
  <c r="R40" i="6"/>
  <c r="L79" i="1" s="1"/>
  <c r="S8" i="6"/>
  <c r="L60" i="1" s="1"/>
  <c r="AJ6" i="6"/>
  <c r="T7" i="6"/>
  <c r="C40" i="6"/>
  <c r="K78" i="1" s="1"/>
  <c r="Q40" i="6"/>
  <c r="K79" i="1" s="1"/>
  <c r="R8" i="6"/>
  <c r="K60" i="1" s="1"/>
  <c r="AI6" i="6"/>
  <c r="E7" i="6"/>
  <c r="Q7" i="6"/>
  <c r="C7" i="6"/>
  <c r="R7" i="6"/>
  <c r="E39" i="6"/>
  <c r="B40" i="6"/>
  <c r="J78" i="1" s="1"/>
  <c r="B7" i="6"/>
  <c r="D7" i="6"/>
  <c r="S7" i="6"/>
  <c r="K95" i="1" l="1"/>
  <c r="L95" i="1"/>
  <c r="M94" i="1"/>
  <c r="L94" i="1"/>
  <c r="J95" i="1"/>
  <c r="K94" i="1"/>
  <c r="I9" i="8"/>
  <c r="I8" i="8"/>
  <c r="K9" i="8"/>
  <c r="K8" i="8"/>
  <c r="J94" i="1"/>
  <c r="Y40" i="6"/>
  <c r="Y7" i="6" s="1"/>
  <c r="Y6" i="6"/>
  <c r="Y43" i="6"/>
  <c r="Y10" i="6" s="1"/>
  <c r="Y9" i="6"/>
  <c r="Y15" i="6"/>
  <c r="Y49" i="6"/>
  <c r="Y16" i="6" s="1"/>
  <c r="I40" i="6"/>
  <c r="I39" i="6"/>
  <c r="Z53" i="6" s="1"/>
  <c r="I8" i="6"/>
  <c r="I7" i="6"/>
  <c r="K7" i="6"/>
  <c r="K8" i="6"/>
  <c r="Z21" i="6" l="1"/>
  <c r="F73" i="1"/>
  <c r="C73" i="1"/>
  <c r="F52" i="1"/>
  <c r="M52" i="1" s="1"/>
  <c r="D72" i="1"/>
  <c r="K72" i="1" s="1"/>
  <c r="C52" i="1"/>
  <c r="E72" i="1"/>
  <c r="F51" i="1" l="1"/>
  <c r="D73" i="1"/>
  <c r="C88" i="1"/>
  <c r="J52" i="1"/>
  <c r="C72" i="1"/>
  <c r="J73" i="1"/>
  <c r="M73" i="1"/>
  <c r="M86" i="1" s="1"/>
  <c r="F88" i="1"/>
  <c r="C51" i="1"/>
  <c r="J51" i="1" s="1"/>
  <c r="E52" i="1"/>
  <c r="L72" i="1"/>
  <c r="D52" i="1"/>
  <c r="E73" i="1"/>
  <c r="F72" i="1"/>
  <c r="G61" i="1" l="1"/>
  <c r="F61" i="1" s="1"/>
  <c r="D51" i="1"/>
  <c r="M72" i="1"/>
  <c r="C87" i="1"/>
  <c r="D88" i="1"/>
  <c r="G88" i="1" s="1"/>
  <c r="C95" i="1" s="1"/>
  <c r="K73" i="1"/>
  <c r="K52" i="1"/>
  <c r="L52" i="1"/>
  <c r="G79" i="1"/>
  <c r="C79" i="1" s="1"/>
  <c r="J72" i="1"/>
  <c r="J86" i="1"/>
  <c r="M51" i="1"/>
  <c r="F87" i="1"/>
  <c r="E88" i="1"/>
  <c r="L73" i="1"/>
  <c r="E51" i="1"/>
  <c r="G60" i="1" s="1"/>
  <c r="F95" i="1"/>
  <c r="G80" i="1"/>
  <c r="E80" i="1" s="1"/>
  <c r="E61" i="1" l="1"/>
  <c r="D61" i="1"/>
  <c r="C61" i="1"/>
  <c r="M85" i="1"/>
  <c r="D95" i="1"/>
  <c r="K86" i="1"/>
  <c r="E95" i="1"/>
  <c r="E60" i="1"/>
  <c r="F60" i="1"/>
  <c r="C60" i="1"/>
  <c r="L86" i="1"/>
  <c r="D80" i="1"/>
  <c r="D87" i="1"/>
  <c r="G87" i="1" s="1"/>
  <c r="C94" i="1" s="1"/>
  <c r="D60" i="1"/>
  <c r="K51" i="1"/>
  <c r="K85" i="1" s="1"/>
  <c r="E87" i="1"/>
  <c r="L51" i="1"/>
  <c r="L85" i="1" s="1"/>
  <c r="D94" i="1"/>
  <c r="D79" i="1"/>
  <c r="E79" i="1"/>
  <c r="F79" i="1"/>
  <c r="C80" i="1"/>
  <c r="F80" i="1"/>
  <c r="J85" i="1"/>
  <c r="E94" i="1" l="1"/>
  <c r="F94" i="1"/>
</calcChain>
</file>

<file path=xl/comments1.xml><?xml version="1.0" encoding="utf-8"?>
<comments xmlns="http://schemas.openxmlformats.org/spreadsheetml/2006/main">
  <authors>
    <author/>
    <author>CBalingbing</author>
  </authors>
  <commentList>
    <comment ref="U4" authorId="0">
      <text>
        <r>
          <rPr>
            <sz val="10"/>
            <color rgb="FF000000"/>
            <rFont val="Arial"/>
            <family val="2"/>
          </rPr>
          <t>no need to divide by .63 as the amount of urea here was the one applied to the actual field which is 0.63ha
	-a.castalone</t>
        </r>
      </text>
    </comment>
    <comment ref="V4" authorId="0">
      <text>
        <r>
          <rPr>
            <sz val="10"/>
            <color rgb="FF000000"/>
            <rFont val="Arial"/>
            <family val="2"/>
          </rPr>
          <t>H4 should be multiplied to 0.63 to get actual amount requirement for our plot
	-a.castalone</t>
        </r>
      </text>
    </comment>
    <comment ref="W4" authorId="0">
      <text>
        <r>
          <rPr>
            <sz val="10"/>
            <color rgb="FF000000"/>
            <rFont val="Arial"/>
            <family val="2"/>
          </rPr>
          <t>U4 should also be multiplied by 0.63
	-a.castalone</t>
        </r>
      </text>
    </comment>
    <comment ref="G106" authorId="1">
      <text>
        <r>
          <rPr>
            <b/>
            <sz val="9"/>
            <color rgb="FF000000"/>
            <rFont val="Tahoma"/>
            <family val="2"/>
          </rPr>
          <t>CBalingbing: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This should be the total amount of N per hectare that was applied during the WS 2015</t>
        </r>
      </text>
    </comment>
  </commentList>
</comments>
</file>

<file path=xl/comments2.xml><?xml version="1.0" encoding="utf-8"?>
<comments xmlns="http://schemas.openxmlformats.org/spreadsheetml/2006/main">
  <authors>
    <author>CBalingbing</author>
  </authors>
  <commentList>
    <comment ref="H29" authorId="0">
      <text>
        <r>
          <rPr>
            <b/>
            <sz val="9"/>
            <color indexed="81"/>
            <rFont val="Tahoma"/>
            <family val="2"/>
          </rPr>
          <t>CBalingbing:</t>
        </r>
        <r>
          <rPr>
            <sz val="9"/>
            <color indexed="81"/>
            <rFont val="Tahoma"/>
            <family val="2"/>
          </rPr>
          <t xml:space="preserve">
Total P &amp; K applied per hectare unit area</t>
        </r>
      </text>
    </comment>
    <comment ref="G61" authorId="0">
      <text>
        <r>
          <rPr>
            <b/>
            <sz val="9"/>
            <color indexed="81"/>
            <rFont val="Tahoma"/>
            <family val="2"/>
          </rPr>
          <t>CBalingbing:</t>
        </r>
        <r>
          <rPr>
            <sz val="9"/>
            <color indexed="81"/>
            <rFont val="Tahoma"/>
            <family val="2"/>
          </rPr>
          <t xml:space="preserve">
Geli's calculation based on area of experimental field that is 0.63 ha</t>
        </r>
      </text>
    </comment>
    <comment ref="G63" authorId="0">
      <text>
        <r>
          <rPr>
            <b/>
            <sz val="9"/>
            <color indexed="81"/>
            <rFont val="Tahoma"/>
            <family val="2"/>
          </rPr>
          <t>CBalingbing:</t>
        </r>
        <r>
          <rPr>
            <sz val="9"/>
            <color indexed="81"/>
            <rFont val="Tahoma"/>
            <family val="2"/>
          </rPr>
          <t xml:space="preserve">
My calculation based on per hectare unit area</t>
        </r>
      </text>
    </comment>
    <comment ref="G96" authorId="0">
      <text>
        <r>
          <rPr>
            <b/>
            <sz val="9"/>
            <color indexed="81"/>
            <rFont val="Tahoma"/>
            <family val="2"/>
          </rPr>
          <t>CBalingbing:</t>
        </r>
        <r>
          <rPr>
            <sz val="9"/>
            <color indexed="81"/>
            <rFont val="Tahoma"/>
            <family val="2"/>
          </rPr>
          <t xml:space="preserve">
Geli's calculation based on area of experimental plot of 0.63 hectare.</t>
        </r>
      </text>
    </comment>
    <comment ref="H98" authorId="0">
      <text>
        <r>
          <rPr>
            <b/>
            <sz val="9"/>
            <color indexed="81"/>
            <rFont val="Tahoma"/>
            <family val="2"/>
          </rPr>
          <t>CBalingbing:</t>
        </r>
        <r>
          <rPr>
            <sz val="9"/>
            <color indexed="81"/>
            <rFont val="Tahoma"/>
            <family val="2"/>
          </rPr>
          <t xml:space="preserve">
My calculation based on per hectare unit area.</t>
        </r>
      </text>
    </comment>
    <comment ref="H103" authorId="0">
      <text>
        <r>
          <rPr>
            <b/>
            <sz val="9"/>
            <color indexed="81"/>
            <rFont val="Tahoma"/>
            <family val="2"/>
          </rPr>
          <t>CBalingbing:</t>
        </r>
        <r>
          <rPr>
            <sz val="9"/>
            <color indexed="81"/>
            <rFont val="Tahoma"/>
            <family val="2"/>
          </rPr>
          <t xml:space="preserve">
The correct amount of total N applied per hectare unit area for DS 2016.</t>
        </r>
      </text>
    </comment>
  </commentList>
</comments>
</file>

<file path=xl/sharedStrings.xml><?xml version="1.0" encoding="utf-8"?>
<sst xmlns="http://schemas.openxmlformats.org/spreadsheetml/2006/main" count="1407" uniqueCount="489">
  <si>
    <t>kg/ha</t>
  </si>
  <si>
    <t>PSRm</t>
  </si>
  <si>
    <t>CSRm</t>
  </si>
  <si>
    <t>Total</t>
  </si>
  <si>
    <t>Straw</t>
  </si>
  <si>
    <t>PSR</t>
  </si>
  <si>
    <t>SD</t>
  </si>
  <si>
    <t>SE</t>
  </si>
  <si>
    <t>GJ/ha</t>
  </si>
  <si>
    <t>Incorporate</t>
  </si>
  <si>
    <t>Mushroom</t>
  </si>
  <si>
    <t>Yield</t>
  </si>
  <si>
    <t>Energy</t>
  </si>
  <si>
    <t>SD energy</t>
  </si>
  <si>
    <t>output</t>
  </si>
  <si>
    <t>SD energy output</t>
  </si>
  <si>
    <t>SD input</t>
  </si>
  <si>
    <t>total</t>
  </si>
  <si>
    <t>SimaPro 8.5.0.0</t>
  </si>
  <si>
    <t>Process contribution</t>
  </si>
  <si>
    <t>Date:</t>
  </si>
  <si>
    <t>Time:</t>
  </si>
  <si>
    <t>Project</t>
  </si>
  <si>
    <t>LCA Rice production-IRRI_1</t>
  </si>
  <si>
    <t>Calculation:</t>
  </si>
  <si>
    <t>Analyze</t>
  </si>
  <si>
    <t>Results:</t>
  </si>
  <si>
    <t>Product:</t>
  </si>
  <si>
    <t>1 ha CSR_DS (of project LCA Rice production-IRRI_1)</t>
  </si>
  <si>
    <t>Method:</t>
  </si>
  <si>
    <t>Cumulative Energy Demand V1.09 / Cumulative energy demand</t>
  </si>
  <si>
    <t>Indicator:</t>
  </si>
  <si>
    <t>Single score</t>
  </si>
  <si>
    <t>Cut-off:</t>
  </si>
  <si>
    <t>0.1 %</t>
  </si>
  <si>
    <t>Default units:</t>
  </si>
  <si>
    <t>No</t>
  </si>
  <si>
    <t>Exclude infrastructure processes:</t>
  </si>
  <si>
    <t>Exclude long-term emissions:</t>
  </si>
  <si>
    <t>Sorted on item:</t>
  </si>
  <si>
    <t>Process</t>
  </si>
  <si>
    <t>Sort order:</t>
  </si>
  <si>
    <t>Ascending</t>
  </si>
  <si>
    <t>Unit</t>
  </si>
  <si>
    <t>CSR_WS-18</t>
  </si>
  <si>
    <t>Energy based diesel consumption</t>
  </si>
  <si>
    <t>Rice seed, for sowing {GLO}| market for | Alloc Rec, S</t>
  </si>
  <si>
    <t>Labor</t>
  </si>
  <si>
    <t>Fertilizer WS2015_1</t>
  </si>
  <si>
    <t>Herbicide</t>
  </si>
  <si>
    <t>Paddy</t>
  </si>
  <si>
    <t>Rice straw - mushrrom_E</t>
  </si>
  <si>
    <t/>
  </si>
  <si>
    <t>Total of all processes</t>
  </si>
  <si>
    <t>GJ</t>
  </si>
  <si>
    <t>PSR_WS-1</t>
  </si>
  <si>
    <t>Rice straw(dm)_Based NPK</t>
  </si>
  <si>
    <t>SB_WS-1</t>
  </si>
  <si>
    <t>Rice straw(dm)_based NPK-burning</t>
  </si>
  <si>
    <t>STR_WS-1</t>
  </si>
  <si>
    <t>Rice straw and ash incorporation</t>
  </si>
  <si>
    <t>CSR-DS</t>
  </si>
  <si>
    <t>CSR_DS</t>
  </si>
  <si>
    <t>Fertilizer DS2016_1</t>
  </si>
  <si>
    <t>PSR_DS-1</t>
  </si>
  <si>
    <t>SB_DS-1</t>
  </si>
  <si>
    <t>STR_DS-1</t>
  </si>
  <si>
    <t>WS</t>
  </si>
  <si>
    <t>DS</t>
  </si>
  <si>
    <t>GHGE from</t>
  </si>
  <si>
    <t>SB</t>
  </si>
  <si>
    <t>SRt</t>
  </si>
  <si>
    <t>%</t>
  </si>
  <si>
    <t>Seeds</t>
  </si>
  <si>
    <t>Fertilizer</t>
  </si>
  <si>
    <t>Mechanized operations</t>
  </si>
  <si>
    <t>Direct field emission</t>
  </si>
  <si>
    <t>2015 WS</t>
  </si>
  <si>
    <t>In-field burning straw</t>
  </si>
  <si>
    <t>Treatments</t>
  </si>
  <si>
    <r>
      <t>Grain Yield (Mg ha</t>
    </r>
    <r>
      <rPr>
        <vertAlign val="superscript"/>
        <sz val="9"/>
        <color theme="1"/>
        <rFont val="Times New Roman"/>
        <family val="1"/>
      </rPr>
      <t>-1</t>
    </r>
    <r>
      <rPr>
        <sz val="9"/>
        <color theme="1"/>
        <rFont val="Times New Roman"/>
        <family val="1"/>
      </rPr>
      <t>)</t>
    </r>
  </si>
  <si>
    <t>HRR (%)</t>
  </si>
  <si>
    <t>Straw Yield (Mg ha-1)</t>
  </si>
  <si>
    <t>Grain</t>
  </si>
  <si>
    <r>
      <t>5.94</t>
    </r>
    <r>
      <rPr>
        <vertAlign val="superscript"/>
        <sz val="10"/>
        <color theme="1"/>
        <rFont val="Times New Roman"/>
        <family val="1"/>
      </rPr>
      <t>a</t>
    </r>
  </si>
  <si>
    <r>
      <t>63.31</t>
    </r>
    <r>
      <rPr>
        <vertAlign val="superscript"/>
        <sz val="10"/>
        <color theme="1"/>
        <rFont val="Times New Roman"/>
        <family val="1"/>
      </rPr>
      <t>b</t>
    </r>
  </si>
  <si>
    <r>
      <t>6.06</t>
    </r>
    <r>
      <rPr>
        <vertAlign val="superscript"/>
        <sz val="10"/>
        <color theme="1"/>
        <rFont val="Times New Roman"/>
        <family val="1"/>
      </rPr>
      <t>a</t>
    </r>
  </si>
  <si>
    <r>
      <t>64.07</t>
    </r>
    <r>
      <rPr>
        <vertAlign val="superscript"/>
        <sz val="10"/>
        <color theme="1"/>
        <rFont val="Times New Roman"/>
        <family val="1"/>
      </rPr>
      <t>b</t>
    </r>
  </si>
  <si>
    <r>
      <t>5.76</t>
    </r>
    <r>
      <rPr>
        <vertAlign val="superscript"/>
        <sz val="10"/>
        <color theme="1"/>
        <rFont val="Times New Roman"/>
        <family val="1"/>
      </rPr>
      <t>a</t>
    </r>
  </si>
  <si>
    <r>
      <t>62.54</t>
    </r>
    <r>
      <rPr>
        <vertAlign val="superscript"/>
        <sz val="10"/>
        <color theme="1"/>
        <rFont val="Times New Roman"/>
        <family val="1"/>
      </rPr>
      <t>b</t>
    </r>
  </si>
  <si>
    <r>
      <t>5.73</t>
    </r>
    <r>
      <rPr>
        <vertAlign val="superscript"/>
        <sz val="10"/>
        <color theme="1"/>
        <rFont val="Times New Roman"/>
        <family val="1"/>
      </rPr>
      <t>a</t>
    </r>
  </si>
  <si>
    <r>
      <t>64.30</t>
    </r>
    <r>
      <rPr>
        <vertAlign val="superscript"/>
        <sz val="10"/>
        <color theme="1"/>
        <rFont val="Times New Roman"/>
        <family val="1"/>
      </rPr>
      <t>b</t>
    </r>
  </si>
  <si>
    <t>Impact category</t>
  </si>
  <si>
    <t>Fertilizer 2 seasons (Dec 2017)</t>
  </si>
  <si>
    <t>Nitrogen fertiliser, as N {RoW}| urea ammonium nitrate production | Alloc Rec, S</t>
  </si>
  <si>
    <t>Phosphate fertiliser, as P2O5 {RoW}| ammonium nitrate phosphate production | Alloc Rec, S</t>
  </si>
  <si>
    <t>Potassium chloride, as K2O {RoW}| potassium chloride production | Alloc Rec, S</t>
  </si>
  <si>
    <t>kg CO2 eq</t>
  </si>
  <si>
    <t>Lit/ha</t>
  </si>
  <si>
    <t>kgCo2/MJ</t>
  </si>
  <si>
    <t>Burning</t>
  </si>
  <si>
    <r>
      <t>. Annual GHGE (kg 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-eq ha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 </t>
    </r>
  </si>
  <si>
    <t>SimaPro 8.0.5.13</t>
  </si>
  <si>
    <t>Impact assessment</t>
  </si>
  <si>
    <t>UC5-STR_LCA</t>
  </si>
  <si>
    <t>UC5-SB_LCA</t>
  </si>
  <si>
    <t>UC5-PSR_LCA</t>
  </si>
  <si>
    <t>UC5-CSR_LCA</t>
  </si>
  <si>
    <t>Abiotic depletion</t>
  </si>
  <si>
    <t>kg Sb eq</t>
  </si>
  <si>
    <t>Abiotic depletion (fossil fuels)</t>
  </si>
  <si>
    <t>MJ</t>
  </si>
  <si>
    <t>Compare</t>
  </si>
  <si>
    <t>Global warming (GWP100a)</t>
  </si>
  <si>
    <t>Ozone layer depletion (ODP)</t>
  </si>
  <si>
    <t>kg CFC-11 eq</t>
  </si>
  <si>
    <t>Product 1:</t>
  </si>
  <si>
    <t>1 ha UC5-STR_LCA (of project LCA Rice production-IRRI_1)</t>
  </si>
  <si>
    <t>Human toxicity</t>
  </si>
  <si>
    <t>kg 1,4-DB eq</t>
  </si>
  <si>
    <t>Product 2:</t>
  </si>
  <si>
    <t>1 ha UC5-SB_LCA (of project LCA Rice production-IRRI_1)</t>
  </si>
  <si>
    <t>Fresh water aquatic ecotox.</t>
  </si>
  <si>
    <t>Product 3:</t>
  </si>
  <si>
    <t>1 ha UC5-PSR_LCA (of project LCA Rice production-IRRI_1)</t>
  </si>
  <si>
    <t>Marine aquatic ecotoxicity</t>
  </si>
  <si>
    <t>Product 4:</t>
  </si>
  <si>
    <t>1 ha UC5-CSR_LCA (of project LCA Rice production-IRRI_1)</t>
  </si>
  <si>
    <t>Terrestrial ecotoxicity</t>
  </si>
  <si>
    <t>CML-IA baseline V3.02 / EU25</t>
  </si>
  <si>
    <t>Photochemical oxidation</t>
  </si>
  <si>
    <t>kg C2H4 eq</t>
  </si>
  <si>
    <t>Characterization</t>
  </si>
  <si>
    <t>Acidification</t>
  </si>
  <si>
    <t>kg SO2 eq</t>
  </si>
  <si>
    <t>Skip categories:</t>
  </si>
  <si>
    <t>Never</t>
  </si>
  <si>
    <t>Eutrophication</t>
  </si>
  <si>
    <t>kg PO4--- eq</t>
  </si>
  <si>
    <t>Yes</t>
  </si>
  <si>
    <t>STR</t>
  </si>
  <si>
    <t>CSR</t>
  </si>
  <si>
    <t>Abiotic depletion (fossil fuels), 15.4 GJ</t>
  </si>
  <si>
    <t>Global warming (GWP100a), 4.1 Mg CO2 eq</t>
  </si>
  <si>
    <t>Human toxicity, 0.17 Mg 1,4 DB eq</t>
  </si>
  <si>
    <t>Marine aquatic ecotoxicity 32.8 Mg 1,4 DB eq</t>
  </si>
  <si>
    <t>Average</t>
  </si>
  <si>
    <t>PSR is control scenario</t>
  </si>
  <si>
    <t>Wet season</t>
  </si>
  <si>
    <t>SRT</t>
  </si>
  <si>
    <t>Paddy Yield, 5.9 Mg/ha</t>
  </si>
  <si>
    <t>Paddy yield (Mg/ha)</t>
  </si>
  <si>
    <t>Head rice recovery ratio</t>
  </si>
  <si>
    <t>Energy efficiency, 5.64</t>
  </si>
  <si>
    <t>Net energy balance (GJ/ha)</t>
  </si>
  <si>
    <t>GHGE (Mg CO2-eq/ha)</t>
  </si>
  <si>
    <t>Human toxicity (Mg 1,4 DB-eq/ ha)</t>
  </si>
  <si>
    <t>Grain quality (head rice recovery ratio), 63.6%</t>
  </si>
  <si>
    <t>Dry season</t>
  </si>
  <si>
    <t>Paddy Yield, 4.2 Mg/ha</t>
  </si>
  <si>
    <t>Energy efficiency, 3.7</t>
  </si>
  <si>
    <t>Grain quality (head rice recovery ratio), 49.6%</t>
  </si>
  <si>
    <t>two season</t>
  </si>
  <si>
    <t>Annual paddy yield (10.2 Mg/ha)</t>
  </si>
  <si>
    <t>Net energy balance (4.7)</t>
  </si>
  <si>
    <t>Partial removal (control = 1)</t>
  </si>
  <si>
    <t>Complete straw removal</t>
  </si>
  <si>
    <t>In-field burning</t>
  </si>
  <si>
    <t>Straw retained and incorporated</t>
  </si>
  <si>
    <t>Grain quality: head rice recovery (55.4%)</t>
  </si>
  <si>
    <t>Total (Annual)</t>
  </si>
  <si>
    <t>Head rice recovery (%)</t>
  </si>
  <si>
    <t>Mech-fuel-Human toxic</t>
  </si>
  <si>
    <t>burning straw SD</t>
  </si>
  <si>
    <t>t/ha</t>
  </si>
  <si>
    <t>OPERATION</t>
  </si>
  <si>
    <t>PLOWING</t>
  </si>
  <si>
    <t>Amount of fuel used</t>
  </si>
  <si>
    <t>10L</t>
  </si>
  <si>
    <t>FC</t>
  </si>
  <si>
    <t>Plot No.</t>
  </si>
  <si>
    <t>Treatment</t>
  </si>
  <si>
    <t>Area</t>
  </si>
  <si>
    <t>Fuel used</t>
  </si>
  <si>
    <t>Fuel consumption, FC</t>
  </si>
  <si>
    <t>(m^2)</t>
  </si>
  <si>
    <t>ha</t>
  </si>
  <si>
    <t>mL</t>
  </si>
  <si>
    <t>L/ha</t>
  </si>
  <si>
    <t>Dec 04* &amp; 9</t>
  </si>
  <si>
    <t>FIRST PUDDLING</t>
  </si>
  <si>
    <t>Time</t>
  </si>
  <si>
    <t>FC (L/hr)</t>
  </si>
  <si>
    <t>Field Capacity</t>
  </si>
  <si>
    <t>Lit/ha)</t>
  </si>
  <si>
    <t>min</t>
  </si>
  <si>
    <t>hr</t>
  </si>
  <si>
    <t>L/hr</t>
  </si>
  <si>
    <t>hr/ha</t>
  </si>
  <si>
    <t>13:05</t>
  </si>
  <si>
    <t>17:55</t>
  </si>
  <si>
    <t>CSR*</t>
  </si>
  <si>
    <t>36:20</t>
  </si>
  <si>
    <t>15:21</t>
  </si>
  <si>
    <t>Ave</t>
  </si>
  <si>
    <t>12:20</t>
  </si>
  <si>
    <t>Stdev</t>
  </si>
  <si>
    <t>17:21</t>
  </si>
  <si>
    <t>13:31</t>
  </si>
  <si>
    <t>7:56</t>
  </si>
  <si>
    <t>SB*</t>
  </si>
  <si>
    <t>41:42</t>
  </si>
  <si>
    <t>13:47</t>
  </si>
  <si>
    <t>15:35</t>
  </si>
  <si>
    <t>13:25</t>
  </si>
  <si>
    <t>* puddled without rotavating the soil</t>
  </si>
  <si>
    <t>average</t>
  </si>
  <si>
    <t>ROTAVATION</t>
  </si>
  <si>
    <t>17:25</t>
  </si>
  <si>
    <t>9:08</t>
  </si>
  <si>
    <t>15:20</t>
  </si>
  <si>
    <t>18:25</t>
  </si>
  <si>
    <t>14:15</t>
  </si>
  <si>
    <t>10:23</t>
  </si>
  <si>
    <t>11:26</t>
  </si>
  <si>
    <t>14:22</t>
  </si>
  <si>
    <t>13:27</t>
  </si>
  <si>
    <t>13:23</t>
  </si>
  <si>
    <t>SECOND PUDDLING</t>
  </si>
  <si>
    <t>18:02</t>
  </si>
  <si>
    <t>16:17</t>
  </si>
  <si>
    <t>16:59</t>
  </si>
  <si>
    <t>18:12</t>
  </si>
  <si>
    <t>19:22</t>
  </si>
  <si>
    <t>18:44</t>
  </si>
  <si>
    <t>14:30</t>
  </si>
  <si>
    <t>15:31</t>
  </si>
  <si>
    <t>19:00</t>
  </si>
  <si>
    <t>17:04</t>
  </si>
  <si>
    <t>18:26</t>
  </si>
  <si>
    <t>16:42</t>
  </si>
  <si>
    <t>FIRST HARROWING</t>
  </si>
  <si>
    <t>16:14</t>
  </si>
  <si>
    <t>21:59</t>
  </si>
  <si>
    <t>20:59</t>
  </si>
  <si>
    <t>19:29</t>
  </si>
  <si>
    <t>20:16</t>
  </si>
  <si>
    <t>12:05</t>
  </si>
  <si>
    <t>13:29</t>
  </si>
  <si>
    <t>11:57</t>
  </si>
  <si>
    <t>19:39</t>
  </si>
  <si>
    <t>21:22</t>
  </si>
  <si>
    <t>SECOND HARROWING</t>
  </si>
  <si>
    <t>6:12</t>
  </si>
  <si>
    <t>7:35</t>
  </si>
  <si>
    <t>9:24</t>
  </si>
  <si>
    <t>9:39</t>
  </si>
  <si>
    <t>11:39</t>
  </si>
  <si>
    <t>8:49</t>
  </si>
  <si>
    <t>7:53</t>
  </si>
  <si>
    <t>5:27</t>
  </si>
  <si>
    <t>6:36</t>
  </si>
  <si>
    <t>6:10</t>
  </si>
  <si>
    <t>11:36</t>
  </si>
  <si>
    <t>9:35</t>
  </si>
  <si>
    <t>LEVELING</t>
  </si>
  <si>
    <t>5:37</t>
  </si>
  <si>
    <t>4:12</t>
  </si>
  <si>
    <t>4:02</t>
  </si>
  <si>
    <t>3:49</t>
  </si>
  <si>
    <t>5:14</t>
  </si>
  <si>
    <t>6:02</t>
  </si>
  <si>
    <t>9:12</t>
  </si>
  <si>
    <t>3:42</t>
  </si>
  <si>
    <t>5:35</t>
  </si>
  <si>
    <t>7:33</t>
  </si>
  <si>
    <t>4:01</t>
  </si>
  <si>
    <t>MANPOWER</t>
  </si>
  <si>
    <t>Total Time of Planting</t>
  </si>
  <si>
    <t>Planting Rate</t>
  </si>
  <si>
    <t>(min)</t>
  </si>
  <si>
    <t>(hr/ha)</t>
  </si>
  <si>
    <t>37:24</t>
  </si>
  <si>
    <t>34:34</t>
  </si>
  <si>
    <t>36:47</t>
  </si>
  <si>
    <t>39:45</t>
  </si>
  <si>
    <t>29:27</t>
  </si>
  <si>
    <t>30:28</t>
  </si>
  <si>
    <t>34:50</t>
  </si>
  <si>
    <t>43:27</t>
  </si>
  <si>
    <t>38:11</t>
  </si>
  <si>
    <t>35:58</t>
  </si>
  <si>
    <t>34:58</t>
  </si>
  <si>
    <t>29:08</t>
  </si>
  <si>
    <t>ave</t>
  </si>
  <si>
    <t>Land used (m2)</t>
  </si>
  <si>
    <t>NPK (14-14-14) (kg ha-1)</t>
  </si>
  <si>
    <t>Urea (46-0-0)  (kg ha-1)</t>
  </si>
  <si>
    <t>Herbicide (kg ha-1)</t>
  </si>
  <si>
    <t>BASAL FERTILIZER APPLICATION</t>
  </si>
  <si>
    <t>Date</t>
  </si>
  <si>
    <t>10 DAT</t>
  </si>
  <si>
    <t>TP Date</t>
  </si>
  <si>
    <t>per ha</t>
  </si>
  <si>
    <t>.63 ha</t>
  </si>
  <si>
    <t>INPUT</t>
  </si>
  <si>
    <t>Complete Fertilizer (14-14-14)</t>
  </si>
  <si>
    <t>Total N requirement:</t>
  </si>
  <si>
    <t>amount:</t>
  </si>
  <si>
    <t>kg</t>
  </si>
  <si>
    <t>Total N applied :</t>
  </si>
  <si>
    <t>total fuel used:</t>
  </si>
  <si>
    <t>MANUAL APPL'N</t>
  </si>
  <si>
    <t>Manpower</t>
  </si>
  <si>
    <t>Total Time of Application</t>
  </si>
  <si>
    <t>Fertilizer Used</t>
  </si>
  <si>
    <t>Fert appl'n rate</t>
  </si>
  <si>
    <t>(hr)</t>
  </si>
  <si>
    <t>(kg)</t>
  </si>
  <si>
    <t>man-days/ha</t>
  </si>
  <si>
    <t>h/ha</t>
  </si>
  <si>
    <t>st</t>
  </si>
  <si>
    <t>total fertilizer used in the plots</t>
  </si>
  <si>
    <t>NPK</t>
  </si>
  <si>
    <t>Per hectare req't</t>
  </si>
  <si>
    <t>Urea</t>
  </si>
  <si>
    <t>MAX TILLERING FERTILIZER APPLICATION</t>
  </si>
  <si>
    <t>29DAT</t>
  </si>
  <si>
    <t>Total fert used</t>
  </si>
  <si>
    <t>amount used</t>
  </si>
  <si>
    <t>losses (assumed at 5%)</t>
  </si>
  <si>
    <t>L</t>
  </si>
  <si>
    <t>Fuel consumption</t>
  </si>
  <si>
    <t>MJ/ton</t>
  </si>
  <si>
    <t>MJ/kg</t>
  </si>
  <si>
    <t>PANICLE INITIATION FERTILIZER APPLICATION</t>
  </si>
  <si>
    <t>Anova: Single Factor</t>
  </si>
  <si>
    <t>SUMMARY</t>
  </si>
  <si>
    <t>Groups</t>
  </si>
  <si>
    <t>Count</t>
  </si>
  <si>
    <t>Sum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</si>
  <si>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</si>
  <si>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</si>
  <si>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</si>
  <si>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</si>
  <si>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</si>
  <si>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</si>
  <si>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</si>
  <si>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</si>
  <si>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</si>
  <si>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</si>
  <si>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</si>
  <si>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Wet Season 2015</t>
  </si>
  <si>
    <t>Yield (t/ha at 14%)</t>
  </si>
  <si>
    <t>Dry season 2016</t>
  </si>
  <si>
    <t>HRR %</t>
  </si>
  <si>
    <t xml:space="preserve">Rice straw </t>
  </si>
  <si>
    <t>Yield at harvest</t>
  </si>
  <si>
    <t>MC straw %</t>
  </si>
  <si>
    <t>t/ha (dry weight)</t>
  </si>
  <si>
    <t>Yield (dry-weight)</t>
  </si>
  <si>
    <t>Yield at treatment</t>
  </si>
  <si>
    <t>Yield (t/ha)</t>
  </si>
  <si>
    <t>Remove</t>
  </si>
  <si>
    <t>% (loss)</t>
  </si>
  <si>
    <t>kg 1,4DB-eq/ha</t>
  </si>
  <si>
    <t>Energy from Paddy</t>
  </si>
  <si>
    <t>Cultivation-measured directly</t>
  </si>
  <si>
    <r>
      <t>Annual GHGE (Mg 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-eq ha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 xml:space="preserve">) </t>
    </r>
  </si>
  <si>
    <t>Human toxicity, Mg 1,4DB-eq/ha</t>
  </si>
  <si>
    <t>Annual paddy yield (Mg/ha)</t>
  </si>
  <si>
    <t>Annual net energy (GJ/ha)</t>
  </si>
  <si>
    <t>Annual GHGE (MgCO2-eq/ha)</t>
  </si>
  <si>
    <t>Annual human toxicity (Mg 1,4 DB-eq/ ha)</t>
  </si>
  <si>
    <t>Harvest index</t>
  </si>
  <si>
    <t>Collection of rice straw (using round baler)</t>
  </si>
  <si>
    <t>Transportation of rice straw (truck)</t>
  </si>
  <si>
    <t>Mushroom production (silage and growing)</t>
  </si>
  <si>
    <t>Nitrogen (N)</t>
  </si>
  <si>
    <r>
      <t>MJ kg</t>
    </r>
    <r>
      <rPr>
        <vertAlign val="superscript"/>
        <sz val="10"/>
        <color theme="1"/>
        <rFont val="Times New Roman"/>
        <family val="1"/>
      </rPr>
      <t>-1</t>
    </r>
  </si>
  <si>
    <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</si>
  <si>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</si>
  <si>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t>kgCO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-eq kg</t>
    </r>
    <r>
      <rPr>
        <vertAlign val="superscript"/>
        <sz val="10"/>
        <color theme="1"/>
        <rFont val="Times New Roman"/>
        <family val="1"/>
      </rPr>
      <t>-1</t>
    </r>
  </si>
  <si>
    <t>kgCO2-eq/ha</t>
  </si>
  <si>
    <t>Balance from rice straw incorporation</t>
  </si>
  <si>
    <t>Nutrients</t>
  </si>
  <si>
    <t xml:space="preserve">Contents in rice straw </t>
  </si>
  <si>
    <t>(% dm)</t>
  </si>
  <si>
    <t xml:space="preserve">N </t>
  </si>
  <si>
    <t>Not balance fertilizer</t>
  </si>
  <si>
    <t>balance fertilizer</t>
  </si>
  <si>
    <t>IE</t>
  </si>
  <si>
    <t>Max tillering Stage (28-30DAT)</t>
  </si>
  <si>
    <t>Panicle Initiation Stage (42-45DAT)</t>
  </si>
  <si>
    <t>Re-application of Urea (max tillering)</t>
  </si>
  <si>
    <t>Spot application of Urea (Additional)</t>
  </si>
  <si>
    <t>Total N at 2nd application</t>
  </si>
  <si>
    <t>Additional N to be applied</t>
  </si>
  <si>
    <t>3rd application, 5 August</t>
  </si>
  <si>
    <t>33 DAT</t>
  </si>
  <si>
    <t>42 DAT</t>
  </si>
  <si>
    <t>Input</t>
  </si>
  <si>
    <t>Urea, kg</t>
  </si>
  <si>
    <t>Total fert used:</t>
  </si>
  <si>
    <t>Recommended N, kg</t>
  </si>
  <si>
    <t>N amount</t>
  </si>
  <si>
    <t>N Amount</t>
  </si>
  <si>
    <t>Losses:</t>
  </si>
  <si>
    <t>Total Amount (kg.ha)</t>
  </si>
  <si>
    <t>Total Amount (kg/ha)</t>
  </si>
  <si>
    <t>2 persons</t>
  </si>
  <si>
    <t>Amount applied on plots:</t>
  </si>
  <si>
    <t>Amt. needed at LCA plot (0.63ha)</t>
  </si>
  <si>
    <t>Total time of operation:</t>
  </si>
  <si>
    <t>mins</t>
  </si>
  <si>
    <t>MACHINE USED</t>
  </si>
  <si>
    <t>POLARO mechanical fertilizer spreader (5HP gas engine)</t>
  </si>
  <si>
    <t>N req't for 0.63ha</t>
  </si>
  <si>
    <t>RECOMPUTATION</t>
  </si>
  <si>
    <t>speed setting:</t>
  </si>
  <si>
    <t>Rate</t>
  </si>
  <si>
    <t>kg/hr</t>
  </si>
  <si>
    <t>max tillering</t>
  </si>
  <si>
    <t>OR</t>
  </si>
  <si>
    <t>Fuel Used</t>
  </si>
  <si>
    <t xml:space="preserve">SUMMARY </t>
  </si>
  <si>
    <t>panicle initiation</t>
  </si>
  <si>
    <t>(sec)</t>
  </si>
  <si>
    <t>(mL)</t>
  </si>
  <si>
    <t>total fert used/ treatment</t>
  </si>
  <si>
    <t>Area total/ treatment</t>
  </si>
  <si>
    <t>Total fuel used/ treatment</t>
  </si>
  <si>
    <t>1st</t>
  </si>
  <si>
    <t>2nd+ re-appl'n + spot</t>
  </si>
  <si>
    <t>3rd+ re-appl'n</t>
  </si>
  <si>
    <t>TOTAL</t>
  </si>
  <si>
    <t>fertilizer used</t>
  </si>
  <si>
    <t>amount of N applied</t>
  </si>
  <si>
    <t>required N</t>
  </si>
  <si>
    <t>.</t>
  </si>
  <si>
    <t>P, K</t>
  </si>
  <si>
    <t>kg N/ha</t>
  </si>
  <si>
    <t>P</t>
  </si>
  <si>
    <t>K</t>
  </si>
  <si>
    <t>losses:</t>
  </si>
  <si>
    <t>T14 applied</t>
  </si>
  <si>
    <t>N, P &amp; K applied, kg/hectare</t>
  </si>
  <si>
    <t>PESTICIDE APPLICATION</t>
  </si>
  <si>
    <t>Period</t>
  </si>
  <si>
    <t>Name of Pesticide</t>
  </si>
  <si>
    <t>Classification</t>
  </si>
  <si>
    <t>A.i.</t>
  </si>
  <si>
    <t>Dosage (ml)</t>
  </si>
  <si>
    <t xml:space="preserve">After transplanting </t>
  </si>
  <si>
    <t>Bayluscide</t>
  </si>
  <si>
    <t>molluscicide</t>
  </si>
  <si>
    <t>Niclosamide</t>
  </si>
  <si>
    <t>Sofit</t>
  </si>
  <si>
    <t>herbicide</t>
  </si>
  <si>
    <t>Pretilachlor</t>
  </si>
  <si>
    <t>MAX TILLERING STAGE</t>
  </si>
  <si>
    <t>32 DAT</t>
  </si>
  <si>
    <t>REAPPLICATION</t>
  </si>
  <si>
    <t>Amount of Urea</t>
  </si>
  <si>
    <t>Amount of N</t>
  </si>
  <si>
    <t>POLARO mechanical fertilizer spreader</t>
  </si>
  <si>
    <t>Total Time of application</t>
  </si>
  <si>
    <t>kg/ ha</t>
  </si>
  <si>
    <t>Total fertilizer used in the plots</t>
  </si>
  <si>
    <t>Urea Applied per hectare</t>
  </si>
  <si>
    <t>N applied per hectare</t>
  </si>
  <si>
    <t>PANICLE INITIATION STAGE</t>
  </si>
  <si>
    <t>Time of Operation</t>
  </si>
  <si>
    <t>Amount N</t>
  </si>
  <si>
    <t>Urea applied per hectare</t>
  </si>
  <si>
    <t>Re-applications, kg</t>
  </si>
  <si>
    <t>urea used per hectare</t>
  </si>
  <si>
    <t>This should be the total amount of N applied instead of 136 as written in Table 1 of the manuscript.</t>
  </si>
  <si>
    <t>Total N applied with re-applications</t>
  </si>
  <si>
    <t>Application per hectare</t>
  </si>
  <si>
    <t>N, P &amp; K rate, kg/ha</t>
  </si>
  <si>
    <t>Total Time (hr)</t>
  </si>
  <si>
    <t>Manual fertilizer spreading</t>
  </si>
  <si>
    <t>16HP diesel engine</t>
  </si>
  <si>
    <t>N rate, kg/ha</t>
  </si>
  <si>
    <t>kg per hectare</t>
  </si>
  <si>
    <t>TOTAL N applied, kg/ha</t>
  </si>
  <si>
    <t>TOTAL P applied, kg/ha</t>
  </si>
  <si>
    <t>TOTAL K applied, kg/ha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</si>
</sst>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yyyy\-mm\-dd"/>
    <numFmt numFmtId="166" formatCode="0.0"/>
    <numFmt numFmtId="167" formatCode="#,##0.000"/>
    <numFmt numFmtId="168" formatCode="0.0000"/>
    <numFmt numFmtId="169" formatCode="0.00000000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vertAlign val="sub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b/>
      <i/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1"/>
      <color rgb="FF0000FF"/>
      <name val="Arial"/>
      <family val="2"/>
    </font>
    <font>
      <b/>
      <i/>
      <sz val="11"/>
      <name val="Arial"/>
      <family val="2"/>
    </font>
    <font>
      <b/>
      <i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8"/>
      <color rgb="FF0000FF"/>
      <name val="Arial"/>
      <family val="2"/>
    </font>
    <font>
      <b/>
      <sz val="11"/>
      <name val="Calibri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4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5"/>
      <color rgb="FF0000FF"/>
      <name val="Arial"/>
      <family val="2"/>
    </font>
    <font>
      <b/>
      <sz val="12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599"/>
        <bgColor rgb="FFFFE599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D9EAD3"/>
        <bgColor rgb="FFD9EAD3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B7E1CD"/>
        <bgColor rgb="FFB7E1CD"/>
      </patternFill>
    </fill>
    <fill>
      <patternFill patternType="solid">
        <fgColor rgb="FFEAD1DC"/>
        <bgColor rgb="FFEAD1DC"/>
      </patternFill>
    </fill>
    <fill>
      <patternFill patternType="solid">
        <fgColor rgb="FFF9CB9C"/>
        <bgColor rgb="FFF9CB9C"/>
      </patternFill>
    </fill>
    <fill>
      <patternFill patternType="solid">
        <fgColor rgb="FF8E7CC3"/>
        <bgColor rgb="FF8E7CC3"/>
      </patternFill>
    </fill>
    <fill>
      <patternFill patternType="solid">
        <fgColor rgb="FFD0E0E3"/>
        <bgColor rgb="FFD0E0E3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6D9EEB"/>
        <bgColor rgb="FF6D9EEB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FF"/>
      </left>
      <right/>
      <top style="thin">
        <color rgb="FFFF00FF"/>
      </top>
      <bottom/>
      <diagonal/>
    </border>
    <border>
      <left/>
      <right/>
      <top style="thin">
        <color rgb="FFFF00FF"/>
      </top>
      <bottom/>
      <diagonal/>
    </border>
    <border>
      <left/>
      <right style="thin">
        <color rgb="FFFF00FF"/>
      </right>
      <top style="thin">
        <color rgb="FFFF00FF"/>
      </top>
      <bottom/>
      <diagonal/>
    </border>
    <border>
      <left style="thin">
        <color rgb="FFFF00FF"/>
      </left>
      <right/>
      <top/>
      <bottom/>
      <diagonal/>
    </border>
    <border>
      <left/>
      <right style="thin">
        <color rgb="FFFF00FF"/>
      </right>
      <top/>
      <bottom/>
      <diagonal/>
    </border>
    <border>
      <left style="thin">
        <color rgb="FFFF00FF"/>
      </left>
      <right/>
      <top/>
      <bottom style="thin">
        <color rgb="FFFF00FF"/>
      </bottom>
      <diagonal/>
    </border>
    <border>
      <left/>
      <right/>
      <top/>
      <bottom style="thin">
        <color rgb="FFFF00FF"/>
      </bottom>
      <diagonal/>
    </border>
    <border>
      <left/>
      <right style="thin">
        <color rgb="FFFF00FF"/>
      </right>
      <top/>
      <bottom style="thin">
        <color rgb="FFFF00FF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000000"/>
      </top>
      <bottom/>
      <diagonal/>
    </border>
    <border>
      <left style="thin">
        <color rgb="FFFF0000"/>
      </left>
      <right/>
      <top/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6" fillId="0" borderId="0"/>
    <xf numFmtId="0" fontId="16" fillId="0" borderId="0"/>
    <xf numFmtId="0" fontId="21" fillId="0" borderId="0"/>
  </cellStyleXfs>
  <cellXfs count="557">
    <xf numFmtId="0" fontId="0" fillId="0" borderId="0" xfId="0"/>
    <xf numFmtId="0" fontId="0" fillId="0" borderId="2" xfId="0" applyBorder="1"/>
    <xf numFmtId="0" fontId="3" fillId="0" borderId="0" xfId="1" applyFont="1" applyAlignment="1"/>
    <xf numFmtId="164" fontId="3" fillId="0" borderId="0" xfId="1" applyNumberFormat="1" applyFont="1" applyAlignment="1"/>
    <xf numFmtId="2" fontId="3" fillId="2" borderId="0" xfId="1" applyNumberFormat="1" applyFont="1" applyFill="1" applyAlignment="1"/>
    <xf numFmtId="0" fontId="6" fillId="0" borderId="0" xfId="2"/>
    <xf numFmtId="14" fontId="6" fillId="0" borderId="0" xfId="2" applyNumberFormat="1"/>
    <xf numFmtId="18" fontId="6" fillId="0" borderId="0" xfId="2" applyNumberFormat="1"/>
    <xf numFmtId="0" fontId="7" fillId="0" borderId="0" xfId="2" applyFont="1"/>
    <xf numFmtId="2" fontId="6" fillId="0" borderId="0" xfId="2" applyNumberFormat="1"/>
    <xf numFmtId="2" fontId="7" fillId="0" borderId="0" xfId="2" applyNumberFormat="1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2" fontId="0" fillId="0" borderId="0" xfId="0" applyNumberFormat="1"/>
    <xf numFmtId="2" fontId="7" fillId="0" borderId="0" xfId="0" applyNumberFormat="1" applyFont="1"/>
    <xf numFmtId="0" fontId="11" fillId="0" borderId="0" xfId="0" applyFont="1" applyAlignment="1">
      <alignment horizontal="center" vertical="top" wrapText="1"/>
    </xf>
    <xf numFmtId="2" fontId="11" fillId="0" borderId="2" xfId="0" applyNumberFormat="1" applyFont="1" applyBorder="1" applyAlignment="1">
      <alignment horizontal="right"/>
    </xf>
    <xf numFmtId="0" fontId="12" fillId="0" borderId="2" xfId="0" applyFont="1" applyBorder="1"/>
    <xf numFmtId="0" fontId="0" fillId="0" borderId="2" xfId="0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right"/>
    </xf>
    <xf numFmtId="0" fontId="12" fillId="0" borderId="3" xfId="0" applyFont="1" applyBorder="1" applyAlignment="1">
      <alignment horizontal="right"/>
    </xf>
    <xf numFmtId="0" fontId="0" fillId="0" borderId="3" xfId="0" applyBorder="1"/>
    <xf numFmtId="0" fontId="14" fillId="0" borderId="0" xfId="2" applyFont="1"/>
    <xf numFmtId="165" fontId="14" fillId="0" borderId="0" xfId="2" applyNumberFormat="1" applyFont="1"/>
    <xf numFmtId="18" fontId="14" fillId="0" borderId="0" xfId="2" applyNumberFormat="1" applyFont="1"/>
    <xf numFmtId="2" fontId="14" fillId="0" borderId="0" xfId="2" applyNumberFormat="1" applyFont="1"/>
    <xf numFmtId="3" fontId="14" fillId="0" borderId="0" xfId="2" applyNumberFormat="1" applyFont="1"/>
    <xf numFmtId="0" fontId="15" fillId="0" borderId="0" xfId="2" applyFont="1"/>
    <xf numFmtId="0" fontId="7" fillId="3" borderId="4" xfId="2" applyFont="1" applyFill="1" applyBorder="1"/>
    <xf numFmtId="2" fontId="14" fillId="2" borderId="0" xfId="2" applyNumberFormat="1" applyFont="1" applyFill="1"/>
    <xf numFmtId="0" fontId="14" fillId="2" borderId="0" xfId="2" applyFont="1" applyFill="1"/>
    <xf numFmtId="166" fontId="14" fillId="0" borderId="0" xfId="2" applyNumberFormat="1" applyFont="1"/>
    <xf numFmtId="0" fontId="17" fillId="0" borderId="5" xfId="3" applyFont="1" applyBorder="1" applyAlignment="1">
      <alignment horizontal="center" wrapText="1"/>
    </xf>
    <xf numFmtId="0" fontId="18" fillId="0" borderId="6" xfId="3" applyFont="1" applyBorder="1" applyAlignment="1">
      <alignment horizontal="center" wrapText="1"/>
    </xf>
    <xf numFmtId="0" fontId="18" fillId="0" borderId="7" xfId="3" applyFont="1" applyBorder="1" applyAlignment="1">
      <alignment horizontal="center" wrapText="1"/>
    </xf>
    <xf numFmtId="0" fontId="16" fillId="0" borderId="0" xfId="3" applyFont="1" applyAlignment="1"/>
    <xf numFmtId="2" fontId="16" fillId="0" borderId="0" xfId="3" applyNumberFormat="1" applyFont="1"/>
    <xf numFmtId="0" fontId="17" fillId="4" borderId="5" xfId="3" applyFont="1" applyFill="1" applyBorder="1" applyAlignment="1">
      <alignment horizontal="center" wrapText="1"/>
    </xf>
    <xf numFmtId="0" fontId="19" fillId="4" borderId="5" xfId="3" applyFont="1" applyFill="1" applyBorder="1" applyAlignment="1">
      <alignment horizontal="center" wrapText="1"/>
    </xf>
    <xf numFmtId="0" fontId="21" fillId="0" borderId="5" xfId="3" applyFont="1" applyBorder="1" applyAlignment="1">
      <alignment wrapText="1"/>
    </xf>
    <xf numFmtId="0" fontId="21" fillId="5" borderId="5" xfId="3" applyFont="1" applyFill="1" applyBorder="1" applyAlignment="1">
      <alignment wrapText="1"/>
    </xf>
    <xf numFmtId="0" fontId="21" fillId="0" borderId="5" xfId="3" applyFont="1" applyBorder="1" applyAlignment="1">
      <alignment horizontal="center" wrapText="1"/>
    </xf>
    <xf numFmtId="0" fontId="16" fillId="0" borderId="0" xfId="3" applyFont="1"/>
    <xf numFmtId="0" fontId="21" fillId="0" borderId="5" xfId="3" applyFont="1" applyBorder="1" applyAlignment="1">
      <alignment horizontal="right" wrapText="1"/>
    </xf>
    <xf numFmtId="2" fontId="21" fillId="0" borderId="5" xfId="3" applyNumberFormat="1" applyFont="1" applyBorder="1" applyAlignment="1">
      <alignment horizontal="right" wrapText="1"/>
    </xf>
    <xf numFmtId="0" fontId="22" fillId="0" borderId="0" xfId="3" applyFont="1" applyAlignment="1">
      <alignment horizontal="center" wrapText="1"/>
    </xf>
    <xf numFmtId="0" fontId="22" fillId="4" borderId="0" xfId="3" applyFont="1" applyFill="1" applyAlignment="1">
      <alignment horizontal="center" wrapText="1"/>
    </xf>
    <xf numFmtId="0" fontId="24" fillId="4" borderId="0" xfId="3" applyFont="1" applyFill="1" applyAlignment="1">
      <alignment horizontal="center" wrapText="1"/>
    </xf>
    <xf numFmtId="164" fontId="24" fillId="4" borderId="0" xfId="3" applyNumberFormat="1" applyFont="1" applyFill="1" applyAlignment="1">
      <alignment horizontal="center" wrapText="1"/>
    </xf>
    <xf numFmtId="0" fontId="3" fillId="0" borderId="0" xfId="3" applyFont="1" applyAlignment="1"/>
    <xf numFmtId="0" fontId="26" fillId="0" borderId="0" xfId="3" applyFont="1" applyAlignment="1"/>
    <xf numFmtId="0" fontId="26" fillId="5" borderId="0" xfId="3" applyFont="1" applyFill="1" applyAlignment="1"/>
    <xf numFmtId="0" fontId="27" fillId="0" borderId="10" xfId="3" applyFont="1" applyBorder="1" applyAlignment="1">
      <alignment wrapText="1"/>
    </xf>
    <xf numFmtId="0" fontId="27" fillId="0" borderId="11" xfId="3" applyFont="1" applyBorder="1" applyAlignment="1">
      <alignment wrapText="1"/>
    </xf>
    <xf numFmtId="0" fontId="26" fillId="6" borderId="0" xfId="3" applyFont="1" applyFill="1" applyAlignment="1">
      <alignment wrapText="1"/>
    </xf>
    <xf numFmtId="164" fontId="26" fillId="0" borderId="0" xfId="3" applyNumberFormat="1" applyFont="1" applyAlignment="1">
      <alignment wrapText="1"/>
    </xf>
    <xf numFmtId="164" fontId="26" fillId="0" borderId="0" xfId="3" applyNumberFormat="1" applyFont="1" applyAlignment="1">
      <alignment horizontal="center" wrapText="1"/>
    </xf>
    <xf numFmtId="0" fontId="26" fillId="6" borderId="0" xfId="3" applyFont="1" applyFill="1" applyAlignment="1">
      <alignment horizontal="center" wrapText="1"/>
    </xf>
    <xf numFmtId="0" fontId="26" fillId="0" borderId="0" xfId="3" applyFont="1" applyAlignment="1">
      <alignment horizontal="center" wrapText="1"/>
    </xf>
    <xf numFmtId="0" fontId="26" fillId="5" borderId="0" xfId="3" applyFont="1" applyFill="1" applyAlignment="1">
      <alignment wrapText="1"/>
    </xf>
    <xf numFmtId="0" fontId="27" fillId="0" borderId="10" xfId="3" applyFont="1" applyBorder="1" applyAlignment="1">
      <alignment horizontal="right" wrapText="1"/>
    </xf>
    <xf numFmtId="2" fontId="27" fillId="0" borderId="11" xfId="3" applyNumberFormat="1" applyFont="1" applyBorder="1" applyAlignment="1">
      <alignment horizontal="right" wrapText="1"/>
    </xf>
    <xf numFmtId="0" fontId="26" fillId="6" borderId="0" xfId="3" applyFont="1" applyFill="1" applyAlignment="1">
      <alignment horizontal="right" wrapText="1"/>
    </xf>
    <xf numFmtId="164" fontId="26" fillId="6" borderId="0" xfId="3" applyNumberFormat="1" applyFont="1" applyFill="1" applyAlignment="1">
      <alignment horizontal="right" wrapText="1"/>
    </xf>
    <xf numFmtId="1" fontId="26" fillId="6" borderId="0" xfId="3" applyNumberFormat="1" applyFont="1" applyFill="1" applyAlignment="1">
      <alignment horizontal="right" wrapText="1"/>
    </xf>
    <xf numFmtId="2" fontId="26" fillId="6" borderId="0" xfId="3" applyNumberFormat="1" applyFont="1" applyFill="1" applyAlignment="1">
      <alignment horizontal="right" wrapText="1"/>
    </xf>
    <xf numFmtId="166" fontId="16" fillId="0" borderId="0" xfId="3" applyNumberFormat="1" applyFont="1" applyAlignment="1"/>
    <xf numFmtId="166" fontId="3" fillId="0" borderId="0" xfId="3" applyNumberFormat="1" applyFont="1" applyAlignment="1"/>
    <xf numFmtId="0" fontId="27" fillId="7" borderId="10" xfId="3" applyFont="1" applyFill="1" applyBorder="1" applyAlignment="1">
      <alignment horizontal="right" wrapText="1"/>
    </xf>
    <xf numFmtId="2" fontId="27" fillId="7" borderId="11" xfId="3" applyNumberFormat="1" applyFont="1" applyFill="1" applyBorder="1" applyAlignment="1">
      <alignment horizontal="right" wrapText="1"/>
    </xf>
    <xf numFmtId="0" fontId="26" fillId="7" borderId="0" xfId="3" applyFont="1" applyFill="1" applyAlignment="1">
      <alignment horizontal="right" wrapText="1"/>
    </xf>
    <xf numFmtId="164" fontId="26" fillId="7" borderId="0" xfId="3" applyNumberFormat="1" applyFont="1" applyFill="1" applyAlignment="1">
      <alignment horizontal="right" wrapText="1"/>
    </xf>
    <xf numFmtId="1" fontId="26" fillId="7" borderId="0" xfId="3" applyNumberFormat="1" applyFont="1" applyFill="1" applyAlignment="1">
      <alignment horizontal="right" wrapText="1"/>
    </xf>
    <xf numFmtId="2" fontId="26" fillId="7" borderId="0" xfId="3" applyNumberFormat="1" applyFont="1" applyFill="1" applyAlignment="1">
      <alignment horizontal="right" wrapText="1"/>
    </xf>
    <xf numFmtId="2" fontId="16" fillId="0" borderId="0" xfId="3" applyNumberFormat="1" applyFont="1" applyAlignment="1"/>
    <xf numFmtId="0" fontId="16" fillId="6" borderId="0" xfId="3" applyFont="1" applyFill="1"/>
    <xf numFmtId="0" fontId="20" fillId="6" borderId="0" xfId="3" applyFont="1" applyFill="1"/>
    <xf numFmtId="0" fontId="23" fillId="0" borderId="0" xfId="3" applyFont="1" applyAlignment="1">
      <alignment horizontal="center" wrapText="1"/>
    </xf>
    <xf numFmtId="14" fontId="22" fillId="0" borderId="0" xfId="3" applyNumberFormat="1" applyFont="1" applyAlignment="1">
      <alignment horizontal="center" wrapText="1"/>
    </xf>
    <xf numFmtId="0" fontId="24" fillId="4" borderId="12" xfId="3" applyFont="1" applyFill="1" applyBorder="1" applyAlignment="1">
      <alignment horizontal="center" wrapText="1"/>
    </xf>
    <xf numFmtId="0" fontId="20" fillId="0" borderId="0" xfId="3" applyFont="1" applyAlignment="1"/>
    <xf numFmtId="0" fontId="20" fillId="5" borderId="12" xfId="3" applyFont="1" applyFill="1" applyBorder="1" applyAlignment="1"/>
    <xf numFmtId="0" fontId="26" fillId="8" borderId="0" xfId="3" applyFont="1" applyFill="1" applyAlignment="1">
      <alignment horizontal="center" wrapText="1"/>
    </xf>
    <xf numFmtId="0" fontId="26" fillId="5" borderId="12" xfId="3" applyFont="1" applyFill="1" applyBorder="1" applyAlignment="1">
      <alignment wrapText="1"/>
    </xf>
    <xf numFmtId="0" fontId="27" fillId="0" borderId="11" xfId="3" applyFont="1" applyBorder="1" applyAlignment="1">
      <alignment horizontal="right" wrapText="1"/>
    </xf>
    <xf numFmtId="1" fontId="26" fillId="6" borderId="0" xfId="3" applyNumberFormat="1" applyFont="1" applyFill="1" applyAlignment="1">
      <alignment horizontal="center" vertical="center" wrapText="1"/>
    </xf>
    <xf numFmtId="2" fontId="26" fillId="6" borderId="0" xfId="3" applyNumberFormat="1" applyFont="1" applyFill="1" applyAlignment="1">
      <alignment horizontal="center" wrapText="1"/>
    </xf>
    <xf numFmtId="2" fontId="26" fillId="7" borderId="0" xfId="3" applyNumberFormat="1" applyFont="1" applyFill="1" applyAlignment="1">
      <alignment horizontal="center" wrapText="1"/>
    </xf>
    <xf numFmtId="2" fontId="20" fillId="6" borderId="0" xfId="3" applyNumberFormat="1" applyFont="1" applyFill="1"/>
    <xf numFmtId="0" fontId="16" fillId="0" borderId="0" xfId="3" applyFont="1" applyAlignment="1"/>
    <xf numFmtId="0" fontId="22" fillId="0" borderId="0" xfId="3" applyFont="1" applyAlignment="1">
      <alignment horizontal="center"/>
    </xf>
    <xf numFmtId="0" fontId="22" fillId="0" borderId="0" xfId="3" applyFont="1" applyAlignment="1"/>
    <xf numFmtId="0" fontId="26" fillId="0" borderId="0" xfId="3" applyFont="1" applyAlignment="1">
      <alignment horizontal="center"/>
    </xf>
    <xf numFmtId="2" fontId="26" fillId="0" borderId="0" xfId="3" applyNumberFormat="1" applyFont="1" applyAlignment="1">
      <alignment horizontal="center"/>
    </xf>
    <xf numFmtId="0" fontId="26" fillId="0" borderId="0" xfId="3" applyFont="1" applyAlignment="1">
      <alignment horizontal="right"/>
    </xf>
    <xf numFmtId="2" fontId="26" fillId="9" borderId="0" xfId="3" applyNumberFormat="1" applyFont="1" applyFill="1" applyAlignment="1">
      <alignment horizontal="right"/>
    </xf>
    <xf numFmtId="0" fontId="20" fillId="0" borderId="0" xfId="3" applyFont="1"/>
    <xf numFmtId="2" fontId="4" fillId="0" borderId="0" xfId="3" applyNumberFormat="1" applyFont="1" applyAlignment="1"/>
    <xf numFmtId="0" fontId="4" fillId="0" borderId="0" xfId="3" applyFont="1" applyAlignment="1"/>
    <xf numFmtId="0" fontId="21" fillId="0" borderId="0" xfId="4" applyFont="1" applyAlignment="1"/>
    <xf numFmtId="1" fontId="21" fillId="0" borderId="0" xfId="4" applyNumberFormat="1" applyFont="1" applyAlignment="1"/>
    <xf numFmtId="166" fontId="21" fillId="0" borderId="0" xfId="4" applyNumberFormat="1" applyFont="1" applyAlignment="1"/>
    <xf numFmtId="0" fontId="28" fillId="0" borderId="14" xfId="3" applyFont="1" applyBorder="1" applyAlignment="1"/>
    <xf numFmtId="0" fontId="26" fillId="0" borderId="14" xfId="3" applyFont="1" applyBorder="1" applyAlignment="1"/>
    <xf numFmtId="0" fontId="26" fillId="6" borderId="15" xfId="3" applyFont="1" applyFill="1" applyBorder="1" applyAlignment="1"/>
    <xf numFmtId="0" fontId="23" fillId="0" borderId="0" xfId="3" applyFont="1" applyAlignment="1"/>
    <xf numFmtId="0" fontId="22" fillId="8" borderId="16" xfId="3" applyFont="1" applyFill="1" applyBorder="1" applyAlignment="1"/>
    <xf numFmtId="14" fontId="26" fillId="8" borderId="0" xfId="3" applyNumberFormat="1" applyFont="1" applyFill="1" applyAlignment="1">
      <alignment horizontal="right"/>
    </xf>
    <xf numFmtId="0" fontId="26" fillId="8" borderId="17" xfId="3" applyFont="1" applyFill="1" applyBorder="1" applyAlignment="1"/>
    <xf numFmtId="0" fontId="26" fillId="10" borderId="0" xfId="3" applyFont="1" applyFill="1" applyAlignment="1"/>
    <xf numFmtId="14" fontId="26" fillId="11" borderId="17" xfId="3" applyNumberFormat="1" applyFont="1" applyFill="1" applyBorder="1" applyAlignment="1">
      <alignment horizontal="right"/>
    </xf>
    <xf numFmtId="0" fontId="20" fillId="12" borderId="18" xfId="3" applyFont="1" applyFill="1" applyBorder="1"/>
    <xf numFmtId="0" fontId="20" fillId="12" borderId="19" xfId="3" applyFont="1" applyFill="1" applyBorder="1"/>
    <xf numFmtId="0" fontId="29" fillId="12" borderId="19" xfId="3" applyFont="1" applyFill="1" applyBorder="1" applyAlignment="1">
      <alignment horizontal="center"/>
    </xf>
    <xf numFmtId="0" fontId="29" fillId="12" borderId="20" xfId="3" applyFont="1" applyFill="1" applyBorder="1" applyAlignment="1">
      <alignment horizontal="center"/>
    </xf>
    <xf numFmtId="0" fontId="26" fillId="8" borderId="0" xfId="3" applyFont="1" applyFill="1" applyAlignment="1"/>
    <xf numFmtId="2" fontId="26" fillId="10" borderId="0" xfId="3" applyNumberFormat="1" applyFont="1" applyFill="1" applyAlignment="1">
      <alignment horizontal="right"/>
    </xf>
    <xf numFmtId="0" fontId="22" fillId="10" borderId="17" xfId="3" applyFont="1" applyFill="1" applyBorder="1" applyAlignment="1">
      <alignment horizontal="center" wrapText="1"/>
    </xf>
    <xf numFmtId="0" fontId="29" fillId="12" borderId="16" xfId="3" applyFont="1" applyFill="1" applyBorder="1" applyAlignment="1"/>
    <xf numFmtId="0" fontId="20" fillId="12" borderId="0" xfId="3" applyFont="1" applyFill="1"/>
    <xf numFmtId="2" fontId="20" fillId="12" borderId="17" xfId="3" applyNumberFormat="1" applyFont="1" applyFill="1" applyBorder="1"/>
    <xf numFmtId="0" fontId="22" fillId="8" borderId="16" xfId="3" applyFont="1" applyFill="1" applyBorder="1" applyAlignment="1">
      <alignment horizontal="right"/>
    </xf>
    <xf numFmtId="2" fontId="26" fillId="8" borderId="0" xfId="3" applyNumberFormat="1" applyFont="1" applyFill="1" applyAlignment="1">
      <alignment horizontal="right"/>
    </xf>
    <xf numFmtId="0" fontId="26" fillId="0" borderId="0" xfId="3" applyFont="1"/>
    <xf numFmtId="0" fontId="26" fillId="8" borderId="0" xfId="3" applyFont="1" applyFill="1" applyAlignment="1">
      <alignment horizontal="right"/>
    </xf>
    <xf numFmtId="0" fontId="26" fillId="10" borderId="17" xfId="3" applyFont="1" applyFill="1" applyBorder="1" applyAlignment="1"/>
    <xf numFmtId="0" fontId="20" fillId="12" borderId="21" xfId="3" applyFont="1" applyFill="1" applyBorder="1"/>
    <xf numFmtId="0" fontId="20" fillId="12" borderId="14" xfId="3" applyFont="1" applyFill="1" applyBorder="1"/>
    <xf numFmtId="0" fontId="20" fillId="12" borderId="15" xfId="3" applyFont="1" applyFill="1" applyBorder="1"/>
    <xf numFmtId="0" fontId="22" fillId="8" borderId="16" xfId="3" applyFont="1" applyFill="1" applyBorder="1" applyAlignment="1">
      <alignment horizontal="left"/>
    </xf>
    <xf numFmtId="0" fontId="26" fillId="0" borderId="0" xfId="3" applyFont="1" applyAlignment="1">
      <alignment wrapText="1"/>
    </xf>
    <xf numFmtId="0" fontId="26" fillId="8" borderId="0" xfId="3" applyFont="1" applyFill="1" applyAlignment="1">
      <alignment horizontal="right" wrapText="1"/>
    </xf>
    <xf numFmtId="0" fontId="22" fillId="8" borderId="16" xfId="3" applyFont="1" applyFill="1" applyBorder="1" applyAlignment="1">
      <alignment horizontal="center"/>
    </xf>
    <xf numFmtId="0" fontId="26" fillId="8" borderId="17" xfId="3" applyFont="1" applyFill="1" applyBorder="1" applyAlignment="1">
      <alignment horizontal="left"/>
    </xf>
    <xf numFmtId="0" fontId="22" fillId="8" borderId="21" xfId="3" applyFont="1" applyFill="1" applyBorder="1" applyAlignment="1">
      <alignment horizontal="left" wrapText="1"/>
    </xf>
    <xf numFmtId="0" fontId="26" fillId="8" borderId="14" xfId="3" applyFont="1" applyFill="1" applyBorder="1" applyAlignment="1">
      <alignment horizontal="right" wrapText="1"/>
    </xf>
    <xf numFmtId="0" fontId="26" fillId="8" borderId="15" xfId="3" applyFont="1" applyFill="1" applyBorder="1" applyAlignment="1">
      <alignment horizontal="left"/>
    </xf>
    <xf numFmtId="0" fontId="26" fillId="10" borderId="14" xfId="3" applyFont="1" applyFill="1" applyBorder="1" applyAlignment="1"/>
    <xf numFmtId="0" fontId="26" fillId="10" borderId="15" xfId="3" applyFont="1" applyFill="1" applyBorder="1" applyAlignment="1"/>
    <xf numFmtId="4" fontId="26" fillId="0" borderId="0" xfId="3" applyNumberFormat="1" applyFont="1" applyAlignment="1">
      <alignment horizontal="center"/>
    </xf>
    <xf numFmtId="167" fontId="26" fillId="0" borderId="0" xfId="3" applyNumberFormat="1" applyFont="1" applyAlignment="1">
      <alignment horizontal="center"/>
    </xf>
    <xf numFmtId="2" fontId="26" fillId="0" borderId="0" xfId="3" applyNumberFormat="1" applyFont="1" applyAlignment="1">
      <alignment horizontal="right"/>
    </xf>
    <xf numFmtId="2" fontId="20" fillId="0" borderId="0" xfId="3" applyNumberFormat="1" applyFont="1"/>
    <xf numFmtId="0" fontId="26" fillId="13" borderId="0" xfId="3" applyFont="1" applyFill="1" applyAlignment="1"/>
    <xf numFmtId="2" fontId="22" fillId="13" borderId="0" xfId="3" applyNumberFormat="1" applyFont="1" applyFill="1" applyAlignment="1">
      <alignment horizontal="right"/>
    </xf>
    <xf numFmtId="0" fontId="30" fillId="13" borderId="0" xfId="3" applyFont="1" applyFill="1" applyAlignment="1">
      <alignment horizontal="left"/>
    </xf>
    <xf numFmtId="2" fontId="31" fillId="13" borderId="0" xfId="3" applyNumberFormat="1" applyFont="1" applyFill="1" applyAlignment="1">
      <alignment horizontal="right"/>
    </xf>
    <xf numFmtId="1" fontId="16" fillId="0" borderId="0" xfId="3" applyNumberFormat="1" applyFont="1" applyAlignment="1"/>
    <xf numFmtId="0" fontId="26" fillId="0" borderId="0" xfId="3" applyFont="1" applyAlignment="1">
      <alignment horizontal="left"/>
    </xf>
    <xf numFmtId="1" fontId="26" fillId="0" borderId="0" xfId="3" applyNumberFormat="1" applyFont="1" applyAlignment="1">
      <alignment horizontal="right"/>
    </xf>
    <xf numFmtId="2" fontId="26" fillId="8" borderId="17" xfId="3" applyNumberFormat="1" applyFont="1" applyFill="1" applyBorder="1" applyAlignment="1"/>
    <xf numFmtId="2" fontId="26" fillId="8" borderId="0" xfId="3" applyNumberFormat="1" applyFont="1" applyFill="1" applyAlignment="1"/>
    <xf numFmtId="0" fontId="29" fillId="0" borderId="0" xfId="3" applyFont="1" applyAlignment="1">
      <alignment horizontal="center" wrapText="1"/>
    </xf>
    <xf numFmtId="0" fontId="29" fillId="0" borderId="0" xfId="3" applyFont="1" applyAlignment="1">
      <alignment horizontal="center"/>
    </xf>
    <xf numFmtId="0" fontId="3" fillId="0" borderId="23" xfId="1" applyFont="1" applyBorder="1" applyAlignment="1"/>
    <xf numFmtId="0" fontId="3" fillId="0" borderId="1" xfId="1" applyFont="1" applyBorder="1" applyAlignment="1"/>
    <xf numFmtId="0" fontId="3" fillId="0" borderId="24" xfId="1" applyFont="1" applyBorder="1" applyAlignment="1"/>
    <xf numFmtId="0" fontId="3" fillId="0" borderId="25" xfId="1" applyFont="1" applyBorder="1" applyAlignment="1"/>
    <xf numFmtId="0" fontId="3" fillId="0" borderId="0" xfId="1" applyFont="1" applyBorder="1" applyAlignment="1"/>
    <xf numFmtId="0" fontId="3" fillId="0" borderId="26" xfId="1" applyFont="1" applyBorder="1" applyAlignment="1"/>
    <xf numFmtId="2" fontId="3" fillId="0" borderId="0" xfId="1" applyNumberFormat="1" applyFont="1" applyBorder="1" applyAlignment="1"/>
    <xf numFmtId="2" fontId="5" fillId="0" borderId="0" xfId="1" applyNumberFormat="1" applyFont="1" applyBorder="1" applyAlignment="1"/>
    <xf numFmtId="0" fontId="3" fillId="0" borderId="27" xfId="1" applyFont="1" applyBorder="1" applyAlignment="1"/>
    <xf numFmtId="0" fontId="3" fillId="0" borderId="3" xfId="1" applyFont="1" applyBorder="1" applyAlignment="1"/>
    <xf numFmtId="0" fontId="3" fillId="0" borderId="28" xfId="1" applyFont="1" applyBorder="1" applyAlignment="1"/>
    <xf numFmtId="0" fontId="4" fillId="0" borderId="23" xfId="1" applyFont="1" applyBorder="1" applyAlignment="1"/>
    <xf numFmtId="0" fontId="3" fillId="0" borderId="0" xfId="1" applyFont="1" applyFill="1" applyAlignment="1"/>
    <xf numFmtId="2" fontId="3" fillId="0" borderId="0" xfId="1" applyNumberFormat="1" applyFont="1" applyFill="1" applyBorder="1" applyAlignment="1"/>
    <xf numFmtId="0" fontId="3" fillId="0" borderId="25" xfId="1" applyFont="1" applyFill="1" applyBorder="1" applyAlignment="1"/>
    <xf numFmtId="0" fontId="3" fillId="0" borderId="0" xfId="1" applyFont="1" applyAlignment="1"/>
    <xf numFmtId="2" fontId="3" fillId="0" borderId="0" xfId="1" applyNumberFormat="1" applyFont="1" applyAlignment="1"/>
    <xf numFmtId="0" fontId="3" fillId="2" borderId="0" xfId="1" applyFont="1" applyFill="1" applyAlignment="1"/>
    <xf numFmtId="0" fontId="3" fillId="0" borderId="0" xfId="1" applyFont="1" applyFill="1" applyBorder="1" applyAlignment="1"/>
    <xf numFmtId="0" fontId="4" fillId="2" borderId="0" xfId="1" applyFont="1" applyFill="1" applyAlignment="1"/>
    <xf numFmtId="0" fontId="3" fillId="3" borderId="0" xfId="1" applyFont="1" applyFill="1" applyAlignment="1"/>
    <xf numFmtId="0" fontId="0" fillId="0" borderId="0" xfId="0" applyFill="1" applyBorder="1" applyAlignment="1"/>
    <xf numFmtId="0" fontId="0" fillId="0" borderId="3" xfId="0" applyFill="1" applyBorder="1" applyAlignment="1"/>
    <xf numFmtId="0" fontId="33" fillId="0" borderId="22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0" fillId="0" borderId="25" xfId="0" applyBorder="1"/>
    <xf numFmtId="0" fontId="0" fillId="0" borderId="0" xfId="0" applyBorder="1"/>
    <xf numFmtId="0" fontId="0" fillId="0" borderId="26" xfId="0" applyBorder="1"/>
    <xf numFmtId="0" fontId="33" fillId="0" borderId="29" xfId="0" applyFont="1" applyFill="1" applyBorder="1" applyAlignment="1">
      <alignment horizontal="center"/>
    </xf>
    <xf numFmtId="0" fontId="0" fillId="0" borderId="25" xfId="0" applyFill="1" applyBorder="1" applyAlignment="1"/>
    <xf numFmtId="0" fontId="0" fillId="0" borderId="27" xfId="0" applyFill="1" applyBorder="1" applyAlignment="1"/>
    <xf numFmtId="0" fontId="0" fillId="0" borderId="26" xfId="0" applyFill="1" applyBorder="1" applyAlignment="1"/>
    <xf numFmtId="0" fontId="0" fillId="0" borderId="28" xfId="0" applyFill="1" applyBorder="1" applyAlignment="1"/>
    <xf numFmtId="0" fontId="33" fillId="0" borderId="30" xfId="0" applyFont="1" applyFill="1" applyBorder="1" applyAlignment="1">
      <alignment horizontal="center"/>
    </xf>
    <xf numFmtId="0" fontId="4" fillId="0" borderId="0" xfId="1" applyFont="1" applyFill="1" applyBorder="1" applyAlignment="1"/>
    <xf numFmtId="2" fontId="20" fillId="0" borderId="0" xfId="1" applyNumberFormat="1" applyFont="1" applyFill="1" applyBorder="1" applyAlignment="1">
      <alignment horizontal="center" wrapText="1"/>
    </xf>
    <xf numFmtId="0" fontId="26" fillId="0" borderId="25" xfId="1" applyFont="1" applyFill="1" applyBorder="1" applyAlignment="1">
      <alignment horizontal="center" wrapText="1"/>
    </xf>
    <xf numFmtId="166" fontId="3" fillId="0" borderId="0" xfId="1" applyNumberFormat="1" applyFont="1" applyFill="1" applyBorder="1" applyAlignment="1"/>
    <xf numFmtId="2" fontId="3" fillId="0" borderId="0" xfId="1" applyNumberFormat="1" applyFont="1" applyBorder="1" applyAlignment="1">
      <alignment horizontal="right"/>
    </xf>
    <xf numFmtId="164" fontId="3" fillId="0" borderId="0" xfId="1" applyNumberFormat="1" applyFont="1" applyBorder="1" applyAlignment="1"/>
    <xf numFmtId="2" fontId="4" fillId="0" borderId="0" xfId="1" applyNumberFormat="1" applyFont="1" applyFill="1" applyBorder="1" applyAlignment="1">
      <alignment horizontal="right"/>
    </xf>
    <xf numFmtId="2" fontId="20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/>
    </xf>
    <xf numFmtId="2" fontId="20" fillId="0" borderId="3" xfId="1" applyNumberFormat="1" applyFont="1" applyFill="1" applyBorder="1" applyAlignment="1">
      <alignment horizontal="center" wrapText="1"/>
    </xf>
    <xf numFmtId="166" fontId="3" fillId="0" borderId="3" xfId="1" applyNumberFormat="1" applyFont="1" applyBorder="1" applyAlignment="1"/>
    <xf numFmtId="164" fontId="5" fillId="0" borderId="0" xfId="1" applyNumberFormat="1" applyFont="1" applyBorder="1" applyAlignment="1"/>
    <xf numFmtId="0" fontId="4" fillId="0" borderId="25" xfId="1" applyFont="1" applyBorder="1" applyAlignment="1"/>
    <xf numFmtId="0" fontId="4" fillId="0" borderId="1" xfId="1" applyFont="1" applyBorder="1" applyAlignment="1"/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0" fillId="0" borderId="0" xfId="0" applyFont="1" applyAlignment="1"/>
    <xf numFmtId="0" fontId="4" fillId="0" borderId="0" xfId="1" applyFont="1" applyBorder="1" applyAlignment="1"/>
    <xf numFmtId="166" fontId="3" fillId="0" borderId="26" xfId="1" applyNumberFormat="1" applyFont="1" applyBorder="1" applyAlignment="1"/>
    <xf numFmtId="1" fontId="10" fillId="0" borderId="1" xfId="0" applyNumberFormat="1" applyFont="1" applyFill="1" applyBorder="1" applyAlignment="1">
      <alignment horizontal="center"/>
    </xf>
    <xf numFmtId="0" fontId="2" fillId="0" borderId="23" xfId="0" applyFont="1" applyFill="1" applyBorder="1"/>
    <xf numFmtId="0" fontId="0" fillId="0" borderId="1" xfId="0" applyFill="1" applyBorder="1"/>
    <xf numFmtId="0" fontId="0" fillId="0" borderId="24" xfId="0" applyFill="1" applyBorder="1"/>
    <xf numFmtId="0" fontId="0" fillId="0" borderId="0" xfId="0" applyFill="1" applyBorder="1"/>
    <xf numFmtId="0" fontId="0" fillId="0" borderId="26" xfId="0" applyFill="1" applyBorder="1"/>
    <xf numFmtId="1" fontId="10" fillId="0" borderId="24" xfId="0" applyNumberFormat="1" applyFont="1" applyFill="1" applyBorder="1" applyAlignment="1">
      <alignment horizontal="center"/>
    </xf>
    <xf numFmtId="1" fontId="0" fillId="0" borderId="3" xfId="0" applyNumberFormat="1" applyFill="1" applyBorder="1"/>
    <xf numFmtId="1" fontId="0" fillId="0" borderId="28" xfId="0" applyNumberFormat="1" applyFill="1" applyBorder="1"/>
    <xf numFmtId="0" fontId="0" fillId="0" borderId="1" xfId="0" applyBorder="1"/>
    <xf numFmtId="0" fontId="0" fillId="0" borderId="24" xfId="0" applyBorder="1"/>
    <xf numFmtId="0" fontId="14" fillId="0" borderId="0" xfId="2" applyFont="1" applyFill="1"/>
    <xf numFmtId="1" fontId="14" fillId="0" borderId="0" xfId="2" applyNumberFormat="1" applyFont="1" applyFill="1"/>
    <xf numFmtId="164" fontId="14" fillId="0" borderId="0" xfId="2" applyNumberFormat="1" applyFont="1" applyFill="1"/>
    <xf numFmtId="0" fontId="0" fillId="0" borderId="0" xfId="0"/>
    <xf numFmtId="0" fontId="6" fillId="0" borderId="0" xfId="2"/>
    <xf numFmtId="0" fontId="7" fillId="0" borderId="0" xfId="2" applyFont="1"/>
    <xf numFmtId="2" fontId="6" fillId="0" borderId="0" xfId="2" applyNumberForma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right"/>
    </xf>
    <xf numFmtId="0" fontId="14" fillId="0" borderId="0" xfId="2" applyFont="1"/>
    <xf numFmtId="0" fontId="14" fillId="2" borderId="23" xfId="2" applyFont="1" applyFill="1" applyBorder="1"/>
    <xf numFmtId="0" fontId="14" fillId="0" borderId="1" xfId="2" applyFont="1" applyBorder="1"/>
    <xf numFmtId="0" fontId="14" fillId="0" borderId="24" xfId="2" applyFont="1" applyBorder="1"/>
    <xf numFmtId="0" fontId="7" fillId="3" borderId="31" xfId="2" applyFont="1" applyFill="1" applyBorder="1"/>
    <xf numFmtId="0" fontId="14" fillId="0" borderId="0" xfId="2" applyFont="1" applyBorder="1"/>
    <xf numFmtId="0" fontId="14" fillId="0" borderId="26" xfId="2" applyFont="1" applyBorder="1"/>
    <xf numFmtId="0" fontId="14" fillId="0" borderId="25" xfId="2" applyFont="1" applyBorder="1"/>
    <xf numFmtId="2" fontId="14" fillId="0" borderId="0" xfId="2" applyNumberFormat="1" applyFont="1" applyBorder="1"/>
    <xf numFmtId="2" fontId="14" fillId="0" borderId="26" xfId="2" applyNumberFormat="1" applyFont="1" applyBorder="1"/>
    <xf numFmtId="2" fontId="14" fillId="0" borderId="0" xfId="2" applyNumberFormat="1" applyFont="1" applyFill="1" applyBorder="1"/>
    <xf numFmtId="2" fontId="14" fillId="0" borderId="26" xfId="2" applyNumberFormat="1" applyFont="1" applyFill="1" applyBorder="1"/>
    <xf numFmtId="2" fontId="14" fillId="0" borderId="25" xfId="2" applyNumberFormat="1" applyFont="1" applyBorder="1"/>
    <xf numFmtId="0" fontId="14" fillId="0" borderId="26" xfId="2" applyFont="1" applyFill="1" applyBorder="1"/>
    <xf numFmtId="0" fontId="15" fillId="0" borderId="25" xfId="2" applyFont="1" applyBorder="1"/>
    <xf numFmtId="0" fontId="14" fillId="0" borderId="0" xfId="2" applyFont="1" applyFill="1" applyBorder="1"/>
    <xf numFmtId="0" fontId="14" fillId="0" borderId="27" xfId="2" applyFont="1" applyBorder="1"/>
    <xf numFmtId="0" fontId="14" fillId="0" borderId="3" xfId="2" applyFont="1" applyFill="1" applyBorder="1"/>
    <xf numFmtId="0" fontId="14" fillId="0" borderId="28" xfId="2" applyFont="1" applyFill="1" applyBorder="1"/>
    <xf numFmtId="2" fontId="14" fillId="0" borderId="3" xfId="2" applyNumberFormat="1" applyFont="1" applyBorder="1"/>
    <xf numFmtId="2" fontId="14" fillId="0" borderId="28" xfId="2" applyNumberFormat="1" applyFont="1" applyBorder="1"/>
    <xf numFmtId="0" fontId="15" fillId="2" borderId="23" xfId="2" applyFont="1" applyFill="1" applyBorder="1"/>
    <xf numFmtId="0" fontId="34" fillId="0" borderId="25" xfId="0" applyFont="1" applyBorder="1" applyAlignment="1">
      <alignment vertical="center"/>
    </xf>
    <xf numFmtId="0" fontId="15" fillId="0" borderId="0" xfId="2" applyFont="1" applyBorder="1"/>
    <xf numFmtId="0" fontId="15" fillId="0" borderId="26" xfId="2" applyFont="1" applyBorder="1"/>
    <xf numFmtId="2" fontId="7" fillId="0" borderId="0" xfId="2" applyNumberFormat="1" applyFont="1"/>
    <xf numFmtId="0" fontId="6" fillId="0" borderId="0" xfId="2"/>
    <xf numFmtId="2" fontId="6" fillId="0" borderId="0" xfId="2" applyNumberFormat="1"/>
    <xf numFmtId="2" fontId="7" fillId="0" borderId="0" xfId="2" applyNumberFormat="1" applyFont="1"/>
    <xf numFmtId="164" fontId="6" fillId="0" borderId="0" xfId="2" applyNumberFormat="1"/>
    <xf numFmtId="164" fontId="7" fillId="0" borderId="0" xfId="2" applyNumberFormat="1" applyFont="1"/>
    <xf numFmtId="0" fontId="6" fillId="0" borderId="23" xfId="2" applyBorder="1"/>
    <xf numFmtId="0" fontId="6" fillId="0" borderId="1" xfId="2" applyBorder="1"/>
    <xf numFmtId="0" fontId="6" fillId="0" borderId="24" xfId="2" applyBorder="1"/>
    <xf numFmtId="0" fontId="7" fillId="0" borderId="25" xfId="2" applyFont="1" applyBorder="1"/>
    <xf numFmtId="0" fontId="7" fillId="0" borderId="0" xfId="2" applyFont="1" applyBorder="1"/>
    <xf numFmtId="2" fontId="6" fillId="0" borderId="25" xfId="2" applyNumberFormat="1" applyBorder="1"/>
    <xf numFmtId="2" fontId="6" fillId="0" borderId="0" xfId="2" applyNumberFormat="1" applyBorder="1"/>
    <xf numFmtId="2" fontId="6" fillId="0" borderId="26" xfId="2" applyNumberFormat="1" applyBorder="1"/>
    <xf numFmtId="2" fontId="7" fillId="0" borderId="27" xfId="2" applyNumberFormat="1" applyFont="1" applyBorder="1"/>
    <xf numFmtId="2" fontId="7" fillId="0" borderId="3" xfId="2" applyNumberFormat="1" applyFont="1" applyBorder="1"/>
    <xf numFmtId="2" fontId="7" fillId="0" borderId="28" xfId="2" applyNumberFormat="1" applyFont="1" applyBorder="1"/>
    <xf numFmtId="164" fontId="0" fillId="0" borderId="0" xfId="0" applyNumberFormat="1" applyBorder="1"/>
    <xf numFmtId="164" fontId="0" fillId="0" borderId="26" xfId="0" applyNumberFormat="1" applyBorder="1"/>
    <xf numFmtId="2" fontId="6" fillId="0" borderId="27" xfId="2" applyNumberFormat="1" applyFill="1" applyBorder="1"/>
    <xf numFmtId="164" fontId="6" fillId="0" borderId="3" xfId="2" applyNumberFormat="1" applyBorder="1"/>
    <xf numFmtId="164" fontId="6" fillId="0" borderId="28" xfId="2" applyNumberFormat="1" applyBorder="1"/>
    <xf numFmtId="0" fontId="14" fillId="0" borderId="0" xfId="2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/>
    <xf numFmtId="2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right"/>
    </xf>
    <xf numFmtId="0" fontId="0" fillId="0" borderId="4" xfId="0" applyBorder="1"/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1" fontId="0" fillId="0" borderId="4" xfId="0" applyNumberFormat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justify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Fill="1" applyBorder="1"/>
    <xf numFmtId="1" fontId="10" fillId="0" borderId="4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0" fillId="0" borderId="4" xfId="0" applyFill="1" applyBorder="1"/>
    <xf numFmtId="3" fontId="10" fillId="0" borderId="4" xfId="0" applyNumberFormat="1" applyFont="1" applyFill="1" applyBorder="1" applyAlignment="1">
      <alignment horizontal="center"/>
    </xf>
    <xf numFmtId="0" fontId="2" fillId="0" borderId="4" xfId="0" applyFont="1" applyBorder="1"/>
    <xf numFmtId="2" fontId="0" fillId="0" borderId="4" xfId="0" applyNumberFormat="1" applyBorder="1"/>
    <xf numFmtId="0" fontId="2" fillId="0" borderId="4" xfId="0" applyFont="1" applyFill="1" applyBorder="1" applyAlignment="1">
      <alignment horizontal="justify" vertical="center" wrapText="1"/>
    </xf>
    <xf numFmtId="0" fontId="12" fillId="0" borderId="4" xfId="0" applyFont="1" applyBorder="1" applyAlignment="1">
      <alignment horizontal="right"/>
    </xf>
    <xf numFmtId="166" fontId="0" fillId="0" borderId="4" xfId="0" applyNumberFormat="1" applyBorder="1"/>
    <xf numFmtId="164" fontId="0" fillId="0" borderId="4" xfId="0" applyNumberFormat="1" applyBorder="1"/>
    <xf numFmtId="2" fontId="34" fillId="0" borderId="0" xfId="0" applyNumberFormat="1" applyFont="1" applyFill="1" applyBorder="1" applyAlignment="1">
      <alignment horizontal="right" vertical="center"/>
    </xf>
    <xf numFmtId="0" fontId="28" fillId="0" borderId="0" xfId="1" applyFont="1"/>
    <xf numFmtId="0" fontId="3" fillId="0" borderId="0" xfId="1"/>
    <xf numFmtId="0" fontId="18" fillId="0" borderId="18" xfId="1" applyFont="1" applyBorder="1"/>
    <xf numFmtId="0" fontId="37" fillId="0" borderId="19" xfId="1" applyFont="1" applyBorder="1"/>
    <xf numFmtId="0" fontId="32" fillId="6" borderId="0" xfId="1" applyFont="1" applyFill="1"/>
    <xf numFmtId="0" fontId="32" fillId="0" borderId="35" xfId="1" applyFont="1" applyBorder="1"/>
    <xf numFmtId="0" fontId="32" fillId="14" borderId="0" xfId="1" applyFont="1" applyFill="1"/>
    <xf numFmtId="0" fontId="32" fillId="14" borderId="0" xfId="1" applyFont="1" applyFill="1" applyAlignment="1">
      <alignment wrapText="1"/>
    </xf>
    <xf numFmtId="0" fontId="32" fillId="0" borderId="0" xfId="1" applyFont="1" applyAlignment="1">
      <alignment wrapText="1"/>
    </xf>
    <xf numFmtId="0" fontId="37" fillId="8" borderId="18" xfId="1" applyFont="1" applyFill="1" applyBorder="1"/>
    <xf numFmtId="14" fontId="32" fillId="8" borderId="19" xfId="1" applyNumberFormat="1" applyFont="1" applyFill="1" applyBorder="1"/>
    <xf numFmtId="0" fontId="32" fillId="8" borderId="20" xfId="1" applyFont="1" applyFill="1" applyBorder="1"/>
    <xf numFmtId="0" fontId="32" fillId="10" borderId="18" xfId="1" applyFont="1" applyFill="1" applyBorder="1"/>
    <xf numFmtId="14" fontId="32" fillId="10" borderId="20" xfId="1" applyNumberFormat="1" applyFont="1" applyFill="1" applyBorder="1"/>
    <xf numFmtId="0" fontId="37" fillId="0" borderId="16" xfId="1" applyFont="1" applyBorder="1"/>
    <xf numFmtId="14" fontId="32" fillId="0" borderId="0" xfId="1" applyNumberFormat="1" applyFont="1"/>
    <xf numFmtId="0" fontId="37" fillId="0" borderId="0" xfId="1" applyFont="1"/>
    <xf numFmtId="14" fontId="32" fillId="0" borderId="17" xfId="1" applyNumberFormat="1" applyFont="1" applyBorder="1"/>
    <xf numFmtId="0" fontId="37" fillId="6" borderId="35" xfId="1" applyFont="1" applyFill="1" applyBorder="1"/>
    <xf numFmtId="14" fontId="32" fillId="6" borderId="35" xfId="1" applyNumberFormat="1" applyFont="1" applyFill="1" applyBorder="1"/>
    <xf numFmtId="0" fontId="32" fillId="6" borderId="35" xfId="1" applyFont="1" applyFill="1" applyBorder="1"/>
    <xf numFmtId="14" fontId="32" fillId="0" borderId="35" xfId="1" applyNumberFormat="1" applyFont="1" applyBorder="1"/>
    <xf numFmtId="0" fontId="37" fillId="8" borderId="16" xfId="1" applyFont="1" applyFill="1" applyBorder="1"/>
    <xf numFmtId="0" fontId="32" fillId="8" borderId="0" xfId="1" applyFont="1" applyFill="1"/>
    <xf numFmtId="0" fontId="32" fillId="8" borderId="17" xfId="1" applyFont="1" applyFill="1" applyBorder="1"/>
    <xf numFmtId="0" fontId="32" fillId="10" borderId="16" xfId="1" applyFont="1" applyFill="1" applyBorder="1"/>
    <xf numFmtId="0" fontId="32" fillId="10" borderId="17" xfId="1" applyFont="1" applyFill="1" applyBorder="1"/>
    <xf numFmtId="0" fontId="32" fillId="0" borderId="16" xfId="1" applyFont="1" applyBorder="1"/>
    <xf numFmtId="0" fontId="32" fillId="0" borderId="0" xfId="1" applyFont="1"/>
    <xf numFmtId="0" fontId="32" fillId="0" borderId="17" xfId="1" applyFont="1" applyBorder="1" applyAlignment="1">
      <alignment horizontal="center"/>
    </xf>
    <xf numFmtId="0" fontId="37" fillId="8" borderId="16" xfId="1" applyFont="1" applyFill="1" applyBorder="1" applyAlignment="1">
      <alignment horizontal="right"/>
    </xf>
    <xf numFmtId="0" fontId="37" fillId="6" borderId="35" xfId="1" applyFont="1" applyFill="1" applyBorder="1" applyAlignment="1">
      <alignment horizontal="left"/>
    </xf>
    <xf numFmtId="0" fontId="37" fillId="6" borderId="0" xfId="1" applyFont="1" applyFill="1" applyAlignment="1">
      <alignment horizontal="center" wrapText="1"/>
    </xf>
    <xf numFmtId="2" fontId="32" fillId="14" borderId="0" xfId="1" applyNumberFormat="1" applyFont="1" applyFill="1"/>
    <xf numFmtId="2" fontId="37" fillId="14" borderId="0" xfId="1" applyNumberFormat="1" applyFont="1" applyFill="1"/>
    <xf numFmtId="0" fontId="37" fillId="8" borderId="17" xfId="1" applyFont="1" applyFill="1" applyBorder="1" applyAlignment="1">
      <alignment horizontal="right"/>
    </xf>
    <xf numFmtId="2" fontId="32" fillId="10" borderId="16" xfId="1" applyNumberFormat="1" applyFont="1" applyFill="1" applyBorder="1" applyAlignment="1">
      <alignment horizontal="right"/>
    </xf>
    <xf numFmtId="2" fontId="32" fillId="0" borderId="0" xfId="1" applyNumberFormat="1" applyFont="1"/>
    <xf numFmtId="2" fontId="32" fillId="0" borderId="17" xfId="1" applyNumberFormat="1" applyFont="1" applyBorder="1"/>
    <xf numFmtId="0" fontId="37" fillId="8" borderId="17" xfId="1" applyFont="1" applyFill="1" applyBorder="1"/>
    <xf numFmtId="0" fontId="32" fillId="0" borderId="16" xfId="1" applyFont="1" applyBorder="1" applyAlignment="1">
      <alignment wrapText="1"/>
    </xf>
    <xf numFmtId="0" fontId="37" fillId="6" borderId="35" xfId="1" applyFont="1" applyFill="1" applyBorder="1" applyAlignment="1">
      <alignment horizontal="left" vertical="center" wrapText="1"/>
    </xf>
    <xf numFmtId="0" fontId="32" fillId="6" borderId="35" xfId="1" applyFont="1" applyFill="1" applyBorder="1" applyAlignment="1">
      <alignment vertical="center" wrapText="1"/>
    </xf>
    <xf numFmtId="0" fontId="32" fillId="6" borderId="35" xfId="1" applyFont="1" applyFill="1" applyBorder="1" applyAlignment="1">
      <alignment horizontal="left" vertical="center"/>
    </xf>
    <xf numFmtId="0" fontId="37" fillId="10" borderId="17" xfId="1" applyFont="1" applyFill="1" applyBorder="1" applyAlignment="1">
      <alignment horizontal="center" vertical="center" wrapText="1"/>
    </xf>
    <xf numFmtId="0" fontId="37" fillId="0" borderId="0" xfId="1" applyFont="1" applyAlignment="1">
      <alignment horizontal="center" vertical="center"/>
    </xf>
    <xf numFmtId="0" fontId="32" fillId="0" borderId="17" xfId="1" applyFont="1" applyBorder="1"/>
    <xf numFmtId="0" fontId="37" fillId="6" borderId="0" xfId="1" applyFont="1" applyFill="1" applyAlignment="1">
      <alignment horizontal="center" vertical="center" wrapText="1"/>
    </xf>
    <xf numFmtId="0" fontId="37" fillId="8" borderId="16" xfId="1" applyFont="1" applyFill="1" applyBorder="1" applyAlignment="1">
      <alignment horizontal="left"/>
    </xf>
    <xf numFmtId="0" fontId="37" fillId="10" borderId="16" xfId="1" applyFont="1" applyFill="1" applyBorder="1" applyAlignment="1">
      <alignment horizontal="center" vertical="center" wrapText="1"/>
    </xf>
    <xf numFmtId="0" fontId="32" fillId="0" borderId="21" xfId="1" applyFont="1" applyBorder="1"/>
    <xf numFmtId="0" fontId="32" fillId="0" borderId="14" xfId="1" applyFont="1" applyBorder="1"/>
    <xf numFmtId="0" fontId="32" fillId="0" borderId="15" xfId="1" applyFont="1" applyBorder="1"/>
    <xf numFmtId="0" fontId="38" fillId="16" borderId="0" xfId="1" applyFont="1" applyFill="1" applyAlignment="1">
      <alignment wrapText="1"/>
    </xf>
    <xf numFmtId="0" fontId="32" fillId="16" borderId="0" xfId="1" applyFont="1" applyFill="1" applyAlignment="1">
      <alignment wrapText="1"/>
    </xf>
    <xf numFmtId="0" fontId="37" fillId="8" borderId="16" xfId="1" applyFont="1" applyFill="1" applyBorder="1" applyAlignment="1">
      <alignment horizontal="right" vertical="center"/>
    </xf>
    <xf numFmtId="0" fontId="32" fillId="8" borderId="0" xfId="1" applyFont="1" applyFill="1" applyAlignment="1">
      <alignment vertical="center" wrapText="1"/>
    </xf>
    <xf numFmtId="0" fontId="32" fillId="8" borderId="17" xfId="1" applyFont="1" applyFill="1" applyBorder="1" applyAlignment="1">
      <alignment horizontal="center" vertical="center"/>
    </xf>
    <xf numFmtId="0" fontId="37" fillId="10" borderId="15" xfId="1" applyFont="1" applyFill="1" applyBorder="1" applyAlignment="1">
      <alignment horizontal="center" vertical="center" wrapText="1"/>
    </xf>
    <xf numFmtId="0" fontId="32" fillId="16" borderId="0" xfId="1" applyFont="1" applyFill="1"/>
    <xf numFmtId="0" fontId="37" fillId="8" borderId="16" xfId="1" applyFont="1" applyFill="1" applyBorder="1" applyAlignment="1">
      <alignment horizontal="center" vertical="center"/>
    </xf>
    <xf numFmtId="0" fontId="32" fillId="8" borderId="17" xfId="1" applyFont="1" applyFill="1" applyBorder="1" applyAlignment="1">
      <alignment horizontal="left" vertical="center"/>
    </xf>
    <xf numFmtId="0" fontId="37" fillId="0" borderId="0" xfId="1" applyFont="1" applyAlignment="1">
      <alignment horizontal="center" vertical="center" wrapText="1"/>
    </xf>
    <xf numFmtId="0" fontId="32" fillId="15" borderId="0" xfId="1" applyFont="1" applyFill="1"/>
    <xf numFmtId="2" fontId="32" fillId="16" borderId="0" xfId="1" applyNumberFormat="1" applyFont="1" applyFill="1"/>
    <xf numFmtId="2" fontId="37" fillId="16" borderId="0" xfId="1" applyNumberFormat="1" applyFont="1" applyFill="1"/>
    <xf numFmtId="0" fontId="37" fillId="8" borderId="21" xfId="1" applyFont="1" applyFill="1" applyBorder="1" applyAlignment="1">
      <alignment horizontal="left" vertical="center" wrapText="1"/>
    </xf>
    <xf numFmtId="0" fontId="32" fillId="8" borderId="14" xfId="1" applyFont="1" applyFill="1" applyBorder="1" applyAlignment="1">
      <alignment vertical="center" wrapText="1"/>
    </xf>
    <xf numFmtId="0" fontId="32" fillId="8" borderId="15" xfId="1" applyFont="1" applyFill="1" applyBorder="1" applyAlignment="1">
      <alignment horizontal="left" vertical="center"/>
    </xf>
    <xf numFmtId="0" fontId="37" fillId="0" borderId="0" xfId="1" applyFont="1" applyAlignment="1">
      <alignment horizontal="center" wrapText="1"/>
    </xf>
    <xf numFmtId="0" fontId="39" fillId="0" borderId="0" xfId="1" applyFont="1"/>
    <xf numFmtId="0" fontId="37" fillId="0" borderId="0" xfId="1" applyFont="1" applyAlignment="1">
      <alignment horizontal="center"/>
    </xf>
    <xf numFmtId="0" fontId="37" fillId="0" borderId="18" xfId="1" applyFont="1" applyBorder="1" applyAlignment="1">
      <alignment horizontal="center" wrapText="1"/>
    </xf>
    <xf numFmtId="0" fontId="37" fillId="0" borderId="19" xfId="1" applyFont="1" applyBorder="1" applyAlignment="1">
      <alignment horizontal="center" wrapText="1"/>
    </xf>
    <xf numFmtId="0" fontId="37" fillId="0" borderId="19" xfId="1" applyFont="1" applyBorder="1" applyAlignment="1">
      <alignment horizontal="center"/>
    </xf>
    <xf numFmtId="0" fontId="37" fillId="0" borderId="20" xfId="1" applyFont="1" applyBorder="1" applyAlignment="1">
      <alignment horizontal="center"/>
    </xf>
    <xf numFmtId="0" fontId="32" fillId="0" borderId="0" xfId="1" applyFont="1" applyAlignment="1">
      <alignment horizontal="center"/>
    </xf>
    <xf numFmtId="2" fontId="32" fillId="0" borderId="0" xfId="1" applyNumberFormat="1" applyFont="1" applyAlignment="1">
      <alignment horizontal="center"/>
    </xf>
    <xf numFmtId="4" fontId="32" fillId="0" borderId="0" xfId="1" applyNumberFormat="1" applyFont="1" applyAlignment="1">
      <alignment horizontal="center"/>
    </xf>
    <xf numFmtId="2" fontId="32" fillId="9" borderId="0" xfId="1" applyNumberFormat="1" applyFont="1" applyFill="1"/>
    <xf numFmtId="2" fontId="32" fillId="0" borderId="16" xfId="1" applyNumberFormat="1" applyFont="1" applyBorder="1"/>
    <xf numFmtId="0" fontId="37" fillId="0" borderId="17" xfId="1" applyFont="1" applyBorder="1" applyAlignment="1">
      <alignment horizontal="center"/>
    </xf>
    <xf numFmtId="0" fontId="32" fillId="17" borderId="36" xfId="1" applyFont="1" applyFill="1" applyBorder="1"/>
    <xf numFmtId="0" fontId="32" fillId="17" borderId="37" xfId="1" applyFont="1" applyFill="1" applyBorder="1"/>
    <xf numFmtId="0" fontId="32" fillId="17" borderId="37" xfId="1" applyFont="1" applyFill="1" applyBorder="1" applyAlignment="1">
      <alignment wrapText="1"/>
    </xf>
    <xf numFmtId="0" fontId="37" fillId="17" borderId="38" xfId="1" applyFont="1" applyFill="1" applyBorder="1" applyAlignment="1">
      <alignment horizontal="center"/>
    </xf>
    <xf numFmtId="0" fontId="32" fillId="17" borderId="39" xfId="1" applyFont="1" applyFill="1" applyBorder="1"/>
    <xf numFmtId="2" fontId="32" fillId="17" borderId="0" xfId="1" applyNumberFormat="1" applyFont="1" applyFill="1"/>
    <xf numFmtId="0" fontId="32" fillId="17" borderId="40" xfId="1" applyFont="1" applyFill="1" applyBorder="1"/>
    <xf numFmtId="2" fontId="32" fillId="17" borderId="40" xfId="1" applyNumberFormat="1" applyFont="1" applyFill="1" applyBorder="1"/>
    <xf numFmtId="0" fontId="32" fillId="12" borderId="41" xfId="1" applyFont="1" applyFill="1" applyBorder="1" applyAlignment="1">
      <alignment horizontal="right"/>
    </xf>
    <xf numFmtId="0" fontId="32" fillId="12" borderId="42" xfId="1" applyFont="1" applyFill="1" applyBorder="1"/>
    <xf numFmtId="2" fontId="32" fillId="12" borderId="43" xfId="1" applyNumberFormat="1" applyFont="1" applyFill="1" applyBorder="1"/>
    <xf numFmtId="0" fontId="32" fillId="17" borderId="0" xfId="1" applyFont="1" applyFill="1"/>
    <xf numFmtId="4" fontId="37" fillId="0" borderId="0" xfId="1" applyNumberFormat="1" applyFont="1" applyAlignment="1">
      <alignment horizontal="center"/>
    </xf>
    <xf numFmtId="2" fontId="37" fillId="0" borderId="0" xfId="1" applyNumberFormat="1" applyFont="1" applyAlignment="1">
      <alignment horizontal="center"/>
    </xf>
    <xf numFmtId="0" fontId="32" fillId="13" borderId="0" xfId="1" applyFont="1" applyFill="1"/>
    <xf numFmtId="2" fontId="37" fillId="13" borderId="0" xfId="1" applyNumberFormat="1" applyFont="1" applyFill="1"/>
    <xf numFmtId="2" fontId="37" fillId="0" borderId="0" xfId="1" applyNumberFormat="1" applyFont="1"/>
    <xf numFmtId="0" fontId="40" fillId="13" borderId="0" xfId="1" applyFont="1" applyFill="1" applyAlignment="1">
      <alignment horizontal="left"/>
    </xf>
    <xf numFmtId="0" fontId="40" fillId="13" borderId="0" xfId="1" applyFont="1" applyFill="1" applyAlignment="1">
      <alignment horizontal="right"/>
    </xf>
    <xf numFmtId="2" fontId="41" fillId="13" borderId="0" xfId="1" applyNumberFormat="1" applyFont="1" applyFill="1"/>
    <xf numFmtId="2" fontId="41" fillId="0" borderId="0" xfId="1" applyNumberFormat="1" applyFont="1"/>
    <xf numFmtId="0" fontId="21" fillId="0" borderId="0" xfId="1" applyFont="1"/>
    <xf numFmtId="2" fontId="17" fillId="2" borderId="0" xfId="1" applyNumberFormat="1" applyFont="1" applyFill="1"/>
    <xf numFmtId="0" fontId="32" fillId="0" borderId="44" xfId="1" applyFont="1" applyBorder="1"/>
    <xf numFmtId="0" fontId="32" fillId="0" borderId="45" xfId="1" applyFont="1" applyBorder="1"/>
    <xf numFmtId="0" fontId="32" fillId="0" borderId="46" xfId="1" applyFont="1" applyBorder="1"/>
    <xf numFmtId="0" fontId="28" fillId="0" borderId="47" xfId="1" applyFont="1" applyBorder="1"/>
    <xf numFmtId="0" fontId="32" fillId="0" borderId="48" xfId="1" applyFont="1" applyBorder="1"/>
    <xf numFmtId="0" fontId="32" fillId="0" borderId="47" xfId="1" applyFont="1" applyBorder="1"/>
    <xf numFmtId="0" fontId="37" fillId="0" borderId="47" xfId="1" applyFont="1" applyBorder="1"/>
    <xf numFmtId="0" fontId="32" fillId="0" borderId="49" xfId="1" applyFont="1" applyBorder="1"/>
    <xf numFmtId="0" fontId="32" fillId="0" borderId="50" xfId="1" applyFont="1" applyBorder="1"/>
    <xf numFmtId="0" fontId="32" fillId="0" borderId="51" xfId="1" applyFont="1" applyBorder="1"/>
    <xf numFmtId="0" fontId="42" fillId="0" borderId="47" xfId="1" applyFont="1" applyBorder="1"/>
    <xf numFmtId="0" fontId="42" fillId="0" borderId="0" xfId="1" applyFont="1"/>
    <xf numFmtId="0" fontId="37" fillId="8" borderId="52" xfId="1" applyFont="1" applyFill="1" applyBorder="1"/>
    <xf numFmtId="0" fontId="37" fillId="8" borderId="47" xfId="1" applyFont="1" applyFill="1" applyBorder="1"/>
    <xf numFmtId="0" fontId="32" fillId="0" borderId="19" xfId="1" applyFont="1" applyBorder="1"/>
    <xf numFmtId="0" fontId="32" fillId="0" borderId="20" xfId="1" applyFont="1" applyBorder="1"/>
    <xf numFmtId="0" fontId="37" fillId="10" borderId="16" xfId="1" applyFont="1" applyFill="1" applyBorder="1" applyAlignment="1">
      <alignment horizontal="center" wrapText="1"/>
    </xf>
    <xf numFmtId="0" fontId="37" fillId="8" borderId="47" xfId="1" applyFont="1" applyFill="1" applyBorder="1" applyAlignment="1">
      <alignment horizontal="right"/>
    </xf>
    <xf numFmtId="0" fontId="37" fillId="8" borderId="47" xfId="1" applyFont="1" applyFill="1" applyBorder="1" applyAlignment="1">
      <alignment horizontal="left"/>
    </xf>
    <xf numFmtId="2" fontId="3" fillId="0" borderId="0" xfId="1" applyNumberFormat="1"/>
    <xf numFmtId="0" fontId="37" fillId="8" borderId="47" xfId="1" applyFont="1" applyFill="1" applyBorder="1" applyAlignment="1">
      <alignment horizontal="right" vertical="center"/>
    </xf>
    <xf numFmtId="0" fontId="37" fillId="8" borderId="47" xfId="1" applyFont="1" applyFill="1" applyBorder="1" applyAlignment="1">
      <alignment horizontal="center" vertical="center"/>
    </xf>
    <xf numFmtId="0" fontId="37" fillId="8" borderId="53" xfId="1" applyFont="1" applyFill="1" applyBorder="1" applyAlignment="1">
      <alignment horizontal="left" vertical="center" wrapText="1"/>
    </xf>
    <xf numFmtId="0" fontId="32" fillId="0" borderId="47" xfId="1" applyFont="1" applyBorder="1" applyAlignment="1">
      <alignment horizontal="center"/>
    </xf>
    <xf numFmtId="0" fontId="37" fillId="13" borderId="0" xfId="1" applyFont="1" applyFill="1"/>
    <xf numFmtId="4" fontId="32" fillId="0" borderId="50" xfId="1" applyNumberFormat="1" applyFont="1" applyBorder="1"/>
    <xf numFmtId="0" fontId="17" fillId="0" borderId="0" xfId="1" applyFont="1"/>
    <xf numFmtId="2" fontId="17" fillId="2" borderId="0" xfId="1" applyNumberFormat="1" applyFont="1" applyFill="1" applyAlignment="1">
      <alignment horizontal="center"/>
    </xf>
    <xf numFmtId="0" fontId="37" fillId="8" borderId="0" xfId="1" applyFont="1" applyFill="1"/>
    <xf numFmtId="166" fontId="32" fillId="8" borderId="0" xfId="1" applyNumberFormat="1" applyFont="1" applyFill="1" applyAlignment="1">
      <alignment vertical="center" wrapText="1"/>
    </xf>
    <xf numFmtId="0" fontId="37" fillId="10" borderId="21" xfId="1" applyFont="1" applyFill="1" applyBorder="1" applyAlignment="1">
      <alignment horizontal="center" vertical="center" wrapText="1"/>
    </xf>
    <xf numFmtId="2" fontId="32" fillId="18" borderId="0" xfId="1" applyNumberFormat="1" applyFont="1" applyFill="1"/>
    <xf numFmtId="0" fontId="41" fillId="13" borderId="0" xfId="1" applyFont="1" applyFill="1"/>
    <xf numFmtId="4" fontId="32" fillId="0" borderId="0" xfId="1" applyNumberFormat="1" applyFont="1"/>
    <xf numFmtId="0" fontId="17" fillId="2" borderId="0" xfId="1" applyFont="1" applyFill="1"/>
    <xf numFmtId="0" fontId="3" fillId="2" borderId="0" xfId="1" applyFill="1"/>
    <xf numFmtId="0" fontId="28" fillId="0" borderId="14" xfId="1" applyFont="1" applyBorder="1"/>
    <xf numFmtId="0" fontId="26" fillId="0" borderId="14" xfId="1" applyFont="1" applyBorder="1"/>
    <xf numFmtId="0" fontId="26" fillId="6" borderId="15" xfId="1" applyFont="1" applyFill="1" applyBorder="1"/>
    <xf numFmtId="0" fontId="26" fillId="0" borderId="0" xfId="1" applyFont="1"/>
    <xf numFmtId="0" fontId="23" fillId="0" borderId="0" xfId="1" applyFont="1"/>
    <xf numFmtId="0" fontId="22" fillId="8" borderId="16" xfId="1" applyFont="1" applyFill="1" applyBorder="1"/>
    <xf numFmtId="14" fontId="26" fillId="8" borderId="0" xfId="1" applyNumberFormat="1" applyFont="1" applyFill="1" applyAlignment="1">
      <alignment horizontal="right"/>
    </xf>
    <xf numFmtId="0" fontId="26" fillId="8" borderId="17" xfId="1" applyFont="1" applyFill="1" applyBorder="1"/>
    <xf numFmtId="0" fontId="26" fillId="10" borderId="0" xfId="1" applyFont="1" applyFill="1"/>
    <xf numFmtId="14" fontId="26" fillId="11" borderId="17" xfId="1" applyNumberFormat="1" applyFont="1" applyFill="1" applyBorder="1" applyAlignment="1">
      <alignment horizontal="right"/>
    </xf>
    <xf numFmtId="0" fontId="22" fillId="0" borderId="0" xfId="1" applyFont="1"/>
    <xf numFmtId="0" fontId="26" fillId="8" borderId="0" xfId="1" applyFont="1" applyFill="1"/>
    <xf numFmtId="2" fontId="26" fillId="10" borderId="0" xfId="1" applyNumberFormat="1" applyFont="1" applyFill="1" applyAlignment="1">
      <alignment horizontal="right"/>
    </xf>
    <xf numFmtId="0" fontId="22" fillId="10" borderId="17" xfId="1" applyFont="1" applyFill="1" applyBorder="1" applyAlignment="1">
      <alignment horizontal="center" wrapText="1"/>
    </xf>
    <xf numFmtId="0" fontId="20" fillId="12" borderId="18" xfId="1" applyFont="1" applyFill="1" applyBorder="1"/>
    <xf numFmtId="0" fontId="20" fillId="12" borderId="19" xfId="1" applyFont="1" applyFill="1" applyBorder="1"/>
    <xf numFmtId="0" fontId="29" fillId="12" borderId="19" xfId="1" applyFont="1" applyFill="1" applyBorder="1" applyAlignment="1">
      <alignment horizontal="center"/>
    </xf>
    <xf numFmtId="0" fontId="29" fillId="12" borderId="20" xfId="1" applyFont="1" applyFill="1" applyBorder="1" applyAlignment="1">
      <alignment horizontal="center"/>
    </xf>
    <xf numFmtId="0" fontId="22" fillId="8" borderId="16" xfId="1" applyFont="1" applyFill="1" applyBorder="1" applyAlignment="1">
      <alignment horizontal="right"/>
    </xf>
    <xf numFmtId="2" fontId="26" fillId="8" borderId="0" xfId="1" applyNumberFormat="1" applyFont="1" applyFill="1" applyAlignment="1">
      <alignment horizontal="right"/>
    </xf>
    <xf numFmtId="0" fontId="29" fillId="12" borderId="16" xfId="1" applyFont="1" applyFill="1" applyBorder="1"/>
    <xf numFmtId="0" fontId="20" fillId="12" borderId="0" xfId="1" applyFont="1" applyFill="1"/>
    <xf numFmtId="2" fontId="20" fillId="12" borderId="17" xfId="1" applyNumberFormat="1" applyFont="1" applyFill="1" applyBorder="1"/>
    <xf numFmtId="0" fontId="26" fillId="8" borderId="0" xfId="1" applyFont="1" applyFill="1" applyAlignment="1">
      <alignment horizontal="right"/>
    </xf>
    <xf numFmtId="0" fontId="26" fillId="10" borderId="17" xfId="1" applyFont="1" applyFill="1" applyBorder="1"/>
    <xf numFmtId="0" fontId="22" fillId="8" borderId="16" xfId="1" applyFont="1" applyFill="1" applyBorder="1" applyAlignment="1">
      <alignment horizontal="left"/>
    </xf>
    <xf numFmtId="0" fontId="26" fillId="0" borderId="0" xfId="1" applyFont="1" applyAlignment="1">
      <alignment wrapText="1"/>
    </xf>
    <xf numFmtId="0" fontId="20" fillId="12" borderId="21" xfId="1" applyFont="1" applyFill="1" applyBorder="1"/>
    <xf numFmtId="0" fontId="20" fillId="12" borderId="14" xfId="1" applyFont="1" applyFill="1" applyBorder="1"/>
    <xf numFmtId="0" fontId="20" fillId="12" borderId="15" xfId="1" applyFont="1" applyFill="1" applyBorder="1"/>
    <xf numFmtId="0" fontId="26" fillId="8" borderId="0" xfId="1" applyFont="1" applyFill="1" applyAlignment="1">
      <alignment horizontal="right" wrapText="1"/>
    </xf>
    <xf numFmtId="0" fontId="22" fillId="8" borderId="16" xfId="1" applyFont="1" applyFill="1" applyBorder="1" applyAlignment="1">
      <alignment horizontal="center"/>
    </xf>
    <xf numFmtId="0" fontId="26" fillId="8" borderId="17" xfId="1" applyFont="1" applyFill="1" applyBorder="1" applyAlignment="1">
      <alignment horizontal="left"/>
    </xf>
    <xf numFmtId="0" fontId="22" fillId="8" borderId="21" xfId="1" applyFont="1" applyFill="1" applyBorder="1" applyAlignment="1">
      <alignment horizontal="left" wrapText="1"/>
    </xf>
    <xf numFmtId="0" fontId="26" fillId="8" borderId="14" xfId="1" applyFont="1" applyFill="1" applyBorder="1" applyAlignment="1">
      <alignment horizontal="right" wrapText="1"/>
    </xf>
    <xf numFmtId="0" fontId="26" fillId="8" borderId="15" xfId="1" applyFont="1" applyFill="1" applyBorder="1" applyAlignment="1">
      <alignment horizontal="left"/>
    </xf>
    <xf numFmtId="0" fontId="26" fillId="10" borderId="14" xfId="1" applyFont="1" applyFill="1" applyBorder="1"/>
    <xf numFmtId="0" fontId="26" fillId="10" borderId="15" xfId="1" applyFont="1" applyFill="1" applyBorder="1"/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center" wrapText="1"/>
    </xf>
    <xf numFmtId="0" fontId="20" fillId="0" borderId="0" xfId="1" applyFont="1"/>
    <xf numFmtId="0" fontId="26" fillId="0" borderId="0" xfId="1" applyFont="1" applyAlignment="1">
      <alignment horizontal="center"/>
    </xf>
    <xf numFmtId="2" fontId="26" fillId="0" borderId="0" xfId="1" applyNumberFormat="1" applyFont="1" applyAlignment="1">
      <alignment horizontal="center"/>
    </xf>
    <xf numFmtId="4" fontId="26" fillId="0" borderId="0" xfId="1" applyNumberFormat="1" applyFont="1" applyAlignment="1">
      <alignment horizontal="center"/>
    </xf>
    <xf numFmtId="167" fontId="26" fillId="0" borderId="0" xfId="1" applyNumberFormat="1" applyFont="1" applyAlignment="1">
      <alignment horizontal="center"/>
    </xf>
    <xf numFmtId="2" fontId="26" fillId="9" borderId="0" xfId="1" applyNumberFormat="1" applyFont="1" applyFill="1" applyAlignment="1">
      <alignment horizontal="right"/>
    </xf>
    <xf numFmtId="2" fontId="26" fillId="0" borderId="0" xfId="1" applyNumberFormat="1" applyFont="1" applyAlignment="1">
      <alignment horizontal="right"/>
    </xf>
    <xf numFmtId="2" fontId="20" fillId="0" borderId="0" xfId="1" applyNumberFormat="1" applyFont="1"/>
    <xf numFmtId="166" fontId="3" fillId="0" borderId="0" xfId="1" applyNumberFormat="1"/>
    <xf numFmtId="2" fontId="22" fillId="0" borderId="0" xfId="1" applyNumberFormat="1" applyFont="1" applyAlignment="1">
      <alignment horizontal="center"/>
    </xf>
    <xf numFmtId="0" fontId="26" fillId="13" borderId="0" xfId="1" applyFont="1" applyFill="1"/>
    <xf numFmtId="2" fontId="22" fillId="13" borderId="0" xfId="1" applyNumberFormat="1" applyFont="1" applyFill="1" applyAlignment="1">
      <alignment horizontal="right"/>
    </xf>
    <xf numFmtId="166" fontId="4" fillId="0" borderId="0" xfId="1" applyNumberFormat="1" applyFont="1"/>
    <xf numFmtId="0" fontId="30" fillId="13" borderId="0" xfId="1" applyFont="1" applyFill="1" applyAlignment="1">
      <alignment horizontal="left"/>
    </xf>
    <xf numFmtId="2" fontId="31" fillId="13" borderId="0" xfId="1" applyNumberFormat="1" applyFont="1" applyFill="1" applyAlignment="1">
      <alignment horizontal="right"/>
    </xf>
    <xf numFmtId="0" fontId="26" fillId="0" borderId="0" xfId="1" applyFont="1" applyAlignment="1">
      <alignment horizontal="left"/>
    </xf>
    <xf numFmtId="1" fontId="22" fillId="0" borderId="0" xfId="1" applyNumberFormat="1" applyFont="1" applyAlignment="1">
      <alignment horizontal="center"/>
    </xf>
    <xf numFmtId="2" fontId="4" fillId="2" borderId="0" xfId="1" applyNumberFormat="1" applyFont="1" applyFill="1" applyAlignment="1">
      <alignment horizontal="center"/>
    </xf>
    <xf numFmtId="167" fontId="43" fillId="0" borderId="0" xfId="1" applyNumberFormat="1" applyFont="1" applyAlignment="1">
      <alignment horizontal="center"/>
    </xf>
    <xf numFmtId="2" fontId="26" fillId="8" borderId="17" xfId="1" applyNumberFormat="1" applyFont="1" applyFill="1" applyBorder="1"/>
    <xf numFmtId="2" fontId="26" fillId="8" borderId="0" xfId="1" applyNumberFormat="1" applyFont="1" applyFill="1"/>
    <xf numFmtId="0" fontId="29" fillId="0" borderId="0" xfId="1" applyFont="1" applyAlignment="1">
      <alignment horizontal="center" wrapText="1"/>
    </xf>
    <xf numFmtId="0" fontId="29" fillId="0" borderId="0" xfId="1" applyFont="1" applyAlignment="1">
      <alignment horizontal="center"/>
    </xf>
    <xf numFmtId="168" fontId="20" fillId="0" borderId="0" xfId="1" applyNumberFormat="1" applyFont="1"/>
    <xf numFmtId="1" fontId="26" fillId="0" borderId="0" xfId="1" applyNumberFormat="1" applyFont="1" applyAlignment="1">
      <alignment horizontal="right"/>
    </xf>
    <xf numFmtId="2" fontId="22" fillId="2" borderId="0" xfId="1" applyNumberFormat="1" applyFont="1" applyFill="1"/>
    <xf numFmtId="2" fontId="4" fillId="2" borderId="0" xfId="1" applyNumberFormat="1" applyFont="1" applyFill="1"/>
    <xf numFmtId="169" fontId="3" fillId="0" borderId="0" xfId="1" applyNumberFormat="1"/>
    <xf numFmtId="0" fontId="44" fillId="0" borderId="0" xfId="1" applyFont="1"/>
    <xf numFmtId="2" fontId="44" fillId="2" borderId="0" xfId="1" applyNumberFormat="1" applyFont="1" applyFill="1"/>
    <xf numFmtId="0" fontId="45" fillId="0" borderId="0" xfId="1" applyFont="1"/>
    <xf numFmtId="2" fontId="46" fillId="0" borderId="0" xfId="1" applyNumberFormat="1" applyFont="1"/>
    <xf numFmtId="0" fontId="23" fillId="0" borderId="0" xfId="3" applyFont="1" applyAlignment="1">
      <alignment horizontal="center" wrapText="1"/>
    </xf>
    <xf numFmtId="0" fontId="16" fillId="0" borderId="0" xfId="3" applyFont="1" applyAlignment="1"/>
    <xf numFmtId="0" fontId="25" fillId="4" borderId="8" xfId="3" applyFont="1" applyFill="1" applyBorder="1" applyAlignment="1">
      <alignment horizontal="center" wrapText="1"/>
    </xf>
    <xf numFmtId="0" fontId="20" fillId="0" borderId="9" xfId="3" applyFont="1" applyBorder="1"/>
    <xf numFmtId="0" fontId="24" fillId="4" borderId="0" xfId="3" applyFont="1" applyFill="1" applyAlignment="1">
      <alignment horizontal="center" wrapText="1"/>
    </xf>
    <xf numFmtId="164" fontId="24" fillId="4" borderId="0" xfId="3" applyNumberFormat="1" applyFont="1" applyFill="1" applyAlignment="1">
      <alignment horizontal="center" wrapText="1"/>
    </xf>
    <xf numFmtId="0" fontId="25" fillId="4" borderId="13" xfId="3" applyFont="1" applyFill="1" applyBorder="1" applyAlignment="1">
      <alignment horizontal="center" wrapText="1"/>
    </xf>
    <xf numFmtId="0" fontId="19" fillId="4" borderId="6" xfId="3" applyFont="1" applyFill="1" applyBorder="1" applyAlignment="1">
      <alignment horizontal="center" wrapText="1"/>
    </xf>
    <xf numFmtId="0" fontId="20" fillId="0" borderId="7" xfId="3" applyFont="1" applyBorder="1"/>
    <xf numFmtId="0" fontId="22" fillId="0" borderId="0" xfId="3" applyFont="1" applyAlignment="1">
      <alignment horizontal="center"/>
    </xf>
    <xf numFmtId="0" fontId="22" fillId="0" borderId="0" xfId="3" applyFont="1" applyAlignment="1">
      <alignment wrapText="1"/>
    </xf>
    <xf numFmtId="0" fontId="22" fillId="0" borderId="0" xfId="3" applyFont="1" applyAlignment="1">
      <alignment horizontal="center" wrapText="1"/>
    </xf>
    <xf numFmtId="0" fontId="32" fillId="15" borderId="0" xfId="1" applyFont="1" applyFill="1" applyAlignment="1">
      <alignment horizontal="center"/>
    </xf>
    <xf numFmtId="0" fontId="3" fillId="0" borderId="0" xfId="1"/>
    <xf numFmtId="0" fontId="37" fillId="0" borderId="0" xfId="1" applyFont="1" applyAlignment="1">
      <alignment horizontal="center" vertical="center"/>
    </xf>
    <xf numFmtId="0" fontId="37" fillId="0" borderId="0" xfId="1" applyFont="1" applyAlignment="1">
      <alignment vertical="center" wrapText="1"/>
    </xf>
    <xf numFmtId="0" fontId="37" fillId="0" borderId="0" xfId="1" applyFont="1" applyAlignment="1">
      <alignment horizontal="center" vertical="center" wrapText="1"/>
    </xf>
    <xf numFmtId="0" fontId="37" fillId="0" borderId="47" xfId="1" applyFont="1" applyBorder="1" applyAlignment="1">
      <alignment horizontal="center" vertical="center"/>
    </xf>
    <xf numFmtId="0" fontId="32" fillId="0" borderId="47" xfId="1" applyFont="1" applyBorder="1"/>
    <xf numFmtId="0" fontId="18" fillId="0" borderId="19" xfId="1" applyFont="1" applyBorder="1" applyAlignment="1">
      <alignment wrapText="1"/>
    </xf>
    <xf numFmtId="0" fontId="32" fillId="0" borderId="19" xfId="1" applyFont="1" applyBorder="1"/>
    <xf numFmtId="0" fontId="32" fillId="6" borderId="32" xfId="1" applyFont="1" applyFill="1" applyBorder="1"/>
    <xf numFmtId="0" fontId="32" fillId="0" borderId="33" xfId="1" applyFont="1" applyBorder="1"/>
    <xf numFmtId="0" fontId="32" fillId="0" borderId="34" xfId="1" applyFont="1" applyBorder="1"/>
    <xf numFmtId="0" fontId="37" fillId="10" borderId="16" xfId="1" applyFont="1" applyFill="1" applyBorder="1" applyAlignment="1">
      <alignment horizontal="center" wrapText="1"/>
    </xf>
    <xf numFmtId="0" fontId="32" fillId="0" borderId="17" xfId="1" applyFont="1" applyBorder="1"/>
    <xf numFmtId="0" fontId="37" fillId="10" borderId="16" xfId="1" applyFont="1" applyFill="1" applyBorder="1" applyAlignment="1">
      <alignment horizontal="center" vertical="center" wrapText="1"/>
    </xf>
    <xf numFmtId="0" fontId="22" fillId="0" borderId="0" xfId="1" applyFont="1" applyAlignment="1">
      <alignment horizontal="center"/>
    </xf>
    <xf numFmtId="0" fontId="22" fillId="0" borderId="0" xfId="1" applyFont="1" applyAlignment="1">
      <alignment wrapText="1"/>
    </xf>
    <xf numFmtId="0" fontId="22" fillId="0" borderId="0" xfId="1" applyFont="1" applyAlignment="1">
      <alignment horizontal="center" wrapText="1"/>
    </xf>
    <xf numFmtId="0" fontId="2" fillId="0" borderId="4" xfId="0" applyFont="1" applyBorder="1" applyAlignment="1">
      <alignment horizontal="justify" wrapText="1"/>
    </xf>
  </cellXfs>
  <cellStyles count="5">
    <cellStyle name="Normal" xfId="0" builtinId="0"/>
    <cellStyle name="Normal 2" xfId="1"/>
    <cellStyle name="Normal 2 2" xfId="2"/>
    <cellStyle name="Normal 2 3" xfId="4"/>
    <cellStyle name="Normal 3" xfId="3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P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70652883853755E-2"/>
          <c:y val="0.13153281642829112"/>
          <c:w val="0.15202239221062933"/>
          <c:h val="0.694351486163065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Summary!$J$84</c:f>
              <c:strCache>
                <c:ptCount val="1"/>
                <c:pt idx="0">
                  <c:v>CSRm</c:v>
                </c:pt>
              </c:strCache>
            </c:strRef>
          </c:tx>
          <c:spPr>
            <a:pattFill prst="ltVert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5.6533963349233829E-2"/>
                  <c:y val="-3.14147569679812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EF-964B-A131-06EC3BB3FBA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Summary!$J$94:$J$96</c:f>
                <c:numCache>
                  <c:formatCode>General</c:formatCode>
                  <c:ptCount val="3"/>
                  <c:pt idx="0">
                    <c:v>0.8893483192209426</c:v>
                  </c:pt>
                  <c:pt idx="1">
                    <c:v>1.6068880371560375</c:v>
                  </c:pt>
                  <c:pt idx="2">
                    <c:v>15.21</c:v>
                  </c:pt>
                </c:numCache>
              </c:numRef>
            </c:plus>
            <c:minus>
              <c:numRef>
                <c:f>Summary!$J$94:$J$96</c:f>
                <c:numCache>
                  <c:formatCode>General</c:formatCode>
                  <c:ptCount val="3"/>
                  <c:pt idx="0">
                    <c:v>0.8893483192209426</c:v>
                  </c:pt>
                  <c:pt idx="1">
                    <c:v>1.6068880371560375</c:v>
                  </c:pt>
                  <c:pt idx="2">
                    <c:v>15.21</c:v>
                  </c:pt>
                </c:numCache>
              </c:numRef>
            </c:minus>
          </c:errBars>
          <c:cat>
            <c:strRef>
              <c:f>Summary!$I$85</c:f>
              <c:strCache>
                <c:ptCount val="1"/>
                <c:pt idx="0">
                  <c:v>Annual paddy yield (Mg/ha)</c:v>
                </c:pt>
              </c:strCache>
            </c:strRef>
          </c:cat>
          <c:val>
            <c:numRef>
              <c:f>Summary!$J$85</c:f>
              <c:numCache>
                <c:formatCode>0.00</c:formatCode>
                <c:ptCount val="1"/>
                <c:pt idx="0">
                  <c:v>10.175027048811661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EF-964B-A131-06EC3BB3FBAB}"/>
            </c:ext>
          </c:extLst>
        </c:ser>
        <c:ser>
          <c:idx val="1"/>
          <c:order val="1"/>
          <c:tx>
            <c:strRef>
              <c:f>Summary!$K$84</c:f>
              <c:strCache>
                <c:ptCount val="1"/>
                <c:pt idx="0">
                  <c:v>PSRm</c:v>
                </c:pt>
              </c:strCache>
            </c:strRef>
          </c:tx>
          <c:spPr>
            <a:pattFill prst="ltHorz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2.0755487300973971E-2"/>
                  <c:y val="-3.03954934866799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EF-964B-A131-06EC3BB3FBA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errBars>
            <c:errBarType val="both"/>
            <c:errValType val="cust"/>
            <c:noEndCap val="0"/>
            <c:plus>
              <c:numRef>
                <c:f>Summary!$K$94:$K$96</c:f>
                <c:numCache>
                  <c:formatCode>General</c:formatCode>
                  <c:ptCount val="3"/>
                  <c:pt idx="0">
                    <c:v>1.2117714143585747</c:v>
                  </c:pt>
                  <c:pt idx="1">
                    <c:v>3.1104465088367363</c:v>
                  </c:pt>
                  <c:pt idx="2">
                    <c:v>20.079999999999998</c:v>
                  </c:pt>
                </c:numCache>
              </c:numRef>
            </c:plus>
            <c:minus>
              <c:numRef>
                <c:f>Summary!$K$94:$K$96</c:f>
                <c:numCache>
                  <c:formatCode>General</c:formatCode>
                  <c:ptCount val="3"/>
                  <c:pt idx="0">
                    <c:v>1.2117714143585747</c:v>
                  </c:pt>
                  <c:pt idx="1">
                    <c:v>3.1104465088367363</c:v>
                  </c:pt>
                  <c:pt idx="2">
                    <c:v>20.079999999999998</c:v>
                  </c:pt>
                </c:numCache>
              </c:numRef>
            </c:minus>
          </c:errBars>
          <c:cat>
            <c:strRef>
              <c:f>Summary!$I$85</c:f>
              <c:strCache>
                <c:ptCount val="1"/>
                <c:pt idx="0">
                  <c:v>Annual paddy yield (Mg/ha)</c:v>
                </c:pt>
              </c:strCache>
            </c:strRef>
          </c:cat>
          <c:val>
            <c:numRef>
              <c:f>Summary!$K$85</c:f>
              <c:numCache>
                <c:formatCode>0.00</c:formatCode>
                <c:ptCount val="1"/>
                <c:pt idx="0">
                  <c:v>10.204571263341238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AEF-964B-A131-06EC3BB3FBAB}"/>
            </c:ext>
          </c:extLst>
        </c:ser>
        <c:ser>
          <c:idx val="2"/>
          <c:order val="2"/>
          <c:tx>
            <c:strRef>
              <c:f>Summary!$L$84</c:f>
              <c:strCache>
                <c:ptCount val="1"/>
                <c:pt idx="0">
                  <c:v>SB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2.0280316477491771E-2"/>
                  <c:y val="-8.02142404925772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EF-964B-A131-06EC3BB3FBA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Summary!$L$94:$L$96</c:f>
                <c:numCache>
                  <c:formatCode>General</c:formatCode>
                  <c:ptCount val="3"/>
                  <c:pt idx="0">
                    <c:v>0.76920413507216789</c:v>
                  </c:pt>
                  <c:pt idx="1">
                    <c:v>2.6971249590492761</c:v>
                  </c:pt>
                  <c:pt idx="2">
                    <c:v>12.15</c:v>
                  </c:pt>
                </c:numCache>
              </c:numRef>
            </c:plus>
            <c:minus>
              <c:numRef>
                <c:f>Summary!$L$94:$L$96</c:f>
                <c:numCache>
                  <c:formatCode>General</c:formatCode>
                  <c:ptCount val="3"/>
                  <c:pt idx="0">
                    <c:v>0.76920413507216789</c:v>
                  </c:pt>
                  <c:pt idx="1">
                    <c:v>2.6971249590492761</c:v>
                  </c:pt>
                  <c:pt idx="2">
                    <c:v>12.15</c:v>
                  </c:pt>
                </c:numCache>
              </c:numRef>
            </c:minus>
          </c:errBars>
          <c:cat>
            <c:strRef>
              <c:f>Summary!$I$85</c:f>
              <c:strCache>
                <c:ptCount val="1"/>
                <c:pt idx="0">
                  <c:v>Annual paddy yield (Mg/ha)</c:v>
                </c:pt>
              </c:strCache>
            </c:strRef>
          </c:cat>
          <c:val>
            <c:numRef>
              <c:f>Summary!$L$85</c:f>
              <c:numCache>
                <c:formatCode>0.00</c:formatCode>
                <c:ptCount val="1"/>
                <c:pt idx="0">
                  <c:v>9.8286987005481734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AEF-964B-A131-06EC3BB3FBAB}"/>
            </c:ext>
          </c:extLst>
        </c:ser>
        <c:ser>
          <c:idx val="3"/>
          <c:order val="3"/>
          <c:tx>
            <c:strRef>
              <c:f>Summary!$M$84</c:f>
              <c:strCache>
                <c:ptCount val="1"/>
                <c:pt idx="0">
                  <c:v>SRt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2.1641822408764413E-2"/>
                  <c:y val="-2.13720061900024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AEF-964B-A131-06EC3BB3FBA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Summary!$M$94:$M$96</c:f>
                <c:numCache>
                  <c:formatCode>General</c:formatCode>
                  <c:ptCount val="3"/>
                  <c:pt idx="0">
                    <c:v>0.76092636013609594</c:v>
                  </c:pt>
                  <c:pt idx="1">
                    <c:v>1.2829980914419021</c:v>
                  </c:pt>
                  <c:pt idx="2">
                    <c:v>12.22</c:v>
                  </c:pt>
                </c:numCache>
              </c:numRef>
            </c:plus>
            <c:minus>
              <c:numRef>
                <c:f>Summary!$M$94:$M$96</c:f>
                <c:numCache>
                  <c:formatCode>General</c:formatCode>
                  <c:ptCount val="3"/>
                  <c:pt idx="0">
                    <c:v>0.76092636013609594</c:v>
                  </c:pt>
                  <c:pt idx="1">
                    <c:v>1.2829980914419021</c:v>
                  </c:pt>
                  <c:pt idx="2">
                    <c:v>12.22</c:v>
                  </c:pt>
                </c:numCache>
              </c:numRef>
            </c:minus>
          </c:errBars>
          <c:cat>
            <c:strRef>
              <c:f>Summary!$I$85</c:f>
              <c:strCache>
                <c:ptCount val="1"/>
                <c:pt idx="0">
                  <c:v>Annual paddy yield (Mg/ha)</c:v>
                </c:pt>
              </c:strCache>
            </c:strRef>
          </c:cat>
          <c:val>
            <c:numRef>
              <c:f>Summary!$M$85</c:f>
              <c:numCache>
                <c:formatCode>0.00</c:formatCode>
                <c:ptCount val="1"/>
                <c:pt idx="0">
                  <c:v>10.143600289673451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AEF-964B-A131-06EC3BB3F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8"/>
        <c:axId val="214084608"/>
        <c:axId val="143106048"/>
      </c:barChart>
      <c:catAx>
        <c:axId val="2140846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3106048"/>
        <c:crosses val="autoZero"/>
        <c:auto val="1"/>
        <c:lblAlgn val="ctr"/>
        <c:lblOffset val="100"/>
        <c:noMultiLvlLbl val="0"/>
      </c:catAx>
      <c:valAx>
        <c:axId val="14310604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crossAx val="214084608"/>
        <c:crosses val="autoZero"/>
        <c:crossBetween val="between"/>
      </c:valAx>
    </c:plotArea>
    <c:legend>
      <c:legendPos val="t"/>
      <c:legendEntry>
        <c:idx val="4"/>
        <c:delete val="1"/>
      </c:legendEntry>
      <c:layout>
        <c:manualLayout>
          <c:xMode val="edge"/>
          <c:yMode val="edge"/>
          <c:x val="0"/>
          <c:y val="2.8793868077588929E-2"/>
          <c:w val="0.63989867453929228"/>
          <c:h val="6.6649003774791341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P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6174787774959"/>
          <c:y val="5.1477154324859317E-2"/>
          <c:w val="0.78936809561207388"/>
          <c:h val="0.758876348789734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Summary!$J$84</c:f>
              <c:strCache>
                <c:ptCount val="1"/>
                <c:pt idx="0">
                  <c:v>CSRm</c:v>
                </c:pt>
              </c:strCache>
            </c:strRef>
          </c:tx>
          <c:spPr>
            <a:pattFill prst="ltVert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1.4689264229791051E-2"/>
                  <c:y val="-7.40740740740740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A9-8644-A2EA-B5004D9E05C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Summary!$J$95</c:f>
                <c:numCache>
                  <c:formatCode>General</c:formatCode>
                  <c:ptCount val="1"/>
                  <c:pt idx="0">
                    <c:v>1.6068880371560375</c:v>
                  </c:pt>
                </c:numCache>
              </c:numRef>
            </c:plus>
            <c:minus>
              <c:numRef>
                <c:f>Summary!$J$95</c:f>
                <c:numCache>
                  <c:formatCode>General</c:formatCode>
                  <c:ptCount val="1"/>
                  <c:pt idx="0">
                    <c:v>1.6068880371560375</c:v>
                  </c:pt>
                </c:numCache>
              </c:numRef>
            </c:minus>
          </c:errBars>
          <c:cat>
            <c:strRef>
              <c:f>Summary!$I$86</c:f>
              <c:strCache>
                <c:ptCount val="1"/>
                <c:pt idx="0">
                  <c:v>Head rice recovery (%)</c:v>
                </c:pt>
              </c:strCache>
            </c:strRef>
          </c:cat>
          <c:val>
            <c:numRef>
              <c:f>Summary!$J$86</c:f>
              <c:numCache>
                <c:formatCode>0.00</c:formatCode>
                <c:ptCount val="1"/>
                <c:pt idx="0">
                  <c:v>56.175208500923574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2A9-8644-A2EA-B5004D9E05CA}"/>
            </c:ext>
          </c:extLst>
        </c:ser>
        <c:ser>
          <c:idx val="1"/>
          <c:order val="1"/>
          <c:tx>
            <c:strRef>
              <c:f>Summary!$K$84</c:f>
              <c:strCache>
                <c:ptCount val="1"/>
                <c:pt idx="0">
                  <c:v>PSRm</c:v>
                </c:pt>
              </c:strCache>
            </c:strRef>
          </c:tx>
          <c:spPr>
            <a:pattFill prst="ltHorz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6.7325016642204693E-17"/>
                  <c:y val="-0.1629629629629629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A9-8644-A2EA-B5004D9E05C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Summary!$K$95</c:f>
                <c:numCache>
                  <c:formatCode>General</c:formatCode>
                  <c:ptCount val="1"/>
                  <c:pt idx="0">
                    <c:v>3.1104465088367363</c:v>
                  </c:pt>
                </c:numCache>
              </c:numRef>
            </c:plus>
            <c:minus>
              <c:numRef>
                <c:f>Summary!$K$95</c:f>
                <c:numCache>
                  <c:formatCode>General</c:formatCode>
                  <c:ptCount val="1"/>
                  <c:pt idx="0">
                    <c:v>3.1104465088367363</c:v>
                  </c:pt>
                </c:numCache>
              </c:numRef>
            </c:minus>
          </c:errBars>
          <c:cat>
            <c:strRef>
              <c:f>Summary!$I$86</c:f>
              <c:strCache>
                <c:ptCount val="1"/>
                <c:pt idx="0">
                  <c:v>Head rice recovery (%)</c:v>
                </c:pt>
              </c:strCache>
            </c:strRef>
          </c:cat>
          <c:val>
            <c:numRef>
              <c:f>Summary!$K$86</c:f>
              <c:numCache>
                <c:formatCode>0.00</c:formatCode>
                <c:ptCount val="1"/>
                <c:pt idx="0">
                  <c:v>55.372497352214239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2A9-8644-A2EA-B5004D9E05CA}"/>
            </c:ext>
          </c:extLst>
        </c:ser>
        <c:ser>
          <c:idx val="2"/>
          <c:order val="2"/>
          <c:tx>
            <c:strRef>
              <c:f>Summary!$L$84</c:f>
              <c:strCache>
                <c:ptCount val="1"/>
                <c:pt idx="0">
                  <c:v>SB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0.1185185185185185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A9-8644-A2EA-B5004D9E05C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Summary!$L$95</c:f>
                <c:numCache>
                  <c:formatCode>General</c:formatCode>
                  <c:ptCount val="1"/>
                  <c:pt idx="0">
                    <c:v>2.6971249590492761</c:v>
                  </c:pt>
                </c:numCache>
              </c:numRef>
            </c:plus>
            <c:minus>
              <c:numRef>
                <c:f>Summary!$L$95</c:f>
                <c:numCache>
                  <c:formatCode>General</c:formatCode>
                  <c:ptCount val="1"/>
                  <c:pt idx="0">
                    <c:v>2.6971249590492761</c:v>
                  </c:pt>
                </c:numCache>
              </c:numRef>
            </c:minus>
          </c:errBars>
          <c:cat>
            <c:strRef>
              <c:f>Summary!$I$86</c:f>
              <c:strCache>
                <c:ptCount val="1"/>
                <c:pt idx="0">
                  <c:v>Head rice recovery (%)</c:v>
                </c:pt>
              </c:strCache>
            </c:strRef>
          </c:cat>
          <c:val>
            <c:numRef>
              <c:f>Summary!$L$86</c:f>
              <c:numCache>
                <c:formatCode>0.00</c:formatCode>
                <c:ptCount val="1"/>
                <c:pt idx="0">
                  <c:v>56.886074223731029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2A9-8644-A2EA-B5004D9E05CA}"/>
            </c:ext>
          </c:extLst>
        </c:ser>
        <c:ser>
          <c:idx val="3"/>
          <c:order val="3"/>
          <c:tx>
            <c:strRef>
              <c:f>Summary!$M$84</c:f>
              <c:strCache>
                <c:ptCount val="1"/>
                <c:pt idx="0">
                  <c:v>SRt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5.1851851851851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2A9-8644-A2EA-B5004D9E05C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Summary!$M$95</c:f>
                <c:numCache>
                  <c:formatCode>General</c:formatCode>
                  <c:ptCount val="1"/>
                  <c:pt idx="0">
                    <c:v>1.2829980914419021</c:v>
                  </c:pt>
                </c:numCache>
              </c:numRef>
            </c:plus>
            <c:minus>
              <c:numRef>
                <c:f>Summary!$M$95</c:f>
                <c:numCache>
                  <c:formatCode>General</c:formatCode>
                  <c:ptCount val="1"/>
                  <c:pt idx="0">
                    <c:v>1.2829980914419021</c:v>
                  </c:pt>
                </c:numCache>
              </c:numRef>
            </c:minus>
          </c:errBars>
          <c:cat>
            <c:strRef>
              <c:f>Summary!$I$86</c:f>
              <c:strCache>
                <c:ptCount val="1"/>
                <c:pt idx="0">
                  <c:v>Head rice recovery (%)</c:v>
                </c:pt>
              </c:strCache>
            </c:strRef>
          </c:cat>
          <c:val>
            <c:numRef>
              <c:f>Summary!$M$86</c:f>
              <c:numCache>
                <c:formatCode>0.00</c:formatCode>
                <c:ptCount val="1"/>
                <c:pt idx="0">
                  <c:v>57.891330984663398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2A9-8644-A2EA-B5004D9E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8"/>
        <c:axId val="208208384"/>
        <c:axId val="143107776"/>
      </c:barChart>
      <c:catAx>
        <c:axId val="208208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3107776"/>
        <c:crosses val="autoZero"/>
        <c:auto val="1"/>
        <c:lblAlgn val="ctr"/>
        <c:lblOffset val="100"/>
        <c:noMultiLvlLbl val="0"/>
      </c:catAx>
      <c:valAx>
        <c:axId val="14310777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crossAx val="2082083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P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274235840185434"/>
          <c:y val="9.9625255176436278E-2"/>
          <c:w val="0.78936809561207388"/>
          <c:h val="0.76831321084864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Summary!$J$84</c:f>
              <c:strCache>
                <c:ptCount val="1"/>
                <c:pt idx="0">
                  <c:v>CSRm</c:v>
                </c:pt>
              </c:strCache>
            </c:strRef>
          </c:tx>
          <c:spPr>
            <a:pattFill prst="ltVert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1.4689264229791051E-2"/>
                  <c:y val="-7.40740740740740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C3-1B40-B464-6F86B221475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Summary!$J$96</c:f>
                <c:numCache>
                  <c:formatCode>General</c:formatCode>
                  <c:ptCount val="1"/>
                  <c:pt idx="0">
                    <c:v>15.21</c:v>
                  </c:pt>
                </c:numCache>
              </c:numRef>
            </c:plus>
            <c:minus>
              <c:numRef>
                <c:f>Summary!$J$96</c:f>
                <c:numCache>
                  <c:formatCode>General</c:formatCode>
                  <c:ptCount val="1"/>
                  <c:pt idx="0">
                    <c:v>15.21</c:v>
                  </c:pt>
                </c:numCache>
              </c:numRef>
            </c:minus>
          </c:errBars>
          <c:cat>
            <c:strRef>
              <c:f>Summary!$I$87</c:f>
              <c:strCache>
                <c:ptCount val="1"/>
                <c:pt idx="0">
                  <c:v>Annual net energy (GJ/ha)</c:v>
                </c:pt>
              </c:strCache>
            </c:strRef>
          </c:cat>
          <c:val>
            <c:numRef>
              <c:f>Summary!$J$87</c:f>
              <c:numCache>
                <c:formatCode>0.00</c:formatCode>
                <c:ptCount val="1"/>
                <c:pt idx="0">
                  <c:v>116.41278539349413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C3-1B40-B464-6F86B221475B}"/>
            </c:ext>
          </c:extLst>
        </c:ser>
        <c:ser>
          <c:idx val="1"/>
          <c:order val="1"/>
          <c:tx>
            <c:strRef>
              <c:f>Summary!$K$84</c:f>
              <c:strCache>
                <c:ptCount val="1"/>
                <c:pt idx="0">
                  <c:v>PSRm</c:v>
                </c:pt>
              </c:strCache>
            </c:strRef>
          </c:tx>
          <c:spPr>
            <a:pattFill prst="ltHorz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6.7325016642204693E-17"/>
                  <c:y val="-0.104718576844561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C3-1B40-B464-6F86B221475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Summary!$K$96</c:f>
                <c:numCache>
                  <c:formatCode>General</c:formatCode>
                  <c:ptCount val="1"/>
                  <c:pt idx="0">
                    <c:v>20.079999999999998</c:v>
                  </c:pt>
                </c:numCache>
              </c:numRef>
            </c:plus>
            <c:minus>
              <c:numRef>
                <c:f>Summary!$K$96</c:f>
                <c:numCache>
                  <c:formatCode>General</c:formatCode>
                  <c:ptCount val="1"/>
                  <c:pt idx="0">
                    <c:v>20.079999999999998</c:v>
                  </c:pt>
                </c:numCache>
              </c:numRef>
            </c:minus>
          </c:errBars>
          <c:cat>
            <c:strRef>
              <c:f>Summary!$I$87</c:f>
              <c:strCache>
                <c:ptCount val="1"/>
                <c:pt idx="0">
                  <c:v>Annual net energy (GJ/ha)</c:v>
                </c:pt>
              </c:strCache>
            </c:strRef>
          </c:cat>
          <c:val>
            <c:numRef>
              <c:f>Summary!$K$87</c:f>
              <c:numCache>
                <c:formatCode>0.00</c:formatCode>
                <c:ptCount val="1"/>
                <c:pt idx="0">
                  <c:v>110.71063684909862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FC3-1B40-B464-6F86B221475B}"/>
            </c:ext>
          </c:extLst>
        </c:ser>
        <c:ser>
          <c:idx val="2"/>
          <c:order val="2"/>
          <c:tx>
            <c:strRef>
              <c:f>Summary!$L$84</c:f>
              <c:strCache>
                <c:ptCount val="1"/>
                <c:pt idx="0">
                  <c:v>SB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4.81481481481481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C3-1B40-B464-6F86B221475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Summary!$L$96</c:f>
                <c:numCache>
                  <c:formatCode>General</c:formatCode>
                  <c:ptCount val="1"/>
                  <c:pt idx="0">
                    <c:v>12.15</c:v>
                  </c:pt>
                </c:numCache>
              </c:numRef>
            </c:plus>
            <c:minus>
              <c:numRef>
                <c:f>Summary!$L$96</c:f>
                <c:numCache>
                  <c:formatCode>General</c:formatCode>
                  <c:ptCount val="1"/>
                  <c:pt idx="0">
                    <c:v>12.15</c:v>
                  </c:pt>
                </c:numCache>
              </c:numRef>
            </c:minus>
          </c:errBars>
          <c:cat>
            <c:strRef>
              <c:f>Summary!$I$87</c:f>
              <c:strCache>
                <c:ptCount val="1"/>
                <c:pt idx="0">
                  <c:v>Annual net energy (GJ/ha)</c:v>
                </c:pt>
              </c:strCache>
            </c:strRef>
          </c:cat>
          <c:val>
            <c:numRef>
              <c:f>Summary!$L$87</c:f>
              <c:numCache>
                <c:formatCode>0.00</c:formatCode>
                <c:ptCount val="1"/>
                <c:pt idx="0">
                  <c:v>99.2824889873133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FC3-1B40-B464-6F86B221475B}"/>
            </c:ext>
          </c:extLst>
        </c:ser>
        <c:ser>
          <c:idx val="3"/>
          <c:order val="3"/>
          <c:tx>
            <c:strRef>
              <c:f>Summary!$M$84</c:f>
              <c:strCache>
                <c:ptCount val="1"/>
                <c:pt idx="0">
                  <c:v>SRt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4.07407407407407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FC3-1B40-B464-6F86B221475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Summary!$M$96</c:f>
                <c:numCache>
                  <c:formatCode>General</c:formatCode>
                  <c:ptCount val="1"/>
                  <c:pt idx="0">
                    <c:v>12.22</c:v>
                  </c:pt>
                </c:numCache>
              </c:numRef>
            </c:plus>
            <c:minus>
              <c:numRef>
                <c:f>Summary!$M$96</c:f>
                <c:numCache>
                  <c:formatCode>General</c:formatCode>
                  <c:ptCount val="1"/>
                  <c:pt idx="0">
                    <c:v>12.22</c:v>
                  </c:pt>
                </c:numCache>
              </c:numRef>
            </c:minus>
          </c:errBars>
          <c:cat>
            <c:strRef>
              <c:f>Summary!$I$87</c:f>
              <c:strCache>
                <c:ptCount val="1"/>
                <c:pt idx="0">
                  <c:v>Annual net energy (GJ/ha)</c:v>
                </c:pt>
              </c:strCache>
            </c:strRef>
          </c:cat>
          <c:val>
            <c:numRef>
              <c:f>Summary!$M$87</c:f>
              <c:numCache>
                <c:formatCode>0.00</c:formatCode>
                <c:ptCount val="1"/>
                <c:pt idx="0">
                  <c:v>105.29282995516883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FC3-1B40-B464-6F86B2214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8"/>
        <c:axId val="214112768"/>
        <c:axId val="143110080"/>
      </c:barChart>
      <c:catAx>
        <c:axId val="214112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3110080"/>
        <c:crosses val="autoZero"/>
        <c:auto val="1"/>
        <c:lblAlgn val="ctr"/>
        <c:lblOffset val="100"/>
        <c:noMultiLvlLbl val="0"/>
      </c:catAx>
      <c:valAx>
        <c:axId val="14311008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crossAx val="2141127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P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274235840185434"/>
          <c:y val="9.9625255176436278E-2"/>
          <c:w val="0.78936809561207388"/>
          <c:h val="0.76831321084864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Summary!$J$84</c:f>
              <c:strCache>
                <c:ptCount val="1"/>
                <c:pt idx="0">
                  <c:v>CSRm</c:v>
                </c:pt>
              </c:strCache>
            </c:strRef>
          </c:tx>
          <c:spPr>
            <a:pattFill prst="ltVert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1.4689042629856255E-2"/>
                  <c:y val="-4.4477400809013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20-3E45-8D65-1C1F852068F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Summary!$J$97:$M$97</c:f>
                <c:numCache>
                  <c:formatCode>General</c:formatCode>
                  <c:ptCount val="4"/>
                  <c:pt idx="0">
                    <c:v>0.8126199999999999</c:v>
                  </c:pt>
                  <c:pt idx="1">
                    <c:v>1.2778000000000003</c:v>
                  </c:pt>
                  <c:pt idx="2">
                    <c:v>1.2465550000000003</c:v>
                  </c:pt>
                  <c:pt idx="3">
                    <c:v>2.8166349999999998</c:v>
                  </c:pt>
                </c:numCache>
              </c:numRef>
            </c:plus>
            <c:minus>
              <c:numRef>
                <c:f>Summary!$J$97:$M$97</c:f>
                <c:numCache>
                  <c:formatCode>General</c:formatCode>
                  <c:ptCount val="4"/>
                  <c:pt idx="0">
                    <c:v>0.8126199999999999</c:v>
                  </c:pt>
                  <c:pt idx="1">
                    <c:v>1.2778000000000003</c:v>
                  </c:pt>
                  <c:pt idx="2">
                    <c:v>1.2465550000000003</c:v>
                  </c:pt>
                  <c:pt idx="3">
                    <c:v>2.8166349999999998</c:v>
                  </c:pt>
                </c:numCache>
              </c:numRef>
            </c:minus>
          </c:errBars>
          <c:cat>
            <c:strRef>
              <c:f>Summary!$I$88</c:f>
              <c:strCache>
                <c:ptCount val="1"/>
                <c:pt idx="0">
                  <c:v>Annual GHGE (MgCO2-eq/ha)</c:v>
                </c:pt>
              </c:strCache>
            </c:strRef>
          </c:cat>
          <c:val>
            <c:numRef>
              <c:f>Summary!$J$88</c:f>
              <c:numCache>
                <c:formatCode>0.00</c:formatCode>
                <c:ptCount val="1"/>
                <c:pt idx="0">
                  <c:v>6.8255499999999998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F20-3E45-8D65-1C1F852068FE}"/>
            </c:ext>
          </c:extLst>
        </c:ser>
        <c:ser>
          <c:idx val="1"/>
          <c:order val="1"/>
          <c:tx>
            <c:strRef>
              <c:f>Summary!$K$84</c:f>
              <c:strCache>
                <c:ptCount val="1"/>
                <c:pt idx="0">
                  <c:v>PSRm</c:v>
                </c:pt>
              </c:strCache>
            </c:strRef>
          </c:tx>
          <c:spPr>
            <a:pattFill prst="ltHorz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6.402341863341595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20-3E45-8D65-1C1F852068F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Summary!$K$97</c:f>
                <c:numCache>
                  <c:formatCode>General</c:formatCode>
                  <c:ptCount val="1"/>
                  <c:pt idx="0">
                    <c:v>1.2778000000000003</c:v>
                  </c:pt>
                </c:numCache>
              </c:numRef>
            </c:plus>
            <c:minus>
              <c:numRef>
                <c:f>Summary!$K$97</c:f>
                <c:numCache>
                  <c:formatCode>General</c:formatCode>
                  <c:ptCount val="1"/>
                  <c:pt idx="0">
                    <c:v>1.2778000000000003</c:v>
                  </c:pt>
                </c:numCache>
              </c:numRef>
            </c:minus>
          </c:errBars>
          <c:cat>
            <c:strRef>
              <c:f>Summary!$I$88</c:f>
              <c:strCache>
                <c:ptCount val="1"/>
                <c:pt idx="0">
                  <c:v>Annual GHGE (MgCO2-eq/ha)</c:v>
                </c:pt>
              </c:strCache>
            </c:strRef>
          </c:cat>
          <c:val>
            <c:numRef>
              <c:f>Summary!$K$88</c:f>
              <c:numCache>
                <c:formatCode>0.00</c:formatCode>
                <c:ptCount val="1"/>
                <c:pt idx="0">
                  <c:v>7.6115499999999985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F20-3E45-8D65-1C1F852068FE}"/>
            </c:ext>
          </c:extLst>
        </c:ser>
        <c:ser>
          <c:idx val="2"/>
          <c:order val="2"/>
          <c:tx>
            <c:strRef>
              <c:f>Summary!$L$84</c:f>
              <c:strCache>
                <c:ptCount val="1"/>
                <c:pt idx="0">
                  <c:v>SB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4.81481481481481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20-3E45-8D65-1C1F852068F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Summary!$L$97</c:f>
                <c:numCache>
                  <c:formatCode>General</c:formatCode>
                  <c:ptCount val="1"/>
                  <c:pt idx="0">
                    <c:v>1.2465550000000003</c:v>
                  </c:pt>
                </c:numCache>
              </c:numRef>
            </c:plus>
            <c:minus>
              <c:numRef>
                <c:f>Summary!$L$97</c:f>
                <c:numCache>
                  <c:formatCode>General</c:formatCode>
                  <c:ptCount val="1"/>
                  <c:pt idx="0">
                    <c:v>1.2465550000000003</c:v>
                  </c:pt>
                </c:numCache>
              </c:numRef>
            </c:minus>
          </c:errBars>
          <c:cat>
            <c:strRef>
              <c:f>Summary!$I$88</c:f>
              <c:strCache>
                <c:ptCount val="1"/>
                <c:pt idx="0">
                  <c:v>Annual GHGE (MgCO2-eq/ha)</c:v>
                </c:pt>
              </c:strCache>
            </c:strRef>
          </c:cat>
          <c:val>
            <c:numRef>
              <c:f>Summary!$L$88</c:f>
              <c:numCache>
                <c:formatCode>0.00</c:formatCode>
                <c:ptCount val="1"/>
                <c:pt idx="0">
                  <c:v>7.4035500000000001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F20-3E45-8D65-1C1F852068FE}"/>
            </c:ext>
          </c:extLst>
        </c:ser>
        <c:ser>
          <c:idx val="3"/>
          <c:order val="3"/>
          <c:tx>
            <c:strRef>
              <c:f>Summary!$M$84</c:f>
              <c:strCache>
                <c:ptCount val="1"/>
                <c:pt idx="0">
                  <c:v>SRt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0.1221315873645647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F20-3E45-8D65-1C1F852068F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Summary!$M$97</c:f>
                <c:numCache>
                  <c:formatCode>General</c:formatCode>
                  <c:ptCount val="1"/>
                  <c:pt idx="0">
                    <c:v>2.8166349999999998</c:v>
                  </c:pt>
                </c:numCache>
              </c:numRef>
            </c:plus>
            <c:minus>
              <c:numRef>
                <c:f>Summary!$M$97</c:f>
                <c:numCache>
                  <c:formatCode>General</c:formatCode>
                  <c:ptCount val="1"/>
                  <c:pt idx="0">
                    <c:v>2.8166349999999998</c:v>
                  </c:pt>
                </c:numCache>
              </c:numRef>
            </c:minus>
          </c:errBars>
          <c:cat>
            <c:strRef>
              <c:f>Summary!$I$88</c:f>
              <c:strCache>
                <c:ptCount val="1"/>
                <c:pt idx="0">
                  <c:v>Annual GHGE (MgCO2-eq/ha)</c:v>
                </c:pt>
              </c:strCache>
            </c:strRef>
          </c:cat>
          <c:val>
            <c:numRef>
              <c:f>Summary!$M$88</c:f>
              <c:numCache>
                <c:formatCode>0.00</c:formatCode>
                <c:ptCount val="1"/>
                <c:pt idx="0">
                  <c:v>11.216549999999998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F20-3E45-8D65-1C1F85206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8"/>
        <c:axId val="208210432"/>
        <c:axId val="143112384"/>
      </c:barChart>
      <c:catAx>
        <c:axId val="208210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3112384"/>
        <c:crosses val="autoZero"/>
        <c:auto val="1"/>
        <c:lblAlgn val="ctr"/>
        <c:lblOffset val="100"/>
        <c:noMultiLvlLbl val="0"/>
      </c:catAx>
      <c:valAx>
        <c:axId val="14311238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crossAx val="2082104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P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274235840185434"/>
          <c:y val="9.9625255176436278E-2"/>
          <c:w val="0.78936809561207388"/>
          <c:h val="0.76831321084864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Summary!$J$84</c:f>
              <c:strCache>
                <c:ptCount val="1"/>
                <c:pt idx="0">
                  <c:v>CSRm</c:v>
                </c:pt>
              </c:strCache>
            </c:strRef>
          </c:tx>
          <c:spPr>
            <a:pattFill prst="ltVert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1.468904788430625E-2"/>
                  <c:y val="-7.535069021046049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16-CB41-AA47-699DEB9D140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Summary!$J$98:$M$98</c:f>
                <c:numCache>
                  <c:formatCode>General</c:formatCode>
                  <c:ptCount val="4"/>
                  <c:pt idx="0">
                    <c:v>2.8272933765634285E-2</c:v>
                  </c:pt>
                  <c:pt idx="1">
                    <c:v>2.7279812853847382E-2</c:v>
                  </c:pt>
                  <c:pt idx="2">
                    <c:v>8.9616829468878167E-2</c:v>
                  </c:pt>
                  <c:pt idx="3">
                    <c:v>2.4281218454084517E-2</c:v>
                  </c:pt>
                </c:numCache>
              </c:numRef>
            </c:plus>
            <c:minus>
              <c:numRef>
                <c:f>Summary!$J$98:$M$98</c:f>
                <c:numCache>
                  <c:formatCode>General</c:formatCode>
                  <c:ptCount val="4"/>
                  <c:pt idx="0">
                    <c:v>2.8272933765634285E-2</c:v>
                  </c:pt>
                  <c:pt idx="1">
                    <c:v>2.7279812853847382E-2</c:v>
                  </c:pt>
                  <c:pt idx="2">
                    <c:v>8.9616829468878167E-2</c:v>
                  </c:pt>
                  <c:pt idx="3">
                    <c:v>2.4281218454084517E-2</c:v>
                  </c:pt>
                </c:numCache>
              </c:numRef>
            </c:minus>
          </c:errBars>
          <c:cat>
            <c:strRef>
              <c:f>Summary!$I$89</c:f>
              <c:strCache>
                <c:ptCount val="1"/>
                <c:pt idx="0">
                  <c:v>Annual human toxicity (Mg 1,4 DB-eq/ ha)</c:v>
                </c:pt>
              </c:strCache>
            </c:strRef>
          </c:cat>
          <c:val>
            <c:numRef>
              <c:f>Summary!$J$89</c:f>
              <c:numCache>
                <c:formatCode>0.00</c:formatCode>
                <c:ptCount val="1"/>
                <c:pt idx="0">
                  <c:v>1.1535123093629718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A16-CB41-AA47-699DEB9D140E}"/>
            </c:ext>
          </c:extLst>
        </c:ser>
        <c:ser>
          <c:idx val="1"/>
          <c:order val="1"/>
          <c:tx>
            <c:strRef>
              <c:f>Summary!$K$84</c:f>
              <c:strCache>
                <c:ptCount val="1"/>
                <c:pt idx="0">
                  <c:v>PSRm</c:v>
                </c:pt>
              </c:strCache>
            </c:strRef>
          </c:tx>
          <c:spPr>
            <a:pattFill prst="ltHorz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1.35555030670849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16-CB41-AA47-699DEB9D140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Summary!$K$98</c:f>
                <c:numCache>
                  <c:formatCode>General</c:formatCode>
                  <c:ptCount val="1"/>
                  <c:pt idx="0">
                    <c:v>2.7279812853847382E-2</c:v>
                  </c:pt>
                </c:numCache>
              </c:numRef>
            </c:plus>
            <c:minus>
              <c:numRef>
                <c:f>Summary!$K$98</c:f>
                <c:numCache>
                  <c:formatCode>General</c:formatCode>
                  <c:ptCount val="1"/>
                  <c:pt idx="0">
                    <c:v>2.7279812853847382E-2</c:v>
                  </c:pt>
                </c:numCache>
              </c:numRef>
            </c:minus>
          </c:errBars>
          <c:cat>
            <c:strRef>
              <c:f>Summary!$I$89</c:f>
              <c:strCache>
                <c:ptCount val="1"/>
                <c:pt idx="0">
                  <c:v>Annual human toxicity (Mg 1,4 DB-eq/ ha)</c:v>
                </c:pt>
              </c:strCache>
            </c:strRef>
          </c:cat>
          <c:val>
            <c:numRef>
              <c:f>Summary!$K$89</c:f>
              <c:numCache>
                <c:formatCode>0.00</c:formatCode>
                <c:ptCount val="1"/>
                <c:pt idx="0">
                  <c:v>1.1530071803488486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A16-CB41-AA47-699DEB9D140E}"/>
            </c:ext>
          </c:extLst>
        </c:ser>
        <c:ser>
          <c:idx val="2"/>
          <c:order val="2"/>
          <c:tx>
            <c:strRef>
              <c:f>Summary!$L$84</c:f>
              <c:strCache>
                <c:ptCount val="1"/>
                <c:pt idx="0">
                  <c:v>SB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7.3456808333780951E-3"/>
                  <c:y val="-3.33711289106496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16-CB41-AA47-699DEB9D140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Summary!$L$98</c:f>
                <c:numCache>
                  <c:formatCode>General</c:formatCode>
                  <c:ptCount val="1"/>
                  <c:pt idx="0">
                    <c:v>8.9616829468878167E-2</c:v>
                  </c:pt>
                </c:numCache>
              </c:numRef>
            </c:plus>
            <c:minus>
              <c:numRef>
                <c:f>Summary!$L$98</c:f>
                <c:numCache>
                  <c:formatCode>General</c:formatCode>
                  <c:ptCount val="1"/>
                  <c:pt idx="0">
                    <c:v>8.9616829468878167E-2</c:v>
                  </c:pt>
                </c:numCache>
              </c:numRef>
            </c:minus>
          </c:errBars>
          <c:cat>
            <c:strRef>
              <c:f>Summary!$I$89</c:f>
              <c:strCache>
                <c:ptCount val="1"/>
                <c:pt idx="0">
                  <c:v>Annual human toxicity (Mg 1,4 DB-eq/ ha)</c:v>
                </c:pt>
              </c:strCache>
            </c:strRef>
          </c:cat>
          <c:val>
            <c:numRef>
              <c:f>Summary!$L$89</c:f>
              <c:numCache>
                <c:formatCode>0.00</c:formatCode>
                <c:ptCount val="1"/>
                <c:pt idx="0">
                  <c:v>1.3449708204181556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A16-CB41-AA47-699DEB9D140E}"/>
            </c:ext>
          </c:extLst>
        </c:ser>
        <c:ser>
          <c:idx val="3"/>
          <c:order val="3"/>
          <c:tx>
            <c:strRef>
              <c:f>Summary!$M$84</c:f>
              <c:strCache>
                <c:ptCount val="1"/>
                <c:pt idx="0">
                  <c:v>SRt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7.3460547142234428E-3"/>
                  <c:y val="6.432166749272099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16-CB41-AA47-699DEB9D140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Summary!$M$98</c:f>
                <c:numCache>
                  <c:formatCode>General</c:formatCode>
                  <c:ptCount val="1"/>
                  <c:pt idx="0">
                    <c:v>2.4281218454084517E-2</c:v>
                  </c:pt>
                </c:numCache>
              </c:numRef>
            </c:plus>
            <c:minus>
              <c:numRef>
                <c:f>Summary!$M$98</c:f>
                <c:numCache>
                  <c:formatCode>General</c:formatCode>
                  <c:ptCount val="1"/>
                  <c:pt idx="0">
                    <c:v>2.4281218454084517E-2</c:v>
                  </c:pt>
                </c:numCache>
              </c:numRef>
            </c:minus>
          </c:errBars>
          <c:cat>
            <c:strRef>
              <c:f>Summary!$I$89</c:f>
              <c:strCache>
                <c:ptCount val="1"/>
                <c:pt idx="0">
                  <c:v>Annual human toxicity (Mg 1,4 DB-eq/ ha)</c:v>
                </c:pt>
              </c:strCache>
            </c:strRef>
          </c:cat>
          <c:val>
            <c:numRef>
              <c:f>Summary!$M$89</c:f>
              <c:numCache>
                <c:formatCode>0.00</c:formatCode>
                <c:ptCount val="1"/>
                <c:pt idx="0">
                  <c:v>1.154001143892768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A16-CB41-AA47-699DEB9D1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8"/>
        <c:axId val="208040448"/>
        <c:axId val="207962688"/>
      </c:barChart>
      <c:catAx>
        <c:axId val="208040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7962688"/>
        <c:crosses val="autoZero"/>
        <c:auto val="1"/>
        <c:lblAlgn val="ctr"/>
        <c:lblOffset val="100"/>
        <c:noMultiLvlLbl val="0"/>
      </c:catAx>
      <c:valAx>
        <c:axId val="207962688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crossAx val="2080404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416903</xdr:colOff>
      <xdr:row>75</xdr:row>
      <xdr:rowOff>190500</xdr:rowOff>
    </xdr:from>
    <xdr:to>
      <xdr:col>38</xdr:col>
      <xdr:colOff>600075</xdr:colOff>
      <xdr:row>95</xdr:row>
      <xdr:rowOff>175846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7370153" y="6972300"/>
          <a:ext cx="9327172" cy="3995371"/>
          <a:chOff x="7379678" y="6734175"/>
          <a:chExt cx="9327172" cy="3842971"/>
        </a:xfrm>
      </xdr:grpSpPr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GraphicFramePr>
            <a:graphicFrameLocks/>
          </xdr:cNvGraphicFramePr>
        </xdr:nvGraphicFramePr>
        <xdr:xfrm>
          <a:off x="7379678" y="6734175"/>
          <a:ext cx="9327172" cy="384297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3" name="Chart 12">
            <a:extLst>
              <a:ext uri="{FF2B5EF4-FFF2-40B4-BE49-F238E27FC236}">
                <a16:creationId xmlns:a16="http://schemas.microsoft.com/office/drawing/2014/main" xmlns="" id="{00000000-0008-0000-0000-00000D000000}"/>
              </a:ext>
            </a:extLst>
          </xdr:cNvPr>
          <xdr:cNvGraphicFramePr>
            <a:graphicFrameLocks/>
          </xdr:cNvGraphicFramePr>
        </xdr:nvGraphicFramePr>
        <xdr:xfrm>
          <a:off x="9401176" y="7124701"/>
          <a:ext cx="1732085" cy="34377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4" name="Chart 13">
            <a:extLst>
              <a:ext uri="{FF2B5EF4-FFF2-40B4-BE49-F238E27FC236}">
                <a16:creationId xmlns:a16="http://schemas.microsoft.com/office/drawing/2014/main" xmlns="" id="{00000000-0008-0000-0000-00000E000000}"/>
              </a:ext>
            </a:extLst>
          </xdr:cNvPr>
          <xdr:cNvGraphicFramePr>
            <a:graphicFrameLocks/>
          </xdr:cNvGraphicFramePr>
        </xdr:nvGraphicFramePr>
        <xdr:xfrm>
          <a:off x="11229975" y="7124700"/>
          <a:ext cx="1732085" cy="34377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17" name="Chart 16">
            <a:extLst>
              <a:ext uri="{FF2B5EF4-FFF2-40B4-BE49-F238E27FC236}">
                <a16:creationId xmlns:a16="http://schemas.microsoft.com/office/drawing/2014/main" xmlns="" id="{00000000-0008-0000-0000-000011000000}"/>
              </a:ext>
            </a:extLst>
          </xdr:cNvPr>
          <xdr:cNvGraphicFramePr>
            <a:graphicFrameLocks/>
          </xdr:cNvGraphicFramePr>
        </xdr:nvGraphicFramePr>
        <xdr:xfrm>
          <a:off x="13058775" y="7124700"/>
          <a:ext cx="1732085" cy="34377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18" name="Chart 17">
            <a:extLst>
              <a:ext uri="{FF2B5EF4-FFF2-40B4-BE49-F238E27FC236}">
                <a16:creationId xmlns:a16="http://schemas.microsoft.com/office/drawing/2014/main" xmlns="" id="{00000000-0008-0000-0000-000012000000}"/>
              </a:ext>
            </a:extLst>
          </xdr:cNvPr>
          <xdr:cNvGraphicFramePr>
            <a:graphicFrameLocks/>
          </xdr:cNvGraphicFramePr>
        </xdr:nvGraphicFramePr>
        <xdr:xfrm>
          <a:off x="14887575" y="7124700"/>
          <a:ext cx="1732084" cy="34377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RRI-E%20Jan%202018\1-PAPERS-WS\LCA%20-%20RICE%20STRAW_IRRI%20experiment\compare%20energy%20LCA_April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6-%20LCA%20and%20SIMAPRO\LCA%20EXPERIMENTS%20IRRI\2016-ds\LCA%20Data%20_WS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RRI-E%20Jan%202018\1-PAPERS-WS\LCA%20-%20RICE%20STRAW_IRRI%20experiment\PAPER%202015-2016\LCA%20DATA-al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6-%20LCA%20and%20SIMAPRO\LCA%20EXPERIMENTS%20IRRI\ARTICLE\LCA%20DATA-al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RRI-E%20Jan%202018\1-PAPERS-WS\LCA%20-%20RICE%20STRAW_IRRI%20experiment\Dec%202017\Energy-2%20seasons%20(Dec%20201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in and ricestraw"/>
      <sheetName val="Energy_WS"/>
      <sheetName val="Energy_DS"/>
      <sheetName val="Energy_2 season"/>
      <sheetName val="Energy_2 season -bioenergy"/>
      <sheetName val="burning data"/>
      <sheetName val="compare_CIM"/>
      <sheetName val="Sustainability "/>
      <sheetName val="RiskSerializationData"/>
      <sheetName val="senseInfo"/>
      <sheetName val="stressInfo"/>
      <sheetName val="Emvironment_sensitive"/>
      <sheetName val="semsitive analysis"/>
      <sheetName val="Sheet2"/>
    </sheetNames>
    <sheetDataSet>
      <sheetData sheetId="0">
        <row r="7">
          <cell r="F7">
            <v>5.9350666124298028</v>
          </cell>
          <cell r="G7">
            <v>6.0617906565008246</v>
          </cell>
          <cell r="H7">
            <v>5.7552465294698161</v>
          </cell>
          <cell r="I7">
            <v>5.7329124267704641</v>
          </cell>
          <cell r="M7">
            <v>63.309333333333335</v>
          </cell>
          <cell r="N7">
            <v>64.065333333333342</v>
          </cell>
          <cell r="O7">
            <v>62.537333333333343</v>
          </cell>
          <cell r="P7">
            <v>64.304000000000002</v>
          </cell>
        </row>
        <row r="35">
          <cell r="A35">
            <v>4.2399604363818577</v>
          </cell>
          <cell r="B35">
            <v>4.1427806068404136</v>
          </cell>
          <cell r="C35">
            <v>4.0734521710783564</v>
          </cell>
          <cell r="D35">
            <v>4.4106878629029866</v>
          </cell>
        </row>
        <row r="51">
          <cell r="A51">
            <v>49.041083668513814</v>
          </cell>
          <cell r="B51">
            <v>46.679661371095136</v>
          </cell>
          <cell r="C51">
            <v>51.234815114128708</v>
          </cell>
          <cell r="D51">
            <v>51.478661969326801</v>
          </cell>
        </row>
      </sheetData>
      <sheetData sheetId="1"/>
      <sheetData sheetId="2"/>
      <sheetData sheetId="3">
        <row r="17">
          <cell r="AI17">
            <v>3.8849621472349272</v>
          </cell>
          <cell r="AJ17">
            <v>4.1198232916553126</v>
          </cell>
          <cell r="AK17">
            <v>3.0173171787028101</v>
          </cell>
          <cell r="AL17">
            <v>3.9239956470752837</v>
          </cell>
          <cell r="AM17">
            <v>2.8977992242871102</v>
          </cell>
          <cell r="AN17">
            <v>2.8428574152294663</v>
          </cell>
          <cell r="AO17">
            <v>1.9263514630861043</v>
          </cell>
          <cell r="AP17">
            <v>3.0315715778633674</v>
          </cell>
        </row>
        <row r="43">
          <cell r="AI43">
            <v>3.394130864418464</v>
          </cell>
          <cell r="AJ43">
            <v>3.4964987582907092</v>
          </cell>
          <cell r="AK43">
            <v>2.4801696973541958</v>
          </cell>
          <cell r="AL43">
            <v>3.491567086145059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IN QUALITY"/>
      <sheetName val="MC"/>
      <sheetName val="Sampling_harvest"/>
      <sheetName val="Sheet2"/>
      <sheetName val="LAND PREPARATION"/>
      <sheetName val="LP SUMMARY"/>
      <sheetName val="CROP ESTABLISHMENT"/>
      <sheetName val="CROP CARE"/>
      <sheetName val="HARVESTING (2)"/>
      <sheetName val="HARVESTING"/>
      <sheetName val="MANPOWER"/>
      <sheetName val="PLANT HEIGHT"/>
      <sheetName val="ENERGY BALANCE"/>
      <sheetName val="analy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1">
          <cell r="C21" t="str">
            <v>Yield</v>
          </cell>
        </row>
      </sheetData>
      <sheetData sheetId="10"/>
      <sheetData sheetId="11"/>
      <sheetData sheetId="12"/>
      <sheetData sheetId="13">
        <row r="35">
          <cell r="K35" t="str">
            <v>Agr. Inputs</v>
          </cell>
          <cell r="L35" t="str">
            <v>CSR</v>
          </cell>
          <cell r="M35" t="str">
            <v>PSR</v>
          </cell>
          <cell r="N35" t="str">
            <v>SB</v>
          </cell>
          <cell r="O35" t="str">
            <v>SRT</v>
          </cell>
        </row>
        <row r="36">
          <cell r="L36">
            <v>518.95333333333338</v>
          </cell>
          <cell r="M36">
            <v>557.51333333333332</v>
          </cell>
          <cell r="N36">
            <v>498.49666666666661</v>
          </cell>
          <cell r="O36">
            <v>535.53666666666663</v>
          </cell>
        </row>
        <row r="37">
          <cell r="K37" t="str">
            <v>Seeds (kg ha-1)</v>
          </cell>
          <cell r="L37">
            <v>14.833333333333334</v>
          </cell>
          <cell r="M37">
            <v>14.833333333333334</v>
          </cell>
          <cell r="N37">
            <v>14.833333333333334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PREPARATION"/>
      <sheetName val="TRANSPLANTING"/>
      <sheetName val="agr inputs"/>
      <sheetName val="FERTILIZER APPLICATION"/>
      <sheetName val="HARVESTING_Grain_straw"/>
      <sheetName val="SAMPLING DATA"/>
      <sheetName val="STRAW MC"/>
      <sheetName val="GRAIN QUALITY"/>
      <sheetName val="LCA_WS_2015"/>
      <sheetName val="Fuel consumption_DS"/>
      <sheetName val="Fuel consumption"/>
      <sheetName val="manpower_DS"/>
      <sheetName val="manpower"/>
      <sheetName val="Grain and ricestraw-WS"/>
      <sheetName val="Grain and ricestraw"/>
      <sheetName val="Sheet1"/>
    </sheetNames>
    <sheetDataSet>
      <sheetData sheetId="0"/>
      <sheetData sheetId="1"/>
      <sheetData sheetId="2"/>
      <sheetData sheetId="3">
        <row r="28">
          <cell r="N28">
            <v>249.8302140093185</v>
          </cell>
        </row>
        <row r="29">
          <cell r="N29">
            <v>238.44902471768148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PREPARATION (2)"/>
      <sheetName val="TRANSPLANTING"/>
      <sheetName val="agr inputs"/>
      <sheetName val="FERTILIZER APPLICATION"/>
      <sheetName val="HARVESTING_Grain_straw"/>
      <sheetName val="SAMPLING DATA"/>
      <sheetName val="STRAW MC"/>
      <sheetName val="GRAIN QUALITY"/>
      <sheetName val="LCA_WS_2015"/>
      <sheetName val="Fuel consumption_DS"/>
      <sheetName val="Fuel consumption"/>
      <sheetName val="manpower_DS"/>
      <sheetName val="manpower"/>
      <sheetName val="Grain and ricestraw-WS"/>
      <sheetName val="Grain and ricestraw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1">
          <cell r="I31" t="str">
            <v>Paddy yield 14%</v>
          </cell>
          <cell r="M31" t="str">
            <v>Anova: Single Factor</v>
          </cell>
        </row>
        <row r="33">
          <cell r="I33">
            <v>3.4559536446055792</v>
          </cell>
          <cell r="J33">
            <v>3.5430975196151882</v>
          </cell>
          <cell r="K33">
            <v>4.2663084421465705</v>
          </cell>
          <cell r="L33">
            <v>4.3750269663890942</v>
          </cell>
          <cell r="M33" t="str">
            <v>SUMMARY</v>
          </cell>
        </row>
        <row r="34">
          <cell r="I34">
            <v>4.6145139760043756</v>
          </cell>
          <cell r="J34">
            <v>4.5480418044961715</v>
          </cell>
          <cell r="K34">
            <v>4.3605656301368381</v>
          </cell>
          <cell r="L34">
            <v>4.3234987851440465</v>
          </cell>
          <cell r="M34" t="str">
            <v>Groups</v>
          </cell>
          <cell r="N34" t="str">
            <v>Count</v>
          </cell>
          <cell r="O34" t="str">
            <v>Sum</v>
          </cell>
          <cell r="P34" t="str">
            <v>Average</v>
          </cell>
          <cell r="Q34" t="str">
            <v>Variance</v>
          </cell>
        </row>
        <row r="35">
          <cell r="I35">
            <v>4.6494136885356179</v>
          </cell>
          <cell r="J35">
            <v>4.337202496409879</v>
          </cell>
          <cell r="K35">
            <v>3.5934824409516612</v>
          </cell>
          <cell r="L35">
            <v>4.533537837175821</v>
          </cell>
          <cell r="M35" t="str">
            <v>CSR</v>
          </cell>
          <cell r="N35">
            <v>3</v>
          </cell>
          <cell r="O35">
            <v>12.719881309145574</v>
          </cell>
          <cell r="P35">
            <v>4.2399604363818577</v>
          </cell>
          <cell r="Q35">
            <v>0.46130448464718299</v>
          </cell>
        </row>
        <row r="36">
          <cell r="M36" t="str">
            <v>PSR</v>
          </cell>
          <cell r="N36">
            <v>3</v>
          </cell>
          <cell r="O36">
            <v>12.42834182052124</v>
          </cell>
          <cell r="P36">
            <v>4.1427806068404136</v>
          </cell>
          <cell r="Q36">
            <v>0.28082815728654964</v>
          </cell>
        </row>
        <row r="37">
          <cell r="M37" t="str">
            <v>SB</v>
          </cell>
          <cell r="N37">
            <v>3</v>
          </cell>
          <cell r="O37">
            <v>12.220356513235069</v>
          </cell>
          <cell r="P37">
            <v>4.0734521710783564</v>
          </cell>
          <cell r="Q37">
            <v>0.17499931075038333</v>
          </cell>
        </row>
        <row r="38">
          <cell r="M38" t="str">
            <v>SRT</v>
          </cell>
          <cell r="N38">
            <v>3</v>
          </cell>
          <cell r="O38">
            <v>13.232063588708961</v>
          </cell>
          <cell r="P38">
            <v>4.4106878629029866</v>
          </cell>
          <cell r="Q38">
            <v>1.1982875499739976E-2</v>
          </cell>
        </row>
        <row r="41">
          <cell r="M41" t="str">
            <v>ANOVA</v>
          </cell>
        </row>
        <row r="42">
          <cell r="M42" t="str">
            <v>Source of Variation</v>
          </cell>
          <cell r="N42" t="str">
            <v>SS</v>
          </cell>
          <cell r="O42" t="str">
            <v>df</v>
          </cell>
          <cell r="P42" t="str">
            <v>MS</v>
          </cell>
          <cell r="Q42" t="str">
            <v>F</v>
          </cell>
          <cell r="R42" t="str">
            <v>P-value</v>
          </cell>
          <cell r="S42" t="str">
            <v>F crit</v>
          </cell>
        </row>
        <row r="43">
          <cell r="M43" t="str">
            <v>Between Groups</v>
          </cell>
          <cell r="N43">
            <v>0.19246906316043133</v>
          </cell>
          <cell r="O43">
            <v>3</v>
          </cell>
          <cell r="P43">
            <v>6.4156354386810444E-2</v>
          </cell>
          <cell r="Q43">
            <v>0.27620419969926363</v>
          </cell>
          <cell r="R43">
            <v>0.84109887985065557</v>
          </cell>
          <cell r="S43">
            <v>4.0661805566468345</v>
          </cell>
        </row>
        <row r="44">
          <cell r="M44" t="str">
            <v>Within Groups</v>
          </cell>
          <cell r="N44">
            <v>1.8582296563677192</v>
          </cell>
          <cell r="O44">
            <v>8</v>
          </cell>
          <cell r="P44">
            <v>0.2322787070459649</v>
          </cell>
        </row>
        <row r="46">
          <cell r="M46" t="str">
            <v>Total</v>
          </cell>
          <cell r="N46">
            <v>2.0506987195281505</v>
          </cell>
          <cell r="O46">
            <v>11</v>
          </cell>
        </row>
      </sheetData>
      <sheetData sheetId="5" refreshError="1"/>
      <sheetData sheetId="6" refreshError="1"/>
      <sheetData sheetId="7" refreshError="1">
        <row r="19">
          <cell r="N19" t="str">
            <v>CSR</v>
          </cell>
        </row>
        <row r="20">
          <cell r="N20">
            <v>47.525213895498801</v>
          </cell>
          <cell r="O20">
            <v>44.71796144132319</v>
          </cell>
          <cell r="P20">
            <v>48.369782882101667</v>
          </cell>
          <cell r="Q20">
            <v>50.551776838583493</v>
          </cell>
        </row>
        <row r="21">
          <cell r="N21">
            <v>51.29889228718443</v>
          </cell>
          <cell r="O21">
            <v>43.853505206751059</v>
          </cell>
          <cell r="P21">
            <v>52.75512795883688</v>
          </cell>
          <cell r="Q21">
            <v>50.532474444449811</v>
          </cell>
        </row>
        <row r="22">
          <cell r="N22">
            <v>48.29914482285821</v>
          </cell>
          <cell r="O22">
            <v>51.467517465211166</v>
          </cell>
          <cell r="P22">
            <v>52.579534501447576</v>
          </cell>
          <cell r="Q22">
            <v>53.35173462494712</v>
          </cell>
        </row>
        <row r="27">
          <cell r="N27" t="str">
            <v>SUMMARY</v>
          </cell>
        </row>
        <row r="28">
          <cell r="N28" t="str">
            <v>Groups</v>
          </cell>
          <cell r="O28" t="str">
            <v>Count</v>
          </cell>
          <cell r="P28" t="str">
            <v>Sum</v>
          </cell>
          <cell r="Q28" t="str">
            <v>Average</v>
          </cell>
          <cell r="R28" t="str">
            <v>Variance</v>
          </cell>
        </row>
        <row r="29">
          <cell r="N29" t="str">
            <v>CSR</v>
          </cell>
          <cell r="O29">
            <v>3</v>
          </cell>
          <cell r="P29">
            <v>147.12325100554145</v>
          </cell>
          <cell r="Q29">
            <v>49.041083668513814</v>
          </cell>
          <cell r="R29">
            <v>3.9730170889874898</v>
          </cell>
        </row>
        <row r="30">
          <cell r="N30" t="str">
            <v>PSR</v>
          </cell>
          <cell r="O30">
            <v>3</v>
          </cell>
          <cell r="P30">
            <v>140.03898411328541</v>
          </cell>
          <cell r="Q30">
            <v>46.679661371095136</v>
          </cell>
          <cell r="R30">
            <v>17.379495628846144</v>
          </cell>
        </row>
        <row r="31">
          <cell r="N31" t="str">
            <v>SB</v>
          </cell>
          <cell r="O31">
            <v>3</v>
          </cell>
          <cell r="P31">
            <v>153.70444534238612</v>
          </cell>
          <cell r="Q31">
            <v>51.234815114128708</v>
          </cell>
          <cell r="R31">
            <v>6.1640155334848714</v>
          </cell>
        </row>
        <row r="32">
          <cell r="N32" t="str">
            <v>SRT</v>
          </cell>
          <cell r="O32">
            <v>3</v>
          </cell>
          <cell r="P32">
            <v>154.43598590798041</v>
          </cell>
          <cell r="Q32">
            <v>51.478661969326801</v>
          </cell>
          <cell r="R32">
            <v>2.6313940255299713</v>
          </cell>
        </row>
        <row r="35">
          <cell r="N35" t="str">
            <v>ANOVA</v>
          </cell>
        </row>
        <row r="36">
          <cell r="N36" t="str">
            <v>Source of Variation</v>
          </cell>
          <cell r="O36" t="str">
            <v>SS</v>
          </cell>
          <cell r="P36" t="str">
            <v>df</v>
          </cell>
          <cell r="Q36" t="str">
            <v>MS</v>
          </cell>
          <cell r="R36" t="str">
            <v>F</v>
          </cell>
          <cell r="S36" t="str">
            <v>P-value</v>
          </cell>
          <cell r="T36" t="str">
            <v>F crit</v>
          </cell>
        </row>
        <row r="37">
          <cell r="N37" t="str">
            <v>Between Groups</v>
          </cell>
          <cell r="O37">
            <v>45.127390911083054</v>
          </cell>
          <cell r="P37">
            <v>3</v>
          </cell>
          <cell r="Q37">
            <v>15.042463637027685</v>
          </cell>
          <cell r="R37">
            <v>1.9958209390209904</v>
          </cell>
          <cell r="S37">
            <v>0.19327393123412862</v>
          </cell>
          <cell r="T37">
            <v>4.0661805566468345</v>
          </cell>
        </row>
        <row r="38">
          <cell r="N38" t="str">
            <v>Within Groups</v>
          </cell>
          <cell r="O38">
            <v>60.295844553696128</v>
          </cell>
          <cell r="P38">
            <v>8</v>
          </cell>
          <cell r="Q38">
            <v>7.536980569212016</v>
          </cell>
        </row>
        <row r="40">
          <cell r="N40" t="str">
            <v>Total</v>
          </cell>
          <cell r="O40">
            <v>105.42323546477918</v>
          </cell>
          <cell r="P40">
            <v>11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C1" t="str">
            <v>Yield</v>
          </cell>
        </row>
        <row r="2">
          <cell r="J2" t="str">
            <v>SB</v>
          </cell>
        </row>
        <row r="3">
          <cell r="H3">
            <v>5.8501230721630204</v>
          </cell>
          <cell r="I3">
            <v>5.7287372183767191</v>
          </cell>
          <cell r="J3">
            <v>6.1419591630818813</v>
          </cell>
          <cell r="K3">
            <v>6.3927054079637262</v>
          </cell>
          <cell r="O3">
            <v>64.679999999999993</v>
          </cell>
          <cell r="P3">
            <v>61.772000000000006</v>
          </cell>
          <cell r="Q3">
            <v>61.920000000000009</v>
          </cell>
          <cell r="R3">
            <v>65.279999999999987</v>
          </cell>
        </row>
        <row r="4">
          <cell r="H4">
            <v>5.780679840315079</v>
          </cell>
          <cell r="I4">
            <v>5.610489532930389</v>
          </cell>
          <cell r="J4">
            <v>5.6665479009394852</v>
          </cell>
          <cell r="K4">
            <v>5.0901180316238346</v>
          </cell>
          <cell r="O4">
            <v>62.908000000000008</v>
          </cell>
          <cell r="P4">
            <v>65.727999999999994</v>
          </cell>
          <cell r="Q4">
            <v>59.984000000000002</v>
          </cell>
          <cell r="R4">
            <v>64.236000000000004</v>
          </cell>
        </row>
        <row r="5">
          <cell r="H5">
            <v>6.1743969248113091</v>
          </cell>
          <cell r="I5">
            <v>6.846145218195363</v>
          </cell>
          <cell r="J5">
            <v>5.4572325243880817</v>
          </cell>
          <cell r="K5">
            <v>5.7159138407238324</v>
          </cell>
          <cell r="O5">
            <v>62.339999999999996</v>
          </cell>
          <cell r="P5">
            <v>64.696000000000012</v>
          </cell>
          <cell r="Q5">
            <v>65.707999999999998</v>
          </cell>
          <cell r="R5">
            <v>63.396000000000008</v>
          </cell>
        </row>
        <row r="9">
          <cell r="P9" t="str">
            <v>Anova: Single Factor</v>
          </cell>
        </row>
        <row r="10">
          <cell r="H10" t="str">
            <v>Anova: Single Factor</v>
          </cell>
        </row>
        <row r="11">
          <cell r="P11" t="str">
            <v>SUMMARY</v>
          </cell>
        </row>
        <row r="12">
          <cell r="H12" t="str">
            <v>SUMMARY</v>
          </cell>
          <cell r="P12" t="str">
            <v>Groups</v>
          </cell>
          <cell r="Q12" t="str">
            <v>Count</v>
          </cell>
          <cell r="R12" t="str">
            <v>Sum</v>
          </cell>
          <cell r="S12" t="str">
            <v>Average</v>
          </cell>
          <cell r="T12" t="str">
            <v>Variance</v>
          </cell>
        </row>
        <row r="13">
          <cell r="H13" t="str">
            <v>Groups</v>
          </cell>
          <cell r="I13" t="str">
            <v>Count</v>
          </cell>
          <cell r="J13" t="str">
            <v>Sum</v>
          </cell>
          <cell r="K13" t="str">
            <v>Average</v>
          </cell>
          <cell r="L13" t="str">
            <v>Variance</v>
          </cell>
          <cell r="P13" t="str">
            <v>CSR</v>
          </cell>
          <cell r="Q13">
            <v>3</v>
          </cell>
          <cell r="R13">
            <v>189.928</v>
          </cell>
          <cell r="S13">
            <v>63.309333333333335</v>
          </cell>
          <cell r="T13">
            <v>1.4897013333329596</v>
          </cell>
        </row>
        <row r="14">
          <cell r="H14" t="str">
            <v>CSR</v>
          </cell>
          <cell r="I14">
            <v>3</v>
          </cell>
          <cell r="J14">
            <v>17.805199837289408</v>
          </cell>
          <cell r="K14">
            <v>5.9350666124298028</v>
          </cell>
          <cell r="L14">
            <v>4.4164839430848701E-2</v>
          </cell>
          <cell r="P14" t="str">
            <v>PSR</v>
          </cell>
          <cell r="Q14">
            <v>3</v>
          </cell>
          <cell r="R14">
            <v>192.19600000000003</v>
          </cell>
          <cell r="S14">
            <v>64.065333333333342</v>
          </cell>
          <cell r="T14">
            <v>4.2107893333322863</v>
          </cell>
        </row>
        <row r="15">
          <cell r="H15" t="str">
            <v>PSR</v>
          </cell>
          <cell r="I15">
            <v>3</v>
          </cell>
          <cell r="J15">
            <v>18.185371969502473</v>
          </cell>
          <cell r="K15">
            <v>6.0617906565008246</v>
          </cell>
          <cell r="L15">
            <v>0.46490468761661674</v>
          </cell>
          <cell r="P15" t="str">
            <v>SB</v>
          </cell>
          <cell r="Q15">
            <v>3</v>
          </cell>
          <cell r="R15">
            <v>187.61200000000002</v>
          </cell>
          <cell r="S15">
            <v>62.537333333333343</v>
          </cell>
          <cell r="T15">
            <v>8.476869333331706</v>
          </cell>
        </row>
        <row r="16">
          <cell r="H16" t="str">
            <v>SB</v>
          </cell>
          <cell r="I16">
            <v>3</v>
          </cell>
          <cell r="J16">
            <v>17.265739588409449</v>
          </cell>
          <cell r="K16">
            <v>5.7552465294698161</v>
          </cell>
          <cell r="L16">
            <v>0.12311322746159448</v>
          </cell>
          <cell r="P16" t="str">
            <v>SRT</v>
          </cell>
          <cell r="Q16">
            <v>3</v>
          </cell>
          <cell r="R16">
            <v>192.91200000000001</v>
          </cell>
          <cell r="S16">
            <v>64.304000000000002</v>
          </cell>
          <cell r="T16">
            <v>0.89083199999913631</v>
          </cell>
        </row>
        <row r="17">
          <cell r="H17" t="str">
            <v>SRT</v>
          </cell>
          <cell r="I17">
            <v>3</v>
          </cell>
          <cell r="J17">
            <v>17.198737280311391</v>
          </cell>
          <cell r="K17">
            <v>5.7329124267704641</v>
          </cell>
          <cell r="L17">
            <v>0.42440018219570419</v>
          </cell>
        </row>
        <row r="19">
          <cell r="P19" t="str">
            <v>ANOVA</v>
          </cell>
        </row>
        <row r="20">
          <cell r="H20" t="str">
            <v>ANOVA</v>
          </cell>
          <cell r="P20" t="str">
            <v>Source of Variation</v>
          </cell>
          <cell r="Q20" t="str">
            <v>SS</v>
          </cell>
          <cell r="R20" t="str">
            <v>df</v>
          </cell>
          <cell r="S20" t="str">
            <v>MS</v>
          </cell>
          <cell r="T20" t="str">
            <v>F</v>
          </cell>
          <cell r="U20" t="str">
            <v>P-value</v>
          </cell>
        </row>
        <row r="21">
          <cell r="H21" t="str">
            <v>Source of Variation</v>
          </cell>
          <cell r="I21" t="str">
            <v>SS</v>
          </cell>
          <cell r="J21" t="str">
            <v>df</v>
          </cell>
          <cell r="K21" t="str">
            <v>MS</v>
          </cell>
          <cell r="L21" t="str">
            <v>F</v>
          </cell>
          <cell r="M21" t="str">
            <v>P-value</v>
          </cell>
          <cell r="N21" t="str">
            <v>F crit</v>
          </cell>
          <cell r="P21" t="str">
            <v>Between Groups</v>
          </cell>
          <cell r="Q21">
            <v>5.7523039999999988</v>
          </cell>
          <cell r="R21">
            <v>3</v>
          </cell>
          <cell r="S21">
            <v>1.9174346666666662</v>
          </cell>
          <cell r="T21">
            <v>0.50900192051353566</v>
          </cell>
          <cell r="U21">
            <v>0.6870517928998735</v>
          </cell>
        </row>
        <row r="22">
          <cell r="H22" t="str">
            <v>Between Groups</v>
          </cell>
          <cell r="I22">
            <v>0.21891717323415216</v>
          </cell>
          <cell r="J22">
            <v>3</v>
          </cell>
          <cell r="K22">
            <v>7.2972391078050716E-2</v>
          </cell>
          <cell r="L22">
            <v>0.27625807134699415</v>
          </cell>
          <cell r="M22">
            <v>0.84106166051780296</v>
          </cell>
          <cell r="N22">
            <v>4.0661805566468345</v>
          </cell>
          <cell r="P22" t="str">
            <v>Within Groups</v>
          </cell>
          <cell r="Q22">
            <v>30.136383999999882</v>
          </cell>
          <cell r="R22">
            <v>8</v>
          </cell>
          <cell r="S22">
            <v>3.7670479999999853</v>
          </cell>
        </row>
        <row r="23">
          <cell r="H23" t="str">
            <v>Within Groups</v>
          </cell>
          <cell r="I23">
            <v>2.1131658734095393</v>
          </cell>
          <cell r="J23">
            <v>8</v>
          </cell>
          <cell r="K23">
            <v>0.26414573417619241</v>
          </cell>
        </row>
        <row r="24">
          <cell r="P24" t="str">
            <v>Total</v>
          </cell>
          <cell r="Q24">
            <v>35.888687999999881</v>
          </cell>
          <cell r="R24">
            <v>11</v>
          </cell>
        </row>
        <row r="25">
          <cell r="H25" t="str">
            <v>Total</v>
          </cell>
          <cell r="I25">
            <v>2.3320830466436915</v>
          </cell>
          <cell r="J25">
            <v>11</v>
          </cell>
        </row>
      </sheetData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gy WS 2015"/>
      <sheetName val="Energy DS2016)"/>
      <sheetName val="Energy 2 seasons"/>
    </sheetNames>
    <sheetDataSet>
      <sheetData sheetId="0">
        <row r="15">
          <cell r="R15">
            <v>-80.804180379561032</v>
          </cell>
          <cell r="S15">
            <v>-76.508347224630072</v>
          </cell>
          <cell r="T15">
            <v>-60.279358326086758</v>
          </cell>
          <cell r="U15">
            <v>-63.047465332078275</v>
          </cell>
        </row>
      </sheetData>
      <sheetData sheetId="1">
        <row r="15">
          <cell r="R15">
            <v>-62.786618068227142</v>
          </cell>
          <cell r="S15">
            <v>-53.700588208373354</v>
          </cell>
          <cell r="T15">
            <v>-40.833932812431726</v>
          </cell>
          <cell r="U15">
            <v>-48.748401884863434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7"/>
  <sheetViews>
    <sheetView tabSelected="1" topLeftCell="I73" zoomScaleNormal="100" workbookViewId="0">
      <selection activeCell="M106" sqref="M106"/>
    </sheetView>
  </sheetViews>
  <sheetFormatPr defaultColWidth="9.140625" defaultRowHeight="15" x14ac:dyDescent="0.2"/>
  <cols>
    <col min="1" max="1" width="42.28515625" style="27" hidden="1" customWidth="1"/>
    <col min="2" max="2" width="53.140625" style="27" hidden="1" customWidth="1"/>
    <col min="3" max="3" width="11.42578125" style="27" hidden="1" customWidth="1"/>
    <col min="4" max="4" width="13.28515625" style="27" hidden="1" customWidth="1"/>
    <col min="5" max="5" width="13.140625" style="27" hidden="1" customWidth="1"/>
    <col min="6" max="6" width="11.140625" style="27" hidden="1" customWidth="1"/>
    <col min="7" max="7" width="11.42578125" style="27" hidden="1" customWidth="1"/>
    <col min="8" max="8" width="44.28515625" style="27" hidden="1" customWidth="1"/>
    <col min="9" max="9" width="36" style="27" customWidth="1"/>
    <col min="10" max="12" width="15" style="27" bestFit="1" customWidth="1"/>
    <col min="13" max="13" width="12.42578125" style="27" bestFit="1" customWidth="1"/>
    <col min="14" max="14" width="10.85546875" style="27" bestFit="1" customWidth="1"/>
    <col min="15" max="27" width="9.140625" style="27"/>
    <col min="28" max="36" width="9.140625" style="27" hidden="1" customWidth="1"/>
    <col min="37" max="16384" width="9.140625" style="27"/>
  </cols>
  <sheetData>
    <row r="1" spans="1:14" ht="15.95" hidden="1" x14ac:dyDescent="0.2">
      <c r="A1" s="27" t="s">
        <v>102</v>
      </c>
      <c r="B1" s="27" t="s">
        <v>103</v>
      </c>
      <c r="C1" s="27" t="s">
        <v>20</v>
      </c>
      <c r="D1" s="28">
        <v>42288</v>
      </c>
      <c r="E1" s="27" t="s">
        <v>21</v>
      </c>
      <c r="F1" s="29">
        <v>0.50500674768518505</v>
      </c>
    </row>
    <row r="2" spans="1:14" ht="15.95" hidden="1" x14ac:dyDescent="0.2">
      <c r="A2" s="27" t="s">
        <v>22</v>
      </c>
      <c r="B2" s="27" t="s">
        <v>23</v>
      </c>
      <c r="I2" s="27" t="s">
        <v>92</v>
      </c>
      <c r="J2" s="27" t="s">
        <v>43</v>
      </c>
      <c r="K2" s="27" t="s">
        <v>104</v>
      </c>
      <c r="L2" s="27" t="s">
        <v>105</v>
      </c>
      <c r="M2" s="27" t="s">
        <v>106</v>
      </c>
      <c r="N2" s="27" t="s">
        <v>107</v>
      </c>
    </row>
    <row r="3" spans="1:14" ht="15.95" hidden="1" x14ac:dyDescent="0.2">
      <c r="I3" s="27" t="s">
        <v>108</v>
      </c>
      <c r="J3" s="27" t="s">
        <v>109</v>
      </c>
      <c r="K3" s="30">
        <v>3.4530548137844301E-3</v>
      </c>
      <c r="L3" s="30">
        <v>3.4542890373251401E-3</v>
      </c>
      <c r="M3" s="30">
        <v>3.4532090917270201E-3</v>
      </c>
      <c r="N3" s="30">
        <v>3.4537104950404301E-3</v>
      </c>
    </row>
    <row r="4" spans="1:14" ht="15.95" hidden="1" x14ac:dyDescent="0.2">
      <c r="I4" s="27" t="s">
        <v>110</v>
      </c>
      <c r="J4" s="27" t="s">
        <v>111</v>
      </c>
      <c r="K4" s="30">
        <v>15218.439512151001</v>
      </c>
      <c r="L4" s="30">
        <v>15651.592328188999</v>
      </c>
      <c r="M4" s="30">
        <v>15269.833614155799</v>
      </c>
      <c r="N4" s="30">
        <v>15546.614445671201</v>
      </c>
    </row>
    <row r="5" spans="1:14" ht="15.95" hidden="1" x14ac:dyDescent="0.2">
      <c r="A5" s="27" t="s">
        <v>24</v>
      </c>
      <c r="B5" s="27" t="s">
        <v>112</v>
      </c>
      <c r="I5" s="27" t="s">
        <v>113</v>
      </c>
      <c r="J5" s="27" t="s">
        <v>97</v>
      </c>
      <c r="K5" s="30">
        <v>4995.4359976180804</v>
      </c>
      <c r="L5" s="30">
        <v>3882.8227304178999</v>
      </c>
      <c r="M5" s="30">
        <v>3647.7793392180602</v>
      </c>
      <c r="N5" s="30">
        <v>3792.1501994179898</v>
      </c>
    </row>
    <row r="6" spans="1:14" ht="15.95" hidden="1" x14ac:dyDescent="0.2">
      <c r="A6" s="27" t="s">
        <v>26</v>
      </c>
      <c r="B6" s="27" t="s">
        <v>103</v>
      </c>
      <c r="I6" s="27" t="s">
        <v>114</v>
      </c>
      <c r="J6" s="27" t="s">
        <v>115</v>
      </c>
      <c r="K6" s="30">
        <v>7.3611746086016197E-6</v>
      </c>
      <c r="L6" s="30">
        <v>7.4239188941261396E-6</v>
      </c>
      <c r="M6" s="30">
        <v>7.3690176442921799E-6</v>
      </c>
      <c r="N6" s="30">
        <v>7.3945075102865204E-6</v>
      </c>
    </row>
    <row r="7" spans="1:14" ht="15.95" hidden="1" x14ac:dyDescent="0.2">
      <c r="A7" s="27" t="s">
        <v>116</v>
      </c>
      <c r="B7" s="27" t="s">
        <v>117</v>
      </c>
      <c r="I7" s="27" t="s">
        <v>118</v>
      </c>
      <c r="J7" s="27" t="s">
        <v>119</v>
      </c>
      <c r="K7" s="30">
        <v>158.085138599137</v>
      </c>
      <c r="L7" s="30">
        <v>159.12798559603601</v>
      </c>
      <c r="M7" s="30">
        <v>158.215494473749</v>
      </c>
      <c r="N7" s="30">
        <v>158.63915106624</v>
      </c>
    </row>
    <row r="8" spans="1:14" ht="15.95" hidden="1" x14ac:dyDescent="0.2">
      <c r="A8" s="27" t="s">
        <v>120</v>
      </c>
      <c r="B8" s="27" t="s">
        <v>121</v>
      </c>
      <c r="I8" s="27" t="s">
        <v>122</v>
      </c>
      <c r="J8" s="27" t="s">
        <v>119</v>
      </c>
      <c r="K8" s="30">
        <v>1.22314980797343</v>
      </c>
      <c r="L8" s="30">
        <v>1.2391586085891899</v>
      </c>
      <c r="M8" s="30">
        <v>1.2251509080503999</v>
      </c>
      <c r="N8" s="30">
        <v>1.2316544833005501</v>
      </c>
    </row>
    <row r="9" spans="1:14" ht="15.95" hidden="1" x14ac:dyDescent="0.2">
      <c r="A9" s="27" t="s">
        <v>123</v>
      </c>
      <c r="B9" s="27" t="s">
        <v>124</v>
      </c>
      <c r="I9" s="27" t="s">
        <v>125</v>
      </c>
      <c r="J9" s="27" t="s">
        <v>119</v>
      </c>
      <c r="K9" s="30">
        <v>32635.133177395299</v>
      </c>
      <c r="L9" s="30">
        <v>33050.382668564504</v>
      </c>
      <c r="M9" s="30">
        <v>32687.0393637915</v>
      </c>
      <c r="N9" s="30">
        <v>32855.7344695789</v>
      </c>
    </row>
    <row r="10" spans="1:14" ht="15.95" hidden="1" x14ac:dyDescent="0.2">
      <c r="A10" s="27" t="s">
        <v>126</v>
      </c>
      <c r="B10" s="27" t="s">
        <v>127</v>
      </c>
      <c r="I10" s="27" t="s">
        <v>128</v>
      </c>
      <c r="J10" s="27" t="s">
        <v>119</v>
      </c>
      <c r="K10" s="30">
        <v>0.130068298644993</v>
      </c>
      <c r="L10" s="30">
        <v>0.131450453397741</v>
      </c>
      <c r="M10" s="30">
        <v>0.13024106798908699</v>
      </c>
      <c r="N10" s="30">
        <v>0.13080256835739101</v>
      </c>
    </row>
    <row r="11" spans="1:14" ht="15.95" hidden="1" x14ac:dyDescent="0.2">
      <c r="A11" s="27" t="s">
        <v>29</v>
      </c>
      <c r="B11" s="27" t="s">
        <v>129</v>
      </c>
      <c r="I11" s="27" t="s">
        <v>130</v>
      </c>
      <c r="J11" s="27" t="s">
        <v>131</v>
      </c>
      <c r="K11" s="30">
        <v>0.88461365490935695</v>
      </c>
      <c r="L11" s="30">
        <v>0.55827886993981102</v>
      </c>
      <c r="M11" s="30">
        <v>0.57325180678816401</v>
      </c>
      <c r="N11" s="30">
        <v>0.55792580039428596</v>
      </c>
    </row>
    <row r="12" spans="1:14" ht="15.95" hidden="1" x14ac:dyDescent="0.2">
      <c r="A12" s="27" t="s">
        <v>31</v>
      </c>
      <c r="B12" s="27" t="s">
        <v>132</v>
      </c>
      <c r="I12" s="27" t="s">
        <v>133</v>
      </c>
      <c r="J12" s="27" t="s">
        <v>134</v>
      </c>
      <c r="K12" s="30">
        <v>6.5253607374620799</v>
      </c>
      <c r="L12" s="30">
        <v>6.8691608819893002</v>
      </c>
      <c r="M12" s="30">
        <v>6.56833575552798</v>
      </c>
      <c r="N12" s="30">
        <v>6.7080045642421604</v>
      </c>
    </row>
    <row r="13" spans="1:14" ht="15.95" hidden="1" x14ac:dyDescent="0.2">
      <c r="A13" s="27" t="s">
        <v>135</v>
      </c>
      <c r="B13" s="27" t="s">
        <v>136</v>
      </c>
      <c r="I13" s="27" t="s">
        <v>137</v>
      </c>
      <c r="J13" s="27" t="s">
        <v>138</v>
      </c>
      <c r="K13" s="30">
        <v>2.3397190485119501</v>
      </c>
      <c r="L13" s="30">
        <v>2.60346199931017</v>
      </c>
      <c r="M13" s="30">
        <v>2.29911191736173</v>
      </c>
      <c r="N13" s="30">
        <v>2.5039637411235098</v>
      </c>
    </row>
    <row r="14" spans="1:14" ht="15.95" hidden="1" x14ac:dyDescent="0.2">
      <c r="A14" s="27" t="s">
        <v>37</v>
      </c>
      <c r="B14" s="27" t="s">
        <v>139</v>
      </c>
    </row>
    <row r="15" spans="1:14" ht="15.95" hidden="1" x14ac:dyDescent="0.2">
      <c r="A15" s="27" t="s">
        <v>38</v>
      </c>
      <c r="B15" s="27" t="s">
        <v>139</v>
      </c>
    </row>
    <row r="16" spans="1:14" ht="15.95" hidden="1" x14ac:dyDescent="0.2">
      <c r="A16" s="27" t="s">
        <v>39</v>
      </c>
      <c r="B16" s="27" t="s">
        <v>92</v>
      </c>
    </row>
    <row r="17" spans="1:7" ht="15.95" hidden="1" x14ac:dyDescent="0.2">
      <c r="A17" s="27" t="s">
        <v>41</v>
      </c>
      <c r="B17" s="27" t="s">
        <v>42</v>
      </c>
    </row>
    <row r="18" spans="1:7" ht="15.95" hidden="1" x14ac:dyDescent="0.2"/>
    <row r="19" spans="1:7" ht="15.95" hidden="1" x14ac:dyDescent="0.2">
      <c r="A19" s="27" t="s">
        <v>92</v>
      </c>
      <c r="B19" s="27" t="s">
        <v>43</v>
      </c>
      <c r="C19" s="27" t="s">
        <v>140</v>
      </c>
      <c r="D19" s="27" t="s">
        <v>70</v>
      </c>
      <c r="E19" s="27" t="s">
        <v>5</v>
      </c>
      <c r="F19" s="27" t="s">
        <v>141</v>
      </c>
    </row>
    <row r="20" spans="1:7" ht="15.95" hidden="1" x14ac:dyDescent="0.2">
      <c r="A20" s="27" t="s">
        <v>142</v>
      </c>
      <c r="B20" s="27" t="s">
        <v>111</v>
      </c>
      <c r="C20" s="31">
        <f>K4</f>
        <v>15218.439512151001</v>
      </c>
      <c r="D20" s="31">
        <f t="shared" ref="D20:F21" si="0">L4</f>
        <v>15651.592328188999</v>
      </c>
      <c r="E20" s="31">
        <f t="shared" si="0"/>
        <v>15269.833614155799</v>
      </c>
      <c r="F20" s="31">
        <f t="shared" si="0"/>
        <v>15546.614445671201</v>
      </c>
    </row>
    <row r="21" spans="1:7" ht="15.95" hidden="1" x14ac:dyDescent="0.2">
      <c r="A21" s="27" t="s">
        <v>143</v>
      </c>
      <c r="B21" s="27" t="s">
        <v>97</v>
      </c>
      <c r="C21" s="31">
        <f>K5</f>
        <v>4995.4359976180804</v>
      </c>
      <c r="D21" s="31">
        <f t="shared" si="0"/>
        <v>3882.8227304178999</v>
      </c>
      <c r="E21" s="31">
        <f t="shared" si="0"/>
        <v>3647.7793392180602</v>
      </c>
      <c r="F21" s="31">
        <f t="shared" si="0"/>
        <v>3792.1501994179898</v>
      </c>
    </row>
    <row r="22" spans="1:7" ht="15.95" hidden="1" x14ac:dyDescent="0.2">
      <c r="A22" s="27" t="s">
        <v>144</v>
      </c>
      <c r="B22" s="27" t="s">
        <v>119</v>
      </c>
      <c r="C22" s="31">
        <f>K7</f>
        <v>158.085138599137</v>
      </c>
      <c r="D22" s="31">
        <f t="shared" ref="D22:F22" si="1">L7</f>
        <v>159.12798559603601</v>
      </c>
      <c r="E22" s="31">
        <f t="shared" si="1"/>
        <v>158.215494473749</v>
      </c>
      <c r="F22" s="31">
        <f t="shared" si="1"/>
        <v>158.63915106624</v>
      </c>
    </row>
    <row r="23" spans="1:7" ht="15.95" hidden="1" x14ac:dyDescent="0.2">
      <c r="A23" s="27" t="s">
        <v>145</v>
      </c>
      <c r="B23" s="27" t="s">
        <v>119</v>
      </c>
      <c r="C23" s="31">
        <f>K9</f>
        <v>32635.133177395299</v>
      </c>
      <c r="D23" s="31">
        <f t="shared" ref="D23:F23" si="2">L9</f>
        <v>33050.382668564504</v>
      </c>
      <c r="E23" s="31">
        <f t="shared" si="2"/>
        <v>32687.0393637915</v>
      </c>
      <c r="F23" s="31">
        <f t="shared" si="2"/>
        <v>32855.7344695789</v>
      </c>
    </row>
    <row r="24" spans="1:7" ht="15.95" hidden="1" x14ac:dyDescent="0.2"/>
    <row r="25" spans="1:7" ht="15.95" hidden="1" x14ac:dyDescent="0.2"/>
    <row r="26" spans="1:7" ht="15.95" hidden="1" x14ac:dyDescent="0.2">
      <c r="C26" s="27" t="str">
        <f>C19</f>
        <v>STR</v>
      </c>
      <c r="D26" s="27" t="str">
        <f t="shared" ref="D26:F26" si="3">D19</f>
        <v>SB</v>
      </c>
      <c r="E26" s="27" t="str">
        <f t="shared" si="3"/>
        <v>PSR</v>
      </c>
      <c r="F26" s="27" t="str">
        <f t="shared" si="3"/>
        <v>CSR</v>
      </c>
      <c r="G26" s="27" t="s">
        <v>146</v>
      </c>
    </row>
    <row r="27" spans="1:7" ht="15.95" hidden="1" x14ac:dyDescent="0.2">
      <c r="B27" s="27" t="str">
        <f>A20</f>
        <v>Abiotic depletion (fossil fuels), 15.4 GJ</v>
      </c>
      <c r="C27" s="30">
        <f>C20/$G27</f>
        <v>0.98682495981488494</v>
      </c>
      <c r="D27" s="30">
        <f t="shared" ref="D27:F29" si="4">D20/$G27</f>
        <v>1.0149123343409729</v>
      </c>
      <c r="E27" s="30">
        <f t="shared" si="4"/>
        <v>0.99015756054606452</v>
      </c>
      <c r="F27" s="30">
        <f t="shared" si="4"/>
        <v>1.0081051452980778</v>
      </c>
      <c r="G27" s="31">
        <f>AVERAGE(C20:F20)</f>
        <v>15421.619975041749</v>
      </c>
    </row>
    <row r="28" spans="1:7" ht="15.95" hidden="1" x14ac:dyDescent="0.2">
      <c r="B28" s="27" t="str">
        <f>A21</f>
        <v>Global warming (GWP100a), 4.1 Mg CO2 eq</v>
      </c>
      <c r="C28" s="30">
        <f t="shared" ref="C28:E30" si="5">C21/$G28</f>
        <v>1.2245075043828653</v>
      </c>
      <c r="D28" s="30">
        <f t="shared" si="5"/>
        <v>0.95177789763539034</v>
      </c>
      <c r="E28" s="30">
        <f t="shared" si="5"/>
        <v>0.89416282729577723</v>
      </c>
      <c r="F28" s="30">
        <f t="shared" si="4"/>
        <v>0.92955177068596717</v>
      </c>
      <c r="G28" s="31">
        <f t="shared" ref="G28:G30" si="6">AVERAGE(C21:F21)</f>
        <v>4079.5470666680076</v>
      </c>
    </row>
    <row r="29" spans="1:7" ht="15.95" hidden="1" x14ac:dyDescent="0.2">
      <c r="B29" s="27" t="str">
        <f>A22</f>
        <v>Human toxicity, 0.17 Mg 1,4 DB eq</v>
      </c>
      <c r="C29" s="30">
        <f t="shared" si="5"/>
        <v>0.99727597676296409</v>
      </c>
      <c r="D29" s="30">
        <f t="shared" si="5"/>
        <v>1.0038547498637296</v>
      </c>
      <c r="E29" s="30">
        <f t="shared" si="5"/>
        <v>0.99809832340055749</v>
      </c>
      <c r="F29" s="30">
        <f t="shared" si="4"/>
        <v>1.0007709499727484</v>
      </c>
      <c r="G29" s="31">
        <f t="shared" si="6"/>
        <v>158.51694243379052</v>
      </c>
    </row>
    <row r="30" spans="1:7" ht="15.95" hidden="1" x14ac:dyDescent="0.2">
      <c r="B30" s="27" t="str">
        <f>A23</f>
        <v>Marine aquatic ecotoxicity 32.8 Mg 1,4 DB eq</v>
      </c>
      <c r="C30" s="30">
        <f t="shared" si="5"/>
        <v>0.99475907998626212</v>
      </c>
      <c r="D30" s="30">
        <f t="shared" si="5"/>
        <v>1.0074163962458555</v>
      </c>
      <c r="E30" s="30">
        <f>E23/$G30</f>
        <v>0.99634124451871287</v>
      </c>
      <c r="F30" s="30">
        <f>F23/$G30</f>
        <v>1.0014832792491699</v>
      </c>
      <c r="G30" s="31">
        <f t="shared" si="6"/>
        <v>32807.072419832548</v>
      </c>
    </row>
    <row r="31" spans="1:7" ht="15.95" hidden="1" x14ac:dyDescent="0.2"/>
    <row r="32" spans="1:7" ht="15.95" hidden="1" x14ac:dyDescent="0.2"/>
    <row r="33" spans="1:32" ht="15.95" hidden="1" x14ac:dyDescent="0.2"/>
    <row r="34" spans="1:32" ht="15.95" hidden="1" x14ac:dyDescent="0.2"/>
    <row r="35" spans="1:32" ht="15.95" hidden="1" x14ac:dyDescent="0.2"/>
    <row r="36" spans="1:32" ht="15.95" hidden="1" x14ac:dyDescent="0.2"/>
    <row r="37" spans="1:32" ht="15.95" hidden="1" x14ac:dyDescent="0.2"/>
    <row r="38" spans="1:32" ht="15.95" hidden="1" x14ac:dyDescent="0.2"/>
    <row r="39" spans="1:32" ht="15.95" hidden="1" x14ac:dyDescent="0.2"/>
    <row r="40" spans="1:32" ht="15.95" hidden="1" x14ac:dyDescent="0.2"/>
    <row r="41" spans="1:32" ht="15.95" hidden="1" x14ac:dyDescent="0.2"/>
    <row r="46" spans="1:32" ht="15.95" x14ac:dyDescent="0.2">
      <c r="A46" s="32" t="s">
        <v>147</v>
      </c>
      <c r="AB46" s="27" t="s">
        <v>172</v>
      </c>
    </row>
    <row r="47" spans="1:32" ht="17.100000000000001" thickBot="1" x14ac:dyDescent="0.25">
      <c r="B47" s="32" t="s">
        <v>148</v>
      </c>
      <c r="AB47" s="27" t="s">
        <v>67</v>
      </c>
      <c r="AC47" s="27">
        <v>0.16</v>
      </c>
      <c r="AD47" s="27">
        <v>0.17</v>
      </c>
      <c r="AE47" s="27">
        <v>0.18</v>
      </c>
      <c r="AF47" s="27">
        <v>0.23</v>
      </c>
    </row>
    <row r="48" spans="1:32" ht="15.95" x14ac:dyDescent="0.2">
      <c r="I48" s="234" t="s">
        <v>148</v>
      </c>
      <c r="J48" s="235"/>
      <c r="K48" s="235"/>
      <c r="L48" s="235"/>
      <c r="M48" s="236"/>
      <c r="AC48" s="27">
        <v>5.46</v>
      </c>
      <c r="AD48" s="27">
        <v>5.37</v>
      </c>
      <c r="AE48" s="27">
        <v>5.63</v>
      </c>
      <c r="AF48" s="27">
        <v>5.66</v>
      </c>
    </row>
    <row r="49" spans="2:35" ht="15.95" x14ac:dyDescent="0.2">
      <c r="G49" s="33"/>
      <c r="I49" s="237"/>
      <c r="J49" s="238"/>
      <c r="K49" s="238"/>
      <c r="L49" s="238"/>
      <c r="M49" s="239"/>
      <c r="AB49" s="27" t="s">
        <v>68</v>
      </c>
      <c r="AC49" s="27">
        <v>0.11</v>
      </c>
      <c r="AD49" s="27">
        <v>0.13</v>
      </c>
      <c r="AE49" s="27">
        <v>0.17</v>
      </c>
      <c r="AF49" s="27">
        <v>0.12</v>
      </c>
    </row>
    <row r="50" spans="2:35" ht="15.95" x14ac:dyDescent="0.2">
      <c r="C50" s="27" t="s">
        <v>141</v>
      </c>
      <c r="D50" s="27" t="s">
        <v>5</v>
      </c>
      <c r="E50" s="27" t="s">
        <v>70</v>
      </c>
      <c r="F50" s="27" t="s">
        <v>149</v>
      </c>
      <c r="I50" s="240"/>
      <c r="J50" s="238" t="str">
        <f>C50</f>
        <v>CSR</v>
      </c>
      <c r="K50" s="238" t="str">
        <f>D50</f>
        <v>PSR</v>
      </c>
      <c r="L50" s="238" t="str">
        <f>E50</f>
        <v>SB</v>
      </c>
      <c r="M50" s="239" t="str">
        <f>F50</f>
        <v>SRT</v>
      </c>
      <c r="AC50" s="27">
        <v>5.37</v>
      </c>
      <c r="AD50" s="27">
        <v>5.27</v>
      </c>
      <c r="AE50" s="27">
        <v>5.32</v>
      </c>
      <c r="AF50" s="27">
        <v>5.35</v>
      </c>
    </row>
    <row r="51" spans="2:35" ht="15.95" x14ac:dyDescent="0.2">
      <c r="B51" s="27" t="s">
        <v>150</v>
      </c>
      <c r="C51" s="30">
        <f>'[1]Grain and ricestraw'!F7</f>
        <v>5.9350666124298028</v>
      </c>
      <c r="D51" s="30">
        <f>'[1]Grain and ricestraw'!G7</f>
        <v>6.0617906565008246</v>
      </c>
      <c r="E51" s="30">
        <f>'[1]Grain and ricestraw'!H7</f>
        <v>5.7552465294698161</v>
      </c>
      <c r="F51" s="30">
        <f>'[1]Grain and ricestraw'!I7</f>
        <v>5.7329124267704641</v>
      </c>
      <c r="I51" s="240" t="s">
        <v>151</v>
      </c>
      <c r="J51" s="241">
        <f>C51</f>
        <v>5.9350666124298028</v>
      </c>
      <c r="K51" s="241">
        <f t="shared" ref="K51:M52" si="7">D51</f>
        <v>6.0617906565008246</v>
      </c>
      <c r="L51" s="241">
        <f t="shared" si="7"/>
        <v>5.7552465294698161</v>
      </c>
      <c r="M51" s="242">
        <f>F51</f>
        <v>5.7329124267704641</v>
      </c>
    </row>
    <row r="52" spans="2:35" ht="15.95" x14ac:dyDescent="0.2">
      <c r="B52" s="27" t="str">
        <f>B61</f>
        <v>Grain quality (head rice recovery ratio), 63.6%</v>
      </c>
      <c r="C52" s="30">
        <f>'[1]Grain and ricestraw'!M7</f>
        <v>63.309333333333335</v>
      </c>
      <c r="D52" s="30">
        <f>'[1]Grain and ricestraw'!N7</f>
        <v>64.065333333333342</v>
      </c>
      <c r="E52" s="30">
        <f>'[1]Grain and ricestraw'!O7</f>
        <v>62.537333333333343</v>
      </c>
      <c r="F52" s="30">
        <f>'[1]Grain and ricestraw'!P7</f>
        <v>64.304000000000002</v>
      </c>
      <c r="I52" s="240" t="s">
        <v>152</v>
      </c>
      <c r="J52" s="241">
        <f>C52</f>
        <v>63.309333333333335</v>
      </c>
      <c r="K52" s="241">
        <f t="shared" si="7"/>
        <v>64.065333333333342</v>
      </c>
      <c r="L52" s="241">
        <f t="shared" si="7"/>
        <v>62.537333333333343</v>
      </c>
      <c r="M52" s="242">
        <f t="shared" si="7"/>
        <v>64.304000000000002</v>
      </c>
    </row>
    <row r="53" spans="2:35" ht="15.95" x14ac:dyDescent="0.2">
      <c r="B53" s="27" t="s">
        <v>153</v>
      </c>
      <c r="C53" s="30">
        <f>'[1]Energy_2 season'!AI17</f>
        <v>3.8849621472349272</v>
      </c>
      <c r="D53" s="30">
        <f>'[1]Energy_2 season'!AJ17</f>
        <v>4.1198232916553126</v>
      </c>
      <c r="E53" s="30">
        <f>'[1]Energy_2 season'!AK17</f>
        <v>3.0173171787028101</v>
      </c>
      <c r="F53" s="30">
        <f>'[1]Energy_2 season'!AL17</f>
        <v>3.9239956470752837</v>
      </c>
      <c r="I53" s="240" t="s">
        <v>154</v>
      </c>
      <c r="J53" s="241">
        <f>-'Energy - WS2015'!C39</f>
        <v>70.355943988755712</v>
      </c>
      <c r="K53" s="241">
        <f>-'Energy - WS2015'!D39</f>
        <v>69.024419744769531</v>
      </c>
      <c r="L53" s="241">
        <f>-'Energy - WS2015'!E39</f>
        <v>61.663746319536742</v>
      </c>
      <c r="M53" s="241">
        <f>-'Energy - WS2015'!F39</f>
        <v>62.244270255208647</v>
      </c>
    </row>
    <row r="54" spans="2:35" ht="15.95" x14ac:dyDescent="0.2">
      <c r="C54" s="30"/>
      <c r="D54" s="30"/>
      <c r="E54" s="30"/>
      <c r="F54" s="30"/>
      <c r="I54" s="240"/>
      <c r="J54" s="243"/>
      <c r="K54" s="243"/>
      <c r="L54" s="243"/>
      <c r="M54" s="244"/>
      <c r="N54" s="223"/>
      <c r="AC54" s="27">
        <f>AC47+AC49</f>
        <v>0.27</v>
      </c>
      <c r="AD54" s="27">
        <f t="shared" ref="AD54:AF55" si="8">AD47+AD49</f>
        <v>0.30000000000000004</v>
      </c>
      <c r="AE54" s="27">
        <f t="shared" si="8"/>
        <v>0.35</v>
      </c>
      <c r="AF54" s="27">
        <f t="shared" si="8"/>
        <v>0.35</v>
      </c>
    </row>
    <row r="55" spans="2:35" ht="15.95" x14ac:dyDescent="0.2">
      <c r="C55" s="30"/>
      <c r="D55" s="30"/>
      <c r="E55" s="30"/>
      <c r="F55" s="30"/>
      <c r="I55" s="240"/>
      <c r="J55" s="243"/>
      <c r="K55" s="243"/>
      <c r="L55" s="243"/>
      <c r="M55" s="244"/>
      <c r="N55" s="223"/>
      <c r="AC55" s="27">
        <f>AC48+AC50</f>
        <v>10.83</v>
      </c>
      <c r="AD55" s="27">
        <f t="shared" si="8"/>
        <v>10.64</v>
      </c>
      <c r="AE55" s="27">
        <f t="shared" si="8"/>
        <v>10.95</v>
      </c>
      <c r="AF55" s="27">
        <f t="shared" si="8"/>
        <v>11.01</v>
      </c>
      <c r="AH55" s="27" t="s">
        <v>173</v>
      </c>
    </row>
    <row r="56" spans="2:35" ht="15.95" x14ac:dyDescent="0.2">
      <c r="I56" s="245"/>
      <c r="J56" s="243"/>
      <c r="K56" s="243"/>
      <c r="L56" s="243"/>
      <c r="M56" s="246"/>
      <c r="N56" s="223"/>
      <c r="AB56" s="27" t="s">
        <v>100</v>
      </c>
      <c r="AH56" s="27">
        <v>0.23</v>
      </c>
      <c r="AI56" s="27" t="s">
        <v>174</v>
      </c>
    </row>
    <row r="57" spans="2:35" ht="15.95" x14ac:dyDescent="0.2">
      <c r="I57" s="247" t="s">
        <v>6</v>
      </c>
      <c r="J57" s="248"/>
      <c r="K57" s="248"/>
      <c r="L57" s="248"/>
      <c r="M57" s="246"/>
      <c r="N57" s="223"/>
      <c r="AE57" s="27">
        <f>(1.24-0.76)*AH56/AH57</f>
        <v>4.995475113122172E-2</v>
      </c>
      <c r="AH57" s="27">
        <v>2.21</v>
      </c>
      <c r="AI57" s="27" t="s">
        <v>11</v>
      </c>
    </row>
    <row r="58" spans="2:35" ht="15.95" x14ac:dyDescent="0.2">
      <c r="I58" s="240"/>
      <c r="J58" s="248" t="str">
        <f>J50</f>
        <v>CSR</v>
      </c>
      <c r="K58" s="248" t="str">
        <f t="shared" ref="K58:M58" si="9">K50</f>
        <v>PSR</v>
      </c>
      <c r="L58" s="248" t="str">
        <f t="shared" si="9"/>
        <v>SB</v>
      </c>
      <c r="M58" s="246" t="str">
        <f t="shared" si="9"/>
        <v>SRT</v>
      </c>
      <c r="N58" s="223"/>
    </row>
    <row r="59" spans="2:35" ht="15.95" x14ac:dyDescent="0.2">
      <c r="C59" s="27" t="str">
        <f>C50</f>
        <v>CSR</v>
      </c>
      <c r="D59" s="27" t="str">
        <f>D50</f>
        <v>PSR</v>
      </c>
      <c r="E59" s="27" t="str">
        <f>E50</f>
        <v>SB</v>
      </c>
      <c r="F59" s="27" t="str">
        <f>F50</f>
        <v>SRT</v>
      </c>
      <c r="G59" s="27" t="s">
        <v>146</v>
      </c>
      <c r="I59" s="240" t="str">
        <f>I51</f>
        <v>Paddy yield (Mg/ha)</v>
      </c>
      <c r="J59" s="243">
        <f>'Grain and ricestraw'!B8</f>
        <v>0.21015432289354355</v>
      </c>
      <c r="K59" s="243">
        <f>'Grain and ricestraw'!C8</f>
        <v>0.6818391948374839</v>
      </c>
      <c r="L59" s="243">
        <f>'Grain and ricestraw'!D8</f>
        <v>0.35087494561680876</v>
      </c>
      <c r="M59" s="244">
        <f>'Grain and ricestraw'!E8</f>
        <v>0.65146003883254355</v>
      </c>
      <c r="N59" s="223"/>
    </row>
    <row r="60" spans="2:35" ht="15.95" x14ac:dyDescent="0.2">
      <c r="B60" s="27" t="str">
        <f>B51</f>
        <v>Paddy Yield, 5.9 Mg/ha</v>
      </c>
      <c r="C60" s="30">
        <f t="shared" ref="C60:F62" si="10">C51/$G60</f>
        <v>1.0108686416096544</v>
      </c>
      <c r="D60" s="30">
        <f t="shared" si="10"/>
        <v>1.0324524536634354</v>
      </c>
      <c r="E60" s="30">
        <f t="shared" si="10"/>
        <v>0.98024143978260048</v>
      </c>
      <c r="F60" s="30">
        <f t="shared" si="10"/>
        <v>0.97643746494430939</v>
      </c>
      <c r="G60" s="30">
        <f>AVERAGE(C51:F51)</f>
        <v>5.8712540562927273</v>
      </c>
      <c r="I60" s="240" t="str">
        <f t="shared" ref="I60:I61" si="11">I52</f>
        <v>Head rice recovery ratio</v>
      </c>
      <c r="J60" s="243">
        <f>'Grain and ricestraw'!Q8</f>
        <v>1.2205332168086713</v>
      </c>
      <c r="K60" s="243">
        <f>'Grain and ricestraw'!R8</f>
        <v>2.0520207926171992</v>
      </c>
      <c r="L60" s="243">
        <f>'Grain and ricestraw'!S8</f>
        <v>2.9115063684170983</v>
      </c>
      <c r="M60" s="244">
        <f>'Grain and ricestraw'!T8</f>
        <v>0.94383896931625988</v>
      </c>
      <c r="N60" s="223"/>
    </row>
    <row r="61" spans="2:35" ht="17.100000000000001" thickBot="1" x14ac:dyDescent="0.25">
      <c r="B61" s="27" t="s">
        <v>157</v>
      </c>
      <c r="C61" s="30">
        <f t="shared" si="10"/>
        <v>0.99615025542583202</v>
      </c>
      <c r="D61" s="30">
        <f t="shared" si="10"/>
        <v>1.008045651466994</v>
      </c>
      <c r="E61" s="30">
        <f t="shared" si="10"/>
        <v>0.98400310497110066</v>
      </c>
      <c r="F61" s="30">
        <f t="shared" si="10"/>
        <v>1.0118009881360732</v>
      </c>
      <c r="G61" s="30">
        <f>AVERAGE(C52:F52)</f>
        <v>63.554000000000009</v>
      </c>
      <c r="I61" s="249" t="str">
        <f t="shared" si="11"/>
        <v>Net energy balance (GJ/ha)</v>
      </c>
      <c r="J61" s="250">
        <f>'Grain and ricestraw'!AN11</f>
        <v>4.07</v>
      </c>
      <c r="K61" s="250">
        <f>'Grain and ricestraw'!AO11</f>
        <v>11.479999999999999</v>
      </c>
      <c r="L61" s="250">
        <f>'Grain and ricestraw'!AP11</f>
        <v>5.57</v>
      </c>
      <c r="M61" s="251">
        <f>'Grain and ricestraw'!AQ11</f>
        <v>10.290000000000001</v>
      </c>
      <c r="N61" s="223"/>
    </row>
    <row r="62" spans="2:35" ht="15.95" x14ac:dyDescent="0.2">
      <c r="B62" s="27" t="str">
        <f>B53</f>
        <v>Energy efficiency, 5.64</v>
      </c>
      <c r="C62" s="30">
        <f t="shared" si="10"/>
        <v>1.0397261086978777</v>
      </c>
      <c r="D62" s="30">
        <f t="shared" si="10"/>
        <v>1.1025816152686014</v>
      </c>
      <c r="E62" s="30">
        <f t="shared" si="10"/>
        <v>0.80751969517972844</v>
      </c>
      <c r="F62" s="30">
        <f t="shared" si="10"/>
        <v>1.0501725808537927</v>
      </c>
      <c r="G62" s="30">
        <f>AVERAGE(C53:F53)</f>
        <v>3.7365245661670832</v>
      </c>
      <c r="J62" s="224"/>
      <c r="K62" s="224"/>
      <c r="L62" s="224"/>
      <c r="M62" s="224"/>
      <c r="N62" s="223"/>
    </row>
    <row r="63" spans="2:35" ht="15.95" x14ac:dyDescent="0.2">
      <c r="C63" s="30"/>
      <c r="D63" s="30"/>
      <c r="E63" s="30"/>
      <c r="F63" s="30"/>
      <c r="G63" s="30"/>
      <c r="J63" s="225"/>
      <c r="K63" s="225"/>
      <c r="L63" s="225"/>
      <c r="M63" s="225"/>
      <c r="N63" s="223"/>
    </row>
    <row r="64" spans="2:35" ht="15.95" x14ac:dyDescent="0.2">
      <c r="C64" s="30"/>
      <c r="D64" s="30"/>
      <c r="E64" s="30"/>
      <c r="F64" s="30"/>
      <c r="G64" s="30"/>
      <c r="J64" s="223"/>
      <c r="K64" s="223"/>
      <c r="L64" s="223"/>
      <c r="M64" s="223"/>
      <c r="N64" s="223"/>
    </row>
    <row r="65" spans="2:23" ht="15.95" x14ac:dyDescent="0.2">
      <c r="J65" s="223"/>
      <c r="K65" s="223"/>
      <c r="L65" s="223"/>
      <c r="M65" s="223"/>
      <c r="N65" s="223"/>
    </row>
    <row r="67" spans="2:23" ht="17.100000000000001" thickBot="1" x14ac:dyDescent="0.25"/>
    <row r="68" spans="2:23" ht="15.95" x14ac:dyDescent="0.2">
      <c r="B68" s="32" t="s">
        <v>158</v>
      </c>
      <c r="I68" s="234" t="str">
        <f>B68</f>
        <v>Dry season</v>
      </c>
      <c r="J68" s="235"/>
      <c r="K68" s="235"/>
      <c r="L68" s="235"/>
      <c r="M68" s="236"/>
    </row>
    <row r="69" spans="2:23" ht="15.95" x14ac:dyDescent="0.2">
      <c r="I69" s="237"/>
      <c r="J69" s="238"/>
      <c r="K69" s="238"/>
      <c r="L69" s="238"/>
      <c r="M69" s="239"/>
    </row>
    <row r="70" spans="2:23" ht="15.95" x14ac:dyDescent="0.2">
      <c r="I70" s="240"/>
      <c r="J70" s="238"/>
      <c r="K70" s="238"/>
      <c r="L70" s="238"/>
      <c r="M70" s="239"/>
      <c r="U70" s="233"/>
      <c r="V70" s="233"/>
      <c r="W70" s="233"/>
    </row>
    <row r="71" spans="2:23" ht="15.95" x14ac:dyDescent="0.2">
      <c r="C71" s="27" t="s">
        <v>141</v>
      </c>
      <c r="D71" s="27" t="s">
        <v>5</v>
      </c>
      <c r="E71" s="27" t="s">
        <v>70</v>
      </c>
      <c r="F71" s="27" t="s">
        <v>149</v>
      </c>
      <c r="I71" s="240"/>
      <c r="J71" s="241" t="str">
        <f>C71</f>
        <v>CSR</v>
      </c>
      <c r="K71" s="241" t="str">
        <f>D71</f>
        <v>PSR</v>
      </c>
      <c r="L71" s="241" t="str">
        <f>E71</f>
        <v>SB</v>
      </c>
      <c r="M71" s="242" t="str">
        <f>F71</f>
        <v>SRT</v>
      </c>
    </row>
    <row r="72" spans="2:23" ht="15.95" x14ac:dyDescent="0.2">
      <c r="B72" s="27" t="s">
        <v>159</v>
      </c>
      <c r="C72" s="30">
        <f>'[1]Grain and ricestraw'!A35</f>
        <v>4.2399604363818577</v>
      </c>
      <c r="D72" s="30">
        <f>'[1]Grain and ricestraw'!B35</f>
        <v>4.1427806068404136</v>
      </c>
      <c r="E72" s="30">
        <f>'[1]Grain and ricestraw'!C35</f>
        <v>4.0734521710783564</v>
      </c>
      <c r="F72" s="30">
        <f>'[1]Grain and ricestraw'!D35</f>
        <v>4.4106878629029866</v>
      </c>
      <c r="I72" s="240" t="s">
        <v>370</v>
      </c>
      <c r="J72" s="241">
        <f>C72</f>
        <v>4.2399604363818577</v>
      </c>
      <c r="K72" s="241">
        <f t="shared" ref="K72:M73" si="12">D72</f>
        <v>4.1427806068404136</v>
      </c>
      <c r="L72" s="241">
        <f t="shared" si="12"/>
        <v>4.0734521710783564</v>
      </c>
      <c r="M72" s="242">
        <f>F72</f>
        <v>4.4106878629029866</v>
      </c>
    </row>
    <row r="73" spans="2:23" ht="15.95" x14ac:dyDescent="0.2">
      <c r="B73" s="27" t="str">
        <f>B80</f>
        <v>Grain quality (head rice recovery ratio), 49.6%</v>
      </c>
      <c r="C73" s="30">
        <f>'[1]Grain and ricestraw'!A51</f>
        <v>49.041083668513814</v>
      </c>
      <c r="D73" s="30">
        <f>'[1]Grain and ricestraw'!B51</f>
        <v>46.679661371095136</v>
      </c>
      <c r="E73" s="30">
        <f>'[1]Grain and ricestraw'!C51</f>
        <v>51.234815114128708</v>
      </c>
      <c r="F73" s="30">
        <f>'[1]Grain and ricestraw'!D51</f>
        <v>51.478661969326801</v>
      </c>
      <c r="I73" s="240" t="s">
        <v>171</v>
      </c>
      <c r="J73" s="241">
        <f>C73</f>
        <v>49.041083668513814</v>
      </c>
      <c r="K73" s="241">
        <f t="shared" si="12"/>
        <v>46.679661371095136</v>
      </c>
      <c r="L73" s="241">
        <f t="shared" si="12"/>
        <v>51.234815114128708</v>
      </c>
      <c r="M73" s="242">
        <f t="shared" si="12"/>
        <v>51.478661969326801</v>
      </c>
    </row>
    <row r="74" spans="2:23" ht="15.95" x14ac:dyDescent="0.2">
      <c r="B74" s="27" t="s">
        <v>160</v>
      </c>
      <c r="C74" s="30">
        <f>'[1]Energy_2 season'!AM17</f>
        <v>2.8977992242871102</v>
      </c>
      <c r="D74" s="30">
        <f>'[1]Energy_2 season'!AN17</f>
        <v>2.8428574152294663</v>
      </c>
      <c r="E74" s="30">
        <f>'[1]Energy_2 season'!AO17</f>
        <v>1.9263514630861043</v>
      </c>
      <c r="F74" s="30">
        <f>'[1]Energy_2 season'!AP17</f>
        <v>3.0315715778633674</v>
      </c>
      <c r="I74" s="240" t="s">
        <v>154</v>
      </c>
      <c r="J74" s="241">
        <f>-'Energy - DS2016'!C39</f>
        <v>46.056841404738421</v>
      </c>
      <c r="K74" s="241">
        <f>-'Energy - DS2016'!D39</f>
        <v>41.686217104329081</v>
      </c>
      <c r="L74" s="241">
        <f>-'Energy - DS2016'!E39</f>
        <v>37.618742667776559</v>
      </c>
      <c r="M74" s="241">
        <f>-'Energy - DS2016'!F39</f>
        <v>43.048559699960173</v>
      </c>
    </row>
    <row r="75" spans="2:23" ht="15.95" x14ac:dyDescent="0.2">
      <c r="I75" s="245"/>
      <c r="J75" s="241"/>
      <c r="K75" s="241"/>
      <c r="L75" s="241"/>
      <c r="M75" s="239"/>
    </row>
    <row r="76" spans="2:23" ht="15.95" x14ac:dyDescent="0.2">
      <c r="I76" s="247" t="s">
        <v>6</v>
      </c>
      <c r="J76" s="238"/>
      <c r="K76" s="238"/>
      <c r="L76" s="238"/>
      <c r="M76" s="239"/>
    </row>
    <row r="77" spans="2:23" ht="15.95" x14ac:dyDescent="0.2">
      <c r="I77" s="240"/>
      <c r="J77" s="241" t="str">
        <f>J71</f>
        <v>CSR</v>
      </c>
      <c r="K77" s="241" t="str">
        <f>K71</f>
        <v>PSR</v>
      </c>
      <c r="L77" s="241" t="str">
        <f>L71</f>
        <v>SB</v>
      </c>
      <c r="M77" s="242" t="str">
        <f>M71</f>
        <v>SRT</v>
      </c>
    </row>
    <row r="78" spans="2:23" ht="15.95" x14ac:dyDescent="0.2">
      <c r="C78" s="27" t="str">
        <f>C71</f>
        <v>CSR</v>
      </c>
      <c r="D78" s="27" t="str">
        <f>D71</f>
        <v>PSR</v>
      </c>
      <c r="E78" s="27" t="str">
        <f>E71</f>
        <v>SB</v>
      </c>
      <c r="F78" s="27" t="str">
        <f>F71</f>
        <v>SRT</v>
      </c>
      <c r="G78" s="27" t="s">
        <v>146</v>
      </c>
      <c r="I78" s="240" t="str">
        <f>I72</f>
        <v>Annual paddy yield (Mg/ha)</v>
      </c>
      <c r="J78" s="241">
        <f>'Grain and ricestraw'!B40</f>
        <v>0.67919399632739907</v>
      </c>
      <c r="K78" s="241">
        <f>'Grain and ricestraw'!C40</f>
        <v>0.52993221952109082</v>
      </c>
      <c r="L78" s="241">
        <f>'Grain and ricestraw'!D40</f>
        <v>0.41832918945535907</v>
      </c>
      <c r="M78" s="242">
        <f>'Grain and ricestraw'!E40</f>
        <v>0.10946632130355238</v>
      </c>
    </row>
    <row r="79" spans="2:23" ht="15.95" x14ac:dyDescent="0.2">
      <c r="B79" s="27" t="str">
        <f>B72</f>
        <v>Paddy Yield, 4.2 Mg/ha</v>
      </c>
      <c r="C79" s="30">
        <f t="shared" ref="C79:F80" si="13">C72/$G79</f>
        <v>1.0055114320127303</v>
      </c>
      <c r="D79" s="30">
        <f t="shared" si="13"/>
        <v>0.98246512508814132</v>
      </c>
      <c r="E79" s="30">
        <f t="shared" si="13"/>
        <v>0.96602380782391806</v>
      </c>
      <c r="F79" s="30">
        <f t="shared" si="13"/>
        <v>1.0459996350752101</v>
      </c>
      <c r="G79" s="30">
        <f>AVERAGE(C72:F72)</f>
        <v>4.2167202693009038</v>
      </c>
      <c r="I79" s="240" t="str">
        <f>I73</f>
        <v>Head rice recovery (%)</v>
      </c>
      <c r="J79" s="241">
        <f>'Grain and ricestraw'!P40</f>
        <v>1.9932428575034038</v>
      </c>
      <c r="K79" s="241">
        <f>'Grain and ricestraw'!Q40</f>
        <v>4.1688722250562735</v>
      </c>
      <c r="L79" s="241">
        <f>'Grain and ricestraw'!R40</f>
        <v>2.4827435496814538</v>
      </c>
      <c r="M79" s="242">
        <f>'Grain and ricestraw'!S40</f>
        <v>1.6221572135675444</v>
      </c>
    </row>
    <row r="80" spans="2:23" ht="17.100000000000001" thickBot="1" x14ac:dyDescent="0.25">
      <c r="B80" s="27" t="s">
        <v>161</v>
      </c>
      <c r="C80" s="30">
        <f t="shared" si="13"/>
        <v>0.98856100815311254</v>
      </c>
      <c r="D80" s="30">
        <f t="shared" si="13"/>
        <v>0.94095989838175109</v>
      </c>
      <c r="E80" s="30">
        <f t="shared" si="13"/>
        <v>1.0327818370432904</v>
      </c>
      <c r="F80" s="30">
        <f t="shared" si="13"/>
        <v>1.0376972564218463</v>
      </c>
      <c r="G80" s="30">
        <f>AVERAGE(C73:F73)</f>
        <v>49.608555530766111</v>
      </c>
      <c r="I80" s="249" t="str">
        <f>I74</f>
        <v>Net energy balance (GJ/ha)</v>
      </c>
      <c r="J80" s="252">
        <f>'Energy - DS2016'!C40</f>
        <v>11.14</v>
      </c>
      <c r="K80" s="252">
        <f>'Energy - DS2016'!D40</f>
        <v>8.6</v>
      </c>
      <c r="L80" s="252">
        <f>'Energy - DS2016'!E40</f>
        <v>6.58</v>
      </c>
      <c r="M80" s="252">
        <f>'Energy - DS2016'!F40</f>
        <v>1.93</v>
      </c>
    </row>
    <row r="81" spans="2:13" ht="15.95" x14ac:dyDescent="0.2">
      <c r="C81" s="30"/>
      <c r="D81" s="30"/>
      <c r="E81" s="30"/>
      <c r="F81" s="30"/>
      <c r="G81" s="30"/>
    </row>
    <row r="82" spans="2:13" ht="17.100000000000001" thickBot="1" x14ac:dyDescent="0.25"/>
    <row r="83" spans="2:13" ht="15.95" x14ac:dyDescent="0.2">
      <c r="I83" s="254" t="s">
        <v>170</v>
      </c>
      <c r="J83" s="235"/>
      <c r="K83" s="235"/>
      <c r="L83" s="235"/>
      <c r="M83" s="236"/>
    </row>
    <row r="84" spans="2:13" ht="15.95" x14ac:dyDescent="0.2">
      <c r="I84" s="240"/>
      <c r="J84" s="241" t="s">
        <v>2</v>
      </c>
      <c r="K84" s="238" t="s">
        <v>1</v>
      </c>
      <c r="L84" s="238" t="str">
        <f>L71</f>
        <v>SB</v>
      </c>
      <c r="M84" s="239" t="s">
        <v>71</v>
      </c>
    </row>
    <row r="85" spans="2:13" ht="15.95" x14ac:dyDescent="0.2">
      <c r="B85" s="27" t="s">
        <v>162</v>
      </c>
      <c r="I85" s="240" t="str">
        <f>I72</f>
        <v>Annual paddy yield (Mg/ha)</v>
      </c>
      <c r="J85" s="241">
        <f>J51+J72</f>
        <v>10.175027048811661</v>
      </c>
      <c r="K85" s="241">
        <f>K51+K72</f>
        <v>10.204571263341238</v>
      </c>
      <c r="L85" s="241">
        <f>L51+L72</f>
        <v>9.8286987005481734</v>
      </c>
      <c r="M85" s="242">
        <f>M51+M72</f>
        <v>10.143600289673451</v>
      </c>
    </row>
    <row r="86" spans="2:13" ht="15.95" x14ac:dyDescent="0.2">
      <c r="C86" s="27" t="str">
        <f>C50</f>
        <v>CSR</v>
      </c>
      <c r="D86" s="27" t="str">
        <f>D50</f>
        <v>PSR</v>
      </c>
      <c r="E86" s="27" t="str">
        <f>E50</f>
        <v>SB</v>
      </c>
      <c r="F86" s="27" t="str">
        <f>F50</f>
        <v>SRT</v>
      </c>
      <c r="G86" s="35" t="s">
        <v>5</v>
      </c>
      <c r="I86" s="240" t="str">
        <f>I73</f>
        <v>Head rice recovery (%)</v>
      </c>
      <c r="J86" s="241">
        <f>AVERAGE(J52,J73)</f>
        <v>56.175208500923574</v>
      </c>
      <c r="K86" s="241">
        <f>AVERAGE(K52,K73)</f>
        <v>55.372497352214239</v>
      </c>
      <c r="L86" s="241">
        <f>AVERAGE(L52,L73)</f>
        <v>56.886074223731029</v>
      </c>
      <c r="M86" s="242">
        <f>AVERAGE(M52,M73)</f>
        <v>57.891330984663398</v>
      </c>
    </row>
    <row r="87" spans="2:13" ht="15.95" x14ac:dyDescent="0.2">
      <c r="B87" s="27" t="s">
        <v>163</v>
      </c>
      <c r="C87" s="30">
        <f>C51+C72</f>
        <v>10.175027048811661</v>
      </c>
      <c r="D87" s="30">
        <f>D51+D72</f>
        <v>10.204571263341238</v>
      </c>
      <c r="E87" s="30">
        <f>E51+E72</f>
        <v>9.8286987005481734</v>
      </c>
      <c r="F87" s="30">
        <f>F51+F72</f>
        <v>10.143600289673451</v>
      </c>
      <c r="G87" s="34">
        <f>D87</f>
        <v>10.204571263341238</v>
      </c>
      <c r="I87" s="240" t="s">
        <v>371</v>
      </c>
      <c r="J87" s="241">
        <f>(J53+J74)</f>
        <v>116.41278539349413</v>
      </c>
      <c r="K87" s="241">
        <f t="shared" ref="K87:M87" si="14">(K53+K74)</f>
        <v>110.71063684909862</v>
      </c>
      <c r="L87" s="241">
        <f t="shared" si="14"/>
        <v>99.2824889873133</v>
      </c>
      <c r="M87" s="241">
        <f t="shared" si="14"/>
        <v>105.29282995516883</v>
      </c>
    </row>
    <row r="88" spans="2:13" ht="15.95" x14ac:dyDescent="0.2">
      <c r="B88" s="27" t="str">
        <f>B52</f>
        <v>Grain quality (head rice recovery ratio), 63.6%</v>
      </c>
      <c r="C88" s="30">
        <f>AVERAGE(C73,C52)</f>
        <v>56.175208500923574</v>
      </c>
      <c r="D88" s="30">
        <f>AVERAGE(D73,D52)</f>
        <v>55.372497352214239</v>
      </c>
      <c r="E88" s="30">
        <f>AVERAGE(E73,E52)</f>
        <v>56.886074223731029</v>
      </c>
      <c r="F88" s="30">
        <f>AVERAGE(F73,F52)</f>
        <v>57.891330984663398</v>
      </c>
      <c r="G88" s="34">
        <f t="shared" ref="G88:G89" si="15">D88</f>
        <v>55.372497352214239</v>
      </c>
      <c r="I88" s="240" t="s">
        <v>372</v>
      </c>
      <c r="J88" s="312">
        <f>'GHFE and Human Toxicity'!B29</f>
        <v>6.8255499999999998</v>
      </c>
      <c r="K88" s="312">
        <f>'GHFE and Human Toxicity'!C29</f>
        <v>7.6115499999999985</v>
      </c>
      <c r="L88" s="312">
        <f>'GHFE and Human Toxicity'!D29</f>
        <v>7.4035500000000001</v>
      </c>
      <c r="M88" s="312">
        <f>'GHFE and Human Toxicity'!E29</f>
        <v>11.216549999999998</v>
      </c>
    </row>
    <row r="89" spans="2:13" ht="15.95" x14ac:dyDescent="0.2">
      <c r="B89" s="27" t="s">
        <v>164</v>
      </c>
      <c r="C89" s="30">
        <f>'[1]Energy_2 season'!AI43</f>
        <v>3.394130864418464</v>
      </c>
      <c r="D89" s="30">
        <f>'[1]Energy_2 season'!AJ43</f>
        <v>3.4964987582907092</v>
      </c>
      <c r="E89" s="30">
        <f>'[1]Energy_2 season'!AK43</f>
        <v>2.4801696973541958</v>
      </c>
      <c r="F89" s="30">
        <f>'[1]Energy_2 season'!AL43</f>
        <v>3.491567086145059</v>
      </c>
      <c r="G89" s="34">
        <f t="shared" si="15"/>
        <v>3.4964987582907092</v>
      </c>
      <c r="I89" s="255" t="s">
        <v>373</v>
      </c>
      <c r="J89" s="312">
        <f>'GHFE and Human Toxicity'!AI26</f>
        <v>1.1535123093629718</v>
      </c>
      <c r="K89" s="312">
        <f>'GHFE and Human Toxicity'!AJ26</f>
        <v>1.1530071803488486</v>
      </c>
      <c r="L89" s="312">
        <f>'GHFE and Human Toxicity'!AK26</f>
        <v>1.3449708204181556</v>
      </c>
      <c r="M89" s="312">
        <f>'GHFE and Human Toxicity'!AL26</f>
        <v>1.154001143892768</v>
      </c>
    </row>
    <row r="90" spans="2:13" ht="15.95" x14ac:dyDescent="0.2">
      <c r="C90" s="30"/>
      <c r="D90" s="30"/>
      <c r="E90" s="30"/>
      <c r="F90" s="30"/>
      <c r="G90" s="34"/>
      <c r="I90" s="240"/>
      <c r="J90" s="238"/>
      <c r="K90" s="238"/>
      <c r="L90" s="238"/>
      <c r="M90" s="239"/>
    </row>
    <row r="91" spans="2:13" ht="15.95" x14ac:dyDescent="0.2">
      <c r="C91" s="30"/>
      <c r="D91" s="30"/>
      <c r="E91" s="30"/>
      <c r="F91" s="30"/>
      <c r="G91" s="34"/>
      <c r="I91" s="240"/>
      <c r="J91" s="238"/>
      <c r="K91" s="238"/>
      <c r="L91" s="238"/>
      <c r="M91" s="239"/>
    </row>
    <row r="92" spans="2:13" ht="15.95" x14ac:dyDescent="0.2">
      <c r="I92" s="247" t="str">
        <f>I76</f>
        <v>SD</v>
      </c>
      <c r="J92" s="256"/>
      <c r="K92" s="256"/>
      <c r="L92" s="256"/>
      <c r="M92" s="257"/>
    </row>
    <row r="93" spans="2:13" ht="15.95" x14ac:dyDescent="0.2">
      <c r="C93" s="27" t="s">
        <v>165</v>
      </c>
      <c r="D93" s="27" t="s">
        <v>166</v>
      </c>
      <c r="E93" s="27" t="s">
        <v>167</v>
      </c>
      <c r="F93" s="27" t="s">
        <v>168</v>
      </c>
      <c r="I93" s="240"/>
      <c r="J93" s="241" t="str">
        <f>J84</f>
        <v>CSRm</v>
      </c>
      <c r="K93" s="241" t="str">
        <f t="shared" ref="K93:M93" si="16">K84</f>
        <v>PSRm</v>
      </c>
      <c r="L93" s="241" t="str">
        <f t="shared" si="16"/>
        <v>SB</v>
      </c>
      <c r="M93" s="242" t="str">
        <f t="shared" si="16"/>
        <v>SRt</v>
      </c>
    </row>
    <row r="94" spans="2:13" ht="15.95" x14ac:dyDescent="0.2">
      <c r="B94" s="27" t="str">
        <f>B87</f>
        <v>Annual paddy yield (10.2 Mg/ha)</v>
      </c>
      <c r="C94" s="30">
        <f>D87/$G87</f>
        <v>1</v>
      </c>
      <c r="D94" s="30">
        <f>C87/$G87</f>
        <v>0.99710480589853767</v>
      </c>
      <c r="E94" s="30">
        <f t="shared" ref="E94:F96" si="17">E87/$G87</f>
        <v>0.96316625626954611</v>
      </c>
      <c r="F94" s="30">
        <f t="shared" si="17"/>
        <v>0.99402513127750713</v>
      </c>
      <c r="G94" s="30"/>
      <c r="I94" s="240" t="str">
        <f>I78</f>
        <v>Annual paddy yield (Mg/ha)</v>
      </c>
      <c r="J94" s="241">
        <f>J59+J78</f>
        <v>0.8893483192209426</v>
      </c>
      <c r="K94" s="241">
        <f>K59+K78</f>
        <v>1.2117714143585747</v>
      </c>
      <c r="L94" s="241">
        <f>L59+L78</f>
        <v>0.76920413507216789</v>
      </c>
      <c r="M94" s="242">
        <f>M59+M78</f>
        <v>0.76092636013609594</v>
      </c>
    </row>
    <row r="95" spans="2:13" x14ac:dyDescent="0.2">
      <c r="B95" s="27" t="s">
        <v>169</v>
      </c>
      <c r="C95" s="30">
        <f>D88/$G88</f>
        <v>1</v>
      </c>
      <c r="D95" s="30">
        <f>C88/$G88</f>
        <v>1.0144965675577795</v>
      </c>
      <c r="E95" s="30">
        <f t="shared" si="17"/>
        <v>1.0273344520094372</v>
      </c>
      <c r="F95" s="30">
        <f t="shared" si="17"/>
        <v>1.0454888934560296</v>
      </c>
      <c r="G95" s="30"/>
      <c r="I95" s="240" t="str">
        <f>I79</f>
        <v>Head rice recovery (%)</v>
      </c>
      <c r="J95" s="241">
        <f>(J60+J79)/2</f>
        <v>1.6068880371560375</v>
      </c>
      <c r="K95" s="241">
        <f>(K60+K79)/2</f>
        <v>3.1104465088367363</v>
      </c>
      <c r="L95" s="241">
        <f>(L60+L79)/2</f>
        <v>2.6971249590492761</v>
      </c>
      <c r="M95" s="242">
        <f>(M60+M79)/2</f>
        <v>1.2829980914419021</v>
      </c>
    </row>
    <row r="96" spans="2:13" x14ac:dyDescent="0.2">
      <c r="B96" s="27" t="str">
        <f t="shared" ref="B96" si="18">B89</f>
        <v>Net energy balance (4.7)</v>
      </c>
      <c r="C96" s="30">
        <f>D89/$G89</f>
        <v>1</v>
      </c>
      <c r="D96" s="30">
        <f>C89/$G89</f>
        <v>0.97072274267808156</v>
      </c>
      <c r="E96" s="30">
        <f t="shared" si="17"/>
        <v>0.70932949467616746</v>
      </c>
      <c r="F96" s="30">
        <f t="shared" si="17"/>
        <v>0.99858953985498877</v>
      </c>
      <c r="G96" s="30"/>
      <c r="I96" s="240" t="str">
        <f>I87</f>
        <v>Annual net energy (GJ/ha)</v>
      </c>
      <c r="J96" s="241">
        <f>(J61+J80)</f>
        <v>15.21</v>
      </c>
      <c r="K96" s="241">
        <f>(K61+K80)</f>
        <v>20.079999999999998</v>
      </c>
      <c r="L96" s="241">
        <f>(L61+L80)</f>
        <v>12.15</v>
      </c>
      <c r="M96" s="241">
        <f t="shared" ref="M96" si="19">(M61+M80)</f>
        <v>12.22</v>
      </c>
    </row>
    <row r="97" spans="3:21" x14ac:dyDescent="0.2">
      <c r="C97" s="30"/>
      <c r="D97" s="30"/>
      <c r="E97" s="30"/>
      <c r="F97" s="30"/>
      <c r="G97" s="30"/>
      <c r="I97" s="240" t="s">
        <v>155</v>
      </c>
      <c r="J97" s="241">
        <v>0.8126199999999999</v>
      </c>
      <c r="K97" s="241">
        <v>1.2778000000000003</v>
      </c>
      <c r="L97" s="241">
        <v>1.2465550000000003</v>
      </c>
      <c r="M97" s="242">
        <v>2.8166349999999998</v>
      </c>
    </row>
    <row r="98" spans="3:21" ht="15.75" thickBot="1" x14ac:dyDescent="0.25">
      <c r="C98" s="30"/>
      <c r="D98" s="30"/>
      <c r="E98" s="30"/>
      <c r="F98" s="30"/>
      <c r="G98" s="30"/>
      <c r="I98" s="249" t="s">
        <v>156</v>
      </c>
      <c r="J98" s="252">
        <v>2.8272933765634285E-2</v>
      </c>
      <c r="K98" s="252">
        <v>2.7279812853847382E-2</v>
      </c>
      <c r="L98" s="252">
        <v>8.9616829468878167E-2</v>
      </c>
      <c r="M98" s="253">
        <v>2.4281218454084517E-2</v>
      </c>
    </row>
    <row r="103" spans="3:21" x14ac:dyDescent="0.2">
      <c r="U103" s="280"/>
    </row>
    <row r="104" spans="3:21" x14ac:dyDescent="0.2">
      <c r="J104" s="36"/>
      <c r="K104" s="36"/>
      <c r="L104" s="36"/>
      <c r="M104" s="36"/>
    </row>
    <row r="105" spans="3:21" x14ac:dyDescent="0.2">
      <c r="J105" s="36"/>
      <c r="K105" s="36"/>
      <c r="L105" s="36"/>
      <c r="M105" s="36"/>
    </row>
    <row r="106" spans="3:21" x14ac:dyDescent="0.2">
      <c r="J106" s="36"/>
      <c r="K106" s="36"/>
      <c r="L106" s="36"/>
      <c r="M106" s="36"/>
    </row>
    <row r="107" spans="3:21" x14ac:dyDescent="0.2">
      <c r="J107" s="36"/>
      <c r="K107" s="36"/>
      <c r="L107" s="36"/>
      <c r="M107" s="36"/>
    </row>
    <row r="108" spans="3:21" x14ac:dyDescent="0.2">
      <c r="J108" s="30"/>
      <c r="K108" s="30"/>
      <c r="L108" s="30"/>
      <c r="M108" s="30"/>
    </row>
    <row r="109" spans="3:21" x14ac:dyDescent="0.2">
      <c r="J109" s="30"/>
      <c r="K109" s="30"/>
      <c r="L109" s="30"/>
      <c r="M109" s="30"/>
    </row>
    <row r="110" spans="3:21" x14ac:dyDescent="0.2">
      <c r="J110" s="30"/>
      <c r="K110" s="30"/>
      <c r="L110" s="30"/>
      <c r="M110" s="30"/>
    </row>
    <row r="111" spans="3:21" x14ac:dyDescent="0.2">
      <c r="J111" s="30"/>
      <c r="K111" s="30"/>
      <c r="L111" s="30"/>
      <c r="M111" s="30"/>
    </row>
    <row r="112" spans="3:21" x14ac:dyDescent="0.2">
      <c r="J112" s="30"/>
      <c r="K112" s="30"/>
      <c r="L112" s="30"/>
      <c r="M112" s="30"/>
    </row>
    <row r="113" spans="10:13" x14ac:dyDescent="0.2">
      <c r="J113" s="30"/>
      <c r="K113" s="30"/>
      <c r="L113" s="30"/>
      <c r="M113" s="30"/>
    </row>
    <row r="114" spans="10:13" x14ac:dyDescent="0.2">
      <c r="J114" s="30"/>
      <c r="K114" s="30"/>
      <c r="L114" s="30"/>
      <c r="M114" s="30"/>
    </row>
    <row r="115" spans="10:13" x14ac:dyDescent="0.2">
      <c r="J115" s="30"/>
      <c r="K115" s="30"/>
      <c r="L115" s="30"/>
      <c r="M115" s="30"/>
    </row>
    <row r="116" spans="10:13" x14ac:dyDescent="0.2">
      <c r="J116" s="30"/>
      <c r="K116" s="30"/>
      <c r="L116" s="30"/>
      <c r="M116" s="30"/>
    </row>
    <row r="117" spans="10:13" x14ac:dyDescent="0.2">
      <c r="J117" s="30"/>
      <c r="K117" s="30"/>
      <c r="L117" s="30"/>
      <c r="M117" s="30"/>
    </row>
  </sheetData>
  <customSheetViews>
    <customSheetView guid="{B6B32F45-A9D9-479B-AD0E-29A61458D679}" scale="70" hiddenRows="1" hiddenColumns="1" topLeftCell="I69">
      <selection activeCell="Q107" sqref="Q107"/>
      <pageMargins left="0.7" right="0.7" top="0.75" bottom="0.75" header="0.3" footer="0.3"/>
      <pageSetup orientation="portrait" horizontalDpi="300" verticalDpi="300" r:id="rId1"/>
    </customSheetView>
  </customSheetViews>
  <pageMargins left="0.7" right="0.7" top="0.75" bottom="0.75" header="0.3" footer="0.3"/>
  <pageSetup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8"/>
  <sheetViews>
    <sheetView topLeftCell="A16" workbookViewId="0">
      <selection activeCell="N19" sqref="N19"/>
    </sheetView>
  </sheetViews>
  <sheetFormatPr defaultColWidth="15.140625" defaultRowHeight="15" customHeight="1" x14ac:dyDescent="0.25"/>
  <cols>
    <col min="1" max="1" width="11.28515625" style="40" customWidth="1"/>
    <col min="2" max="2" width="10" style="40" customWidth="1"/>
    <col min="3" max="7" width="10.140625" style="40" customWidth="1"/>
    <col min="8" max="8" width="9.42578125" style="40" customWidth="1"/>
    <col min="9" max="10" width="7.42578125" style="40" customWidth="1"/>
    <col min="11" max="11" width="10" style="40" customWidth="1"/>
    <col min="12" max="15" width="7.42578125" style="40" customWidth="1"/>
    <col min="16" max="16" width="11.85546875" style="40" customWidth="1"/>
    <col min="17" max="27" width="7.42578125" style="40" customWidth="1"/>
    <col min="28" max="16384" width="15.140625" style="40"/>
  </cols>
  <sheetData>
    <row r="1" spans="1:9" ht="27" customHeight="1" thickBot="1" x14ac:dyDescent="0.25">
      <c r="A1" s="37" t="s">
        <v>175</v>
      </c>
      <c r="B1" s="38" t="s">
        <v>176</v>
      </c>
      <c r="C1" s="39"/>
      <c r="D1" s="39"/>
      <c r="E1" s="39"/>
      <c r="F1" s="39"/>
      <c r="G1" s="39"/>
      <c r="H1" s="39"/>
      <c r="I1" s="39"/>
    </row>
    <row r="2" spans="1:9" ht="27" customHeight="1" thickBot="1" x14ac:dyDescent="0.25">
      <c r="A2" s="37" t="s">
        <v>177</v>
      </c>
      <c r="B2" s="38" t="s">
        <v>178</v>
      </c>
      <c r="C2" s="39"/>
      <c r="D2" s="39"/>
      <c r="E2" s="39"/>
      <c r="F2" s="39" t="s">
        <v>179</v>
      </c>
      <c r="G2" s="41">
        <f>10/D17</f>
        <v>15.793546756795173</v>
      </c>
      <c r="I2" s="39"/>
    </row>
    <row r="3" spans="1:9" ht="39.75" customHeight="1" thickBot="1" x14ac:dyDescent="0.25">
      <c r="A3" s="42" t="s">
        <v>180</v>
      </c>
      <c r="B3" s="43" t="s">
        <v>181</v>
      </c>
      <c r="C3" s="533" t="s">
        <v>182</v>
      </c>
      <c r="D3" s="534"/>
      <c r="E3" s="43" t="s">
        <v>183</v>
      </c>
      <c r="F3" s="43" t="s">
        <v>184</v>
      </c>
    </row>
    <row r="4" spans="1:9" ht="15.75" customHeight="1" thickBot="1" x14ac:dyDescent="0.25">
      <c r="A4" s="44"/>
      <c r="B4" s="45"/>
      <c r="C4" s="44" t="s">
        <v>185</v>
      </c>
      <c r="D4" s="44" t="s">
        <v>186</v>
      </c>
      <c r="E4" s="46" t="s">
        <v>187</v>
      </c>
      <c r="F4" s="47" t="s">
        <v>188</v>
      </c>
    </row>
    <row r="5" spans="1:9" ht="15.75" customHeight="1" thickBot="1" x14ac:dyDescent="0.25">
      <c r="A5" s="46">
        <v>1</v>
      </c>
      <c r="B5" s="45" t="s">
        <v>141</v>
      </c>
      <c r="C5" s="48">
        <v>506.1</v>
      </c>
      <c r="D5" s="49">
        <f t="shared" ref="D5:D16" si="0">C5/10000</f>
        <v>5.0610000000000002E-2</v>
      </c>
      <c r="E5" s="49">
        <f t="shared" ref="E5:E16" si="1">G$2*D5*1000</f>
        <v>799.3114013614038</v>
      </c>
      <c r="F5" s="41">
        <f t="shared" ref="F5:F16" si="2">E5/1000/D5</f>
        <v>15.793546756795173</v>
      </c>
    </row>
    <row r="6" spans="1:9" ht="15.75" customHeight="1" thickBot="1" x14ac:dyDescent="0.25">
      <c r="A6" s="46">
        <v>2</v>
      </c>
      <c r="B6" s="45" t="s">
        <v>5</v>
      </c>
      <c r="C6" s="48">
        <v>592.9</v>
      </c>
      <c r="D6" s="49">
        <f t="shared" si="0"/>
        <v>5.9289999999999995E-2</v>
      </c>
      <c r="E6" s="49">
        <f t="shared" si="1"/>
        <v>936.39938721038573</v>
      </c>
      <c r="F6" s="41">
        <f t="shared" si="2"/>
        <v>15.793546756795173</v>
      </c>
    </row>
    <row r="7" spans="1:9" ht="15.75" customHeight="1" thickBot="1" x14ac:dyDescent="0.25">
      <c r="A7" s="46">
        <v>3</v>
      </c>
      <c r="B7" s="45" t="s">
        <v>70</v>
      </c>
      <c r="C7" s="48">
        <v>457.9</v>
      </c>
      <c r="D7" s="49">
        <f t="shared" si="0"/>
        <v>4.5789999999999997E-2</v>
      </c>
      <c r="E7" s="49">
        <f t="shared" si="1"/>
        <v>723.18650599365094</v>
      </c>
      <c r="F7" s="41">
        <f t="shared" si="2"/>
        <v>15.793546756795173</v>
      </c>
    </row>
    <row r="8" spans="1:9" ht="15.75" customHeight="1" thickBot="1" x14ac:dyDescent="0.25">
      <c r="A8" s="46">
        <v>4</v>
      </c>
      <c r="B8" s="45" t="s">
        <v>141</v>
      </c>
      <c r="C8" s="48">
        <v>578.4</v>
      </c>
      <c r="D8" s="49">
        <f t="shared" si="0"/>
        <v>5.7839999999999996E-2</v>
      </c>
      <c r="E8" s="49">
        <f t="shared" si="1"/>
        <v>913.4987444130328</v>
      </c>
      <c r="F8" s="41">
        <f t="shared" si="2"/>
        <v>15.793546756795173</v>
      </c>
    </row>
    <row r="9" spans="1:9" ht="15.75" customHeight="1" thickBot="1" x14ac:dyDescent="0.25">
      <c r="A9" s="46">
        <v>5</v>
      </c>
      <c r="B9" s="45" t="s">
        <v>70</v>
      </c>
      <c r="C9" s="48">
        <v>501.3</v>
      </c>
      <c r="D9" s="49">
        <f t="shared" si="0"/>
        <v>5.0130000000000001E-2</v>
      </c>
      <c r="E9" s="49">
        <f t="shared" si="1"/>
        <v>791.73049891814208</v>
      </c>
      <c r="F9" s="41">
        <f t="shared" si="2"/>
        <v>15.793546756795173</v>
      </c>
    </row>
    <row r="10" spans="1:9" ht="15.75" customHeight="1" thickBot="1" x14ac:dyDescent="0.25">
      <c r="A10" s="46">
        <v>6</v>
      </c>
      <c r="B10" s="45" t="s">
        <v>149</v>
      </c>
      <c r="C10" s="48">
        <v>592.9</v>
      </c>
      <c r="D10" s="49">
        <f t="shared" si="0"/>
        <v>5.9289999999999995E-2</v>
      </c>
      <c r="E10" s="49">
        <f t="shared" si="1"/>
        <v>936.39938721038573</v>
      </c>
      <c r="F10" s="41">
        <f t="shared" si="2"/>
        <v>15.793546756795173</v>
      </c>
    </row>
    <row r="11" spans="1:9" ht="15.75" customHeight="1" thickBot="1" x14ac:dyDescent="0.25">
      <c r="A11" s="46">
        <v>7</v>
      </c>
      <c r="B11" s="45" t="s">
        <v>70</v>
      </c>
      <c r="C11" s="48">
        <v>486.2</v>
      </c>
      <c r="D11" s="49">
        <f t="shared" si="0"/>
        <v>4.8619999999999997E-2</v>
      </c>
      <c r="E11" s="49">
        <f t="shared" si="1"/>
        <v>767.88224331538129</v>
      </c>
      <c r="F11" s="41">
        <f t="shared" si="2"/>
        <v>15.793546756795173</v>
      </c>
    </row>
    <row r="12" spans="1:9" ht="15.75" customHeight="1" thickBot="1" x14ac:dyDescent="0.25">
      <c r="A12" s="46">
        <v>8</v>
      </c>
      <c r="B12" s="45" t="s">
        <v>149</v>
      </c>
      <c r="C12" s="48">
        <v>569.5</v>
      </c>
      <c r="D12" s="49">
        <f t="shared" si="0"/>
        <v>5.6950000000000001E-2</v>
      </c>
      <c r="E12" s="49">
        <f t="shared" si="1"/>
        <v>899.44248779948509</v>
      </c>
      <c r="F12" s="41">
        <f t="shared" si="2"/>
        <v>15.793546756795173</v>
      </c>
    </row>
    <row r="13" spans="1:9" ht="15.75" customHeight="1" thickBot="1" x14ac:dyDescent="0.25">
      <c r="A13" s="46">
        <v>9</v>
      </c>
      <c r="B13" s="45" t="s">
        <v>149</v>
      </c>
      <c r="C13" s="48">
        <v>439.9</v>
      </c>
      <c r="D13" s="49">
        <f t="shared" si="0"/>
        <v>4.3989999999999994E-2</v>
      </c>
      <c r="E13" s="49">
        <f t="shared" si="1"/>
        <v>694.75812183141966</v>
      </c>
      <c r="F13" s="41">
        <f t="shared" si="2"/>
        <v>15.793546756795173</v>
      </c>
    </row>
    <row r="14" spans="1:9" ht="15.75" customHeight="1" thickBot="1" x14ac:dyDescent="0.25">
      <c r="A14" s="46">
        <v>10</v>
      </c>
      <c r="B14" s="45" t="s">
        <v>5</v>
      </c>
      <c r="C14" s="48">
        <v>555.6</v>
      </c>
      <c r="D14" s="49">
        <f t="shared" si="0"/>
        <v>5.5560000000000005E-2</v>
      </c>
      <c r="E14" s="49">
        <f t="shared" si="1"/>
        <v>877.48945780753991</v>
      </c>
      <c r="F14" s="41">
        <f t="shared" si="2"/>
        <v>15.793546756795173</v>
      </c>
    </row>
    <row r="15" spans="1:9" ht="15.75" customHeight="1" thickBot="1" x14ac:dyDescent="0.25">
      <c r="A15" s="46">
        <v>11</v>
      </c>
      <c r="B15" s="45" t="s">
        <v>141</v>
      </c>
      <c r="C15" s="48">
        <v>481.5</v>
      </c>
      <c r="D15" s="49">
        <f t="shared" si="0"/>
        <v>4.8149999999999998E-2</v>
      </c>
      <c r="E15" s="49">
        <f t="shared" si="1"/>
        <v>760.45927633968756</v>
      </c>
      <c r="F15" s="41">
        <f t="shared" si="2"/>
        <v>15.793546756795173</v>
      </c>
    </row>
    <row r="16" spans="1:9" ht="15.75" customHeight="1" thickBot="1" x14ac:dyDescent="0.25">
      <c r="A16" s="46">
        <v>12</v>
      </c>
      <c r="B16" s="45" t="s">
        <v>5</v>
      </c>
      <c r="C16" s="48">
        <v>569.5</v>
      </c>
      <c r="D16" s="49">
        <f t="shared" si="0"/>
        <v>5.6950000000000001E-2</v>
      </c>
      <c r="E16" s="49">
        <f t="shared" si="1"/>
        <v>899.44248779948509</v>
      </c>
      <c r="F16" s="41">
        <f t="shared" si="2"/>
        <v>15.793546756795173</v>
      </c>
    </row>
    <row r="17" spans="1:19" x14ac:dyDescent="0.2">
      <c r="A17" s="47"/>
      <c r="B17" s="47"/>
      <c r="D17" s="41">
        <f>SUM(D5:D16)</f>
        <v>0.63317000000000001</v>
      </c>
      <c r="E17" s="47"/>
    </row>
    <row r="18" spans="1:19" x14ac:dyDescent="0.2">
      <c r="A18" s="47"/>
      <c r="B18" s="47"/>
      <c r="C18" s="47"/>
      <c r="D18" s="47"/>
      <c r="E18" s="47"/>
      <c r="F18" s="47"/>
      <c r="G18" s="47"/>
    </row>
    <row r="19" spans="1:19" x14ac:dyDescent="0.2">
      <c r="A19" s="47"/>
      <c r="B19" s="47"/>
      <c r="C19" s="47"/>
      <c r="D19" s="47"/>
      <c r="E19" s="47"/>
      <c r="F19" s="47"/>
      <c r="G19" s="47"/>
    </row>
    <row r="20" spans="1:19" x14ac:dyDescent="0.2">
      <c r="A20" s="47"/>
      <c r="B20" s="47"/>
      <c r="C20" s="47"/>
      <c r="D20" s="47"/>
      <c r="E20" s="47"/>
      <c r="F20" s="47"/>
      <c r="G20" s="47"/>
    </row>
    <row r="21" spans="1:19" ht="15.95" x14ac:dyDescent="0.2">
      <c r="A21" s="50" t="s">
        <v>189</v>
      </c>
      <c r="B21" s="526" t="s">
        <v>190</v>
      </c>
      <c r="C21" s="527"/>
      <c r="D21" s="527"/>
      <c r="E21" s="527"/>
      <c r="F21" s="527"/>
      <c r="G21" s="527"/>
      <c r="H21" s="527"/>
      <c r="I21" s="527"/>
      <c r="J21" s="527"/>
      <c r="K21" s="527"/>
    </row>
    <row r="22" spans="1:19" ht="30.95" x14ac:dyDescent="0.2">
      <c r="A22" s="51" t="s">
        <v>180</v>
      </c>
      <c r="B22" s="52" t="s">
        <v>181</v>
      </c>
      <c r="C22" s="528" t="s">
        <v>182</v>
      </c>
      <c r="D22" s="529"/>
      <c r="E22" s="530" t="s">
        <v>191</v>
      </c>
      <c r="F22" s="527"/>
      <c r="G22" s="527"/>
      <c r="H22" s="53" t="s">
        <v>183</v>
      </c>
      <c r="I22" s="531" t="s">
        <v>192</v>
      </c>
      <c r="J22" s="527"/>
      <c r="K22" s="52" t="s">
        <v>193</v>
      </c>
      <c r="L22" s="54"/>
      <c r="P22" s="40" t="str">
        <f>B21</f>
        <v>FIRST PUDDLING</v>
      </c>
      <c r="S22" s="54" t="s">
        <v>194</v>
      </c>
    </row>
    <row r="23" spans="1:19" ht="15.95" x14ac:dyDescent="0.2">
      <c r="A23" s="55"/>
      <c r="B23" s="56"/>
      <c r="C23" s="57" t="s">
        <v>185</v>
      </c>
      <c r="D23" s="58" t="s">
        <v>186</v>
      </c>
      <c r="E23" s="59" t="s">
        <v>195</v>
      </c>
      <c r="F23" s="60" t="s">
        <v>195</v>
      </c>
      <c r="G23" s="60" t="s">
        <v>196</v>
      </c>
      <c r="H23" s="61" t="s">
        <v>187</v>
      </c>
      <c r="I23" s="60" t="s">
        <v>197</v>
      </c>
      <c r="J23" s="62" t="s">
        <v>188</v>
      </c>
      <c r="K23" s="63" t="s">
        <v>198</v>
      </c>
      <c r="P23" s="40" t="str">
        <f>B24</f>
        <v>CSR</v>
      </c>
      <c r="Q23" s="40" t="str">
        <f>B27</f>
        <v>PSR</v>
      </c>
      <c r="R23" s="40" t="str">
        <f>B30</f>
        <v>SB</v>
      </c>
      <c r="S23" s="40" t="str">
        <f>B33</f>
        <v>SRT</v>
      </c>
    </row>
    <row r="24" spans="1:19" ht="15.95" x14ac:dyDescent="0.2">
      <c r="A24" s="63">
        <v>1</v>
      </c>
      <c r="B24" s="64" t="s">
        <v>141</v>
      </c>
      <c r="C24" s="65">
        <v>506.1</v>
      </c>
      <c r="D24" s="66">
        <f t="shared" ref="D24:D35" si="3">C24/10000</f>
        <v>5.0610000000000002E-2</v>
      </c>
      <c r="E24" s="67" t="s">
        <v>199</v>
      </c>
      <c r="F24" s="68">
        <f>13+(5/60)</f>
        <v>13.083333333333334</v>
      </c>
      <c r="G24" s="68">
        <f t="shared" ref="G24:G35" si="4">F24/60</f>
        <v>0.21805555555555556</v>
      </c>
      <c r="H24" s="69">
        <v>360</v>
      </c>
      <c r="I24" s="68">
        <f t="shared" ref="I24:I35" si="5">(H24/1000)/G24</f>
        <v>1.6509554140127387</v>
      </c>
      <c r="J24" s="70">
        <f t="shared" ref="J24:J35" si="6">(H24/1000)/D24</f>
        <v>7.1132187314759925</v>
      </c>
      <c r="K24" s="70">
        <f t="shared" ref="K24:K35" si="7">G24/D24</f>
        <v>4.3085468396671711</v>
      </c>
      <c r="P24" s="71">
        <f>J24</f>
        <v>7.1132187314759925</v>
      </c>
      <c r="Q24" s="72">
        <f>J27</f>
        <v>5.7345252150446964</v>
      </c>
      <c r="R24" s="71">
        <f>J30</f>
        <v>5.0229307709106799</v>
      </c>
      <c r="S24" s="71">
        <f>J33</f>
        <v>4.0479001517962558</v>
      </c>
    </row>
    <row r="25" spans="1:19" ht="15.95" x14ac:dyDescent="0.2">
      <c r="A25" s="63">
        <v>2</v>
      </c>
      <c r="B25" s="64" t="s">
        <v>141</v>
      </c>
      <c r="C25" s="65">
        <v>578.4</v>
      </c>
      <c r="D25" s="66">
        <f t="shared" si="3"/>
        <v>5.7839999999999996E-2</v>
      </c>
      <c r="E25" s="67" t="s">
        <v>200</v>
      </c>
      <c r="F25" s="68">
        <f>17+(55/60)</f>
        <v>17.916666666666668</v>
      </c>
      <c r="G25" s="68">
        <f t="shared" si="4"/>
        <v>0.2986111111111111</v>
      </c>
      <c r="H25" s="69">
        <v>370</v>
      </c>
      <c r="I25" s="68">
        <f t="shared" si="5"/>
        <v>1.2390697674418605</v>
      </c>
      <c r="J25" s="70">
        <f t="shared" si="6"/>
        <v>6.3969571230982023</v>
      </c>
      <c r="K25" s="70">
        <f t="shared" si="7"/>
        <v>5.1627093898878131</v>
      </c>
      <c r="P25" s="71">
        <f>J25</f>
        <v>6.3969571230982023</v>
      </c>
      <c r="Q25" s="72">
        <f>J28</f>
        <v>5.0395968322534195</v>
      </c>
      <c r="R25" s="71">
        <f>J31</f>
        <v>3.9078568490333199</v>
      </c>
      <c r="S25" s="71">
        <f>J34</f>
        <v>4.5654082528533806</v>
      </c>
    </row>
    <row r="26" spans="1:19" ht="15.95" x14ac:dyDescent="0.2">
      <c r="A26" s="63">
        <v>3</v>
      </c>
      <c r="B26" s="64" t="s">
        <v>201</v>
      </c>
      <c r="C26" s="73">
        <v>481.5</v>
      </c>
      <c r="D26" s="74">
        <f t="shared" si="3"/>
        <v>4.8149999999999998E-2</v>
      </c>
      <c r="E26" s="75" t="s">
        <v>202</v>
      </c>
      <c r="F26" s="76">
        <f>36+(20/60)</f>
        <v>36.333333333333336</v>
      </c>
      <c r="G26" s="76">
        <f t="shared" si="4"/>
        <v>0.60555555555555562</v>
      </c>
      <c r="H26" s="77">
        <v>760</v>
      </c>
      <c r="I26" s="76">
        <f t="shared" si="5"/>
        <v>1.2550458715596329</v>
      </c>
      <c r="J26" s="78">
        <f t="shared" si="6"/>
        <v>15.784008307372794</v>
      </c>
      <c r="K26" s="78"/>
      <c r="P26" s="71"/>
      <c r="Q26" s="72">
        <f>J29</f>
        <v>5.2677787532923617</v>
      </c>
      <c r="R26" s="71"/>
      <c r="S26" s="71">
        <f>J35</f>
        <v>6.1377585814957953</v>
      </c>
    </row>
    <row r="27" spans="1:19" ht="15.95" x14ac:dyDescent="0.2">
      <c r="A27" s="63">
        <v>4</v>
      </c>
      <c r="B27" s="64" t="s">
        <v>5</v>
      </c>
      <c r="C27" s="65">
        <v>592.9</v>
      </c>
      <c r="D27" s="66">
        <f t="shared" si="3"/>
        <v>5.9289999999999995E-2</v>
      </c>
      <c r="E27" s="67" t="s">
        <v>203</v>
      </c>
      <c r="F27" s="68">
        <f>15+(21/60)</f>
        <v>15.35</v>
      </c>
      <c r="G27" s="68">
        <f t="shared" si="4"/>
        <v>0.2558333333333333</v>
      </c>
      <c r="H27" s="69">
        <v>340</v>
      </c>
      <c r="I27" s="68">
        <f t="shared" si="5"/>
        <v>1.3289902280130297</v>
      </c>
      <c r="J27" s="70">
        <f t="shared" si="6"/>
        <v>5.7345252150446964</v>
      </c>
      <c r="K27" s="70">
        <f t="shared" si="7"/>
        <v>4.3149491201439254</v>
      </c>
      <c r="O27" s="54" t="s">
        <v>204</v>
      </c>
      <c r="P27" s="71">
        <f>AVERAGE(P24:P26)</f>
        <v>6.7550879272870974</v>
      </c>
      <c r="Q27" s="71">
        <f>AVERAGE(Q24:Q26)</f>
        <v>5.3473002668634919</v>
      </c>
      <c r="R27" s="71">
        <f>AVERAGE(R24:R26)</f>
        <v>4.4653938099719994</v>
      </c>
      <c r="S27" s="71">
        <f>AVERAGE(S24:S26)</f>
        <v>4.9170223287151442</v>
      </c>
    </row>
    <row r="28" spans="1:19" ht="15.95" x14ac:dyDescent="0.2">
      <c r="A28" s="63">
        <v>5</v>
      </c>
      <c r="B28" s="64" t="s">
        <v>5</v>
      </c>
      <c r="C28" s="65">
        <v>555.6</v>
      </c>
      <c r="D28" s="66">
        <f t="shared" si="3"/>
        <v>5.5560000000000005E-2</v>
      </c>
      <c r="E28" s="67" t="s">
        <v>205</v>
      </c>
      <c r="F28" s="68">
        <f>12+(20/60)</f>
        <v>12.333333333333334</v>
      </c>
      <c r="G28" s="68">
        <f t="shared" si="4"/>
        <v>0.20555555555555557</v>
      </c>
      <c r="H28" s="69">
        <v>280</v>
      </c>
      <c r="I28" s="68">
        <f t="shared" si="5"/>
        <v>1.3621621621621622</v>
      </c>
      <c r="J28" s="70">
        <f t="shared" si="6"/>
        <v>5.0395968322534195</v>
      </c>
      <c r="K28" s="70">
        <f t="shared" si="7"/>
        <v>3.6997040236781058</v>
      </c>
      <c r="M28" s="54"/>
      <c r="O28" s="54" t="s">
        <v>206</v>
      </c>
      <c r="P28" s="79">
        <f>STDEV(P24:P26)</f>
        <v>0.50647344038751863</v>
      </c>
      <c r="Q28" s="79">
        <f>STDEV(Q24:Q26)</f>
        <v>0.35422325960149414</v>
      </c>
      <c r="R28" s="79">
        <f>STDEV(R24:R26)</f>
        <v>0.78847633168376308</v>
      </c>
      <c r="S28" s="79">
        <f>STDEV(S24:S26)</f>
        <v>1.0883939579971227</v>
      </c>
    </row>
    <row r="29" spans="1:19" ht="15.95" x14ac:dyDescent="0.2">
      <c r="A29" s="63">
        <v>6</v>
      </c>
      <c r="B29" s="64" t="s">
        <v>5</v>
      </c>
      <c r="C29" s="65">
        <v>569.5</v>
      </c>
      <c r="D29" s="66">
        <f t="shared" si="3"/>
        <v>5.6950000000000001E-2</v>
      </c>
      <c r="E29" s="67" t="s">
        <v>207</v>
      </c>
      <c r="F29" s="68">
        <f>17+(21/60)</f>
        <v>17.350000000000001</v>
      </c>
      <c r="G29" s="68">
        <f t="shared" si="4"/>
        <v>0.28916666666666668</v>
      </c>
      <c r="H29" s="69">
        <v>300</v>
      </c>
      <c r="I29" s="68">
        <f t="shared" si="5"/>
        <v>1.0374639769452449</v>
      </c>
      <c r="J29" s="70">
        <f t="shared" si="6"/>
        <v>5.2677787532923617</v>
      </c>
      <c r="K29" s="70">
        <f t="shared" si="7"/>
        <v>5.0775534094234711</v>
      </c>
    </row>
    <row r="30" spans="1:19" ht="15.95" x14ac:dyDescent="0.2">
      <c r="A30" s="63">
        <v>7</v>
      </c>
      <c r="B30" s="64" t="s">
        <v>70</v>
      </c>
      <c r="C30" s="65">
        <v>457.9</v>
      </c>
      <c r="D30" s="66">
        <f t="shared" si="3"/>
        <v>4.5789999999999997E-2</v>
      </c>
      <c r="E30" s="67" t="s">
        <v>208</v>
      </c>
      <c r="F30" s="68">
        <f>13+(31/60)</f>
        <v>13.516666666666667</v>
      </c>
      <c r="G30" s="68">
        <f t="shared" si="4"/>
        <v>0.2252777777777778</v>
      </c>
      <c r="H30" s="69">
        <v>230</v>
      </c>
      <c r="I30" s="68">
        <f t="shared" si="5"/>
        <v>1.0209617755856966</v>
      </c>
      <c r="J30" s="70">
        <f t="shared" si="6"/>
        <v>5.0229307709106799</v>
      </c>
      <c r="K30" s="70">
        <f t="shared" si="7"/>
        <v>4.9198029652277313</v>
      </c>
      <c r="O30" s="54"/>
    </row>
    <row r="31" spans="1:19" ht="15.95" x14ac:dyDescent="0.2">
      <c r="A31" s="63">
        <v>8</v>
      </c>
      <c r="B31" s="64" t="s">
        <v>70</v>
      </c>
      <c r="C31" s="65">
        <v>486.2</v>
      </c>
      <c r="D31" s="66">
        <f t="shared" si="3"/>
        <v>4.8619999999999997E-2</v>
      </c>
      <c r="E31" s="67" t="s">
        <v>209</v>
      </c>
      <c r="F31" s="68">
        <f>7+(56/60)</f>
        <v>7.9333333333333336</v>
      </c>
      <c r="G31" s="68">
        <f t="shared" si="4"/>
        <v>0.13222222222222221</v>
      </c>
      <c r="H31" s="69">
        <v>190</v>
      </c>
      <c r="I31" s="68">
        <f t="shared" si="5"/>
        <v>1.4369747899159666</v>
      </c>
      <c r="J31" s="70">
        <f t="shared" si="6"/>
        <v>3.9078568490333199</v>
      </c>
      <c r="K31" s="70">
        <f t="shared" si="7"/>
        <v>2.7195027195027195</v>
      </c>
    </row>
    <row r="32" spans="1:19" ht="15.95" x14ac:dyDescent="0.2">
      <c r="A32" s="63">
        <v>9</v>
      </c>
      <c r="B32" s="64" t="s">
        <v>210</v>
      </c>
      <c r="C32" s="73">
        <v>501.3</v>
      </c>
      <c r="D32" s="74">
        <f t="shared" si="3"/>
        <v>5.0130000000000001E-2</v>
      </c>
      <c r="E32" s="75" t="s">
        <v>211</v>
      </c>
      <c r="F32" s="76">
        <f>41+(42/60)</f>
        <v>41.7</v>
      </c>
      <c r="G32" s="76">
        <f t="shared" si="4"/>
        <v>0.69500000000000006</v>
      </c>
      <c r="H32" s="77">
        <v>910</v>
      </c>
      <c r="I32" s="76">
        <f t="shared" si="5"/>
        <v>1.3093525179856114</v>
      </c>
      <c r="J32" s="78">
        <f t="shared" si="6"/>
        <v>18.15280271294634</v>
      </c>
      <c r="K32" s="78"/>
    </row>
    <row r="33" spans="1:19" ht="15.95" x14ac:dyDescent="0.2">
      <c r="A33" s="63">
        <v>10</v>
      </c>
      <c r="B33" s="64" t="s">
        <v>149</v>
      </c>
      <c r="C33" s="65">
        <v>592.9</v>
      </c>
      <c r="D33" s="66">
        <f t="shared" si="3"/>
        <v>5.9289999999999995E-2</v>
      </c>
      <c r="E33" s="67" t="s">
        <v>212</v>
      </c>
      <c r="F33" s="68">
        <f>13+(47/60)</f>
        <v>13.783333333333333</v>
      </c>
      <c r="G33" s="68">
        <f t="shared" si="4"/>
        <v>0.22972222222222222</v>
      </c>
      <c r="H33" s="69">
        <v>240</v>
      </c>
      <c r="I33" s="68">
        <f t="shared" si="5"/>
        <v>1.0447400241837967</v>
      </c>
      <c r="J33" s="70">
        <f t="shared" si="6"/>
        <v>4.0479001517962558</v>
      </c>
      <c r="K33" s="70">
        <f t="shared" si="7"/>
        <v>3.8745525758512773</v>
      </c>
    </row>
    <row r="34" spans="1:19" ht="15.95" x14ac:dyDescent="0.2">
      <c r="A34" s="63">
        <v>11</v>
      </c>
      <c r="B34" s="64" t="s">
        <v>149</v>
      </c>
      <c r="C34" s="65">
        <v>569.5</v>
      </c>
      <c r="D34" s="66">
        <f t="shared" si="3"/>
        <v>5.6950000000000001E-2</v>
      </c>
      <c r="E34" s="67" t="s">
        <v>213</v>
      </c>
      <c r="F34" s="68">
        <f>15+(35/60)</f>
        <v>15.583333333333334</v>
      </c>
      <c r="G34" s="68">
        <f t="shared" si="4"/>
        <v>0.25972222222222224</v>
      </c>
      <c r="H34" s="69">
        <v>260</v>
      </c>
      <c r="I34" s="68">
        <f t="shared" si="5"/>
        <v>1.0010695187165775</v>
      </c>
      <c r="J34" s="70">
        <f t="shared" si="6"/>
        <v>4.5654082528533806</v>
      </c>
      <c r="K34" s="70">
        <f t="shared" si="7"/>
        <v>4.5605306799336649</v>
      </c>
    </row>
    <row r="35" spans="1:19" ht="15.95" x14ac:dyDescent="0.2">
      <c r="A35" s="63">
        <v>12</v>
      </c>
      <c r="B35" s="64" t="s">
        <v>149</v>
      </c>
      <c r="C35" s="65">
        <v>439.9</v>
      </c>
      <c r="D35" s="66">
        <f t="shared" si="3"/>
        <v>4.3989999999999994E-2</v>
      </c>
      <c r="E35" s="67" t="s">
        <v>214</v>
      </c>
      <c r="F35" s="68">
        <f>10+(25/60)</f>
        <v>10.416666666666666</v>
      </c>
      <c r="G35" s="68">
        <f t="shared" si="4"/>
        <v>0.1736111111111111</v>
      </c>
      <c r="H35" s="69">
        <v>270</v>
      </c>
      <c r="I35" s="68">
        <f t="shared" si="5"/>
        <v>1.5552000000000001</v>
      </c>
      <c r="J35" s="70">
        <f t="shared" si="6"/>
        <v>6.1377585814957953</v>
      </c>
      <c r="K35" s="70">
        <f t="shared" si="7"/>
        <v>3.9466040261675639</v>
      </c>
    </row>
    <row r="36" spans="1:19" x14ac:dyDescent="0.2">
      <c r="A36" s="40" t="s">
        <v>215</v>
      </c>
      <c r="B36" s="47"/>
      <c r="C36" s="80"/>
      <c r="D36" s="80"/>
      <c r="E36" s="80"/>
      <c r="F36" s="80"/>
      <c r="G36" s="80"/>
      <c r="H36" s="81"/>
      <c r="I36" s="81"/>
      <c r="J36" s="81"/>
      <c r="K36" s="82">
        <f>AVERAGE(K24:K35)</f>
        <v>4.2584455749483441</v>
      </c>
      <c r="L36" s="54" t="s">
        <v>216</v>
      </c>
    </row>
    <row r="37" spans="1:19" x14ac:dyDescent="0.2">
      <c r="A37" s="83"/>
      <c r="B37" s="82"/>
      <c r="C37" s="82"/>
      <c r="D37" s="82"/>
      <c r="E37" s="82"/>
      <c r="F37" s="82"/>
      <c r="G37" s="82"/>
      <c r="H37" s="82"/>
      <c r="I37" s="82"/>
      <c r="J37" s="82"/>
      <c r="K37" s="82">
        <f>STDEV(K24:K35)</f>
        <v>0.74148040409631077</v>
      </c>
    </row>
    <row r="38" spans="1:19" x14ac:dyDescent="0.2">
      <c r="A38" s="83">
        <v>42349</v>
      </c>
      <c r="B38" s="526" t="s">
        <v>217</v>
      </c>
      <c r="C38" s="527"/>
      <c r="D38" s="527"/>
      <c r="E38" s="527"/>
      <c r="F38" s="527"/>
      <c r="G38" s="527"/>
      <c r="H38" s="527"/>
      <c r="I38" s="527"/>
      <c r="J38" s="527"/>
      <c r="K38" s="527"/>
    </row>
    <row r="39" spans="1:19" x14ac:dyDescent="0.2">
      <c r="A39" s="47"/>
      <c r="B39" s="47"/>
      <c r="C39" s="47"/>
      <c r="D39" s="47"/>
      <c r="E39" s="47"/>
      <c r="F39" s="47"/>
      <c r="G39" s="47"/>
    </row>
    <row r="40" spans="1:19" ht="30.95" x14ac:dyDescent="0.2">
      <c r="A40" s="51" t="s">
        <v>180</v>
      </c>
      <c r="B40" s="84" t="s">
        <v>181</v>
      </c>
      <c r="C40" s="532" t="s">
        <v>182</v>
      </c>
      <c r="D40" s="529"/>
      <c r="E40" s="530" t="s">
        <v>191</v>
      </c>
      <c r="F40" s="527"/>
      <c r="G40" s="527"/>
      <c r="H40" s="53" t="s">
        <v>183</v>
      </c>
      <c r="I40" s="531" t="s">
        <v>192</v>
      </c>
      <c r="J40" s="527"/>
      <c r="K40" s="52" t="s">
        <v>193</v>
      </c>
      <c r="S40" s="54" t="s">
        <v>194</v>
      </c>
    </row>
    <row r="41" spans="1:19" ht="15.95" x14ac:dyDescent="0.2">
      <c r="A41" s="85"/>
      <c r="B41" s="86"/>
      <c r="C41" s="58" t="s">
        <v>185</v>
      </c>
      <c r="D41" s="58" t="s">
        <v>186</v>
      </c>
      <c r="E41" s="59" t="s">
        <v>195</v>
      </c>
      <c r="F41" s="60" t="s">
        <v>195</v>
      </c>
      <c r="G41" s="60" t="s">
        <v>196</v>
      </c>
      <c r="H41" s="61" t="s">
        <v>187</v>
      </c>
      <c r="I41" s="60" t="s">
        <v>197</v>
      </c>
      <c r="J41" s="87" t="s">
        <v>188</v>
      </c>
      <c r="K41" s="63" t="s">
        <v>198</v>
      </c>
      <c r="P41" s="40" t="str">
        <f>B42</f>
        <v>CSR</v>
      </c>
      <c r="Q41" s="40" t="str">
        <f>B45</f>
        <v>PSR</v>
      </c>
      <c r="R41" s="40" t="str">
        <f>B48</f>
        <v>SB</v>
      </c>
      <c r="S41" s="40" t="str">
        <f>B51</f>
        <v>SRT</v>
      </c>
    </row>
    <row r="42" spans="1:19" ht="15.95" x14ac:dyDescent="0.2">
      <c r="A42" s="63">
        <v>1</v>
      </c>
      <c r="B42" s="88" t="s">
        <v>141</v>
      </c>
      <c r="C42" s="89">
        <v>506.1</v>
      </c>
      <c r="D42" s="66">
        <f t="shared" ref="D42:D53" si="8">C42/10000</f>
        <v>5.0610000000000002E-2</v>
      </c>
      <c r="E42" s="67" t="s">
        <v>218</v>
      </c>
      <c r="F42" s="70">
        <f>18+(2/60)</f>
        <v>18.033333333333335</v>
      </c>
      <c r="G42" s="68">
        <f>F42/60</f>
        <v>0.30055555555555558</v>
      </c>
      <c r="H42" s="90">
        <v>3700</v>
      </c>
      <c r="I42" s="68">
        <f>(H$42/1000)/G42</f>
        <v>12.310536044362292</v>
      </c>
      <c r="J42" s="91">
        <f>(H$42/1000)/SUM(D$42:D$53)</f>
        <v>5.8436123000142146</v>
      </c>
      <c r="K42" s="70">
        <f>G42/D42</f>
        <v>5.9386594656304199</v>
      </c>
      <c r="P42" s="71">
        <f>J42</f>
        <v>5.8436123000142146</v>
      </c>
      <c r="Q42" s="72">
        <f>J45</f>
        <v>5.8436123000142146</v>
      </c>
      <c r="R42" s="71">
        <f>J48</f>
        <v>5.8436123000142146</v>
      </c>
      <c r="S42" s="71">
        <f>J51</f>
        <v>5.8436123000142146</v>
      </c>
    </row>
    <row r="43" spans="1:19" ht="15.95" x14ac:dyDescent="0.2">
      <c r="A43" s="63">
        <v>4</v>
      </c>
      <c r="B43" s="88" t="s">
        <v>141</v>
      </c>
      <c r="C43" s="89">
        <v>578.4</v>
      </c>
      <c r="D43" s="66">
        <f t="shared" si="8"/>
        <v>5.7839999999999996E-2</v>
      </c>
      <c r="E43" s="67" t="s">
        <v>219</v>
      </c>
      <c r="F43" s="70">
        <f>16+(17/60)</f>
        <v>16.283333333333335</v>
      </c>
      <c r="G43" s="68">
        <f>F43/60</f>
        <v>0.2713888888888889</v>
      </c>
      <c r="I43" s="68">
        <f>(H$42/1000)/G43</f>
        <v>13.633572159672466</v>
      </c>
      <c r="J43" s="91">
        <f>(H$42/1000)/SUM(D$42:D$53)</f>
        <v>5.8436123000142146</v>
      </c>
      <c r="K43" s="70">
        <f>G43/D43</f>
        <v>4.6920623943445525</v>
      </c>
      <c r="P43" s="71">
        <f>J43</f>
        <v>5.8436123000142146</v>
      </c>
      <c r="Q43" s="72">
        <f>J46</f>
        <v>5.8436123000142146</v>
      </c>
      <c r="R43" s="71"/>
      <c r="S43" s="71">
        <f>J52</f>
        <v>5.8436123000142146</v>
      </c>
    </row>
    <row r="44" spans="1:19" ht="15.95" x14ac:dyDescent="0.2">
      <c r="A44" s="63">
        <v>11</v>
      </c>
      <c r="B44" s="88" t="s">
        <v>141</v>
      </c>
      <c r="C44" s="89">
        <v>481.5</v>
      </c>
      <c r="D44" s="66">
        <f t="shared" si="8"/>
        <v>4.8149999999999998E-2</v>
      </c>
      <c r="E44" s="75"/>
      <c r="F44" s="78"/>
      <c r="G44" s="76"/>
      <c r="I44" s="92"/>
      <c r="J44" s="78"/>
      <c r="K44" s="78"/>
      <c r="P44" s="71"/>
      <c r="Q44" s="72">
        <f>J47</f>
        <v>5.8436123000142146</v>
      </c>
      <c r="R44" s="71">
        <f>J50</f>
        <v>5.8436123000142146</v>
      </c>
      <c r="S44" s="71">
        <f>J53</f>
        <v>5.8436123000142146</v>
      </c>
    </row>
    <row r="45" spans="1:19" x14ac:dyDescent="0.25">
      <c r="A45" s="63">
        <v>2</v>
      </c>
      <c r="B45" s="88" t="s">
        <v>5</v>
      </c>
      <c r="C45" s="89">
        <v>592.9</v>
      </c>
      <c r="D45" s="66">
        <f t="shared" si="8"/>
        <v>5.9289999999999995E-2</v>
      </c>
      <c r="E45" s="67" t="s">
        <v>220</v>
      </c>
      <c r="F45" s="70">
        <f>18+(12/60)</f>
        <v>18.2</v>
      </c>
      <c r="G45" s="68">
        <f>F45/60</f>
        <v>0.30333333333333334</v>
      </c>
      <c r="I45" s="68">
        <f>(H$42/1000)/G45</f>
        <v>12.197802197802197</v>
      </c>
      <c r="J45" s="91">
        <f>(H$42/1000)/SUM(D$42:D$53)</f>
        <v>5.8436123000142146</v>
      </c>
      <c r="K45" s="70">
        <f>G45/D45</f>
        <v>5.116096025186935</v>
      </c>
      <c r="O45" s="54" t="s">
        <v>204</v>
      </c>
      <c r="P45" s="71">
        <f>AVERAGE(P42:P44)</f>
        <v>5.8436123000142146</v>
      </c>
      <c r="Q45" s="71">
        <f>AVERAGE(Q42:Q44)</f>
        <v>5.8436123000142146</v>
      </c>
      <c r="R45" s="71">
        <f>AVERAGE(R42:R44)</f>
        <v>5.8436123000142146</v>
      </c>
      <c r="S45" s="71">
        <f>AVERAGE(S42:S44)</f>
        <v>5.8436123000142146</v>
      </c>
    </row>
    <row r="46" spans="1:19" x14ac:dyDescent="0.25">
      <c r="A46" s="63">
        <v>10</v>
      </c>
      <c r="B46" s="88" t="s">
        <v>5</v>
      </c>
      <c r="C46" s="89">
        <v>555.6</v>
      </c>
      <c r="D46" s="66">
        <f t="shared" si="8"/>
        <v>5.5560000000000005E-2</v>
      </c>
      <c r="E46" s="67" t="s">
        <v>221</v>
      </c>
      <c r="F46" s="70">
        <f>19+(22/60)</f>
        <v>19.366666666666667</v>
      </c>
      <c r="G46" s="68">
        <f>F46/60</f>
        <v>0.32277777777777777</v>
      </c>
      <c r="I46" s="68">
        <f>(H$42/1000)/G46</f>
        <v>11.462994836488813</v>
      </c>
      <c r="J46" s="91">
        <f>(H$42/1000)/SUM(D$42:D$53)</f>
        <v>5.8436123000142146</v>
      </c>
      <c r="K46" s="70">
        <f>G46/D46</f>
        <v>5.8095352371810245</v>
      </c>
      <c r="O46" s="54" t="s">
        <v>206</v>
      </c>
      <c r="P46" s="79">
        <f>STDEV(P42:P44)</f>
        <v>0</v>
      </c>
      <c r="Q46" s="79">
        <f>STDEV(Q42:Q44)</f>
        <v>0</v>
      </c>
      <c r="R46" s="79">
        <f>STDEV(R42:R44)</f>
        <v>0</v>
      </c>
      <c r="S46" s="79">
        <f>STDEV(S42:S44)</f>
        <v>0</v>
      </c>
    </row>
    <row r="47" spans="1:19" x14ac:dyDescent="0.25">
      <c r="A47" s="63">
        <v>12</v>
      </c>
      <c r="B47" s="88" t="s">
        <v>5</v>
      </c>
      <c r="C47" s="89">
        <v>569.5</v>
      </c>
      <c r="D47" s="66">
        <f t="shared" si="8"/>
        <v>5.6950000000000001E-2</v>
      </c>
      <c r="E47" s="67" t="s">
        <v>222</v>
      </c>
      <c r="F47" s="70">
        <f>18+(44/60)</f>
        <v>18.733333333333334</v>
      </c>
      <c r="G47" s="68">
        <f>F47/60</f>
        <v>0.31222222222222223</v>
      </c>
      <c r="I47" s="68">
        <f>(H$42/1000)/G47</f>
        <v>11.850533807829182</v>
      </c>
      <c r="J47" s="91">
        <f>(H$42/1000)/SUM(D$42:D$53)</f>
        <v>5.8436123000142146</v>
      </c>
      <c r="K47" s="70">
        <f>G47/D47</f>
        <v>5.4823919617598289</v>
      </c>
    </row>
    <row r="48" spans="1:19" x14ac:dyDescent="0.25">
      <c r="A48" s="63">
        <v>3</v>
      </c>
      <c r="B48" s="88" t="s">
        <v>70</v>
      </c>
      <c r="C48" s="89">
        <v>457.9</v>
      </c>
      <c r="D48" s="66">
        <f t="shared" si="8"/>
        <v>4.5789999999999997E-2</v>
      </c>
      <c r="E48" s="67" t="s">
        <v>223</v>
      </c>
      <c r="F48" s="70">
        <f>14+(30/60)</f>
        <v>14.5</v>
      </c>
      <c r="G48" s="68">
        <f>F48/60</f>
        <v>0.24166666666666667</v>
      </c>
      <c r="I48" s="68">
        <f>(H$42/1000)/G48</f>
        <v>15.310344827586208</v>
      </c>
      <c r="J48" s="91">
        <f>(H$42/1000)/SUM(D$42:D$53)</f>
        <v>5.8436123000142146</v>
      </c>
      <c r="K48" s="70">
        <f>G48/D48</f>
        <v>5.2777171143626704</v>
      </c>
    </row>
    <row r="49" spans="1:19" x14ac:dyDescent="0.25">
      <c r="A49" s="63">
        <v>5</v>
      </c>
      <c r="B49" s="88" t="s">
        <v>70</v>
      </c>
      <c r="C49" s="89">
        <v>501.3</v>
      </c>
      <c r="D49" s="66">
        <f t="shared" si="8"/>
        <v>5.0130000000000001E-2</v>
      </c>
      <c r="E49" s="75"/>
      <c r="F49" s="78"/>
      <c r="G49" s="76"/>
      <c r="I49" s="92"/>
      <c r="J49" s="78"/>
      <c r="K49" s="78"/>
    </row>
    <row r="50" spans="1:19" x14ac:dyDescent="0.25">
      <c r="A50" s="63">
        <v>7</v>
      </c>
      <c r="B50" s="88" t="s">
        <v>70</v>
      </c>
      <c r="C50" s="89">
        <v>486.2</v>
      </c>
      <c r="D50" s="66">
        <f t="shared" si="8"/>
        <v>4.8619999999999997E-2</v>
      </c>
      <c r="E50" s="67" t="s">
        <v>224</v>
      </c>
      <c r="F50" s="70">
        <f>19</f>
        <v>19</v>
      </c>
      <c r="G50" s="68">
        <f>F50/60</f>
        <v>0.31666666666666665</v>
      </c>
      <c r="I50" s="68">
        <f>(H$42/1000)/G50</f>
        <v>11.684210526315791</v>
      </c>
      <c r="J50" s="91">
        <f>(H$42/1000)/SUM(D$42:D$53)</f>
        <v>5.8436123000142146</v>
      </c>
      <c r="K50" s="70">
        <f>G50/D50</f>
        <v>6.5130947483888662</v>
      </c>
    </row>
    <row r="51" spans="1:19" x14ac:dyDescent="0.25">
      <c r="A51" s="63">
        <v>6</v>
      </c>
      <c r="B51" s="88" t="s">
        <v>149</v>
      </c>
      <c r="C51" s="89">
        <v>592.9</v>
      </c>
      <c r="D51" s="66">
        <f t="shared" si="8"/>
        <v>5.9289999999999995E-2</v>
      </c>
      <c r="E51" s="67" t="s">
        <v>225</v>
      </c>
      <c r="F51" s="70">
        <f>17+(4/60)</f>
        <v>17.066666666666666</v>
      </c>
      <c r="G51" s="68">
        <f>F51/60</f>
        <v>0.28444444444444444</v>
      </c>
      <c r="I51" s="68">
        <f>(H$42/1000)/G51</f>
        <v>13.0078125</v>
      </c>
      <c r="J51" s="91">
        <f>(H$42/1000)/SUM(D$42:D$53)</f>
        <v>5.8436123000142146</v>
      </c>
      <c r="K51" s="70">
        <f>G51/D51</f>
        <v>4.7975112910177851</v>
      </c>
    </row>
    <row r="52" spans="1:19" x14ac:dyDescent="0.25">
      <c r="A52" s="63">
        <v>8</v>
      </c>
      <c r="B52" s="88" t="s">
        <v>149</v>
      </c>
      <c r="C52" s="89">
        <v>569.5</v>
      </c>
      <c r="D52" s="66">
        <f t="shared" si="8"/>
        <v>5.6950000000000001E-2</v>
      </c>
      <c r="E52" s="67" t="s">
        <v>226</v>
      </c>
      <c r="F52" s="70">
        <f>18+(26/60)</f>
        <v>18.433333333333334</v>
      </c>
      <c r="G52" s="68">
        <f>F52/60</f>
        <v>0.30722222222222223</v>
      </c>
      <c r="I52" s="68">
        <f>(H$42/1000)/G52</f>
        <v>12.043399638336348</v>
      </c>
      <c r="J52" s="91">
        <f>(H$42/1000)/SUM(D$42:D$53)</f>
        <v>5.8436123000142146</v>
      </c>
      <c r="K52" s="70">
        <f>G52/D52</f>
        <v>5.3945956492049554</v>
      </c>
    </row>
    <row r="53" spans="1:19" x14ac:dyDescent="0.25">
      <c r="A53" s="63">
        <v>9</v>
      </c>
      <c r="B53" s="88" t="s">
        <v>149</v>
      </c>
      <c r="C53" s="89">
        <v>439.9</v>
      </c>
      <c r="D53" s="66">
        <f t="shared" si="8"/>
        <v>4.3989999999999994E-2</v>
      </c>
      <c r="E53" s="67" t="s">
        <v>227</v>
      </c>
      <c r="F53" s="70">
        <f>16+(42/60)</f>
        <v>16.7</v>
      </c>
      <c r="G53" s="68">
        <f>F53/60</f>
        <v>0.27833333333333332</v>
      </c>
      <c r="I53" s="68">
        <f>(H$42/1000)/G53</f>
        <v>13.293413173652695</v>
      </c>
      <c r="J53" s="91">
        <f>(H$42/1000)/SUM(D$42:D$53)</f>
        <v>5.8436123000142146</v>
      </c>
      <c r="K53" s="70">
        <f>G53/D53</f>
        <v>6.3271955747518378</v>
      </c>
    </row>
    <row r="54" spans="1:19" x14ac:dyDescent="0.25">
      <c r="A54" s="47"/>
      <c r="B54" s="47"/>
      <c r="C54" s="47"/>
      <c r="D54" s="47"/>
      <c r="E54" s="47"/>
      <c r="F54" s="47"/>
      <c r="G54" s="47"/>
      <c r="K54" s="93">
        <f>AVERAGE(K42:K53)</f>
        <v>5.5348859461828877</v>
      </c>
    </row>
    <row r="55" spans="1:19" x14ac:dyDescent="0.25">
      <c r="A55" s="47"/>
      <c r="B55" s="47"/>
      <c r="C55" s="47"/>
      <c r="D55" s="47"/>
      <c r="E55" s="47"/>
      <c r="F55" s="47"/>
      <c r="G55" s="47"/>
      <c r="K55" s="82">
        <f>STDEV(K42:K53)</f>
        <v>0.60929312501516308</v>
      </c>
    </row>
    <row r="56" spans="1:19" x14ac:dyDescent="0.25">
      <c r="A56" s="47"/>
      <c r="B56" s="47"/>
      <c r="C56" s="47"/>
      <c r="D56" s="47"/>
      <c r="E56" s="47"/>
      <c r="F56" s="47"/>
      <c r="G56" s="47"/>
    </row>
    <row r="57" spans="1:19" x14ac:dyDescent="0.25">
      <c r="A57" s="83">
        <v>42349</v>
      </c>
      <c r="B57" s="526" t="s">
        <v>228</v>
      </c>
      <c r="C57" s="527"/>
      <c r="D57" s="527"/>
      <c r="E57" s="527"/>
      <c r="F57" s="527"/>
      <c r="G57" s="527"/>
      <c r="H57" s="527"/>
      <c r="I57" s="527"/>
      <c r="J57" s="527"/>
      <c r="K57" s="527"/>
    </row>
    <row r="58" spans="1:19" ht="29.25" x14ac:dyDescent="0.25">
      <c r="A58" s="51" t="s">
        <v>180</v>
      </c>
      <c r="B58" s="52" t="s">
        <v>181</v>
      </c>
      <c r="C58" s="528" t="s">
        <v>182</v>
      </c>
      <c r="D58" s="529"/>
      <c r="E58" s="530" t="s">
        <v>191</v>
      </c>
      <c r="F58" s="527"/>
      <c r="G58" s="527"/>
      <c r="H58" s="53" t="s">
        <v>183</v>
      </c>
      <c r="I58" s="531" t="s">
        <v>192</v>
      </c>
      <c r="J58" s="527"/>
      <c r="K58" s="52" t="s">
        <v>193</v>
      </c>
    </row>
    <row r="59" spans="1:19" x14ac:dyDescent="0.25">
      <c r="A59" s="55"/>
      <c r="B59" s="56"/>
      <c r="C59" s="57" t="s">
        <v>185</v>
      </c>
      <c r="D59" s="58" t="s">
        <v>186</v>
      </c>
      <c r="E59" s="59" t="s">
        <v>195</v>
      </c>
      <c r="F59" s="60" t="s">
        <v>195</v>
      </c>
      <c r="G59" s="60" t="s">
        <v>196</v>
      </c>
      <c r="H59" s="61" t="s">
        <v>187</v>
      </c>
      <c r="I59" s="60" t="s">
        <v>197</v>
      </c>
      <c r="J59" s="87" t="s">
        <v>188</v>
      </c>
      <c r="K59" s="63" t="s">
        <v>198</v>
      </c>
      <c r="P59" s="40" t="str">
        <f>B60</f>
        <v>CSR</v>
      </c>
      <c r="Q59" s="40" t="str">
        <f>B63</f>
        <v>PSR</v>
      </c>
      <c r="R59" s="40" t="str">
        <f>B66</f>
        <v>SB</v>
      </c>
      <c r="S59" s="40" t="str">
        <f>B69</f>
        <v>SRT</v>
      </c>
    </row>
    <row r="60" spans="1:19" x14ac:dyDescent="0.25">
      <c r="A60" s="63">
        <v>1</v>
      </c>
      <c r="B60" s="64" t="s">
        <v>141</v>
      </c>
      <c r="C60" s="65">
        <v>506.1</v>
      </c>
      <c r="D60" s="66">
        <f t="shared" ref="D60:D71" si="9">C60/10000</f>
        <v>5.0610000000000002E-2</v>
      </c>
      <c r="E60" s="67" t="s">
        <v>229</v>
      </c>
      <c r="F60" s="70">
        <f>18+(2/60)</f>
        <v>18.033333333333335</v>
      </c>
      <c r="G60" s="68">
        <f t="shared" ref="G60:G71" si="10">F60/60</f>
        <v>0.30055555555555558</v>
      </c>
      <c r="H60" s="69">
        <v>390</v>
      </c>
      <c r="I60" s="68">
        <f t="shared" ref="I60:I71" si="11">(H60/1000)/G60</f>
        <v>1.2975970425138632</v>
      </c>
      <c r="J60" s="91">
        <f t="shared" ref="J60:J71" si="12">(H60/1000)/D60</f>
        <v>7.7059869590989925</v>
      </c>
      <c r="K60" s="70">
        <f t="shared" ref="K60:K71" si="13">G60/D60</f>
        <v>5.9386594656304199</v>
      </c>
      <c r="P60" s="71">
        <f>J60</f>
        <v>7.7059869590989925</v>
      </c>
      <c r="Q60" s="72">
        <f>J63</f>
        <v>5.5658627087198527</v>
      </c>
      <c r="R60" s="71">
        <f>J66</f>
        <v>6.7700371260100463</v>
      </c>
      <c r="S60" s="71">
        <f>J69</f>
        <v>6.0718502276943838</v>
      </c>
    </row>
    <row r="61" spans="1:19" x14ac:dyDescent="0.25">
      <c r="A61" s="63">
        <v>4</v>
      </c>
      <c r="B61" s="64" t="s">
        <v>141</v>
      </c>
      <c r="C61" s="65">
        <v>578.4</v>
      </c>
      <c r="D61" s="66">
        <f t="shared" si="9"/>
        <v>5.7839999999999996E-2</v>
      </c>
      <c r="E61" s="67" t="s">
        <v>230</v>
      </c>
      <c r="F61" s="70">
        <f>16+(17/60)</f>
        <v>16.283333333333335</v>
      </c>
      <c r="G61" s="68">
        <f t="shared" si="10"/>
        <v>0.2713888888888889</v>
      </c>
      <c r="H61" s="69">
        <v>310</v>
      </c>
      <c r="I61" s="68">
        <f t="shared" si="11"/>
        <v>1.1422722620266119</v>
      </c>
      <c r="J61" s="91">
        <f t="shared" si="12"/>
        <v>5.3596127247579535</v>
      </c>
      <c r="K61" s="70">
        <f t="shared" si="13"/>
        <v>4.6920623943445525</v>
      </c>
      <c r="P61" s="71">
        <f>J61</f>
        <v>5.3596127247579535</v>
      </c>
      <c r="Q61" s="72">
        <f>J64</f>
        <v>7.9193664506839445</v>
      </c>
      <c r="R61" s="71">
        <f>J67</f>
        <v>6.7823658487931384</v>
      </c>
      <c r="S61" s="71">
        <f>J70</f>
        <v>7.3748902546093058</v>
      </c>
    </row>
    <row r="62" spans="1:19" x14ac:dyDescent="0.25">
      <c r="A62" s="63">
        <v>11</v>
      </c>
      <c r="B62" s="64" t="s">
        <v>141</v>
      </c>
      <c r="C62" s="65">
        <v>481.5</v>
      </c>
      <c r="D62" s="66">
        <f t="shared" si="9"/>
        <v>4.8149999999999998E-2</v>
      </c>
      <c r="E62" s="67" t="s">
        <v>231</v>
      </c>
      <c r="F62" s="70">
        <f>16+(59/60)</f>
        <v>16.983333333333334</v>
      </c>
      <c r="G62" s="68">
        <f t="shared" si="10"/>
        <v>0.28305555555555556</v>
      </c>
      <c r="H62" s="69">
        <v>400</v>
      </c>
      <c r="I62" s="68">
        <f t="shared" si="11"/>
        <v>1.4131501472031405</v>
      </c>
      <c r="J62" s="91">
        <f t="shared" si="12"/>
        <v>8.3073727933541033</v>
      </c>
      <c r="K62" s="70">
        <f t="shared" si="13"/>
        <v>5.878620053074882</v>
      </c>
      <c r="P62" s="71">
        <f>J62</f>
        <v>8.3073727933541033</v>
      </c>
      <c r="Q62" s="72">
        <f>J65</f>
        <v>6.84811237928007</v>
      </c>
      <c r="R62" s="71">
        <f>J68</f>
        <v>8.8440970793911973</v>
      </c>
      <c r="S62" s="71">
        <f>J71</f>
        <v>7.9563537167538083</v>
      </c>
    </row>
    <row r="63" spans="1:19" x14ac:dyDescent="0.25">
      <c r="A63" s="63">
        <v>2</v>
      </c>
      <c r="B63" s="64" t="s">
        <v>5</v>
      </c>
      <c r="C63" s="65">
        <v>592.9</v>
      </c>
      <c r="D63" s="66">
        <f t="shared" si="9"/>
        <v>5.9289999999999995E-2</v>
      </c>
      <c r="E63" s="67" t="s">
        <v>232</v>
      </c>
      <c r="F63" s="70">
        <f>18+(12/60)</f>
        <v>18.2</v>
      </c>
      <c r="G63" s="68">
        <f t="shared" si="10"/>
        <v>0.30333333333333334</v>
      </c>
      <c r="H63" s="69">
        <v>330</v>
      </c>
      <c r="I63" s="68">
        <f t="shared" si="11"/>
        <v>1.0879120879120878</v>
      </c>
      <c r="J63" s="91">
        <f t="shared" si="12"/>
        <v>5.5658627087198527</v>
      </c>
      <c r="K63" s="70">
        <f t="shared" si="13"/>
        <v>5.116096025186935</v>
      </c>
      <c r="O63" s="54" t="s">
        <v>204</v>
      </c>
      <c r="P63" s="71">
        <f>AVERAGE(P60:P62)</f>
        <v>7.1243241590703503</v>
      </c>
      <c r="Q63" s="71">
        <f>AVERAGE(Q60:Q62)</f>
        <v>6.7777805128946227</v>
      </c>
      <c r="R63" s="71">
        <f>AVERAGE(R60:R62)</f>
        <v>7.4655000180647946</v>
      </c>
      <c r="S63" s="71">
        <f>AVERAGE(S60:S62)</f>
        <v>7.134364733019166</v>
      </c>
    </row>
    <row r="64" spans="1:19" x14ac:dyDescent="0.25">
      <c r="A64" s="63">
        <v>10</v>
      </c>
      <c r="B64" s="64" t="s">
        <v>5</v>
      </c>
      <c r="C64" s="65">
        <v>555.6</v>
      </c>
      <c r="D64" s="66">
        <f t="shared" si="9"/>
        <v>5.5560000000000005E-2</v>
      </c>
      <c r="E64" s="67" t="s">
        <v>233</v>
      </c>
      <c r="F64" s="70">
        <f>19+(22/60)</f>
        <v>19.366666666666667</v>
      </c>
      <c r="G64" s="68">
        <f t="shared" si="10"/>
        <v>0.32277777777777777</v>
      </c>
      <c r="H64" s="69">
        <v>440</v>
      </c>
      <c r="I64" s="68">
        <f t="shared" si="11"/>
        <v>1.3631669535283992</v>
      </c>
      <c r="J64" s="91">
        <f t="shared" si="12"/>
        <v>7.9193664506839445</v>
      </c>
      <c r="K64" s="70">
        <f t="shared" si="13"/>
        <v>5.8095352371810245</v>
      </c>
      <c r="O64" s="54" t="s">
        <v>206</v>
      </c>
      <c r="P64" s="79">
        <f>STDEV(P60:P62)</f>
        <v>1.5575850105870188</v>
      </c>
      <c r="Q64" s="79">
        <f>STDEV(Q60:Q62)</f>
        <v>1.178327159337206</v>
      </c>
      <c r="R64" s="79">
        <f>STDEV(R60:R62)</f>
        <v>1.1939159905431773</v>
      </c>
      <c r="S64" s="79">
        <f>STDEV(S60:S62)</f>
        <v>0.96500142226394525</v>
      </c>
    </row>
    <row r="65" spans="1:19" x14ac:dyDescent="0.25">
      <c r="A65" s="63">
        <v>12</v>
      </c>
      <c r="B65" s="64" t="s">
        <v>5</v>
      </c>
      <c r="C65" s="65">
        <v>569.5</v>
      </c>
      <c r="D65" s="66">
        <f t="shared" si="9"/>
        <v>5.6950000000000001E-2</v>
      </c>
      <c r="E65" s="67" t="s">
        <v>234</v>
      </c>
      <c r="F65" s="70">
        <f>18+(44/60)</f>
        <v>18.733333333333334</v>
      </c>
      <c r="G65" s="68">
        <f t="shared" si="10"/>
        <v>0.31222222222222223</v>
      </c>
      <c r="H65" s="69">
        <v>390</v>
      </c>
      <c r="I65" s="68">
        <f t="shared" si="11"/>
        <v>1.2491103202846976</v>
      </c>
      <c r="J65" s="91">
        <f t="shared" si="12"/>
        <v>6.84811237928007</v>
      </c>
      <c r="K65" s="70">
        <f t="shared" si="13"/>
        <v>5.4823919617598289</v>
      </c>
    </row>
    <row r="66" spans="1:19" x14ac:dyDescent="0.25">
      <c r="A66" s="63">
        <v>3</v>
      </c>
      <c r="B66" s="64" t="s">
        <v>70</v>
      </c>
      <c r="C66" s="65">
        <v>457.9</v>
      </c>
      <c r="D66" s="66">
        <f t="shared" si="9"/>
        <v>4.5789999999999997E-2</v>
      </c>
      <c r="E66" s="67" t="s">
        <v>235</v>
      </c>
      <c r="F66" s="70">
        <f>14+(30/60)</f>
        <v>14.5</v>
      </c>
      <c r="G66" s="68">
        <f t="shared" si="10"/>
        <v>0.24166666666666667</v>
      </c>
      <c r="H66" s="69">
        <v>310</v>
      </c>
      <c r="I66" s="68">
        <f t="shared" si="11"/>
        <v>1.2827586206896551</v>
      </c>
      <c r="J66" s="91">
        <f t="shared" si="12"/>
        <v>6.7700371260100463</v>
      </c>
      <c r="K66" s="70">
        <f t="shared" si="13"/>
        <v>5.2777171143626704</v>
      </c>
    </row>
    <row r="67" spans="1:19" x14ac:dyDescent="0.25">
      <c r="A67" s="63">
        <v>5</v>
      </c>
      <c r="B67" s="64" t="s">
        <v>70</v>
      </c>
      <c r="C67" s="65">
        <v>501.3</v>
      </c>
      <c r="D67" s="66">
        <f t="shared" si="9"/>
        <v>5.0130000000000001E-2</v>
      </c>
      <c r="E67" s="67" t="s">
        <v>236</v>
      </c>
      <c r="F67" s="70">
        <f>15+(31/60)</f>
        <v>15.516666666666667</v>
      </c>
      <c r="G67" s="68">
        <f t="shared" si="10"/>
        <v>0.25861111111111112</v>
      </c>
      <c r="H67" s="69">
        <v>340</v>
      </c>
      <c r="I67" s="68">
        <f t="shared" si="11"/>
        <v>1.3147153598281418</v>
      </c>
      <c r="J67" s="91">
        <f t="shared" si="12"/>
        <v>6.7823658487931384</v>
      </c>
      <c r="K67" s="70">
        <f t="shared" si="13"/>
        <v>5.1588093179954342</v>
      </c>
    </row>
    <row r="68" spans="1:19" x14ac:dyDescent="0.25">
      <c r="A68" s="63">
        <v>7</v>
      </c>
      <c r="B68" s="64" t="s">
        <v>70</v>
      </c>
      <c r="C68" s="65">
        <v>486.2</v>
      </c>
      <c r="D68" s="66">
        <f t="shared" si="9"/>
        <v>4.8619999999999997E-2</v>
      </c>
      <c r="E68" s="67" t="s">
        <v>237</v>
      </c>
      <c r="F68" s="70">
        <f>19</f>
        <v>19</v>
      </c>
      <c r="G68" s="68">
        <f t="shared" si="10"/>
        <v>0.31666666666666665</v>
      </c>
      <c r="H68" s="69">
        <v>430</v>
      </c>
      <c r="I68" s="68">
        <f t="shared" si="11"/>
        <v>1.3578947368421053</v>
      </c>
      <c r="J68" s="91">
        <f t="shared" si="12"/>
        <v>8.8440970793911973</v>
      </c>
      <c r="K68" s="70">
        <f t="shared" si="13"/>
        <v>6.5130947483888662</v>
      </c>
    </row>
    <row r="69" spans="1:19" x14ac:dyDescent="0.25">
      <c r="A69" s="63">
        <v>6</v>
      </c>
      <c r="B69" s="64" t="s">
        <v>149</v>
      </c>
      <c r="C69" s="65">
        <v>592.9</v>
      </c>
      <c r="D69" s="66">
        <f t="shared" si="9"/>
        <v>5.9289999999999995E-2</v>
      </c>
      <c r="E69" s="67" t="s">
        <v>238</v>
      </c>
      <c r="F69" s="70">
        <f>17+(4/60)</f>
        <v>17.066666666666666</v>
      </c>
      <c r="G69" s="68">
        <f t="shared" si="10"/>
        <v>0.28444444444444444</v>
      </c>
      <c r="H69" s="69">
        <v>360</v>
      </c>
      <c r="I69" s="68">
        <f t="shared" si="11"/>
        <v>1.265625</v>
      </c>
      <c r="J69" s="91">
        <f t="shared" si="12"/>
        <v>6.0718502276943838</v>
      </c>
      <c r="K69" s="70">
        <f t="shared" si="13"/>
        <v>4.7975112910177851</v>
      </c>
    </row>
    <row r="70" spans="1:19" x14ac:dyDescent="0.25">
      <c r="A70" s="63">
        <v>8</v>
      </c>
      <c r="B70" s="64" t="s">
        <v>149</v>
      </c>
      <c r="C70" s="65">
        <v>569.5</v>
      </c>
      <c r="D70" s="66">
        <f t="shared" si="9"/>
        <v>5.6950000000000001E-2</v>
      </c>
      <c r="E70" s="67" t="s">
        <v>239</v>
      </c>
      <c r="F70" s="70">
        <f>18+(26/60)</f>
        <v>18.433333333333334</v>
      </c>
      <c r="G70" s="68">
        <f t="shared" si="10"/>
        <v>0.30722222222222223</v>
      </c>
      <c r="H70" s="69">
        <v>420</v>
      </c>
      <c r="I70" s="68">
        <f t="shared" si="11"/>
        <v>1.3670886075949367</v>
      </c>
      <c r="J70" s="91">
        <f t="shared" si="12"/>
        <v>7.3748902546093058</v>
      </c>
      <c r="K70" s="70">
        <f t="shared" si="13"/>
        <v>5.3945956492049554</v>
      </c>
    </row>
    <row r="71" spans="1:19" x14ac:dyDescent="0.25">
      <c r="A71" s="63">
        <v>9</v>
      </c>
      <c r="B71" s="64" t="s">
        <v>149</v>
      </c>
      <c r="C71" s="65">
        <v>439.9</v>
      </c>
      <c r="D71" s="66">
        <f t="shared" si="9"/>
        <v>4.3989999999999994E-2</v>
      </c>
      <c r="E71" s="67" t="s">
        <v>240</v>
      </c>
      <c r="F71" s="70">
        <f>16+(42/60)</f>
        <v>16.7</v>
      </c>
      <c r="G71" s="68">
        <f t="shared" si="10"/>
        <v>0.27833333333333332</v>
      </c>
      <c r="H71" s="69">
        <v>350</v>
      </c>
      <c r="I71" s="68">
        <f t="shared" si="11"/>
        <v>1.2574850299401197</v>
      </c>
      <c r="J71" s="91">
        <f t="shared" si="12"/>
        <v>7.9563537167538083</v>
      </c>
      <c r="K71" s="70">
        <f t="shared" si="13"/>
        <v>6.3271955747518378</v>
      </c>
    </row>
    <row r="72" spans="1:19" x14ac:dyDescent="0.25">
      <c r="A72" s="47"/>
      <c r="B72" s="47"/>
      <c r="C72" s="47"/>
      <c r="D72" s="47"/>
      <c r="E72" s="47"/>
      <c r="F72" s="47"/>
      <c r="G72" s="47"/>
      <c r="K72" s="93">
        <f>AVERAGE(K60:K71)</f>
        <v>5.5321907360749334</v>
      </c>
    </row>
    <row r="73" spans="1:19" x14ac:dyDescent="0.25">
      <c r="A73" s="47"/>
      <c r="B73" s="47"/>
      <c r="C73" s="47"/>
      <c r="D73" s="47"/>
      <c r="E73" s="47"/>
      <c r="F73" s="47"/>
      <c r="G73" s="47"/>
      <c r="K73" s="82">
        <f>STDEV(K60:K71)</f>
        <v>0.57212860969414392</v>
      </c>
    </row>
    <row r="74" spans="1:19" x14ac:dyDescent="0.25">
      <c r="A74" s="47"/>
      <c r="B74" s="47"/>
      <c r="C74" s="47"/>
      <c r="D74" s="47"/>
      <c r="E74" s="47"/>
      <c r="F74" s="47"/>
      <c r="G74" s="47"/>
    </row>
    <row r="75" spans="1:19" x14ac:dyDescent="0.25">
      <c r="A75" s="83">
        <v>42355</v>
      </c>
      <c r="B75" s="526" t="s">
        <v>241</v>
      </c>
      <c r="C75" s="527"/>
      <c r="D75" s="527"/>
      <c r="E75" s="527"/>
      <c r="F75" s="527"/>
      <c r="G75" s="527"/>
      <c r="H75" s="527"/>
      <c r="I75" s="527"/>
      <c r="J75" s="527"/>
      <c r="K75" s="527"/>
    </row>
    <row r="76" spans="1:19" ht="29.25" x14ac:dyDescent="0.25">
      <c r="A76" s="51" t="s">
        <v>180</v>
      </c>
      <c r="B76" s="52" t="s">
        <v>181</v>
      </c>
      <c r="C76" s="528" t="s">
        <v>182</v>
      </c>
      <c r="D76" s="529"/>
      <c r="E76" s="530" t="s">
        <v>191</v>
      </c>
      <c r="F76" s="527"/>
      <c r="G76" s="527"/>
      <c r="H76" s="53" t="s">
        <v>183</v>
      </c>
      <c r="I76" s="531" t="s">
        <v>192</v>
      </c>
      <c r="J76" s="527"/>
      <c r="K76" s="52" t="s">
        <v>193</v>
      </c>
    </row>
    <row r="77" spans="1:19" x14ac:dyDescent="0.25">
      <c r="A77" s="55"/>
      <c r="B77" s="56"/>
      <c r="C77" s="57" t="s">
        <v>185</v>
      </c>
      <c r="D77" s="58" t="s">
        <v>186</v>
      </c>
      <c r="E77" s="59" t="s">
        <v>195</v>
      </c>
      <c r="F77" s="60" t="s">
        <v>195</v>
      </c>
      <c r="G77" s="60" t="s">
        <v>196</v>
      </c>
      <c r="H77" s="61" t="s">
        <v>187</v>
      </c>
      <c r="I77" s="60" t="s">
        <v>197</v>
      </c>
      <c r="J77" s="87" t="s">
        <v>188</v>
      </c>
      <c r="K77" s="63" t="s">
        <v>198</v>
      </c>
      <c r="P77" s="40" t="str">
        <f>B78</f>
        <v>CSR</v>
      </c>
      <c r="Q77" s="40" t="str">
        <f>B81</f>
        <v>PSR</v>
      </c>
      <c r="R77" s="40" t="str">
        <f>B84</f>
        <v>SB</v>
      </c>
      <c r="S77" s="40" t="str">
        <f>B87</f>
        <v>SRT</v>
      </c>
    </row>
    <row r="78" spans="1:19" x14ac:dyDescent="0.25">
      <c r="A78" s="63">
        <v>1</v>
      </c>
      <c r="B78" s="64" t="s">
        <v>141</v>
      </c>
      <c r="C78" s="65">
        <v>506.1</v>
      </c>
      <c r="D78" s="66">
        <f t="shared" ref="D78:D89" si="14">C78/10000</f>
        <v>5.0610000000000002E-2</v>
      </c>
      <c r="E78" s="67" t="s">
        <v>242</v>
      </c>
      <c r="F78" s="70">
        <f>16+14/60</f>
        <v>16.233333333333334</v>
      </c>
      <c r="G78" s="68">
        <f t="shared" ref="G78:G89" si="15">F78/60</f>
        <v>0.27055555555555555</v>
      </c>
      <c r="H78" s="69">
        <v>210</v>
      </c>
      <c r="I78" s="68">
        <f t="shared" ref="I78:I89" si="16">(H78/1000)/G78</f>
        <v>0.77618069815195068</v>
      </c>
      <c r="J78" s="91">
        <f t="shared" ref="J78:J89" si="17">(H78/1000)/D78</f>
        <v>4.1493775933609953</v>
      </c>
      <c r="K78" s="70">
        <f t="shared" ref="K78:K89" si="18">G78/D78</f>
        <v>5.3458912380074199</v>
      </c>
      <c r="P78" s="71">
        <f>J78</f>
        <v>4.1493775933609953</v>
      </c>
      <c r="Q78" s="72">
        <f>J81</f>
        <v>5.2285376960701644</v>
      </c>
      <c r="R78" s="71">
        <f>J84</f>
        <v>4.1493775933609962</v>
      </c>
      <c r="S78" s="71">
        <f>J87</f>
        <v>4.3852251644459441</v>
      </c>
    </row>
    <row r="79" spans="1:19" x14ac:dyDescent="0.25">
      <c r="A79" s="63">
        <v>4</v>
      </c>
      <c r="B79" s="64" t="s">
        <v>141</v>
      </c>
      <c r="C79" s="65">
        <v>578.4</v>
      </c>
      <c r="D79" s="66">
        <f t="shared" si="14"/>
        <v>5.7839999999999996E-2</v>
      </c>
      <c r="E79" s="67" t="s">
        <v>243</v>
      </c>
      <c r="F79" s="70">
        <f>21+59/60</f>
        <v>21.983333333333334</v>
      </c>
      <c r="G79" s="68">
        <f t="shared" si="15"/>
        <v>0.36638888888888893</v>
      </c>
      <c r="H79" s="69">
        <v>270</v>
      </c>
      <c r="I79" s="68">
        <f t="shared" si="16"/>
        <v>0.7369219105382866</v>
      </c>
      <c r="J79" s="91">
        <f t="shared" si="17"/>
        <v>4.6680497925311206</v>
      </c>
      <c r="K79" s="70">
        <f t="shared" si="18"/>
        <v>6.3345243583832804</v>
      </c>
      <c r="P79" s="71">
        <f>J79</f>
        <v>4.6680497925311206</v>
      </c>
      <c r="Q79" s="72">
        <f>J82</f>
        <v>4.1396688264938799</v>
      </c>
      <c r="R79" s="71">
        <f>J85</f>
        <v>4.9870337123478956</v>
      </c>
      <c r="S79" s="71">
        <f>J88</f>
        <v>4.5654082528533806</v>
      </c>
    </row>
    <row r="80" spans="1:19" x14ac:dyDescent="0.25">
      <c r="A80" s="63">
        <v>11</v>
      </c>
      <c r="B80" s="64" t="s">
        <v>141</v>
      </c>
      <c r="C80" s="65">
        <v>481.5</v>
      </c>
      <c r="D80" s="66">
        <f t="shared" si="14"/>
        <v>4.8149999999999998E-2</v>
      </c>
      <c r="E80" s="67" t="s">
        <v>205</v>
      </c>
      <c r="F80" s="70">
        <f>12+(20/60)</f>
        <v>12.333333333333334</v>
      </c>
      <c r="G80" s="68">
        <f t="shared" si="15"/>
        <v>0.20555555555555557</v>
      </c>
      <c r="H80" s="69">
        <v>170</v>
      </c>
      <c r="I80" s="68">
        <f t="shared" si="16"/>
        <v>0.82702702702702702</v>
      </c>
      <c r="J80" s="91">
        <f t="shared" si="17"/>
        <v>3.5306334371754935</v>
      </c>
      <c r="K80" s="70">
        <f t="shared" si="18"/>
        <v>4.2690665743625251</v>
      </c>
      <c r="P80" s="71">
        <f>J80</f>
        <v>3.5306334371754935</v>
      </c>
      <c r="Q80" s="72">
        <f>J83</f>
        <v>5.0921861281826155</v>
      </c>
      <c r="R80" s="71">
        <f>J86</f>
        <v>3.0851501439736735</v>
      </c>
      <c r="S80" s="71">
        <f>J89</f>
        <v>4.7738122300522852</v>
      </c>
    </row>
    <row r="81" spans="1:19" x14ac:dyDescent="0.25">
      <c r="A81" s="63">
        <v>2</v>
      </c>
      <c r="B81" s="64" t="s">
        <v>5</v>
      </c>
      <c r="C81" s="65">
        <v>592.9</v>
      </c>
      <c r="D81" s="66">
        <f t="shared" si="14"/>
        <v>5.9289999999999995E-2</v>
      </c>
      <c r="E81" s="67" t="s">
        <v>244</v>
      </c>
      <c r="F81" s="70">
        <f>20+59/60</f>
        <v>20.983333333333334</v>
      </c>
      <c r="G81" s="68">
        <f t="shared" si="15"/>
        <v>0.34972222222222221</v>
      </c>
      <c r="H81" s="69">
        <v>310</v>
      </c>
      <c r="I81" s="68">
        <f t="shared" si="16"/>
        <v>0.88641779189833203</v>
      </c>
      <c r="J81" s="91">
        <f t="shared" si="17"/>
        <v>5.2285376960701644</v>
      </c>
      <c r="K81" s="70">
        <f t="shared" si="18"/>
        <v>5.8985026517494052</v>
      </c>
      <c r="O81" s="54" t="s">
        <v>204</v>
      </c>
      <c r="P81" s="71">
        <f>AVERAGE(P78:P80)</f>
        <v>4.1160202743558703</v>
      </c>
      <c r="Q81" s="71">
        <f>AVERAGE(Q78:Q80)</f>
        <v>4.8201308835822196</v>
      </c>
      <c r="R81" s="71">
        <f>AVERAGE(R78:R80)</f>
        <v>4.0738538165608551</v>
      </c>
      <c r="S81" s="71">
        <f>AVERAGE(S78:S80)</f>
        <v>4.5748152157838708</v>
      </c>
    </row>
    <row r="82" spans="1:19" x14ac:dyDescent="0.25">
      <c r="A82" s="63">
        <v>10</v>
      </c>
      <c r="B82" s="64" t="s">
        <v>5</v>
      </c>
      <c r="C82" s="65">
        <v>555.6</v>
      </c>
      <c r="D82" s="66">
        <f t="shared" si="14"/>
        <v>5.5560000000000005E-2</v>
      </c>
      <c r="E82" s="67" t="s">
        <v>245</v>
      </c>
      <c r="F82" s="70">
        <f>19+29/60</f>
        <v>19.483333333333334</v>
      </c>
      <c r="G82" s="68">
        <f t="shared" si="15"/>
        <v>0.32472222222222225</v>
      </c>
      <c r="H82" s="69">
        <v>230</v>
      </c>
      <c r="I82" s="68">
        <f t="shared" si="16"/>
        <v>0.70829769033361845</v>
      </c>
      <c r="J82" s="91">
        <f t="shared" si="17"/>
        <v>4.1396688264938799</v>
      </c>
      <c r="K82" s="70">
        <f t="shared" si="18"/>
        <v>5.8445324374050074</v>
      </c>
      <c r="O82" s="54" t="s">
        <v>206</v>
      </c>
      <c r="P82" s="79">
        <f>STDEV(P78:P80)</f>
        <v>0.56944141437554485</v>
      </c>
      <c r="Q82" s="79">
        <f>STDEV(Q78:Q80)</f>
        <v>0.59322794596092632</v>
      </c>
      <c r="R82" s="79">
        <f>STDEV(R78:R80)</f>
        <v>0.95318841661005782</v>
      </c>
      <c r="S82" s="79">
        <f>STDEV(S78:S80)</f>
        <v>0.19446425147779323</v>
      </c>
    </row>
    <row r="83" spans="1:19" x14ac:dyDescent="0.25">
      <c r="A83" s="63">
        <v>12</v>
      </c>
      <c r="B83" s="64" t="s">
        <v>5</v>
      </c>
      <c r="C83" s="65">
        <v>569.5</v>
      </c>
      <c r="D83" s="66">
        <f t="shared" si="14"/>
        <v>5.6950000000000001E-2</v>
      </c>
      <c r="E83" s="67" t="s">
        <v>246</v>
      </c>
      <c r="F83" s="70">
        <f>20+16/60</f>
        <v>20.266666666666666</v>
      </c>
      <c r="G83" s="68">
        <f t="shared" si="15"/>
        <v>0.33777777777777779</v>
      </c>
      <c r="H83" s="69">
        <v>290</v>
      </c>
      <c r="I83" s="68">
        <f t="shared" si="16"/>
        <v>0.85855263157894723</v>
      </c>
      <c r="J83" s="91">
        <f t="shared" si="17"/>
        <v>5.0921861281826155</v>
      </c>
      <c r="K83" s="70">
        <f t="shared" si="18"/>
        <v>5.9311286703736226</v>
      </c>
    </row>
    <row r="84" spans="1:19" x14ac:dyDescent="0.25">
      <c r="A84" s="63">
        <v>3</v>
      </c>
      <c r="B84" s="64" t="s">
        <v>70</v>
      </c>
      <c r="C84" s="65">
        <v>457.9</v>
      </c>
      <c r="D84" s="66">
        <f t="shared" si="14"/>
        <v>4.5789999999999997E-2</v>
      </c>
      <c r="E84" s="67" t="s">
        <v>247</v>
      </c>
      <c r="F84" s="70">
        <f>12+5/60</f>
        <v>12.083333333333334</v>
      </c>
      <c r="G84" s="68">
        <f t="shared" si="15"/>
        <v>0.2013888888888889</v>
      </c>
      <c r="H84" s="69">
        <v>190</v>
      </c>
      <c r="I84" s="68">
        <f t="shared" si="16"/>
        <v>0.94344827586206892</v>
      </c>
      <c r="J84" s="91">
        <f t="shared" si="17"/>
        <v>4.1493775933609962</v>
      </c>
      <c r="K84" s="70">
        <f t="shared" si="18"/>
        <v>4.3980975953022252</v>
      </c>
    </row>
    <row r="85" spans="1:19" x14ac:dyDescent="0.25">
      <c r="A85" s="63">
        <v>5</v>
      </c>
      <c r="B85" s="64" t="s">
        <v>70</v>
      </c>
      <c r="C85" s="65">
        <v>501.3</v>
      </c>
      <c r="D85" s="66">
        <f t="shared" si="14"/>
        <v>5.0130000000000001E-2</v>
      </c>
      <c r="E85" s="67" t="s">
        <v>248</v>
      </c>
      <c r="F85" s="70">
        <f>13+29/60</f>
        <v>13.483333333333333</v>
      </c>
      <c r="G85" s="68">
        <f t="shared" si="15"/>
        <v>0.22472222222222221</v>
      </c>
      <c r="H85" s="69">
        <v>250</v>
      </c>
      <c r="I85" s="68">
        <f t="shared" si="16"/>
        <v>1.1124845488257109</v>
      </c>
      <c r="J85" s="91">
        <f t="shared" si="17"/>
        <v>4.9870337123478956</v>
      </c>
      <c r="K85" s="70">
        <f t="shared" si="18"/>
        <v>4.4827891925438301</v>
      </c>
    </row>
    <row r="86" spans="1:19" x14ac:dyDescent="0.25">
      <c r="A86" s="63">
        <v>7</v>
      </c>
      <c r="B86" s="64" t="s">
        <v>70</v>
      </c>
      <c r="C86" s="65">
        <v>486.2</v>
      </c>
      <c r="D86" s="66">
        <f t="shared" si="14"/>
        <v>4.8619999999999997E-2</v>
      </c>
      <c r="E86" s="67" t="s">
        <v>249</v>
      </c>
      <c r="F86" s="70">
        <f>11+57/60</f>
        <v>11.95</v>
      </c>
      <c r="G86" s="68">
        <f t="shared" si="15"/>
        <v>0.19916666666666666</v>
      </c>
      <c r="H86" s="69">
        <v>150</v>
      </c>
      <c r="I86" s="68">
        <f t="shared" si="16"/>
        <v>0.7531380753138075</v>
      </c>
      <c r="J86" s="91">
        <f t="shared" si="17"/>
        <v>3.0851501439736735</v>
      </c>
      <c r="K86" s="70">
        <f t="shared" si="18"/>
        <v>4.0963938022761557</v>
      </c>
    </row>
    <row r="87" spans="1:19" x14ac:dyDescent="0.25">
      <c r="A87" s="63">
        <v>6</v>
      </c>
      <c r="B87" s="64" t="s">
        <v>149</v>
      </c>
      <c r="C87" s="65">
        <v>592.9</v>
      </c>
      <c r="D87" s="66">
        <f t="shared" si="14"/>
        <v>5.9289999999999995E-2</v>
      </c>
      <c r="E87" s="67" t="s">
        <v>250</v>
      </c>
      <c r="F87" s="70">
        <f>19+39/60</f>
        <v>19.649999999999999</v>
      </c>
      <c r="G87" s="68">
        <f t="shared" si="15"/>
        <v>0.32749999999999996</v>
      </c>
      <c r="H87" s="69">
        <v>260</v>
      </c>
      <c r="I87" s="68">
        <f t="shared" si="16"/>
        <v>0.79389312977099247</v>
      </c>
      <c r="J87" s="91">
        <f t="shared" si="17"/>
        <v>4.3852251644459441</v>
      </c>
      <c r="K87" s="70">
        <f t="shared" si="18"/>
        <v>5.5236970821386402</v>
      </c>
    </row>
    <row r="88" spans="1:19" x14ac:dyDescent="0.25">
      <c r="A88" s="63">
        <v>8</v>
      </c>
      <c r="B88" s="64" t="s">
        <v>149</v>
      </c>
      <c r="C88" s="65">
        <v>569.5</v>
      </c>
      <c r="D88" s="66">
        <f t="shared" si="14"/>
        <v>5.6950000000000001E-2</v>
      </c>
      <c r="E88" s="67" t="s">
        <v>251</v>
      </c>
      <c r="F88" s="70">
        <f>21+22/60</f>
        <v>21.366666666666667</v>
      </c>
      <c r="G88" s="68">
        <f t="shared" si="15"/>
        <v>0.3561111111111111</v>
      </c>
      <c r="H88" s="69">
        <v>260</v>
      </c>
      <c r="I88" s="68">
        <f t="shared" si="16"/>
        <v>0.73010920436817472</v>
      </c>
      <c r="J88" s="91">
        <f t="shared" si="17"/>
        <v>4.5654082528533806</v>
      </c>
      <c r="K88" s="70">
        <f t="shared" si="18"/>
        <v>6.2530484830748216</v>
      </c>
    </row>
    <row r="89" spans="1:19" x14ac:dyDescent="0.25">
      <c r="A89" s="63">
        <v>9</v>
      </c>
      <c r="B89" s="64" t="s">
        <v>149</v>
      </c>
      <c r="C89" s="65">
        <v>439.9</v>
      </c>
      <c r="D89" s="66">
        <f t="shared" si="14"/>
        <v>4.3989999999999994E-2</v>
      </c>
      <c r="E89" s="67" t="s">
        <v>237</v>
      </c>
      <c r="F89" s="70">
        <f>19</f>
        <v>19</v>
      </c>
      <c r="G89" s="68">
        <f t="shared" si="15"/>
        <v>0.31666666666666665</v>
      </c>
      <c r="H89" s="69">
        <v>210</v>
      </c>
      <c r="I89" s="68">
        <f t="shared" si="16"/>
        <v>0.66315789473684206</v>
      </c>
      <c r="J89" s="91">
        <f t="shared" si="17"/>
        <v>4.7738122300522852</v>
      </c>
      <c r="K89" s="70">
        <f t="shared" si="18"/>
        <v>7.1986057437296358</v>
      </c>
    </row>
    <row r="90" spans="1:19" x14ac:dyDescent="0.25">
      <c r="A90" s="47"/>
      <c r="B90" s="47"/>
      <c r="C90" s="47"/>
      <c r="D90" s="47"/>
      <c r="E90" s="47"/>
      <c r="F90" s="47"/>
      <c r="G90" s="47"/>
      <c r="K90" s="82">
        <f>AVERAGE(K78:K89)</f>
        <v>5.4646898191122135</v>
      </c>
    </row>
    <row r="91" spans="1:19" x14ac:dyDescent="0.25">
      <c r="A91" s="47"/>
      <c r="B91" s="47"/>
      <c r="C91" s="47"/>
      <c r="D91" s="47"/>
      <c r="E91" s="47"/>
      <c r="F91" s="47"/>
      <c r="G91" s="47"/>
      <c r="K91" s="82">
        <f>STDEV(K78:K89)</f>
        <v>0.97027254082077941</v>
      </c>
    </row>
    <row r="92" spans="1:19" x14ac:dyDescent="0.25">
      <c r="A92" s="47"/>
      <c r="B92" s="47"/>
      <c r="C92" s="47"/>
      <c r="D92" s="47"/>
      <c r="E92" s="47"/>
      <c r="F92" s="47"/>
      <c r="G92" s="47"/>
    </row>
    <row r="93" spans="1:19" x14ac:dyDescent="0.25">
      <c r="A93" s="47"/>
      <c r="B93" s="47"/>
      <c r="C93" s="47"/>
      <c r="D93" s="47"/>
      <c r="E93" s="47"/>
      <c r="F93" s="47"/>
      <c r="G93" s="47"/>
    </row>
    <row r="94" spans="1:19" x14ac:dyDescent="0.25">
      <c r="A94" s="83">
        <v>42356</v>
      </c>
      <c r="B94" s="526" t="s">
        <v>252</v>
      </c>
      <c r="C94" s="527"/>
      <c r="D94" s="527"/>
      <c r="E94" s="527"/>
      <c r="F94" s="527"/>
      <c r="G94" s="527"/>
      <c r="H94" s="527"/>
      <c r="I94" s="527"/>
      <c r="J94" s="527"/>
      <c r="K94" s="527"/>
    </row>
    <row r="95" spans="1:19" ht="29.25" x14ac:dyDescent="0.25">
      <c r="A95" s="51" t="s">
        <v>180</v>
      </c>
      <c r="B95" s="52" t="s">
        <v>181</v>
      </c>
      <c r="C95" s="528" t="s">
        <v>182</v>
      </c>
      <c r="D95" s="529"/>
      <c r="E95" s="530" t="s">
        <v>191</v>
      </c>
      <c r="F95" s="527"/>
      <c r="G95" s="527"/>
      <c r="H95" s="53" t="s">
        <v>183</v>
      </c>
      <c r="I95" s="531" t="s">
        <v>192</v>
      </c>
      <c r="J95" s="527"/>
      <c r="K95" s="52" t="s">
        <v>193</v>
      </c>
    </row>
    <row r="96" spans="1:19" x14ac:dyDescent="0.25">
      <c r="A96" s="55"/>
      <c r="B96" s="56"/>
      <c r="C96" s="57" t="s">
        <v>185</v>
      </c>
      <c r="D96" s="58" t="s">
        <v>186</v>
      </c>
      <c r="E96" s="59" t="s">
        <v>195</v>
      </c>
      <c r="F96" s="60" t="s">
        <v>195</v>
      </c>
      <c r="G96" s="60" t="s">
        <v>196</v>
      </c>
      <c r="H96" s="61" t="s">
        <v>187</v>
      </c>
      <c r="I96" s="60" t="s">
        <v>197</v>
      </c>
      <c r="J96" s="87" t="s">
        <v>188</v>
      </c>
      <c r="K96" s="63" t="s">
        <v>198</v>
      </c>
      <c r="P96" s="40" t="str">
        <f>B97</f>
        <v>CSR</v>
      </c>
      <c r="Q96" s="40" t="str">
        <f>B100</f>
        <v>PSR</v>
      </c>
      <c r="R96" s="40" t="str">
        <f>B103</f>
        <v>SB</v>
      </c>
      <c r="S96" s="40" t="str">
        <f>B106</f>
        <v>SRT</v>
      </c>
    </row>
    <row r="97" spans="1:19" x14ac:dyDescent="0.25">
      <c r="A97" s="63">
        <v>1</v>
      </c>
      <c r="B97" s="64" t="s">
        <v>141</v>
      </c>
      <c r="C97" s="65">
        <v>506.1</v>
      </c>
      <c r="D97" s="66">
        <f t="shared" ref="D97:D108" si="19">C97/10000</f>
        <v>5.0610000000000002E-2</v>
      </c>
      <c r="E97" s="67" t="s">
        <v>253</v>
      </c>
      <c r="F97" s="70">
        <f>6+12/60</f>
        <v>6.2</v>
      </c>
      <c r="G97" s="68">
        <f t="shared" ref="G97:G108" si="20">F97/60</f>
        <v>0.10333333333333333</v>
      </c>
      <c r="H97" s="69">
        <v>110</v>
      </c>
      <c r="I97" s="68">
        <f t="shared" ref="I97:I108" si="21">(H97/1000)/G97</f>
        <v>1.064516129032258</v>
      </c>
      <c r="J97" s="91">
        <f t="shared" ref="J97:J108" si="22">(H97/1000)/D97</f>
        <v>2.173483501284331</v>
      </c>
      <c r="K97" s="70">
        <f t="shared" ref="K97:K108" si="23">G97/D97</f>
        <v>2.04175722847922</v>
      </c>
      <c r="P97" s="71">
        <f>J97</f>
        <v>2.173483501284331</v>
      </c>
      <c r="Q97" s="72">
        <f>J100</f>
        <v>0.84331253162422004</v>
      </c>
      <c r="R97" s="71">
        <f>J103</f>
        <v>3.4942127101987337</v>
      </c>
      <c r="S97" s="71">
        <f>J106</f>
        <v>2.0239500758981279</v>
      </c>
    </row>
    <row r="98" spans="1:19" x14ac:dyDescent="0.25">
      <c r="A98" s="63">
        <v>4</v>
      </c>
      <c r="B98" s="64" t="s">
        <v>141</v>
      </c>
      <c r="C98" s="65">
        <v>578.4</v>
      </c>
      <c r="D98" s="66">
        <f t="shared" si="19"/>
        <v>5.7839999999999996E-2</v>
      </c>
      <c r="E98" s="67" t="s">
        <v>254</v>
      </c>
      <c r="F98" s="70">
        <f>7+35/60</f>
        <v>7.583333333333333</v>
      </c>
      <c r="G98" s="68">
        <f t="shared" si="20"/>
        <v>0.12638888888888888</v>
      </c>
      <c r="H98" s="69">
        <v>150</v>
      </c>
      <c r="I98" s="68">
        <f t="shared" si="21"/>
        <v>1.1868131868131868</v>
      </c>
      <c r="J98" s="91">
        <f t="shared" si="22"/>
        <v>2.5933609958506225</v>
      </c>
      <c r="K98" s="70">
        <f t="shared" si="23"/>
        <v>2.1851467650222838</v>
      </c>
      <c r="P98" s="71">
        <f>J98</f>
        <v>2.5933609958506225</v>
      </c>
      <c r="Q98" s="72">
        <f>J101</f>
        <v>3.4197264218862489</v>
      </c>
      <c r="R98" s="71">
        <f>J104</f>
        <v>1.9948134849391583</v>
      </c>
      <c r="S98" s="71">
        <f>J107</f>
        <v>2.8094820017559261</v>
      </c>
    </row>
    <row r="99" spans="1:19" x14ac:dyDescent="0.25">
      <c r="A99" s="63">
        <v>11</v>
      </c>
      <c r="B99" s="64" t="s">
        <v>141</v>
      </c>
      <c r="C99" s="65">
        <v>481.5</v>
      </c>
      <c r="D99" s="66">
        <f t="shared" si="19"/>
        <v>4.8149999999999998E-2</v>
      </c>
      <c r="E99" s="67" t="s">
        <v>255</v>
      </c>
      <c r="F99" s="70">
        <f>9+24/60</f>
        <v>9.4</v>
      </c>
      <c r="G99" s="68">
        <f t="shared" si="20"/>
        <v>0.15666666666666668</v>
      </c>
      <c r="H99" s="69">
        <v>105</v>
      </c>
      <c r="I99" s="68">
        <f t="shared" si="21"/>
        <v>0.67021276595744672</v>
      </c>
      <c r="J99" s="91">
        <f t="shared" si="22"/>
        <v>2.1806853582554515</v>
      </c>
      <c r="K99" s="70">
        <f t="shared" si="23"/>
        <v>3.2537210107303567</v>
      </c>
      <c r="P99" s="71">
        <f>J99</f>
        <v>2.1806853582554515</v>
      </c>
      <c r="Q99" s="72">
        <f>J102</f>
        <v>1.4925373134328359</v>
      </c>
      <c r="R99" s="71">
        <f>J105</f>
        <v>3.2908268202385851</v>
      </c>
      <c r="S99" s="71">
        <f>J108</f>
        <v>3.8645146624232787</v>
      </c>
    </row>
    <row r="100" spans="1:19" x14ac:dyDescent="0.25">
      <c r="A100" s="63">
        <v>2</v>
      </c>
      <c r="B100" s="64" t="s">
        <v>5</v>
      </c>
      <c r="C100" s="65">
        <v>592.9</v>
      </c>
      <c r="D100" s="66">
        <f t="shared" si="19"/>
        <v>5.9289999999999995E-2</v>
      </c>
      <c r="E100" s="67" t="s">
        <v>256</v>
      </c>
      <c r="F100" s="70">
        <f>9+39/60</f>
        <v>9.65</v>
      </c>
      <c r="G100" s="68">
        <f t="shared" si="20"/>
        <v>0.16083333333333333</v>
      </c>
      <c r="H100" s="69">
        <v>50</v>
      </c>
      <c r="I100" s="68">
        <f t="shared" si="21"/>
        <v>0.31088082901554409</v>
      </c>
      <c r="J100" s="91">
        <f t="shared" si="22"/>
        <v>0.84331253162422004</v>
      </c>
      <c r="K100" s="70">
        <f t="shared" si="23"/>
        <v>2.7126553100579076</v>
      </c>
      <c r="O100" s="54" t="s">
        <v>204</v>
      </c>
      <c r="P100" s="71">
        <f>AVERAGE(P97:P99)</f>
        <v>2.3158432851301352</v>
      </c>
      <c r="Q100" s="71">
        <f>AVERAGE(Q97:Q99)</f>
        <v>1.9185254223144348</v>
      </c>
      <c r="R100" s="71">
        <f>AVERAGE(R97:R99)</f>
        <v>2.9266176717921595</v>
      </c>
      <c r="S100" s="71">
        <f>AVERAGE(S97:S99)</f>
        <v>2.8993155800257777</v>
      </c>
    </row>
    <row r="101" spans="1:19" x14ac:dyDescent="0.25">
      <c r="A101" s="63">
        <v>10</v>
      </c>
      <c r="B101" s="64" t="s">
        <v>5</v>
      </c>
      <c r="C101" s="65">
        <v>555.6</v>
      </c>
      <c r="D101" s="66">
        <f t="shared" si="19"/>
        <v>5.5560000000000005E-2</v>
      </c>
      <c r="E101" s="67" t="s">
        <v>257</v>
      </c>
      <c r="F101" s="70">
        <f>11+39/60</f>
        <v>11.65</v>
      </c>
      <c r="G101" s="68">
        <f t="shared" si="20"/>
        <v>0.19416666666666668</v>
      </c>
      <c r="H101" s="69">
        <v>190</v>
      </c>
      <c r="I101" s="68">
        <f t="shared" si="21"/>
        <v>0.97854077253218874</v>
      </c>
      <c r="J101" s="91">
        <f t="shared" si="22"/>
        <v>3.4197264218862489</v>
      </c>
      <c r="K101" s="70">
        <f t="shared" si="23"/>
        <v>3.4947204223662105</v>
      </c>
      <c r="O101" s="54" t="s">
        <v>206</v>
      </c>
      <c r="P101" s="79">
        <f>STDEV(P97:P99)</f>
        <v>0.2403643619770062</v>
      </c>
      <c r="Q101" s="79">
        <f>STDEV(Q97:Q99)</f>
        <v>1.3399912444360118</v>
      </c>
      <c r="R101" s="79">
        <f>STDEV(R97:R99)</f>
        <v>0.81334847208088046</v>
      </c>
      <c r="S101" s="79">
        <f>STDEV(S97:S99)</f>
        <v>0.92356486135582183</v>
      </c>
    </row>
    <row r="102" spans="1:19" x14ac:dyDescent="0.25">
      <c r="A102" s="63">
        <v>12</v>
      </c>
      <c r="B102" s="64" t="s">
        <v>5</v>
      </c>
      <c r="C102" s="65">
        <v>569.5</v>
      </c>
      <c r="D102" s="66">
        <f t="shared" si="19"/>
        <v>5.6950000000000001E-2</v>
      </c>
      <c r="E102" s="67" t="s">
        <v>258</v>
      </c>
      <c r="F102" s="70">
        <f>8+49/60</f>
        <v>8.8166666666666664</v>
      </c>
      <c r="G102" s="68">
        <f t="shared" si="20"/>
        <v>0.14694444444444443</v>
      </c>
      <c r="H102" s="69">
        <v>85</v>
      </c>
      <c r="I102" s="68">
        <f t="shared" si="21"/>
        <v>0.57844990548204167</v>
      </c>
      <c r="J102" s="91">
        <f t="shared" si="22"/>
        <v>1.4925373134328359</v>
      </c>
      <c r="K102" s="70">
        <f t="shared" si="23"/>
        <v>2.580236074529314</v>
      </c>
    </row>
    <row r="103" spans="1:19" x14ac:dyDescent="0.25">
      <c r="A103" s="63">
        <v>3</v>
      </c>
      <c r="B103" s="64" t="s">
        <v>70</v>
      </c>
      <c r="C103" s="65">
        <v>457.9</v>
      </c>
      <c r="D103" s="66">
        <f t="shared" si="19"/>
        <v>4.5789999999999997E-2</v>
      </c>
      <c r="E103" s="67" t="s">
        <v>259</v>
      </c>
      <c r="F103" s="70">
        <f>7+53/60</f>
        <v>7.8833333333333329</v>
      </c>
      <c r="G103" s="68">
        <f t="shared" si="20"/>
        <v>0.13138888888888889</v>
      </c>
      <c r="H103" s="69">
        <v>160</v>
      </c>
      <c r="I103" s="68">
        <f t="shared" si="21"/>
        <v>1.2177589852008457</v>
      </c>
      <c r="J103" s="91">
        <f t="shared" si="22"/>
        <v>3.4942127101987337</v>
      </c>
      <c r="K103" s="70">
        <f t="shared" si="23"/>
        <v>2.8693795345902795</v>
      </c>
    </row>
    <row r="104" spans="1:19" x14ac:dyDescent="0.25">
      <c r="A104" s="63">
        <v>5</v>
      </c>
      <c r="B104" s="64" t="s">
        <v>70</v>
      </c>
      <c r="C104" s="65">
        <v>501.3</v>
      </c>
      <c r="D104" s="66">
        <f t="shared" si="19"/>
        <v>5.0130000000000001E-2</v>
      </c>
      <c r="E104" s="67" t="s">
        <v>260</v>
      </c>
      <c r="F104" s="70">
        <f>5+27/60</f>
        <v>5.45</v>
      </c>
      <c r="G104" s="68">
        <f t="shared" si="20"/>
        <v>9.0833333333333335E-2</v>
      </c>
      <c r="H104" s="69">
        <v>100</v>
      </c>
      <c r="I104" s="68">
        <f t="shared" si="21"/>
        <v>1.1009174311926606</v>
      </c>
      <c r="J104" s="91">
        <f t="shared" si="22"/>
        <v>1.9948134849391583</v>
      </c>
      <c r="K104" s="70">
        <f t="shared" si="23"/>
        <v>1.8119555821530686</v>
      </c>
    </row>
    <row r="105" spans="1:19" x14ac:dyDescent="0.25">
      <c r="A105" s="63">
        <v>7</v>
      </c>
      <c r="B105" s="64" t="s">
        <v>70</v>
      </c>
      <c r="C105" s="65">
        <v>486.2</v>
      </c>
      <c r="D105" s="66">
        <f t="shared" si="19"/>
        <v>4.8619999999999997E-2</v>
      </c>
      <c r="E105" s="67" t="s">
        <v>261</v>
      </c>
      <c r="F105" s="70">
        <f>6+36/60</f>
        <v>6.6</v>
      </c>
      <c r="G105" s="68">
        <f t="shared" si="20"/>
        <v>0.11</v>
      </c>
      <c r="H105" s="69">
        <v>160</v>
      </c>
      <c r="I105" s="68">
        <f t="shared" si="21"/>
        <v>1.4545454545454546</v>
      </c>
      <c r="J105" s="91">
        <f t="shared" si="22"/>
        <v>3.2908268202385851</v>
      </c>
      <c r="K105" s="70">
        <f t="shared" si="23"/>
        <v>2.2624434389140271</v>
      </c>
    </row>
    <row r="106" spans="1:19" x14ac:dyDescent="0.25">
      <c r="A106" s="63">
        <v>6</v>
      </c>
      <c r="B106" s="64" t="s">
        <v>149</v>
      </c>
      <c r="C106" s="65">
        <v>592.9</v>
      </c>
      <c r="D106" s="66">
        <f t="shared" si="19"/>
        <v>5.9289999999999995E-2</v>
      </c>
      <c r="E106" s="67" t="s">
        <v>262</v>
      </c>
      <c r="F106" s="70">
        <f>6+10/60</f>
        <v>6.166666666666667</v>
      </c>
      <c r="G106" s="68">
        <f t="shared" si="20"/>
        <v>0.10277777777777779</v>
      </c>
      <c r="H106" s="69">
        <v>120</v>
      </c>
      <c r="I106" s="68">
        <f t="shared" si="21"/>
        <v>1.1675675675675674</v>
      </c>
      <c r="J106" s="91">
        <f t="shared" si="22"/>
        <v>2.0239500758981279</v>
      </c>
      <c r="K106" s="70">
        <f t="shared" si="23"/>
        <v>1.7334757594497858</v>
      </c>
    </row>
    <row r="107" spans="1:19" x14ac:dyDescent="0.25">
      <c r="A107" s="63">
        <v>8</v>
      </c>
      <c r="B107" s="64" t="s">
        <v>149</v>
      </c>
      <c r="C107" s="65">
        <v>569.5</v>
      </c>
      <c r="D107" s="66">
        <f t="shared" si="19"/>
        <v>5.6950000000000001E-2</v>
      </c>
      <c r="E107" s="67" t="s">
        <v>263</v>
      </c>
      <c r="F107" s="70">
        <f>11+36/60</f>
        <v>11.6</v>
      </c>
      <c r="G107" s="68">
        <f t="shared" si="20"/>
        <v>0.19333333333333333</v>
      </c>
      <c r="H107" s="69">
        <v>160</v>
      </c>
      <c r="I107" s="68">
        <f t="shared" si="21"/>
        <v>0.82758620689655171</v>
      </c>
      <c r="J107" s="91">
        <f t="shared" si="22"/>
        <v>2.8094820017559261</v>
      </c>
      <c r="K107" s="70">
        <f t="shared" si="23"/>
        <v>3.394790752121744</v>
      </c>
    </row>
    <row r="108" spans="1:19" x14ac:dyDescent="0.25">
      <c r="A108" s="63">
        <v>9</v>
      </c>
      <c r="B108" s="64" t="s">
        <v>149</v>
      </c>
      <c r="C108" s="65">
        <v>439.9</v>
      </c>
      <c r="D108" s="66">
        <f t="shared" si="19"/>
        <v>4.3989999999999994E-2</v>
      </c>
      <c r="E108" s="67" t="s">
        <v>264</v>
      </c>
      <c r="F108" s="70">
        <f>9+35/60</f>
        <v>9.5833333333333339</v>
      </c>
      <c r="G108" s="68">
        <f t="shared" si="20"/>
        <v>0.15972222222222224</v>
      </c>
      <c r="H108" s="69">
        <v>170</v>
      </c>
      <c r="I108" s="68">
        <f t="shared" si="21"/>
        <v>1.0643478260869565</v>
      </c>
      <c r="J108" s="91">
        <f t="shared" si="22"/>
        <v>3.8645146624232787</v>
      </c>
      <c r="K108" s="70">
        <f t="shared" si="23"/>
        <v>3.630875704074159</v>
      </c>
    </row>
    <row r="109" spans="1:19" x14ac:dyDescent="0.25">
      <c r="A109" s="47"/>
      <c r="B109" s="47"/>
      <c r="C109" s="47"/>
      <c r="D109" s="47"/>
      <c r="E109" s="47"/>
      <c r="F109" s="47"/>
      <c r="G109" s="47"/>
      <c r="K109" s="82">
        <f>AVERAGE(K97:K108)</f>
        <v>2.6642631318740295</v>
      </c>
    </row>
    <row r="110" spans="1:19" x14ac:dyDescent="0.25">
      <c r="A110" s="47"/>
      <c r="B110" s="47"/>
      <c r="C110" s="47"/>
      <c r="D110" s="47"/>
      <c r="E110" s="47"/>
      <c r="F110" s="47"/>
      <c r="G110" s="47"/>
      <c r="K110" s="82">
        <f>STDEV(K97:K108)</f>
        <v>0.66932285383126167</v>
      </c>
    </row>
    <row r="111" spans="1:19" x14ac:dyDescent="0.25">
      <c r="A111" s="83">
        <v>42356</v>
      </c>
      <c r="B111" s="526" t="s">
        <v>265</v>
      </c>
      <c r="C111" s="527"/>
      <c r="D111" s="527"/>
      <c r="E111" s="527"/>
      <c r="F111" s="527"/>
      <c r="G111" s="527"/>
      <c r="H111" s="527"/>
      <c r="I111" s="527"/>
      <c r="J111" s="527"/>
      <c r="K111" s="527"/>
    </row>
    <row r="112" spans="1:19" ht="29.25" x14ac:dyDescent="0.25">
      <c r="A112" s="51" t="s">
        <v>180</v>
      </c>
      <c r="B112" s="52" t="s">
        <v>181</v>
      </c>
      <c r="C112" s="528" t="s">
        <v>182</v>
      </c>
      <c r="D112" s="529"/>
      <c r="E112" s="530" t="s">
        <v>191</v>
      </c>
      <c r="F112" s="527"/>
      <c r="G112" s="527"/>
      <c r="H112" s="53" t="s">
        <v>183</v>
      </c>
      <c r="I112" s="531" t="s">
        <v>192</v>
      </c>
      <c r="J112" s="527"/>
      <c r="K112" s="52" t="s">
        <v>193</v>
      </c>
    </row>
    <row r="113" spans="1:19" x14ac:dyDescent="0.25">
      <c r="A113" s="55"/>
      <c r="B113" s="56"/>
      <c r="C113" s="57" t="s">
        <v>185</v>
      </c>
      <c r="D113" s="58" t="s">
        <v>186</v>
      </c>
      <c r="E113" s="59" t="s">
        <v>195</v>
      </c>
      <c r="F113" s="60" t="s">
        <v>195</v>
      </c>
      <c r="G113" s="60" t="s">
        <v>196</v>
      </c>
      <c r="H113" s="61" t="s">
        <v>187</v>
      </c>
      <c r="I113" s="60" t="s">
        <v>197</v>
      </c>
      <c r="J113" s="87" t="s">
        <v>188</v>
      </c>
      <c r="K113" s="63" t="s">
        <v>198</v>
      </c>
      <c r="P113" s="40" t="str">
        <f>B114</f>
        <v>CSR</v>
      </c>
      <c r="Q113" s="40" t="str">
        <f>B117</f>
        <v>PSR</v>
      </c>
      <c r="R113" s="40" t="str">
        <f>B120</f>
        <v>SB</v>
      </c>
      <c r="S113" s="40" t="str">
        <f>B123</f>
        <v>SRT</v>
      </c>
    </row>
    <row r="114" spans="1:19" x14ac:dyDescent="0.25">
      <c r="A114" s="63">
        <v>1</v>
      </c>
      <c r="B114" s="64" t="s">
        <v>141</v>
      </c>
      <c r="C114" s="65">
        <v>506.1</v>
      </c>
      <c r="D114" s="66">
        <f t="shared" ref="D114:D125" si="24">C114/10000</f>
        <v>5.0610000000000002E-2</v>
      </c>
      <c r="E114" s="67" t="s">
        <v>266</v>
      </c>
      <c r="F114" s="70">
        <f>5+37/60</f>
        <v>5.6166666666666671</v>
      </c>
      <c r="G114" s="68">
        <f t="shared" ref="G114:G125" si="25">F114/60</f>
        <v>9.3611111111111117E-2</v>
      </c>
      <c r="H114" s="69">
        <v>60</v>
      </c>
      <c r="I114" s="68">
        <f t="shared" ref="I114:I125" si="26">(H114/1000)/G114</f>
        <v>0.64094955489614236</v>
      </c>
      <c r="J114" s="91">
        <f t="shared" ref="J114:J125" si="27">(H114/1000)/D114</f>
        <v>1.1855364552459988</v>
      </c>
      <c r="K114" s="70">
        <f t="shared" ref="K114:K125" si="28">G114/D114</f>
        <v>1.8496564139717666</v>
      </c>
      <c r="P114" s="71">
        <f>J114</f>
        <v>1.1855364552459988</v>
      </c>
      <c r="Q114" s="72">
        <f>J117</f>
        <v>0.67465002529937601</v>
      </c>
      <c r="R114" s="71">
        <f>J120</f>
        <v>1.7471063550993668</v>
      </c>
      <c r="S114" s="71">
        <f>J123</f>
        <v>1.1806375442739081</v>
      </c>
    </row>
    <row r="115" spans="1:19" x14ac:dyDescent="0.25">
      <c r="A115" s="63">
        <v>4</v>
      </c>
      <c r="B115" s="64" t="s">
        <v>141</v>
      </c>
      <c r="C115" s="65">
        <v>578.4</v>
      </c>
      <c r="D115" s="66">
        <f t="shared" si="24"/>
        <v>5.7839999999999996E-2</v>
      </c>
      <c r="E115" s="67" t="s">
        <v>267</v>
      </c>
      <c r="F115" s="70">
        <f>4+12/60</f>
        <v>4.2</v>
      </c>
      <c r="G115" s="68">
        <f t="shared" si="25"/>
        <v>7.0000000000000007E-2</v>
      </c>
      <c r="H115" s="69">
        <v>50</v>
      </c>
      <c r="I115" s="68">
        <f t="shared" si="26"/>
        <v>0.7142857142857143</v>
      </c>
      <c r="J115" s="91">
        <f t="shared" si="27"/>
        <v>0.86445366528354095</v>
      </c>
      <c r="K115" s="70">
        <f t="shared" si="28"/>
        <v>1.2102351313969573</v>
      </c>
      <c r="P115" s="71">
        <f>J115</f>
        <v>0.86445366528354095</v>
      </c>
      <c r="Q115" s="72">
        <f>J118</f>
        <v>1.079913606911447</v>
      </c>
      <c r="R115" s="71">
        <f>J121</f>
        <v>2.5932575304209058</v>
      </c>
      <c r="S115" s="71">
        <f>J124</f>
        <v>1.5803336259877085</v>
      </c>
    </row>
    <row r="116" spans="1:19" x14ac:dyDescent="0.25">
      <c r="A116" s="63">
        <v>11</v>
      </c>
      <c r="B116" s="64" t="s">
        <v>141</v>
      </c>
      <c r="C116" s="65">
        <v>481.5</v>
      </c>
      <c r="D116" s="66">
        <f t="shared" si="24"/>
        <v>4.8149999999999998E-2</v>
      </c>
      <c r="E116" s="67" t="s">
        <v>268</v>
      </c>
      <c r="F116" s="70">
        <f>4+2/60</f>
        <v>4.0333333333333332</v>
      </c>
      <c r="G116" s="68">
        <f t="shared" si="25"/>
        <v>6.7222222222222225E-2</v>
      </c>
      <c r="H116" s="69">
        <v>50</v>
      </c>
      <c r="I116" s="68">
        <f t="shared" si="26"/>
        <v>0.74380165289256195</v>
      </c>
      <c r="J116" s="91">
        <f t="shared" si="27"/>
        <v>1.0384215991692629</v>
      </c>
      <c r="K116" s="70">
        <f t="shared" si="28"/>
        <v>1.3961001499942312</v>
      </c>
      <c r="P116" s="71">
        <f>J116</f>
        <v>1.0384215991692629</v>
      </c>
      <c r="Q116" s="72">
        <f>J119</f>
        <v>0.87796312554872702</v>
      </c>
      <c r="R116" s="71">
        <f>J122</f>
        <v>0.82270670505964627</v>
      </c>
      <c r="S116" s="71">
        <f>J125</f>
        <v>1.8185951352580134</v>
      </c>
    </row>
    <row r="117" spans="1:19" x14ac:dyDescent="0.25">
      <c r="A117" s="63">
        <v>2</v>
      </c>
      <c r="B117" s="64" t="s">
        <v>5</v>
      </c>
      <c r="C117" s="65">
        <v>592.9</v>
      </c>
      <c r="D117" s="66">
        <f t="shared" si="24"/>
        <v>5.9289999999999995E-2</v>
      </c>
      <c r="E117" s="67" t="s">
        <v>269</v>
      </c>
      <c r="F117" s="70">
        <f>3+49/60</f>
        <v>3.8166666666666664</v>
      </c>
      <c r="G117" s="68">
        <f t="shared" si="25"/>
        <v>6.3611111111111104E-2</v>
      </c>
      <c r="H117" s="69">
        <v>40</v>
      </c>
      <c r="I117" s="68">
        <f t="shared" si="26"/>
        <v>0.62882096069869009</v>
      </c>
      <c r="J117" s="91">
        <f t="shared" si="27"/>
        <v>0.67465002529937601</v>
      </c>
      <c r="K117" s="70">
        <f t="shared" si="28"/>
        <v>1.072880943010813</v>
      </c>
      <c r="O117" s="54" t="s">
        <v>204</v>
      </c>
      <c r="P117" s="71">
        <f>AVERAGE(P114:P116)</f>
        <v>1.0294705732329341</v>
      </c>
      <c r="Q117" s="71">
        <f>AVERAGE(Q114:Q116)</f>
        <v>0.87750891925318319</v>
      </c>
      <c r="R117" s="71">
        <f>AVERAGE(R114:R116)</f>
        <v>1.7210235301933061</v>
      </c>
      <c r="S117" s="71">
        <f>AVERAGE(S114:S116)</f>
        <v>1.5265221018398769</v>
      </c>
    </row>
    <row r="118" spans="1:19" x14ac:dyDescent="0.25">
      <c r="A118" s="63">
        <v>10</v>
      </c>
      <c r="B118" s="64" t="s">
        <v>5</v>
      </c>
      <c r="C118" s="65">
        <v>555.6</v>
      </c>
      <c r="D118" s="66">
        <f t="shared" si="24"/>
        <v>5.5560000000000005E-2</v>
      </c>
      <c r="E118" s="67" t="s">
        <v>270</v>
      </c>
      <c r="F118" s="70">
        <f>5+14/60</f>
        <v>5.2333333333333334</v>
      </c>
      <c r="G118" s="68">
        <f t="shared" si="25"/>
        <v>8.7222222222222229E-2</v>
      </c>
      <c r="H118" s="69">
        <v>60</v>
      </c>
      <c r="I118" s="68">
        <f t="shared" si="26"/>
        <v>0.68789808917197448</v>
      </c>
      <c r="J118" s="91">
        <f t="shared" si="27"/>
        <v>1.079913606911447</v>
      </c>
      <c r="K118" s="70">
        <f t="shared" si="28"/>
        <v>1.5698744100471962</v>
      </c>
      <c r="O118" s="54" t="s">
        <v>206</v>
      </c>
      <c r="P118" s="79">
        <f>STDEV(P114:P116)</f>
        <v>0.16072843603887713</v>
      </c>
      <c r="Q118" s="79">
        <f>STDEV(Q114:Q116)</f>
        <v>0.2026321726004546</v>
      </c>
      <c r="R118" s="79">
        <f>STDEV(R114:R116)</f>
        <v>0.88556354465005516</v>
      </c>
      <c r="S118" s="79">
        <f>STDEV(S114:S116)</f>
        <v>0.32236506025295991</v>
      </c>
    </row>
    <row r="119" spans="1:19" x14ac:dyDescent="0.25">
      <c r="A119" s="63">
        <v>12</v>
      </c>
      <c r="B119" s="64" t="s">
        <v>5</v>
      </c>
      <c r="C119" s="65">
        <v>569.5</v>
      </c>
      <c r="D119" s="66">
        <f t="shared" si="24"/>
        <v>5.6950000000000001E-2</v>
      </c>
      <c r="E119" s="67" t="s">
        <v>268</v>
      </c>
      <c r="F119" s="70">
        <f>4+2/60</f>
        <v>4.0333333333333332</v>
      </c>
      <c r="G119" s="68">
        <f t="shared" si="25"/>
        <v>6.7222222222222225E-2</v>
      </c>
      <c r="H119" s="69">
        <v>50</v>
      </c>
      <c r="I119" s="68">
        <f t="shared" si="26"/>
        <v>0.74380165289256195</v>
      </c>
      <c r="J119" s="91">
        <f t="shared" si="27"/>
        <v>0.87796312554872702</v>
      </c>
      <c r="K119" s="70">
        <f t="shared" si="28"/>
        <v>1.1803726465710662</v>
      </c>
    </row>
    <row r="120" spans="1:19" x14ac:dyDescent="0.25">
      <c r="A120" s="63">
        <v>3</v>
      </c>
      <c r="B120" s="64" t="s">
        <v>70</v>
      </c>
      <c r="C120" s="65">
        <v>457.9</v>
      </c>
      <c r="D120" s="66">
        <f t="shared" si="24"/>
        <v>4.5789999999999997E-2</v>
      </c>
      <c r="E120" s="67" t="s">
        <v>271</v>
      </c>
      <c r="F120" s="70">
        <f>6+2/60</f>
        <v>6.0333333333333332</v>
      </c>
      <c r="G120" s="68">
        <f t="shared" si="25"/>
        <v>0.10055555555555555</v>
      </c>
      <c r="H120" s="69">
        <v>80</v>
      </c>
      <c r="I120" s="68">
        <f t="shared" si="26"/>
        <v>0.79558011049723765</v>
      </c>
      <c r="J120" s="91">
        <f t="shared" si="27"/>
        <v>1.7471063550993668</v>
      </c>
      <c r="K120" s="70">
        <f t="shared" si="28"/>
        <v>2.1960156268957318</v>
      </c>
    </row>
    <row r="121" spans="1:19" x14ac:dyDescent="0.25">
      <c r="A121" s="63">
        <v>5</v>
      </c>
      <c r="B121" s="64" t="s">
        <v>70</v>
      </c>
      <c r="C121" s="65">
        <v>501.3</v>
      </c>
      <c r="D121" s="66">
        <f t="shared" si="24"/>
        <v>5.0130000000000001E-2</v>
      </c>
      <c r="E121" s="67" t="s">
        <v>272</v>
      </c>
      <c r="F121" s="70">
        <f>9+12/60</f>
        <v>9.1999999999999993</v>
      </c>
      <c r="G121" s="68">
        <f t="shared" si="25"/>
        <v>0.15333333333333332</v>
      </c>
      <c r="H121" s="69">
        <v>130</v>
      </c>
      <c r="I121" s="68">
        <f t="shared" si="26"/>
        <v>0.84782608695652184</v>
      </c>
      <c r="J121" s="91">
        <f t="shared" si="27"/>
        <v>2.5932575304209058</v>
      </c>
      <c r="K121" s="70">
        <f t="shared" si="28"/>
        <v>3.0587140102400423</v>
      </c>
    </row>
    <row r="122" spans="1:19" x14ac:dyDescent="0.25">
      <c r="A122" s="63">
        <v>7</v>
      </c>
      <c r="B122" s="64" t="s">
        <v>70</v>
      </c>
      <c r="C122" s="65">
        <v>486.2</v>
      </c>
      <c r="D122" s="66">
        <f t="shared" si="24"/>
        <v>4.8619999999999997E-2</v>
      </c>
      <c r="E122" s="67" t="s">
        <v>273</v>
      </c>
      <c r="F122" s="70">
        <f>3+42/60</f>
        <v>3.7</v>
      </c>
      <c r="G122" s="68">
        <f t="shared" si="25"/>
        <v>6.1666666666666668E-2</v>
      </c>
      <c r="H122" s="69">
        <v>40</v>
      </c>
      <c r="I122" s="68">
        <f t="shared" si="26"/>
        <v>0.64864864864864868</v>
      </c>
      <c r="J122" s="91">
        <f t="shared" si="27"/>
        <v>0.82270670505964627</v>
      </c>
      <c r="K122" s="70">
        <f t="shared" si="28"/>
        <v>1.2683395036336214</v>
      </c>
    </row>
    <row r="123" spans="1:19" x14ac:dyDescent="0.25">
      <c r="A123" s="63">
        <v>6</v>
      </c>
      <c r="B123" s="64" t="s">
        <v>149</v>
      </c>
      <c r="C123" s="65">
        <v>592.9</v>
      </c>
      <c r="D123" s="66">
        <f t="shared" si="24"/>
        <v>5.9289999999999995E-2</v>
      </c>
      <c r="E123" s="67" t="s">
        <v>274</v>
      </c>
      <c r="F123" s="70">
        <f>5+35/60</f>
        <v>5.583333333333333</v>
      </c>
      <c r="G123" s="68">
        <f t="shared" si="25"/>
        <v>9.3055555555555544E-2</v>
      </c>
      <c r="H123" s="69">
        <v>70</v>
      </c>
      <c r="I123" s="68">
        <f t="shared" si="26"/>
        <v>0.75223880597014947</v>
      </c>
      <c r="J123" s="91">
        <f t="shared" si="27"/>
        <v>1.1806375442739081</v>
      </c>
      <c r="K123" s="70">
        <f t="shared" si="28"/>
        <v>1.5694983227450758</v>
      </c>
    </row>
    <row r="124" spans="1:19" x14ac:dyDescent="0.25">
      <c r="A124" s="63">
        <v>8</v>
      </c>
      <c r="B124" s="64" t="s">
        <v>149</v>
      </c>
      <c r="C124" s="65">
        <v>569.5</v>
      </c>
      <c r="D124" s="66">
        <f t="shared" si="24"/>
        <v>5.6950000000000001E-2</v>
      </c>
      <c r="E124" s="67" t="s">
        <v>275</v>
      </c>
      <c r="F124" s="70">
        <f>7+33/60</f>
        <v>7.55</v>
      </c>
      <c r="G124" s="68">
        <f t="shared" si="25"/>
        <v>0.12583333333333332</v>
      </c>
      <c r="H124" s="69">
        <v>90</v>
      </c>
      <c r="I124" s="68">
        <f t="shared" si="26"/>
        <v>0.71523178807947019</v>
      </c>
      <c r="J124" s="91">
        <f t="shared" si="27"/>
        <v>1.5803336259877085</v>
      </c>
      <c r="K124" s="70">
        <f t="shared" si="28"/>
        <v>2.2095405326309625</v>
      </c>
    </row>
    <row r="125" spans="1:19" x14ac:dyDescent="0.25">
      <c r="A125" s="63">
        <v>9</v>
      </c>
      <c r="B125" s="64" t="s">
        <v>149</v>
      </c>
      <c r="C125" s="65">
        <v>439.9</v>
      </c>
      <c r="D125" s="66">
        <f t="shared" si="24"/>
        <v>4.3989999999999994E-2</v>
      </c>
      <c r="E125" s="67" t="s">
        <v>276</v>
      </c>
      <c r="F125" s="70">
        <f>4+1/60</f>
        <v>4.0166666666666666</v>
      </c>
      <c r="G125" s="68">
        <f t="shared" si="25"/>
        <v>6.6944444444444445E-2</v>
      </c>
      <c r="H125" s="69">
        <v>80</v>
      </c>
      <c r="I125" s="68">
        <f t="shared" si="26"/>
        <v>1.1950207468879668</v>
      </c>
      <c r="J125" s="91">
        <f t="shared" si="27"/>
        <v>1.8185951352580134</v>
      </c>
      <c r="K125" s="70">
        <f t="shared" si="28"/>
        <v>1.5218105124902126</v>
      </c>
    </row>
    <row r="126" spans="1:19" x14ac:dyDescent="0.25">
      <c r="A126" s="47"/>
      <c r="B126" s="47"/>
      <c r="C126" s="47"/>
      <c r="D126" s="47"/>
      <c r="E126" s="47"/>
      <c r="F126" s="47"/>
      <c r="G126" s="47"/>
      <c r="K126" s="82">
        <f>AVERAGE(K114:K125)</f>
        <v>1.6752531836356397</v>
      </c>
    </row>
    <row r="127" spans="1:19" x14ac:dyDescent="0.25">
      <c r="A127" s="47"/>
      <c r="B127" s="47"/>
      <c r="C127" s="47"/>
      <c r="D127" s="47"/>
      <c r="E127" s="47"/>
      <c r="F127" s="47"/>
      <c r="G127" s="47"/>
      <c r="K127" s="82">
        <f>STDEV(K114:K125)</f>
        <v>0.57321868580158453</v>
      </c>
    </row>
    <row r="128" spans="1:19" x14ac:dyDescent="0.25">
      <c r="A128" s="47"/>
      <c r="B128" s="47"/>
      <c r="C128" s="47"/>
      <c r="D128" s="47"/>
      <c r="E128" s="47"/>
      <c r="F128" s="47"/>
      <c r="G128" s="47"/>
    </row>
    <row r="129" spans="1:7" x14ac:dyDescent="0.25">
      <c r="A129" s="47"/>
      <c r="B129" s="47"/>
      <c r="C129" s="47"/>
      <c r="D129" s="47"/>
      <c r="E129" s="47"/>
      <c r="F129" s="47"/>
      <c r="G129" s="47"/>
    </row>
    <row r="130" spans="1:7" x14ac:dyDescent="0.25">
      <c r="A130" s="47"/>
      <c r="B130" s="47"/>
      <c r="C130" s="47"/>
      <c r="D130" s="47"/>
      <c r="E130" s="47"/>
      <c r="F130" s="47"/>
      <c r="G130" s="47"/>
    </row>
    <row r="131" spans="1:7" x14ac:dyDescent="0.25">
      <c r="A131" s="47"/>
      <c r="B131" s="47"/>
      <c r="C131" s="47"/>
      <c r="D131" s="47"/>
      <c r="E131" s="47"/>
      <c r="F131" s="47"/>
      <c r="G131" s="47"/>
    </row>
    <row r="132" spans="1:7" x14ac:dyDescent="0.25">
      <c r="A132" s="47"/>
      <c r="B132" s="47"/>
      <c r="C132" s="47"/>
      <c r="D132" s="47"/>
      <c r="E132" s="47"/>
      <c r="F132" s="47"/>
      <c r="G132" s="47"/>
    </row>
    <row r="133" spans="1:7" x14ac:dyDescent="0.25">
      <c r="A133" s="47"/>
      <c r="B133" s="47"/>
      <c r="C133" s="47"/>
      <c r="D133" s="47"/>
      <c r="E133" s="47"/>
      <c r="F133" s="47"/>
      <c r="G133" s="47"/>
    </row>
    <row r="134" spans="1:7" x14ac:dyDescent="0.25">
      <c r="A134" s="47"/>
      <c r="B134" s="47"/>
      <c r="C134" s="47"/>
      <c r="D134" s="47"/>
      <c r="E134" s="47"/>
      <c r="F134" s="47"/>
      <c r="G134" s="47"/>
    </row>
    <row r="135" spans="1:7" x14ac:dyDescent="0.25">
      <c r="A135" s="47"/>
      <c r="B135" s="47"/>
      <c r="C135" s="47"/>
      <c r="D135" s="47"/>
      <c r="E135" s="47"/>
      <c r="F135" s="47"/>
      <c r="G135" s="47"/>
    </row>
    <row r="136" spans="1:7" x14ac:dyDescent="0.25">
      <c r="A136" s="47"/>
      <c r="B136" s="47"/>
      <c r="C136" s="47"/>
      <c r="D136" s="47"/>
      <c r="E136" s="47"/>
      <c r="F136" s="47"/>
      <c r="G136" s="47"/>
    </row>
    <row r="137" spans="1:7" x14ac:dyDescent="0.25">
      <c r="A137" s="47"/>
      <c r="B137" s="47"/>
      <c r="C137" s="47"/>
      <c r="D137" s="47"/>
      <c r="E137" s="47"/>
      <c r="F137" s="47"/>
      <c r="G137" s="47"/>
    </row>
    <row r="138" spans="1:7" x14ac:dyDescent="0.25">
      <c r="A138" s="47"/>
      <c r="B138" s="47"/>
      <c r="C138" s="47"/>
      <c r="D138" s="47"/>
      <c r="E138" s="47"/>
      <c r="F138" s="47"/>
      <c r="G138" s="47"/>
    </row>
    <row r="139" spans="1:7" x14ac:dyDescent="0.25">
      <c r="A139" s="47"/>
      <c r="B139" s="47"/>
      <c r="C139" s="47"/>
      <c r="D139" s="47"/>
      <c r="E139" s="47"/>
      <c r="F139" s="47"/>
      <c r="G139" s="47"/>
    </row>
    <row r="140" spans="1:7" x14ac:dyDescent="0.25">
      <c r="A140" s="47"/>
      <c r="B140" s="47"/>
      <c r="C140" s="47"/>
      <c r="D140" s="47"/>
      <c r="E140" s="47"/>
      <c r="F140" s="47"/>
      <c r="G140" s="47"/>
    </row>
    <row r="141" spans="1:7" x14ac:dyDescent="0.25">
      <c r="A141" s="47"/>
      <c r="B141" s="47"/>
      <c r="C141" s="47"/>
      <c r="D141" s="47"/>
      <c r="E141" s="47"/>
      <c r="F141" s="47"/>
      <c r="G141" s="47"/>
    </row>
    <row r="142" spans="1:7" x14ac:dyDescent="0.25">
      <c r="A142" s="47"/>
      <c r="B142" s="47"/>
      <c r="C142" s="47"/>
      <c r="D142" s="47"/>
      <c r="E142" s="47"/>
      <c r="F142" s="47"/>
      <c r="G142" s="47"/>
    </row>
    <row r="143" spans="1:7" x14ac:dyDescent="0.25">
      <c r="A143" s="47"/>
      <c r="B143" s="47"/>
      <c r="C143" s="47"/>
      <c r="D143" s="47"/>
      <c r="E143" s="47"/>
      <c r="F143" s="47"/>
      <c r="G143" s="47"/>
    </row>
    <row r="144" spans="1:7" x14ac:dyDescent="0.25">
      <c r="A144" s="47"/>
      <c r="B144" s="47"/>
      <c r="C144" s="47"/>
      <c r="D144" s="47"/>
      <c r="E144" s="47"/>
      <c r="F144" s="47"/>
      <c r="G144" s="47"/>
    </row>
    <row r="145" spans="1:7" x14ac:dyDescent="0.25">
      <c r="A145" s="47"/>
      <c r="B145" s="47"/>
      <c r="C145" s="47"/>
      <c r="D145" s="47"/>
      <c r="E145" s="47"/>
      <c r="F145" s="47"/>
      <c r="G145" s="47"/>
    </row>
    <row r="146" spans="1:7" x14ac:dyDescent="0.25">
      <c r="A146" s="47"/>
      <c r="B146" s="47"/>
      <c r="C146" s="47"/>
      <c r="D146" s="47"/>
      <c r="E146" s="47"/>
      <c r="F146" s="47"/>
      <c r="G146" s="47"/>
    </row>
    <row r="147" spans="1:7" x14ac:dyDescent="0.25">
      <c r="A147" s="47"/>
      <c r="B147" s="47"/>
      <c r="C147" s="47"/>
      <c r="D147" s="47"/>
      <c r="E147" s="47"/>
      <c r="F147" s="47"/>
      <c r="G147" s="47"/>
    </row>
    <row r="148" spans="1:7" x14ac:dyDescent="0.25">
      <c r="A148" s="47"/>
      <c r="B148" s="47"/>
      <c r="C148" s="47"/>
      <c r="D148" s="47"/>
      <c r="E148" s="47"/>
      <c r="F148" s="47"/>
      <c r="G148" s="47"/>
    </row>
    <row r="149" spans="1:7" x14ac:dyDescent="0.25">
      <c r="A149" s="47"/>
      <c r="B149" s="47"/>
      <c r="C149" s="47"/>
      <c r="D149" s="47"/>
      <c r="E149" s="47"/>
      <c r="F149" s="47"/>
      <c r="G149" s="47"/>
    </row>
    <row r="150" spans="1:7" x14ac:dyDescent="0.25">
      <c r="A150" s="47"/>
      <c r="B150" s="47"/>
      <c r="C150" s="47"/>
      <c r="D150" s="47"/>
      <c r="E150" s="47"/>
      <c r="F150" s="47"/>
      <c r="G150" s="47"/>
    </row>
    <row r="151" spans="1:7" x14ac:dyDescent="0.25">
      <c r="A151" s="47"/>
      <c r="B151" s="47"/>
      <c r="C151" s="47"/>
      <c r="D151" s="47"/>
      <c r="E151" s="47"/>
      <c r="F151" s="47"/>
      <c r="G151" s="47"/>
    </row>
    <row r="152" spans="1:7" x14ac:dyDescent="0.25">
      <c r="A152" s="47"/>
      <c r="B152" s="47"/>
      <c r="C152" s="47"/>
      <c r="D152" s="47"/>
      <c r="E152" s="47"/>
      <c r="F152" s="47"/>
      <c r="G152" s="47"/>
    </row>
    <row r="153" spans="1:7" x14ac:dyDescent="0.25">
      <c r="A153" s="47"/>
      <c r="B153" s="47"/>
      <c r="C153" s="47"/>
      <c r="D153" s="47"/>
      <c r="E153" s="47"/>
      <c r="F153" s="47"/>
      <c r="G153" s="47"/>
    </row>
    <row r="154" spans="1:7" x14ac:dyDescent="0.25">
      <c r="A154" s="47"/>
      <c r="B154" s="47"/>
      <c r="C154" s="47"/>
      <c r="D154" s="47"/>
      <c r="E154" s="47"/>
      <c r="F154" s="47"/>
      <c r="G154" s="47"/>
    </row>
    <row r="155" spans="1:7" x14ac:dyDescent="0.25">
      <c r="A155" s="47"/>
      <c r="B155" s="47"/>
      <c r="C155" s="47"/>
      <c r="D155" s="47"/>
      <c r="E155" s="47"/>
      <c r="F155" s="47"/>
      <c r="G155" s="47"/>
    </row>
    <row r="156" spans="1:7" x14ac:dyDescent="0.25">
      <c r="A156" s="47"/>
      <c r="B156" s="47"/>
      <c r="C156" s="47"/>
      <c r="D156" s="47"/>
      <c r="E156" s="47"/>
      <c r="F156" s="47"/>
      <c r="G156" s="47"/>
    </row>
    <row r="157" spans="1:7" x14ac:dyDescent="0.25">
      <c r="A157" s="47"/>
      <c r="B157" s="47"/>
      <c r="C157" s="47"/>
      <c r="D157" s="47"/>
      <c r="E157" s="47"/>
      <c r="F157" s="47"/>
      <c r="G157" s="47"/>
    </row>
    <row r="158" spans="1:7" x14ac:dyDescent="0.25">
      <c r="A158" s="47"/>
      <c r="B158" s="47"/>
      <c r="C158" s="47"/>
      <c r="D158" s="47"/>
      <c r="E158" s="47"/>
      <c r="F158" s="47"/>
      <c r="G158" s="47"/>
    </row>
    <row r="159" spans="1:7" x14ac:dyDescent="0.25">
      <c r="A159" s="47"/>
      <c r="B159" s="47"/>
      <c r="C159" s="47"/>
      <c r="D159" s="47"/>
      <c r="E159" s="47"/>
      <c r="F159" s="47"/>
      <c r="G159" s="47"/>
    </row>
    <row r="160" spans="1:7" x14ac:dyDescent="0.25">
      <c r="A160" s="47"/>
      <c r="B160" s="47"/>
      <c r="C160" s="47"/>
      <c r="D160" s="47"/>
      <c r="E160" s="47"/>
      <c r="F160" s="47"/>
      <c r="G160" s="47"/>
    </row>
    <row r="161" spans="1:7" x14ac:dyDescent="0.25">
      <c r="A161" s="47"/>
      <c r="B161" s="47"/>
      <c r="C161" s="47"/>
      <c r="D161" s="47"/>
      <c r="E161" s="47"/>
      <c r="F161" s="47"/>
      <c r="G161" s="47"/>
    </row>
    <row r="162" spans="1:7" x14ac:dyDescent="0.25">
      <c r="A162" s="47"/>
      <c r="B162" s="47"/>
      <c r="C162" s="47"/>
      <c r="D162" s="47"/>
      <c r="E162" s="47"/>
      <c r="F162" s="47"/>
      <c r="G162" s="47"/>
    </row>
    <row r="163" spans="1:7" x14ac:dyDescent="0.25">
      <c r="A163" s="47"/>
      <c r="B163" s="47"/>
      <c r="C163" s="47"/>
      <c r="D163" s="47"/>
      <c r="E163" s="47"/>
      <c r="F163" s="47"/>
      <c r="G163" s="47"/>
    </row>
    <row r="164" spans="1:7" x14ac:dyDescent="0.25">
      <c r="A164" s="47"/>
      <c r="B164" s="47"/>
      <c r="C164" s="47"/>
      <c r="D164" s="47"/>
      <c r="E164" s="47"/>
      <c r="F164" s="47"/>
      <c r="G164" s="47"/>
    </row>
    <row r="165" spans="1:7" x14ac:dyDescent="0.25">
      <c r="A165" s="47"/>
      <c r="B165" s="47"/>
      <c r="C165" s="47"/>
      <c r="D165" s="47"/>
      <c r="E165" s="47"/>
      <c r="F165" s="47"/>
      <c r="G165" s="47"/>
    </row>
    <row r="166" spans="1:7" x14ac:dyDescent="0.25">
      <c r="A166" s="47"/>
      <c r="B166" s="47"/>
      <c r="C166" s="47"/>
      <c r="D166" s="47"/>
      <c r="E166" s="47"/>
      <c r="F166" s="47"/>
      <c r="G166" s="47"/>
    </row>
    <row r="167" spans="1:7" x14ac:dyDescent="0.25">
      <c r="A167" s="47"/>
      <c r="B167" s="47"/>
      <c r="C167" s="47"/>
      <c r="D167" s="47"/>
      <c r="E167" s="47"/>
      <c r="F167" s="47"/>
      <c r="G167" s="47"/>
    </row>
    <row r="168" spans="1:7" x14ac:dyDescent="0.25">
      <c r="A168" s="47"/>
      <c r="B168" s="47"/>
      <c r="C168" s="47"/>
      <c r="D168" s="47"/>
      <c r="E168" s="47"/>
      <c r="F168" s="47"/>
      <c r="G168" s="47"/>
    </row>
    <row r="169" spans="1:7" x14ac:dyDescent="0.25">
      <c r="A169" s="47"/>
      <c r="B169" s="47"/>
      <c r="C169" s="47"/>
      <c r="D169" s="47"/>
      <c r="E169" s="47"/>
      <c r="F169" s="47"/>
      <c r="G169" s="47"/>
    </row>
    <row r="170" spans="1:7" x14ac:dyDescent="0.25">
      <c r="A170" s="47"/>
      <c r="B170" s="47"/>
      <c r="C170" s="47"/>
      <c r="D170" s="47"/>
      <c r="E170" s="47"/>
      <c r="F170" s="47"/>
      <c r="G170" s="47"/>
    </row>
    <row r="171" spans="1:7" x14ac:dyDescent="0.25">
      <c r="A171" s="47"/>
      <c r="B171" s="47"/>
      <c r="C171" s="47"/>
      <c r="D171" s="47"/>
      <c r="E171" s="47"/>
      <c r="F171" s="47"/>
      <c r="G171" s="47"/>
    </row>
    <row r="172" spans="1:7" x14ac:dyDescent="0.25">
      <c r="A172" s="47"/>
      <c r="B172" s="47"/>
      <c r="C172" s="47"/>
      <c r="D172" s="47"/>
      <c r="E172" s="47"/>
      <c r="F172" s="47"/>
      <c r="G172" s="47"/>
    </row>
    <row r="173" spans="1:7" x14ac:dyDescent="0.25">
      <c r="A173" s="47"/>
      <c r="B173" s="47"/>
      <c r="C173" s="47"/>
      <c r="D173" s="47"/>
      <c r="E173" s="47"/>
      <c r="F173" s="47"/>
      <c r="G173" s="47"/>
    </row>
    <row r="174" spans="1:7" x14ac:dyDescent="0.25">
      <c r="A174" s="47"/>
      <c r="B174" s="47"/>
      <c r="C174" s="47"/>
      <c r="D174" s="47"/>
      <c r="E174" s="47"/>
      <c r="F174" s="47"/>
      <c r="G174" s="47"/>
    </row>
    <row r="175" spans="1:7" x14ac:dyDescent="0.25">
      <c r="A175" s="47"/>
      <c r="B175" s="47"/>
      <c r="C175" s="47"/>
      <c r="D175" s="47"/>
      <c r="E175" s="47"/>
      <c r="F175" s="47"/>
      <c r="G175" s="47"/>
    </row>
    <row r="176" spans="1:7" x14ac:dyDescent="0.25">
      <c r="A176" s="47"/>
      <c r="B176" s="47"/>
      <c r="C176" s="47"/>
      <c r="D176" s="47"/>
      <c r="E176" s="47"/>
      <c r="F176" s="47"/>
      <c r="G176" s="47"/>
    </row>
    <row r="177" spans="1:7" x14ac:dyDescent="0.25">
      <c r="A177" s="47"/>
      <c r="B177" s="47"/>
      <c r="C177" s="47"/>
      <c r="D177" s="47"/>
      <c r="E177" s="47"/>
      <c r="F177" s="47"/>
      <c r="G177" s="47"/>
    </row>
    <row r="178" spans="1:7" x14ac:dyDescent="0.25">
      <c r="A178" s="47"/>
      <c r="B178" s="47"/>
      <c r="C178" s="47"/>
      <c r="D178" s="47"/>
      <c r="E178" s="47"/>
      <c r="F178" s="47"/>
      <c r="G178" s="47"/>
    </row>
    <row r="179" spans="1:7" x14ac:dyDescent="0.25">
      <c r="A179" s="47"/>
      <c r="B179" s="47"/>
      <c r="C179" s="47"/>
      <c r="D179" s="47"/>
      <c r="E179" s="47"/>
      <c r="F179" s="47"/>
      <c r="G179" s="47"/>
    </row>
    <row r="180" spans="1:7" x14ac:dyDescent="0.25">
      <c r="A180" s="47"/>
      <c r="B180" s="47"/>
      <c r="C180" s="47"/>
      <c r="D180" s="47"/>
      <c r="E180" s="47"/>
      <c r="F180" s="47"/>
      <c r="G180" s="47"/>
    </row>
    <row r="181" spans="1:7" x14ac:dyDescent="0.25">
      <c r="A181" s="47"/>
      <c r="B181" s="47"/>
      <c r="C181" s="47"/>
      <c r="D181" s="47"/>
      <c r="E181" s="47"/>
      <c r="F181" s="47"/>
      <c r="G181" s="47"/>
    </row>
    <row r="182" spans="1:7" x14ac:dyDescent="0.25">
      <c r="A182" s="47"/>
      <c r="B182" s="47"/>
      <c r="C182" s="47"/>
      <c r="D182" s="47"/>
      <c r="E182" s="47"/>
      <c r="F182" s="47"/>
      <c r="G182" s="47"/>
    </row>
    <row r="183" spans="1:7" x14ac:dyDescent="0.25">
      <c r="A183" s="47"/>
      <c r="B183" s="47"/>
      <c r="C183" s="47"/>
      <c r="D183" s="47"/>
      <c r="E183" s="47"/>
      <c r="F183" s="47"/>
      <c r="G183" s="47"/>
    </row>
    <row r="184" spans="1:7" x14ac:dyDescent="0.25">
      <c r="A184" s="47"/>
      <c r="B184" s="47"/>
      <c r="C184" s="47"/>
      <c r="D184" s="47"/>
      <c r="E184" s="47"/>
      <c r="F184" s="47"/>
      <c r="G184" s="47"/>
    </row>
    <row r="185" spans="1:7" x14ac:dyDescent="0.25">
      <c r="A185" s="47"/>
      <c r="B185" s="47"/>
      <c r="C185" s="47"/>
      <c r="D185" s="47"/>
      <c r="E185" s="47"/>
      <c r="F185" s="47"/>
      <c r="G185" s="47"/>
    </row>
    <row r="186" spans="1:7" x14ac:dyDescent="0.25">
      <c r="A186" s="47"/>
      <c r="B186" s="47"/>
      <c r="C186" s="47"/>
      <c r="D186" s="47"/>
      <c r="E186" s="47"/>
      <c r="F186" s="47"/>
      <c r="G186" s="47"/>
    </row>
    <row r="187" spans="1:7" x14ac:dyDescent="0.25">
      <c r="A187" s="47"/>
      <c r="B187" s="47"/>
      <c r="C187" s="47"/>
      <c r="D187" s="47"/>
      <c r="E187" s="47"/>
      <c r="F187" s="47"/>
      <c r="G187" s="47"/>
    </row>
    <row r="188" spans="1:7" x14ac:dyDescent="0.25">
      <c r="A188" s="47"/>
      <c r="B188" s="47"/>
      <c r="C188" s="47"/>
      <c r="D188" s="47"/>
      <c r="E188" s="47"/>
      <c r="F188" s="47"/>
      <c r="G188" s="47"/>
    </row>
    <row r="189" spans="1:7" x14ac:dyDescent="0.25">
      <c r="A189" s="47"/>
      <c r="B189" s="47"/>
      <c r="C189" s="47"/>
      <c r="D189" s="47"/>
      <c r="E189" s="47"/>
      <c r="F189" s="47"/>
      <c r="G189" s="47"/>
    </row>
    <row r="190" spans="1:7" x14ac:dyDescent="0.25">
      <c r="A190" s="47"/>
      <c r="B190" s="47"/>
      <c r="C190" s="47"/>
      <c r="D190" s="47"/>
      <c r="E190" s="47"/>
      <c r="F190" s="47"/>
      <c r="G190" s="47"/>
    </row>
    <row r="191" spans="1:7" x14ac:dyDescent="0.25">
      <c r="A191" s="47"/>
      <c r="B191" s="47"/>
      <c r="C191" s="47"/>
      <c r="D191" s="47"/>
      <c r="E191" s="47"/>
      <c r="F191" s="47"/>
      <c r="G191" s="47"/>
    </row>
    <row r="192" spans="1:7" x14ac:dyDescent="0.25">
      <c r="A192" s="47"/>
      <c r="B192" s="47"/>
      <c r="C192" s="47"/>
      <c r="D192" s="47"/>
      <c r="E192" s="47"/>
      <c r="F192" s="47"/>
      <c r="G192" s="47"/>
    </row>
    <row r="193" spans="1:7" x14ac:dyDescent="0.25">
      <c r="A193" s="47"/>
      <c r="B193" s="47"/>
      <c r="C193" s="47"/>
      <c r="D193" s="47"/>
      <c r="E193" s="47"/>
      <c r="F193" s="47"/>
      <c r="G193" s="47"/>
    </row>
    <row r="194" spans="1:7" x14ac:dyDescent="0.25">
      <c r="A194" s="47"/>
      <c r="B194" s="47"/>
      <c r="C194" s="47"/>
      <c r="D194" s="47"/>
      <c r="E194" s="47"/>
      <c r="F194" s="47"/>
      <c r="G194" s="47"/>
    </row>
    <row r="195" spans="1:7" x14ac:dyDescent="0.25">
      <c r="A195" s="47"/>
      <c r="B195" s="47"/>
      <c r="C195" s="47"/>
      <c r="D195" s="47"/>
      <c r="E195" s="47"/>
      <c r="F195" s="47"/>
      <c r="G195" s="47"/>
    </row>
    <row r="196" spans="1:7" x14ac:dyDescent="0.25">
      <c r="A196" s="47"/>
      <c r="B196" s="47"/>
      <c r="C196" s="47"/>
      <c r="D196" s="47"/>
      <c r="E196" s="47"/>
      <c r="F196" s="47"/>
      <c r="G196" s="47"/>
    </row>
    <row r="197" spans="1:7" x14ac:dyDescent="0.25">
      <c r="A197" s="47"/>
      <c r="B197" s="47"/>
      <c r="C197" s="47"/>
      <c r="D197" s="47"/>
      <c r="E197" s="47"/>
      <c r="F197" s="47"/>
      <c r="G197" s="47"/>
    </row>
    <row r="198" spans="1:7" x14ac:dyDescent="0.25">
      <c r="A198" s="47"/>
      <c r="B198" s="47"/>
      <c r="C198" s="47"/>
      <c r="D198" s="47"/>
      <c r="E198" s="47"/>
      <c r="F198" s="47"/>
      <c r="G198" s="47"/>
    </row>
    <row r="199" spans="1:7" x14ac:dyDescent="0.25">
      <c r="A199" s="47"/>
      <c r="B199" s="47"/>
      <c r="C199" s="47"/>
      <c r="D199" s="47"/>
      <c r="E199" s="47"/>
      <c r="F199" s="47"/>
      <c r="G199" s="47"/>
    </row>
    <row r="200" spans="1:7" x14ac:dyDescent="0.25">
      <c r="A200" s="47"/>
      <c r="B200" s="47"/>
      <c r="C200" s="47"/>
      <c r="D200" s="47"/>
      <c r="E200" s="47"/>
      <c r="F200" s="47"/>
      <c r="G200" s="47"/>
    </row>
    <row r="201" spans="1:7" x14ac:dyDescent="0.25">
      <c r="A201" s="47"/>
      <c r="B201" s="47"/>
      <c r="C201" s="47"/>
      <c r="D201" s="47"/>
      <c r="E201" s="47"/>
      <c r="F201" s="47"/>
      <c r="G201" s="47"/>
    </row>
    <row r="202" spans="1:7" x14ac:dyDescent="0.25">
      <c r="A202" s="47"/>
      <c r="B202" s="47"/>
      <c r="C202" s="47"/>
      <c r="D202" s="47"/>
      <c r="E202" s="47"/>
      <c r="F202" s="47"/>
      <c r="G202" s="47"/>
    </row>
    <row r="203" spans="1:7" x14ac:dyDescent="0.25">
      <c r="A203" s="47"/>
      <c r="B203" s="47"/>
      <c r="C203" s="47"/>
      <c r="D203" s="47"/>
      <c r="E203" s="47"/>
      <c r="F203" s="47"/>
      <c r="G203" s="47"/>
    </row>
    <row r="204" spans="1:7" x14ac:dyDescent="0.25">
      <c r="A204" s="47"/>
      <c r="B204" s="47"/>
      <c r="C204" s="47"/>
      <c r="D204" s="47"/>
      <c r="E204" s="47"/>
      <c r="F204" s="47"/>
      <c r="G204" s="47"/>
    </row>
    <row r="205" spans="1:7" x14ac:dyDescent="0.25">
      <c r="A205" s="47"/>
      <c r="B205" s="47"/>
      <c r="C205" s="47"/>
      <c r="D205" s="47"/>
      <c r="E205" s="47"/>
      <c r="F205" s="47"/>
      <c r="G205" s="47"/>
    </row>
    <row r="206" spans="1:7" x14ac:dyDescent="0.25">
      <c r="A206" s="47"/>
      <c r="B206" s="47"/>
      <c r="C206" s="47"/>
      <c r="D206" s="47"/>
      <c r="E206" s="47"/>
      <c r="F206" s="47"/>
      <c r="G206" s="47"/>
    </row>
    <row r="207" spans="1:7" x14ac:dyDescent="0.25">
      <c r="A207" s="47"/>
      <c r="B207" s="47"/>
      <c r="C207" s="47"/>
      <c r="D207" s="47"/>
      <c r="E207" s="47"/>
      <c r="F207" s="47"/>
      <c r="G207" s="47"/>
    </row>
    <row r="208" spans="1:7" x14ac:dyDescent="0.25">
      <c r="A208" s="47"/>
      <c r="B208" s="47"/>
      <c r="C208" s="47"/>
      <c r="D208" s="47"/>
      <c r="E208" s="47"/>
      <c r="F208" s="47"/>
      <c r="G208" s="47"/>
    </row>
    <row r="209" spans="1:7" x14ac:dyDescent="0.25">
      <c r="A209" s="47"/>
      <c r="B209" s="47"/>
      <c r="C209" s="47"/>
      <c r="D209" s="47"/>
      <c r="E209" s="47"/>
      <c r="F209" s="47"/>
      <c r="G209" s="47"/>
    </row>
    <row r="210" spans="1:7" x14ac:dyDescent="0.25">
      <c r="A210" s="47"/>
      <c r="B210" s="47"/>
      <c r="C210" s="47"/>
      <c r="D210" s="47"/>
      <c r="E210" s="47"/>
      <c r="F210" s="47"/>
      <c r="G210" s="47"/>
    </row>
    <row r="211" spans="1:7" x14ac:dyDescent="0.25">
      <c r="A211" s="47"/>
      <c r="B211" s="47"/>
      <c r="C211" s="47"/>
      <c r="D211" s="47"/>
      <c r="E211" s="47"/>
      <c r="F211" s="47"/>
      <c r="G211" s="47"/>
    </row>
    <row r="212" spans="1:7" x14ac:dyDescent="0.25">
      <c r="A212" s="47"/>
      <c r="B212" s="47"/>
      <c r="C212" s="47"/>
      <c r="D212" s="47"/>
      <c r="E212" s="47"/>
      <c r="F212" s="47"/>
      <c r="G212" s="47"/>
    </row>
    <row r="213" spans="1:7" x14ac:dyDescent="0.25">
      <c r="A213" s="47"/>
      <c r="B213" s="47"/>
      <c r="C213" s="47"/>
      <c r="D213" s="47"/>
      <c r="E213" s="47"/>
      <c r="F213" s="47"/>
      <c r="G213" s="47"/>
    </row>
    <row r="214" spans="1:7" x14ac:dyDescent="0.25">
      <c r="A214" s="47"/>
      <c r="B214" s="47"/>
      <c r="C214" s="47"/>
      <c r="D214" s="47"/>
      <c r="E214" s="47"/>
      <c r="F214" s="47"/>
      <c r="G214" s="47"/>
    </row>
    <row r="215" spans="1:7" x14ac:dyDescent="0.25">
      <c r="A215" s="47"/>
      <c r="B215" s="47"/>
      <c r="C215" s="47"/>
      <c r="D215" s="47"/>
      <c r="E215" s="47"/>
      <c r="F215" s="47"/>
      <c r="G215" s="47"/>
    </row>
    <row r="216" spans="1:7" x14ac:dyDescent="0.25">
      <c r="A216" s="47"/>
      <c r="B216" s="47"/>
      <c r="C216" s="47"/>
      <c r="D216" s="47"/>
      <c r="E216" s="47"/>
      <c r="F216" s="47"/>
      <c r="G216" s="47"/>
    </row>
    <row r="217" spans="1:7" x14ac:dyDescent="0.25">
      <c r="A217" s="47"/>
      <c r="B217" s="47"/>
      <c r="C217" s="47"/>
      <c r="D217" s="47"/>
      <c r="E217" s="47"/>
      <c r="F217" s="47"/>
      <c r="G217" s="47"/>
    </row>
    <row r="218" spans="1:7" x14ac:dyDescent="0.25">
      <c r="A218" s="47"/>
      <c r="B218" s="47"/>
      <c r="C218" s="47"/>
      <c r="D218" s="47"/>
      <c r="E218" s="47"/>
      <c r="F218" s="47"/>
      <c r="G218" s="47"/>
    </row>
    <row r="219" spans="1:7" x14ac:dyDescent="0.25">
      <c r="A219" s="47"/>
      <c r="B219" s="47"/>
      <c r="C219" s="47"/>
      <c r="D219" s="47"/>
      <c r="E219" s="47"/>
      <c r="F219" s="47"/>
      <c r="G219" s="47"/>
    </row>
    <row r="220" spans="1:7" x14ac:dyDescent="0.25">
      <c r="A220" s="47"/>
      <c r="B220" s="47"/>
      <c r="C220" s="47"/>
      <c r="D220" s="47"/>
      <c r="E220" s="47"/>
      <c r="F220" s="47"/>
      <c r="G220" s="47"/>
    </row>
    <row r="221" spans="1:7" x14ac:dyDescent="0.25">
      <c r="A221" s="47"/>
      <c r="B221" s="47"/>
      <c r="C221" s="47"/>
      <c r="D221" s="47"/>
      <c r="E221" s="47"/>
      <c r="F221" s="47"/>
      <c r="G221" s="47"/>
    </row>
    <row r="222" spans="1:7" x14ac:dyDescent="0.25">
      <c r="A222" s="47"/>
      <c r="B222" s="47"/>
      <c r="C222" s="47"/>
      <c r="D222" s="47"/>
      <c r="E222" s="47"/>
      <c r="F222" s="47"/>
      <c r="G222" s="47"/>
    </row>
    <row r="223" spans="1:7" x14ac:dyDescent="0.25">
      <c r="A223" s="47"/>
      <c r="B223" s="47"/>
      <c r="C223" s="47"/>
      <c r="D223" s="47"/>
      <c r="E223" s="47"/>
      <c r="F223" s="47"/>
      <c r="G223" s="47"/>
    </row>
    <row r="224" spans="1:7" x14ac:dyDescent="0.25">
      <c r="A224" s="47"/>
      <c r="B224" s="47"/>
      <c r="C224" s="47"/>
      <c r="D224" s="47"/>
      <c r="E224" s="47"/>
      <c r="F224" s="47"/>
      <c r="G224" s="47"/>
    </row>
    <row r="225" spans="1:7" x14ac:dyDescent="0.25">
      <c r="A225" s="47"/>
      <c r="B225" s="47"/>
      <c r="C225" s="47"/>
      <c r="D225" s="47"/>
      <c r="E225" s="47"/>
      <c r="F225" s="47"/>
      <c r="G225" s="47"/>
    </row>
    <row r="226" spans="1:7" x14ac:dyDescent="0.25">
      <c r="A226" s="47"/>
      <c r="B226" s="47"/>
      <c r="C226" s="47"/>
      <c r="D226" s="47"/>
      <c r="E226" s="47"/>
      <c r="F226" s="47"/>
      <c r="G226" s="47"/>
    </row>
    <row r="227" spans="1:7" x14ac:dyDescent="0.25">
      <c r="A227" s="47"/>
      <c r="B227" s="47"/>
      <c r="C227" s="47"/>
      <c r="D227" s="47"/>
      <c r="E227" s="47"/>
      <c r="F227" s="47"/>
      <c r="G227" s="47"/>
    </row>
    <row r="228" spans="1:7" x14ac:dyDescent="0.25">
      <c r="A228" s="47"/>
      <c r="B228" s="47"/>
      <c r="C228" s="47"/>
      <c r="D228" s="47"/>
      <c r="E228" s="47"/>
      <c r="F228" s="47"/>
      <c r="G228" s="47"/>
    </row>
    <row r="229" spans="1:7" x14ac:dyDescent="0.25">
      <c r="A229" s="47"/>
      <c r="B229" s="47"/>
      <c r="C229" s="47"/>
      <c r="D229" s="47"/>
      <c r="E229" s="47"/>
      <c r="F229" s="47"/>
      <c r="G229" s="47"/>
    </row>
    <row r="230" spans="1:7" x14ac:dyDescent="0.25">
      <c r="A230" s="47"/>
      <c r="B230" s="47"/>
      <c r="C230" s="47"/>
      <c r="D230" s="47"/>
      <c r="E230" s="47"/>
      <c r="F230" s="47"/>
      <c r="G230" s="47"/>
    </row>
    <row r="231" spans="1:7" x14ac:dyDescent="0.25">
      <c r="A231" s="47"/>
      <c r="B231" s="47"/>
      <c r="C231" s="47"/>
      <c r="D231" s="47"/>
      <c r="E231" s="47"/>
      <c r="F231" s="47"/>
      <c r="G231" s="47"/>
    </row>
    <row r="232" spans="1:7" x14ac:dyDescent="0.25">
      <c r="A232" s="47"/>
      <c r="B232" s="47"/>
      <c r="C232" s="47"/>
      <c r="D232" s="47"/>
      <c r="E232" s="47"/>
      <c r="F232" s="47"/>
      <c r="G232" s="47"/>
    </row>
    <row r="233" spans="1:7" x14ac:dyDescent="0.25">
      <c r="A233" s="47"/>
      <c r="B233" s="47"/>
      <c r="C233" s="47"/>
      <c r="D233" s="47"/>
      <c r="E233" s="47"/>
      <c r="F233" s="47"/>
      <c r="G233" s="47"/>
    </row>
    <row r="234" spans="1:7" x14ac:dyDescent="0.25">
      <c r="A234" s="47"/>
      <c r="B234" s="47"/>
      <c r="C234" s="47"/>
      <c r="D234" s="47"/>
      <c r="E234" s="47"/>
      <c r="F234" s="47"/>
      <c r="G234" s="47"/>
    </row>
    <row r="235" spans="1:7" x14ac:dyDescent="0.25">
      <c r="A235" s="47"/>
      <c r="B235" s="47"/>
      <c r="C235" s="47"/>
      <c r="D235" s="47"/>
      <c r="E235" s="47"/>
      <c r="F235" s="47"/>
      <c r="G235" s="47"/>
    </row>
    <row r="236" spans="1:7" x14ac:dyDescent="0.25">
      <c r="A236" s="47"/>
      <c r="B236" s="47"/>
      <c r="C236" s="47"/>
      <c r="D236" s="47"/>
      <c r="E236" s="47"/>
      <c r="F236" s="47"/>
      <c r="G236" s="47"/>
    </row>
    <row r="237" spans="1:7" x14ac:dyDescent="0.25">
      <c r="A237" s="47"/>
      <c r="B237" s="47"/>
      <c r="C237" s="47"/>
      <c r="D237" s="47"/>
      <c r="E237" s="47"/>
      <c r="F237" s="47"/>
      <c r="G237" s="47"/>
    </row>
    <row r="238" spans="1:7" x14ac:dyDescent="0.25">
      <c r="A238" s="47"/>
      <c r="B238" s="47"/>
      <c r="C238" s="47"/>
      <c r="D238" s="47"/>
      <c r="E238" s="47"/>
      <c r="F238" s="47"/>
      <c r="G238" s="47"/>
    </row>
    <row r="239" spans="1:7" x14ac:dyDescent="0.25">
      <c r="A239" s="47"/>
      <c r="B239" s="47"/>
      <c r="C239" s="47"/>
      <c r="D239" s="47"/>
      <c r="E239" s="47"/>
      <c r="F239" s="47"/>
      <c r="G239" s="47"/>
    </row>
    <row r="240" spans="1:7" x14ac:dyDescent="0.25">
      <c r="A240" s="47"/>
      <c r="B240" s="47"/>
      <c r="C240" s="47"/>
      <c r="D240" s="47"/>
      <c r="E240" s="47"/>
      <c r="F240" s="47"/>
      <c r="G240" s="47"/>
    </row>
    <row r="241" spans="1:7" x14ac:dyDescent="0.25">
      <c r="A241" s="47"/>
      <c r="B241" s="47"/>
      <c r="C241" s="47"/>
      <c r="D241" s="47"/>
      <c r="E241" s="47"/>
      <c r="F241" s="47"/>
      <c r="G241" s="47"/>
    </row>
    <row r="242" spans="1:7" x14ac:dyDescent="0.25">
      <c r="A242" s="47"/>
      <c r="B242" s="47"/>
      <c r="C242" s="47"/>
      <c r="D242" s="47"/>
      <c r="E242" s="47"/>
      <c r="F242" s="47"/>
      <c r="G242" s="47"/>
    </row>
    <row r="243" spans="1:7" x14ac:dyDescent="0.25">
      <c r="A243" s="47"/>
      <c r="B243" s="47"/>
      <c r="C243" s="47"/>
      <c r="D243" s="47"/>
      <c r="E243" s="47"/>
      <c r="F243" s="47"/>
      <c r="G243" s="47"/>
    </row>
    <row r="244" spans="1:7" x14ac:dyDescent="0.25">
      <c r="A244" s="47"/>
      <c r="B244" s="47"/>
      <c r="C244" s="47"/>
      <c r="D244" s="47"/>
      <c r="E244" s="47"/>
      <c r="F244" s="47"/>
      <c r="G244" s="47"/>
    </row>
    <row r="245" spans="1:7" x14ac:dyDescent="0.25">
      <c r="A245" s="47"/>
      <c r="B245" s="47"/>
      <c r="C245" s="47"/>
      <c r="D245" s="47"/>
      <c r="E245" s="47"/>
      <c r="F245" s="47"/>
      <c r="G245" s="47"/>
    </row>
    <row r="246" spans="1:7" x14ac:dyDescent="0.25">
      <c r="A246" s="47"/>
      <c r="B246" s="47"/>
      <c r="C246" s="47"/>
      <c r="D246" s="47"/>
      <c r="E246" s="47"/>
      <c r="F246" s="47"/>
      <c r="G246" s="47"/>
    </row>
    <row r="247" spans="1:7" x14ac:dyDescent="0.25">
      <c r="A247" s="47"/>
      <c r="B247" s="47"/>
      <c r="C247" s="47"/>
      <c r="D247" s="47"/>
      <c r="E247" s="47"/>
      <c r="F247" s="47"/>
      <c r="G247" s="47"/>
    </row>
    <row r="248" spans="1:7" x14ac:dyDescent="0.25">
      <c r="A248" s="47"/>
      <c r="B248" s="47"/>
      <c r="C248" s="47"/>
      <c r="D248" s="47"/>
      <c r="E248" s="47"/>
      <c r="F248" s="47"/>
      <c r="G248" s="47"/>
    </row>
    <row r="249" spans="1:7" x14ac:dyDescent="0.25">
      <c r="A249" s="47"/>
      <c r="B249" s="47"/>
      <c r="C249" s="47"/>
      <c r="D249" s="47"/>
      <c r="E249" s="47"/>
      <c r="F249" s="47"/>
      <c r="G249" s="47"/>
    </row>
    <row r="250" spans="1:7" x14ac:dyDescent="0.25">
      <c r="A250" s="47"/>
      <c r="B250" s="47"/>
      <c r="C250" s="47"/>
      <c r="D250" s="47"/>
      <c r="E250" s="47"/>
      <c r="F250" s="47"/>
      <c r="G250" s="47"/>
    </row>
    <row r="251" spans="1:7" x14ac:dyDescent="0.25">
      <c r="A251" s="47"/>
      <c r="B251" s="47"/>
      <c r="C251" s="47"/>
      <c r="D251" s="47"/>
      <c r="E251" s="47"/>
      <c r="F251" s="47"/>
      <c r="G251" s="47"/>
    </row>
    <row r="252" spans="1:7" x14ac:dyDescent="0.25">
      <c r="A252" s="47"/>
      <c r="B252" s="47"/>
      <c r="C252" s="47"/>
      <c r="D252" s="47"/>
      <c r="E252" s="47"/>
      <c r="F252" s="47"/>
      <c r="G252" s="47"/>
    </row>
    <row r="253" spans="1:7" x14ac:dyDescent="0.25">
      <c r="A253" s="47"/>
      <c r="B253" s="47"/>
      <c r="C253" s="47"/>
      <c r="D253" s="47"/>
      <c r="E253" s="47"/>
      <c r="F253" s="47"/>
      <c r="G253" s="47"/>
    </row>
    <row r="254" spans="1:7" x14ac:dyDescent="0.25">
      <c r="A254" s="47"/>
      <c r="B254" s="47"/>
      <c r="C254" s="47"/>
      <c r="D254" s="47"/>
      <c r="E254" s="47"/>
      <c r="F254" s="47"/>
      <c r="G254" s="47"/>
    </row>
    <row r="255" spans="1:7" x14ac:dyDescent="0.25">
      <c r="A255" s="47"/>
      <c r="B255" s="47"/>
      <c r="C255" s="47"/>
      <c r="D255" s="47"/>
      <c r="E255" s="47"/>
      <c r="F255" s="47"/>
      <c r="G255" s="47"/>
    </row>
    <row r="256" spans="1:7" x14ac:dyDescent="0.25">
      <c r="A256" s="47"/>
      <c r="B256" s="47"/>
      <c r="C256" s="47"/>
      <c r="D256" s="47"/>
      <c r="E256" s="47"/>
      <c r="F256" s="47"/>
      <c r="G256" s="47"/>
    </row>
    <row r="257" spans="1:7" x14ac:dyDescent="0.25">
      <c r="A257" s="47"/>
      <c r="B257" s="47"/>
      <c r="C257" s="47"/>
      <c r="D257" s="47"/>
      <c r="E257" s="47"/>
      <c r="F257" s="47"/>
      <c r="G257" s="47"/>
    </row>
    <row r="258" spans="1:7" x14ac:dyDescent="0.25">
      <c r="A258" s="47"/>
      <c r="B258" s="47"/>
      <c r="C258" s="47"/>
      <c r="D258" s="47"/>
      <c r="E258" s="47"/>
      <c r="F258" s="47"/>
      <c r="G258" s="47"/>
    </row>
    <row r="259" spans="1:7" x14ac:dyDescent="0.25">
      <c r="A259" s="47"/>
      <c r="B259" s="47"/>
      <c r="C259" s="47"/>
      <c r="D259" s="47"/>
      <c r="E259" s="47"/>
      <c r="F259" s="47"/>
      <c r="G259" s="47"/>
    </row>
    <row r="260" spans="1:7" x14ac:dyDescent="0.25">
      <c r="A260" s="47"/>
      <c r="B260" s="47"/>
      <c r="C260" s="47"/>
      <c r="D260" s="47"/>
      <c r="E260" s="47"/>
      <c r="F260" s="47"/>
      <c r="G260" s="47"/>
    </row>
    <row r="261" spans="1:7" x14ac:dyDescent="0.25">
      <c r="A261" s="47"/>
      <c r="B261" s="47"/>
      <c r="C261" s="47"/>
      <c r="D261" s="47"/>
      <c r="E261" s="47"/>
      <c r="F261" s="47"/>
      <c r="G261" s="47"/>
    </row>
    <row r="262" spans="1:7" x14ac:dyDescent="0.25">
      <c r="A262" s="47"/>
      <c r="B262" s="47"/>
      <c r="C262" s="47"/>
      <c r="D262" s="47"/>
      <c r="E262" s="47"/>
      <c r="F262" s="47"/>
      <c r="G262" s="47"/>
    </row>
    <row r="263" spans="1:7" x14ac:dyDescent="0.25">
      <c r="A263" s="47"/>
      <c r="B263" s="47"/>
      <c r="C263" s="47"/>
      <c r="D263" s="47"/>
      <c r="E263" s="47"/>
      <c r="F263" s="47"/>
      <c r="G263" s="47"/>
    </row>
    <row r="264" spans="1:7" x14ac:dyDescent="0.25">
      <c r="A264" s="47"/>
      <c r="B264" s="47"/>
      <c r="C264" s="47"/>
      <c r="D264" s="47"/>
      <c r="E264" s="47"/>
      <c r="F264" s="47"/>
      <c r="G264" s="47"/>
    </row>
    <row r="265" spans="1:7" x14ac:dyDescent="0.25">
      <c r="A265" s="47"/>
      <c r="B265" s="47"/>
      <c r="C265" s="47"/>
      <c r="D265" s="47"/>
      <c r="E265" s="47"/>
      <c r="F265" s="47"/>
      <c r="G265" s="47"/>
    </row>
    <row r="266" spans="1:7" x14ac:dyDescent="0.25">
      <c r="A266" s="47"/>
      <c r="B266" s="47"/>
      <c r="C266" s="47"/>
      <c r="D266" s="47"/>
      <c r="E266" s="47"/>
      <c r="F266" s="47"/>
      <c r="G266" s="47"/>
    </row>
    <row r="267" spans="1:7" x14ac:dyDescent="0.25">
      <c r="A267" s="47"/>
      <c r="B267" s="47"/>
      <c r="C267" s="47"/>
      <c r="D267" s="47"/>
      <c r="E267" s="47"/>
      <c r="F267" s="47"/>
      <c r="G267" s="47"/>
    </row>
    <row r="268" spans="1:7" x14ac:dyDescent="0.25">
      <c r="A268" s="47"/>
      <c r="B268" s="47"/>
      <c r="C268" s="47"/>
      <c r="D268" s="47"/>
      <c r="E268" s="47"/>
      <c r="F268" s="47"/>
      <c r="G268" s="47"/>
    </row>
    <row r="269" spans="1:7" x14ac:dyDescent="0.25">
      <c r="A269" s="47"/>
      <c r="B269" s="47"/>
      <c r="C269" s="47"/>
      <c r="D269" s="47"/>
      <c r="E269" s="47"/>
      <c r="F269" s="47"/>
      <c r="G269" s="47"/>
    </row>
    <row r="270" spans="1:7" x14ac:dyDescent="0.25">
      <c r="A270" s="47"/>
      <c r="B270" s="47"/>
      <c r="C270" s="47"/>
      <c r="D270" s="47"/>
      <c r="E270" s="47"/>
      <c r="F270" s="47"/>
      <c r="G270" s="47"/>
    </row>
    <row r="271" spans="1:7" x14ac:dyDescent="0.25">
      <c r="A271" s="47"/>
      <c r="B271" s="47"/>
      <c r="C271" s="47"/>
      <c r="D271" s="47"/>
      <c r="E271" s="47"/>
      <c r="F271" s="47"/>
      <c r="G271" s="47"/>
    </row>
    <row r="272" spans="1:7" x14ac:dyDescent="0.25">
      <c r="A272" s="47"/>
      <c r="B272" s="47"/>
      <c r="C272" s="47"/>
      <c r="D272" s="47"/>
      <c r="E272" s="47"/>
      <c r="F272" s="47"/>
      <c r="G272" s="47"/>
    </row>
    <row r="273" spans="1:7" x14ac:dyDescent="0.25">
      <c r="A273" s="47"/>
      <c r="B273" s="47"/>
      <c r="C273" s="47"/>
      <c r="D273" s="47"/>
      <c r="E273" s="47"/>
      <c r="F273" s="47"/>
      <c r="G273" s="47"/>
    </row>
    <row r="274" spans="1:7" x14ac:dyDescent="0.25">
      <c r="A274" s="47"/>
      <c r="B274" s="47"/>
      <c r="C274" s="47"/>
      <c r="D274" s="47"/>
      <c r="E274" s="47"/>
      <c r="F274" s="47"/>
      <c r="G274" s="47"/>
    </row>
    <row r="275" spans="1:7" x14ac:dyDescent="0.25">
      <c r="A275" s="47"/>
      <c r="B275" s="47"/>
      <c r="C275" s="47"/>
      <c r="D275" s="47"/>
      <c r="E275" s="47"/>
      <c r="F275" s="47"/>
      <c r="G275" s="47"/>
    </row>
    <row r="276" spans="1:7" x14ac:dyDescent="0.25">
      <c r="A276" s="47"/>
      <c r="B276" s="47"/>
      <c r="C276" s="47"/>
      <c r="D276" s="47"/>
      <c r="E276" s="47"/>
      <c r="F276" s="47"/>
      <c r="G276" s="47"/>
    </row>
    <row r="277" spans="1:7" x14ac:dyDescent="0.25">
      <c r="A277" s="47"/>
      <c r="B277" s="47"/>
      <c r="C277" s="47"/>
      <c r="D277" s="47"/>
      <c r="E277" s="47"/>
      <c r="F277" s="47"/>
      <c r="G277" s="47"/>
    </row>
    <row r="278" spans="1:7" x14ac:dyDescent="0.25">
      <c r="A278" s="47"/>
      <c r="B278" s="47"/>
      <c r="C278" s="47"/>
      <c r="D278" s="47"/>
      <c r="E278" s="47"/>
      <c r="F278" s="47"/>
      <c r="G278" s="47"/>
    </row>
    <row r="279" spans="1:7" x14ac:dyDescent="0.25">
      <c r="A279" s="47"/>
      <c r="B279" s="47"/>
      <c r="C279" s="47"/>
      <c r="D279" s="47"/>
      <c r="E279" s="47"/>
      <c r="F279" s="47"/>
      <c r="G279" s="47"/>
    </row>
    <row r="280" spans="1:7" x14ac:dyDescent="0.25">
      <c r="A280" s="47"/>
      <c r="B280" s="47"/>
      <c r="C280" s="47"/>
      <c r="D280" s="47"/>
      <c r="E280" s="47"/>
      <c r="F280" s="47"/>
      <c r="G280" s="47"/>
    </row>
    <row r="281" spans="1:7" x14ac:dyDescent="0.25">
      <c r="A281" s="47"/>
      <c r="B281" s="47"/>
      <c r="C281" s="47"/>
      <c r="D281" s="47"/>
      <c r="E281" s="47"/>
      <c r="F281" s="47"/>
      <c r="G281" s="47"/>
    </row>
    <row r="282" spans="1:7" x14ac:dyDescent="0.25">
      <c r="A282" s="47"/>
      <c r="B282" s="47"/>
      <c r="C282" s="47"/>
      <c r="D282" s="47"/>
      <c r="E282" s="47"/>
      <c r="F282" s="47"/>
      <c r="G282" s="47"/>
    </row>
    <row r="283" spans="1:7" x14ac:dyDescent="0.25">
      <c r="A283" s="47"/>
      <c r="B283" s="47"/>
      <c r="C283" s="47"/>
      <c r="D283" s="47"/>
      <c r="E283" s="47"/>
      <c r="F283" s="47"/>
      <c r="G283" s="47"/>
    </row>
    <row r="284" spans="1:7" x14ac:dyDescent="0.25">
      <c r="A284" s="47"/>
      <c r="B284" s="47"/>
      <c r="C284" s="47"/>
      <c r="D284" s="47"/>
      <c r="E284" s="47"/>
      <c r="F284" s="47"/>
      <c r="G284" s="47"/>
    </row>
    <row r="285" spans="1:7" x14ac:dyDescent="0.25">
      <c r="A285" s="47"/>
      <c r="B285" s="47"/>
      <c r="C285" s="47"/>
      <c r="D285" s="47"/>
      <c r="E285" s="47"/>
      <c r="F285" s="47"/>
      <c r="G285" s="47"/>
    </row>
    <row r="286" spans="1:7" x14ac:dyDescent="0.25">
      <c r="A286" s="47"/>
      <c r="B286" s="47"/>
      <c r="C286" s="47"/>
      <c r="D286" s="47"/>
      <c r="E286" s="47"/>
      <c r="F286" s="47"/>
      <c r="G286" s="47"/>
    </row>
    <row r="287" spans="1:7" x14ac:dyDescent="0.25">
      <c r="A287" s="47"/>
      <c r="B287" s="47"/>
      <c r="C287" s="47"/>
      <c r="D287" s="47"/>
      <c r="E287" s="47"/>
      <c r="F287" s="47"/>
      <c r="G287" s="47"/>
    </row>
    <row r="288" spans="1:7" x14ac:dyDescent="0.25">
      <c r="A288" s="47"/>
      <c r="B288" s="47"/>
      <c r="C288" s="47"/>
      <c r="D288" s="47"/>
      <c r="E288" s="47"/>
      <c r="F288" s="47"/>
      <c r="G288" s="47"/>
    </row>
    <row r="289" spans="1:7" x14ac:dyDescent="0.25">
      <c r="A289" s="47"/>
      <c r="B289" s="47"/>
      <c r="C289" s="47"/>
      <c r="D289" s="47"/>
      <c r="E289" s="47"/>
      <c r="F289" s="47"/>
      <c r="G289" s="47"/>
    </row>
    <row r="290" spans="1:7" x14ac:dyDescent="0.25">
      <c r="A290" s="47"/>
      <c r="B290" s="47"/>
      <c r="C290" s="47"/>
      <c r="D290" s="47"/>
      <c r="E290" s="47"/>
      <c r="F290" s="47"/>
      <c r="G290" s="47"/>
    </row>
    <row r="291" spans="1:7" x14ac:dyDescent="0.25">
      <c r="A291" s="47"/>
      <c r="B291" s="47"/>
      <c r="C291" s="47"/>
      <c r="D291" s="47"/>
      <c r="E291" s="47"/>
      <c r="F291" s="47"/>
      <c r="G291" s="47"/>
    </row>
    <row r="292" spans="1:7" x14ac:dyDescent="0.25">
      <c r="A292" s="47"/>
      <c r="B292" s="47"/>
      <c r="C292" s="47"/>
      <c r="D292" s="47"/>
      <c r="E292" s="47"/>
      <c r="F292" s="47"/>
      <c r="G292" s="47"/>
    </row>
    <row r="293" spans="1:7" x14ac:dyDescent="0.25">
      <c r="A293" s="47"/>
      <c r="B293" s="47"/>
      <c r="C293" s="47"/>
      <c r="D293" s="47"/>
      <c r="E293" s="47"/>
      <c r="F293" s="47"/>
      <c r="G293" s="47"/>
    </row>
    <row r="294" spans="1:7" x14ac:dyDescent="0.25">
      <c r="A294" s="47"/>
      <c r="B294" s="47"/>
      <c r="C294" s="47"/>
      <c r="D294" s="47"/>
      <c r="E294" s="47"/>
      <c r="F294" s="47"/>
      <c r="G294" s="47"/>
    </row>
    <row r="295" spans="1:7" x14ac:dyDescent="0.25">
      <c r="A295" s="47"/>
      <c r="B295" s="47"/>
      <c r="C295" s="47"/>
      <c r="D295" s="47"/>
      <c r="E295" s="47"/>
      <c r="F295" s="47"/>
      <c r="G295" s="47"/>
    </row>
    <row r="296" spans="1:7" x14ac:dyDescent="0.25">
      <c r="A296" s="47"/>
      <c r="B296" s="47"/>
      <c r="C296" s="47"/>
      <c r="D296" s="47"/>
      <c r="E296" s="47"/>
      <c r="F296" s="47"/>
      <c r="G296" s="47"/>
    </row>
    <row r="297" spans="1:7" x14ac:dyDescent="0.25">
      <c r="A297" s="47"/>
      <c r="B297" s="47"/>
      <c r="C297" s="47"/>
      <c r="D297" s="47"/>
      <c r="E297" s="47"/>
      <c r="F297" s="47"/>
      <c r="G297" s="47"/>
    </row>
    <row r="298" spans="1:7" x14ac:dyDescent="0.25">
      <c r="A298" s="47"/>
      <c r="B298" s="47"/>
      <c r="C298" s="47"/>
      <c r="D298" s="47"/>
      <c r="E298" s="47"/>
      <c r="F298" s="47"/>
      <c r="G298" s="47"/>
    </row>
    <row r="299" spans="1:7" x14ac:dyDescent="0.25">
      <c r="A299" s="47"/>
      <c r="B299" s="47"/>
      <c r="C299" s="47"/>
      <c r="D299" s="47"/>
      <c r="E299" s="47"/>
      <c r="F299" s="47"/>
      <c r="G299" s="47"/>
    </row>
    <row r="300" spans="1:7" x14ac:dyDescent="0.25">
      <c r="A300" s="47"/>
      <c r="B300" s="47"/>
      <c r="C300" s="47"/>
      <c r="D300" s="47"/>
      <c r="E300" s="47"/>
      <c r="F300" s="47"/>
      <c r="G300" s="47"/>
    </row>
    <row r="301" spans="1:7" x14ac:dyDescent="0.25">
      <c r="A301" s="47"/>
      <c r="B301" s="47"/>
      <c r="C301" s="47"/>
      <c r="D301" s="47"/>
      <c r="E301" s="47"/>
      <c r="F301" s="47"/>
      <c r="G301" s="47"/>
    </row>
    <row r="302" spans="1:7" x14ac:dyDescent="0.25">
      <c r="A302" s="47"/>
      <c r="B302" s="47"/>
      <c r="C302" s="47"/>
      <c r="D302" s="47"/>
      <c r="E302" s="47"/>
      <c r="F302" s="47"/>
      <c r="G302" s="47"/>
    </row>
    <row r="303" spans="1:7" x14ac:dyDescent="0.25">
      <c r="A303" s="47"/>
      <c r="B303" s="47"/>
      <c r="C303" s="47"/>
      <c r="D303" s="47"/>
      <c r="E303" s="47"/>
      <c r="F303" s="47"/>
      <c r="G303" s="47"/>
    </row>
    <row r="304" spans="1:7" x14ac:dyDescent="0.25">
      <c r="A304" s="47"/>
      <c r="B304" s="47"/>
      <c r="C304" s="47"/>
      <c r="D304" s="47"/>
      <c r="E304" s="47"/>
      <c r="F304" s="47"/>
      <c r="G304" s="47"/>
    </row>
    <row r="305" spans="1:7" x14ac:dyDescent="0.25">
      <c r="A305" s="47"/>
      <c r="B305" s="47"/>
      <c r="C305" s="47"/>
      <c r="D305" s="47"/>
      <c r="E305" s="47"/>
      <c r="F305" s="47"/>
      <c r="G305" s="47"/>
    </row>
    <row r="306" spans="1:7" x14ac:dyDescent="0.25">
      <c r="A306" s="47"/>
      <c r="B306" s="47"/>
      <c r="C306" s="47"/>
      <c r="D306" s="47"/>
      <c r="E306" s="47"/>
      <c r="F306" s="47"/>
      <c r="G306" s="47"/>
    </row>
    <row r="307" spans="1:7" x14ac:dyDescent="0.25">
      <c r="A307" s="47"/>
      <c r="B307" s="47"/>
      <c r="C307" s="47"/>
      <c r="D307" s="47"/>
      <c r="E307" s="47"/>
      <c r="F307" s="47"/>
      <c r="G307" s="47"/>
    </row>
    <row r="308" spans="1:7" x14ac:dyDescent="0.25">
      <c r="A308" s="47"/>
      <c r="B308" s="47"/>
      <c r="C308" s="47"/>
      <c r="D308" s="47"/>
      <c r="E308" s="47"/>
      <c r="F308" s="47"/>
      <c r="G308" s="47"/>
    </row>
    <row r="309" spans="1:7" x14ac:dyDescent="0.25">
      <c r="A309" s="47"/>
      <c r="B309" s="47"/>
      <c r="C309" s="47"/>
      <c r="D309" s="47"/>
      <c r="E309" s="47"/>
      <c r="F309" s="47"/>
      <c r="G309" s="47"/>
    </row>
    <row r="310" spans="1:7" x14ac:dyDescent="0.25">
      <c r="A310" s="47"/>
      <c r="B310" s="47"/>
      <c r="C310" s="47"/>
      <c r="D310" s="47"/>
      <c r="E310" s="47"/>
      <c r="F310" s="47"/>
      <c r="G310" s="47"/>
    </row>
    <row r="311" spans="1:7" x14ac:dyDescent="0.25">
      <c r="A311" s="47"/>
      <c r="B311" s="47"/>
      <c r="C311" s="47"/>
      <c r="D311" s="47"/>
      <c r="E311" s="47"/>
      <c r="F311" s="47"/>
      <c r="G311" s="47"/>
    </row>
    <row r="312" spans="1:7" x14ac:dyDescent="0.25">
      <c r="A312" s="47"/>
      <c r="B312" s="47"/>
      <c r="C312" s="47"/>
      <c r="D312" s="47"/>
      <c r="E312" s="47"/>
      <c r="F312" s="47"/>
      <c r="G312" s="47"/>
    </row>
    <row r="313" spans="1:7" x14ac:dyDescent="0.25">
      <c r="A313" s="47"/>
      <c r="B313" s="47"/>
      <c r="C313" s="47"/>
      <c r="D313" s="47"/>
      <c r="E313" s="47"/>
      <c r="F313" s="47"/>
      <c r="G313" s="47"/>
    </row>
    <row r="314" spans="1:7" x14ac:dyDescent="0.25">
      <c r="A314" s="47"/>
      <c r="B314" s="47"/>
      <c r="C314" s="47"/>
      <c r="D314" s="47"/>
      <c r="E314" s="47"/>
      <c r="F314" s="47"/>
      <c r="G314" s="47"/>
    </row>
    <row r="315" spans="1:7" x14ac:dyDescent="0.25">
      <c r="A315" s="47"/>
      <c r="B315" s="47"/>
      <c r="C315" s="47"/>
      <c r="D315" s="47"/>
      <c r="E315" s="47"/>
      <c r="F315" s="47"/>
      <c r="G315" s="47"/>
    </row>
    <row r="316" spans="1:7" x14ac:dyDescent="0.25">
      <c r="A316" s="47"/>
      <c r="B316" s="47"/>
      <c r="C316" s="47"/>
      <c r="D316" s="47"/>
      <c r="E316" s="47"/>
      <c r="F316" s="47"/>
      <c r="G316" s="47"/>
    </row>
    <row r="317" spans="1:7" x14ac:dyDescent="0.25">
      <c r="A317" s="47"/>
      <c r="B317" s="47"/>
      <c r="C317" s="47"/>
      <c r="D317" s="47"/>
      <c r="E317" s="47"/>
      <c r="F317" s="47"/>
      <c r="G317" s="47"/>
    </row>
    <row r="318" spans="1:7" x14ac:dyDescent="0.25">
      <c r="A318" s="47"/>
      <c r="B318" s="47"/>
      <c r="C318" s="47"/>
      <c r="D318" s="47"/>
      <c r="E318" s="47"/>
      <c r="F318" s="47"/>
      <c r="G318" s="47"/>
    </row>
    <row r="319" spans="1:7" x14ac:dyDescent="0.25">
      <c r="A319" s="47"/>
      <c r="B319" s="47"/>
      <c r="C319" s="47"/>
      <c r="D319" s="47"/>
      <c r="E319" s="47"/>
      <c r="F319" s="47"/>
      <c r="G319" s="47"/>
    </row>
    <row r="320" spans="1:7" x14ac:dyDescent="0.25">
      <c r="A320" s="47"/>
      <c r="B320" s="47"/>
      <c r="C320" s="47"/>
      <c r="D320" s="47"/>
      <c r="E320" s="47"/>
      <c r="F320" s="47"/>
      <c r="G320" s="47"/>
    </row>
    <row r="321" spans="1:7" x14ac:dyDescent="0.25">
      <c r="A321" s="47"/>
      <c r="B321" s="47"/>
      <c r="C321" s="47"/>
      <c r="D321" s="47"/>
      <c r="E321" s="47"/>
      <c r="F321" s="47"/>
      <c r="G321" s="47"/>
    </row>
    <row r="322" spans="1:7" x14ac:dyDescent="0.25">
      <c r="A322" s="47"/>
      <c r="B322" s="47"/>
      <c r="C322" s="47"/>
      <c r="D322" s="47"/>
      <c r="E322" s="47"/>
      <c r="F322" s="47"/>
      <c r="G322" s="47"/>
    </row>
    <row r="323" spans="1:7" x14ac:dyDescent="0.25">
      <c r="A323" s="47"/>
      <c r="B323" s="47"/>
      <c r="C323" s="47"/>
      <c r="D323" s="47"/>
      <c r="E323" s="47"/>
      <c r="F323" s="47"/>
      <c r="G323" s="47"/>
    </row>
    <row r="324" spans="1:7" x14ac:dyDescent="0.25">
      <c r="A324" s="47"/>
      <c r="B324" s="47"/>
      <c r="C324" s="47"/>
      <c r="D324" s="47"/>
      <c r="E324" s="47"/>
      <c r="F324" s="47"/>
      <c r="G324" s="47"/>
    </row>
    <row r="325" spans="1:7" x14ac:dyDescent="0.25">
      <c r="A325" s="47"/>
      <c r="B325" s="47"/>
      <c r="C325" s="47"/>
      <c r="D325" s="47"/>
      <c r="E325" s="47"/>
      <c r="F325" s="47"/>
      <c r="G325" s="47"/>
    </row>
    <row r="326" spans="1:7" x14ac:dyDescent="0.25">
      <c r="A326" s="47"/>
      <c r="B326" s="47"/>
      <c r="C326" s="47"/>
      <c r="D326" s="47"/>
      <c r="E326" s="47"/>
      <c r="F326" s="47"/>
      <c r="G326" s="47"/>
    </row>
    <row r="327" spans="1:7" x14ac:dyDescent="0.25">
      <c r="A327" s="47"/>
      <c r="B327" s="47"/>
      <c r="C327" s="47"/>
      <c r="D327" s="47"/>
      <c r="E327" s="47"/>
      <c r="F327" s="47"/>
      <c r="G327" s="47"/>
    </row>
    <row r="328" spans="1:7" x14ac:dyDescent="0.25">
      <c r="A328" s="47"/>
      <c r="B328" s="47"/>
      <c r="C328" s="47"/>
      <c r="D328" s="47"/>
      <c r="E328" s="47"/>
      <c r="F328" s="47"/>
      <c r="G328" s="47"/>
    </row>
    <row r="329" spans="1:7" x14ac:dyDescent="0.25">
      <c r="A329" s="47"/>
      <c r="B329" s="47"/>
      <c r="C329" s="47"/>
      <c r="D329" s="47"/>
      <c r="E329" s="47"/>
      <c r="F329" s="47"/>
      <c r="G329" s="47"/>
    </row>
    <row r="330" spans="1:7" x14ac:dyDescent="0.25">
      <c r="A330" s="47"/>
      <c r="B330" s="47"/>
      <c r="C330" s="47"/>
      <c r="D330" s="47"/>
      <c r="E330" s="47"/>
      <c r="F330" s="47"/>
      <c r="G330" s="47"/>
    </row>
    <row r="331" spans="1:7" x14ac:dyDescent="0.25">
      <c r="A331" s="47"/>
      <c r="B331" s="47"/>
      <c r="C331" s="47"/>
      <c r="D331" s="47"/>
      <c r="E331" s="47"/>
      <c r="F331" s="47"/>
      <c r="G331" s="47"/>
    </row>
    <row r="332" spans="1:7" x14ac:dyDescent="0.25">
      <c r="A332" s="47"/>
      <c r="B332" s="47"/>
      <c r="C332" s="47"/>
      <c r="D332" s="47"/>
      <c r="E332" s="47"/>
      <c r="F332" s="47"/>
      <c r="G332" s="47"/>
    </row>
    <row r="333" spans="1:7" x14ac:dyDescent="0.25">
      <c r="A333" s="47"/>
      <c r="B333" s="47"/>
      <c r="C333" s="47"/>
      <c r="D333" s="47"/>
      <c r="E333" s="47"/>
      <c r="F333" s="47"/>
      <c r="G333" s="47"/>
    </row>
    <row r="334" spans="1:7" x14ac:dyDescent="0.25">
      <c r="A334" s="47"/>
      <c r="B334" s="47"/>
      <c r="C334" s="47"/>
      <c r="D334" s="47"/>
      <c r="E334" s="47"/>
      <c r="F334" s="47"/>
      <c r="G334" s="47"/>
    </row>
    <row r="335" spans="1:7" x14ac:dyDescent="0.25">
      <c r="A335" s="47"/>
      <c r="B335" s="47"/>
      <c r="C335" s="47"/>
      <c r="D335" s="47"/>
      <c r="E335" s="47"/>
      <c r="F335" s="47"/>
      <c r="G335" s="47"/>
    </row>
    <row r="336" spans="1:7" x14ac:dyDescent="0.25">
      <c r="A336" s="47"/>
      <c r="B336" s="47"/>
      <c r="C336" s="47"/>
      <c r="D336" s="47"/>
      <c r="E336" s="47"/>
      <c r="F336" s="47"/>
      <c r="G336" s="47"/>
    </row>
    <row r="337" spans="1:7" x14ac:dyDescent="0.25">
      <c r="A337" s="47"/>
      <c r="B337" s="47"/>
      <c r="C337" s="47"/>
      <c r="D337" s="47"/>
      <c r="E337" s="47"/>
      <c r="F337" s="47"/>
      <c r="G337" s="47"/>
    </row>
    <row r="338" spans="1:7" x14ac:dyDescent="0.25">
      <c r="A338" s="47"/>
      <c r="B338" s="47"/>
      <c r="C338" s="47"/>
      <c r="D338" s="47"/>
      <c r="E338" s="47"/>
      <c r="F338" s="47"/>
      <c r="G338" s="47"/>
    </row>
    <row r="339" spans="1:7" x14ac:dyDescent="0.25">
      <c r="A339" s="47"/>
      <c r="B339" s="47"/>
      <c r="C339" s="47"/>
      <c r="D339" s="47"/>
      <c r="E339" s="47"/>
      <c r="F339" s="47"/>
      <c r="G339" s="47"/>
    </row>
    <row r="340" spans="1:7" x14ac:dyDescent="0.25">
      <c r="A340" s="47"/>
      <c r="B340" s="47"/>
      <c r="C340" s="47"/>
      <c r="D340" s="47"/>
      <c r="E340" s="47"/>
      <c r="F340" s="47"/>
      <c r="G340" s="47"/>
    </row>
    <row r="341" spans="1:7" x14ac:dyDescent="0.25">
      <c r="A341" s="47"/>
      <c r="B341" s="47"/>
      <c r="C341" s="47"/>
      <c r="D341" s="47"/>
      <c r="E341" s="47"/>
      <c r="F341" s="47"/>
      <c r="G341" s="47"/>
    </row>
    <row r="342" spans="1:7" x14ac:dyDescent="0.25">
      <c r="A342" s="47"/>
      <c r="B342" s="47"/>
      <c r="C342" s="47"/>
      <c r="D342" s="47"/>
      <c r="E342" s="47"/>
      <c r="F342" s="47"/>
      <c r="G342" s="47"/>
    </row>
    <row r="343" spans="1:7" x14ac:dyDescent="0.25">
      <c r="A343" s="47"/>
      <c r="B343" s="47"/>
      <c r="C343" s="47"/>
      <c r="D343" s="47"/>
      <c r="E343" s="47"/>
      <c r="F343" s="47"/>
      <c r="G343" s="47"/>
    </row>
    <row r="344" spans="1:7" x14ac:dyDescent="0.25">
      <c r="A344" s="47"/>
      <c r="B344" s="47"/>
      <c r="C344" s="47"/>
      <c r="D344" s="47"/>
      <c r="E344" s="47"/>
      <c r="F344" s="47"/>
      <c r="G344" s="47"/>
    </row>
    <row r="345" spans="1:7" x14ac:dyDescent="0.25">
      <c r="A345" s="47"/>
      <c r="B345" s="47"/>
      <c r="C345" s="47"/>
      <c r="D345" s="47"/>
      <c r="E345" s="47"/>
      <c r="F345" s="47"/>
      <c r="G345" s="47"/>
    </row>
    <row r="346" spans="1:7" x14ac:dyDescent="0.25">
      <c r="A346" s="47"/>
      <c r="B346" s="47"/>
      <c r="C346" s="47"/>
      <c r="D346" s="47"/>
      <c r="E346" s="47"/>
      <c r="F346" s="47"/>
      <c r="G346" s="47"/>
    </row>
    <row r="347" spans="1:7" x14ac:dyDescent="0.25">
      <c r="A347" s="47"/>
      <c r="B347" s="47"/>
      <c r="C347" s="47"/>
      <c r="D347" s="47"/>
      <c r="E347" s="47"/>
      <c r="F347" s="47"/>
      <c r="G347" s="47"/>
    </row>
    <row r="348" spans="1:7" x14ac:dyDescent="0.25">
      <c r="A348" s="47"/>
      <c r="B348" s="47"/>
      <c r="C348" s="47"/>
      <c r="D348" s="47"/>
      <c r="E348" s="47"/>
      <c r="F348" s="47"/>
      <c r="G348" s="47"/>
    </row>
    <row r="349" spans="1:7" x14ac:dyDescent="0.25">
      <c r="A349" s="47"/>
      <c r="B349" s="47"/>
      <c r="C349" s="47"/>
      <c r="D349" s="47"/>
      <c r="E349" s="47"/>
      <c r="F349" s="47"/>
      <c r="G349" s="47"/>
    </row>
    <row r="350" spans="1:7" x14ac:dyDescent="0.25">
      <c r="A350" s="47"/>
      <c r="B350" s="47"/>
      <c r="C350" s="47"/>
      <c r="D350" s="47"/>
      <c r="E350" s="47"/>
      <c r="F350" s="47"/>
      <c r="G350" s="47"/>
    </row>
    <row r="351" spans="1:7" x14ac:dyDescent="0.25">
      <c r="A351" s="47"/>
      <c r="B351" s="47"/>
      <c r="C351" s="47"/>
      <c r="D351" s="47"/>
      <c r="E351" s="47"/>
      <c r="F351" s="47"/>
      <c r="G351" s="47"/>
    </row>
    <row r="352" spans="1:7" x14ac:dyDescent="0.25">
      <c r="A352" s="47"/>
      <c r="B352" s="47"/>
      <c r="C352" s="47"/>
      <c r="D352" s="47"/>
      <c r="E352" s="47"/>
      <c r="F352" s="47"/>
      <c r="G352" s="47"/>
    </row>
    <row r="353" spans="1:7" x14ac:dyDescent="0.25">
      <c r="A353" s="47"/>
      <c r="B353" s="47"/>
      <c r="C353" s="47"/>
      <c r="D353" s="47"/>
      <c r="E353" s="47"/>
      <c r="F353" s="47"/>
      <c r="G353" s="47"/>
    </row>
    <row r="354" spans="1:7" x14ac:dyDescent="0.25">
      <c r="A354" s="47"/>
      <c r="B354" s="47"/>
      <c r="C354" s="47"/>
      <c r="D354" s="47"/>
      <c r="E354" s="47"/>
      <c r="F354" s="47"/>
      <c r="G354" s="47"/>
    </row>
    <row r="355" spans="1:7" x14ac:dyDescent="0.25">
      <c r="A355" s="47"/>
      <c r="B355" s="47"/>
      <c r="C355" s="47"/>
      <c r="D355" s="47"/>
      <c r="E355" s="47"/>
      <c r="F355" s="47"/>
      <c r="G355" s="47"/>
    </row>
    <row r="356" spans="1:7" x14ac:dyDescent="0.25">
      <c r="A356" s="47"/>
      <c r="B356" s="47"/>
      <c r="C356" s="47"/>
      <c r="D356" s="47"/>
      <c r="E356" s="47"/>
      <c r="F356" s="47"/>
      <c r="G356" s="47"/>
    </row>
    <row r="357" spans="1:7" x14ac:dyDescent="0.25">
      <c r="A357" s="47"/>
      <c r="B357" s="47"/>
      <c r="C357" s="47"/>
      <c r="D357" s="47"/>
      <c r="E357" s="47"/>
      <c r="F357" s="47"/>
      <c r="G357" s="47"/>
    </row>
    <row r="358" spans="1:7" x14ac:dyDescent="0.25">
      <c r="A358" s="47"/>
      <c r="B358" s="47"/>
      <c r="C358" s="47"/>
      <c r="D358" s="47"/>
      <c r="E358" s="47"/>
      <c r="F358" s="47"/>
      <c r="G358" s="47"/>
    </row>
    <row r="359" spans="1:7" x14ac:dyDescent="0.25">
      <c r="A359" s="47"/>
      <c r="B359" s="47"/>
      <c r="C359" s="47"/>
      <c r="D359" s="47"/>
      <c r="E359" s="47"/>
      <c r="F359" s="47"/>
      <c r="G359" s="47"/>
    </row>
    <row r="360" spans="1:7" x14ac:dyDescent="0.25">
      <c r="A360" s="47"/>
      <c r="B360" s="47"/>
      <c r="C360" s="47"/>
      <c r="D360" s="47"/>
      <c r="E360" s="47"/>
      <c r="F360" s="47"/>
      <c r="G360" s="47"/>
    </row>
    <row r="361" spans="1:7" x14ac:dyDescent="0.25">
      <c r="A361" s="47"/>
      <c r="B361" s="47"/>
      <c r="C361" s="47"/>
      <c r="D361" s="47"/>
      <c r="E361" s="47"/>
      <c r="F361" s="47"/>
      <c r="G361" s="47"/>
    </row>
    <row r="362" spans="1:7" x14ac:dyDescent="0.25">
      <c r="A362" s="47"/>
      <c r="B362" s="47"/>
      <c r="C362" s="47"/>
      <c r="D362" s="47"/>
      <c r="E362" s="47"/>
      <c r="F362" s="47"/>
      <c r="G362" s="47"/>
    </row>
    <row r="363" spans="1:7" x14ac:dyDescent="0.25">
      <c r="A363" s="47"/>
      <c r="B363" s="47"/>
      <c r="C363" s="47"/>
      <c r="D363" s="47"/>
      <c r="E363" s="47"/>
      <c r="F363" s="47"/>
      <c r="G363" s="47"/>
    </row>
    <row r="364" spans="1:7" x14ac:dyDescent="0.25">
      <c r="A364" s="47"/>
      <c r="B364" s="47"/>
      <c r="C364" s="47"/>
      <c r="D364" s="47"/>
      <c r="E364" s="47"/>
      <c r="F364" s="47"/>
      <c r="G364" s="47"/>
    </row>
    <row r="365" spans="1:7" x14ac:dyDescent="0.25">
      <c r="A365" s="47"/>
      <c r="B365" s="47"/>
      <c r="C365" s="47"/>
      <c r="D365" s="47"/>
      <c r="E365" s="47"/>
      <c r="F365" s="47"/>
      <c r="G365" s="47"/>
    </row>
    <row r="366" spans="1:7" x14ac:dyDescent="0.25">
      <c r="A366" s="47"/>
      <c r="B366" s="47"/>
      <c r="C366" s="47"/>
      <c r="D366" s="47"/>
      <c r="E366" s="47"/>
      <c r="F366" s="47"/>
      <c r="G366" s="47"/>
    </row>
    <row r="367" spans="1:7" x14ac:dyDescent="0.25">
      <c r="A367" s="47"/>
      <c r="B367" s="47"/>
      <c r="C367" s="47"/>
      <c r="D367" s="47"/>
      <c r="E367" s="47"/>
      <c r="F367" s="47"/>
      <c r="G367" s="47"/>
    </row>
    <row r="368" spans="1:7" x14ac:dyDescent="0.25">
      <c r="A368" s="47"/>
      <c r="B368" s="47"/>
      <c r="C368" s="47"/>
      <c r="D368" s="47"/>
      <c r="E368" s="47"/>
      <c r="F368" s="47"/>
      <c r="G368" s="47"/>
    </row>
    <row r="369" spans="1:7" x14ac:dyDescent="0.25">
      <c r="A369" s="47"/>
      <c r="B369" s="47"/>
      <c r="C369" s="47"/>
      <c r="D369" s="47"/>
      <c r="E369" s="47"/>
      <c r="F369" s="47"/>
      <c r="G369" s="47"/>
    </row>
    <row r="370" spans="1:7" x14ac:dyDescent="0.25">
      <c r="A370" s="47"/>
      <c r="B370" s="47"/>
      <c r="C370" s="47"/>
      <c r="D370" s="47"/>
      <c r="E370" s="47"/>
      <c r="F370" s="47"/>
      <c r="G370" s="47"/>
    </row>
    <row r="371" spans="1:7" x14ac:dyDescent="0.25">
      <c r="A371" s="47"/>
      <c r="B371" s="47"/>
      <c r="C371" s="47"/>
      <c r="D371" s="47"/>
      <c r="E371" s="47"/>
      <c r="F371" s="47"/>
      <c r="G371" s="47"/>
    </row>
    <row r="372" spans="1:7" x14ac:dyDescent="0.25">
      <c r="A372" s="47"/>
      <c r="B372" s="47"/>
      <c r="C372" s="47"/>
      <c r="D372" s="47"/>
      <c r="E372" s="47"/>
      <c r="F372" s="47"/>
      <c r="G372" s="47"/>
    </row>
    <row r="373" spans="1:7" x14ac:dyDescent="0.25">
      <c r="A373" s="47"/>
      <c r="B373" s="47"/>
      <c r="C373" s="47"/>
      <c r="D373" s="47"/>
      <c r="E373" s="47"/>
      <c r="F373" s="47"/>
      <c r="G373" s="47"/>
    </row>
    <row r="374" spans="1:7" x14ac:dyDescent="0.25">
      <c r="A374" s="47"/>
      <c r="B374" s="47"/>
      <c r="C374" s="47"/>
      <c r="D374" s="47"/>
      <c r="E374" s="47"/>
      <c r="F374" s="47"/>
      <c r="G374" s="47"/>
    </row>
    <row r="375" spans="1:7" x14ac:dyDescent="0.25">
      <c r="A375" s="47"/>
      <c r="B375" s="47"/>
      <c r="C375" s="47"/>
      <c r="D375" s="47"/>
      <c r="E375" s="47"/>
      <c r="F375" s="47"/>
      <c r="G375" s="47"/>
    </row>
    <row r="376" spans="1:7" x14ac:dyDescent="0.25">
      <c r="A376" s="47"/>
      <c r="B376" s="47"/>
      <c r="C376" s="47"/>
      <c r="D376" s="47"/>
      <c r="E376" s="47"/>
      <c r="F376" s="47"/>
      <c r="G376" s="47"/>
    </row>
    <row r="377" spans="1:7" x14ac:dyDescent="0.25">
      <c r="A377" s="47"/>
      <c r="B377" s="47"/>
      <c r="C377" s="47"/>
      <c r="D377" s="47"/>
      <c r="E377" s="47"/>
      <c r="F377" s="47"/>
      <c r="G377" s="47"/>
    </row>
    <row r="378" spans="1:7" x14ac:dyDescent="0.25">
      <c r="A378" s="47"/>
      <c r="B378" s="47"/>
      <c r="C378" s="47"/>
      <c r="D378" s="47"/>
      <c r="E378" s="47"/>
      <c r="F378" s="47"/>
      <c r="G378" s="47"/>
    </row>
    <row r="379" spans="1:7" x14ac:dyDescent="0.25">
      <c r="A379" s="47"/>
      <c r="B379" s="47"/>
      <c r="C379" s="47"/>
      <c r="D379" s="47"/>
      <c r="E379" s="47"/>
      <c r="F379" s="47"/>
      <c r="G379" s="47"/>
    </row>
    <row r="380" spans="1:7" x14ac:dyDescent="0.25">
      <c r="A380" s="47"/>
      <c r="B380" s="47"/>
      <c r="C380" s="47"/>
      <c r="D380" s="47"/>
      <c r="E380" s="47"/>
      <c r="F380" s="47"/>
      <c r="G380" s="47"/>
    </row>
    <row r="381" spans="1:7" x14ac:dyDescent="0.25">
      <c r="A381" s="47"/>
      <c r="B381" s="47"/>
      <c r="C381" s="47"/>
      <c r="D381" s="47"/>
      <c r="E381" s="47"/>
      <c r="F381" s="47"/>
      <c r="G381" s="47"/>
    </row>
    <row r="382" spans="1:7" x14ac:dyDescent="0.25">
      <c r="A382" s="47"/>
      <c r="B382" s="47"/>
      <c r="C382" s="47"/>
      <c r="D382" s="47"/>
      <c r="E382" s="47"/>
      <c r="F382" s="47"/>
      <c r="G382" s="47"/>
    </row>
    <row r="383" spans="1:7" x14ac:dyDescent="0.25">
      <c r="A383" s="47"/>
      <c r="B383" s="47"/>
      <c r="C383" s="47"/>
      <c r="D383" s="47"/>
      <c r="E383" s="47"/>
      <c r="F383" s="47"/>
      <c r="G383" s="47"/>
    </row>
    <row r="384" spans="1:7" x14ac:dyDescent="0.25">
      <c r="A384" s="47"/>
      <c r="B384" s="47"/>
      <c r="C384" s="47"/>
      <c r="D384" s="47"/>
      <c r="E384" s="47"/>
      <c r="F384" s="47"/>
      <c r="G384" s="47"/>
    </row>
    <row r="385" spans="1:7" x14ac:dyDescent="0.25">
      <c r="A385" s="47"/>
      <c r="B385" s="47"/>
      <c r="C385" s="47"/>
      <c r="D385" s="47"/>
      <c r="E385" s="47"/>
      <c r="F385" s="47"/>
      <c r="G385" s="47"/>
    </row>
    <row r="386" spans="1:7" x14ac:dyDescent="0.25">
      <c r="A386" s="47"/>
      <c r="B386" s="47"/>
      <c r="C386" s="47"/>
      <c r="D386" s="47"/>
      <c r="E386" s="47"/>
      <c r="F386" s="47"/>
      <c r="G386" s="47"/>
    </row>
    <row r="387" spans="1:7" x14ac:dyDescent="0.25">
      <c r="A387" s="47"/>
      <c r="B387" s="47"/>
      <c r="C387" s="47"/>
      <c r="D387" s="47"/>
      <c r="E387" s="47"/>
      <c r="F387" s="47"/>
      <c r="G387" s="47"/>
    </row>
    <row r="388" spans="1:7" x14ac:dyDescent="0.25">
      <c r="A388" s="47"/>
      <c r="B388" s="47"/>
      <c r="C388" s="47"/>
      <c r="D388" s="47"/>
      <c r="E388" s="47"/>
      <c r="F388" s="47"/>
      <c r="G388" s="47"/>
    </row>
    <row r="389" spans="1:7" x14ac:dyDescent="0.25">
      <c r="A389" s="47"/>
      <c r="B389" s="47"/>
      <c r="C389" s="47"/>
      <c r="D389" s="47"/>
      <c r="E389" s="47"/>
      <c r="F389" s="47"/>
      <c r="G389" s="47"/>
    </row>
    <row r="390" spans="1:7" x14ac:dyDescent="0.25">
      <c r="A390" s="47"/>
      <c r="B390" s="47"/>
      <c r="C390" s="47"/>
      <c r="D390" s="47"/>
      <c r="E390" s="47"/>
      <c r="F390" s="47"/>
      <c r="G390" s="47"/>
    </row>
    <row r="391" spans="1:7" x14ac:dyDescent="0.25">
      <c r="A391" s="47"/>
      <c r="B391" s="47"/>
      <c r="C391" s="47"/>
      <c r="D391" s="47"/>
      <c r="E391" s="47"/>
      <c r="F391" s="47"/>
      <c r="G391" s="47"/>
    </row>
    <row r="392" spans="1:7" x14ac:dyDescent="0.25">
      <c r="A392" s="47"/>
      <c r="B392" s="47"/>
      <c r="C392" s="47"/>
      <c r="D392" s="47"/>
      <c r="E392" s="47"/>
      <c r="F392" s="47"/>
      <c r="G392" s="47"/>
    </row>
    <row r="393" spans="1:7" x14ac:dyDescent="0.25">
      <c r="A393" s="47"/>
      <c r="B393" s="47"/>
      <c r="C393" s="47"/>
      <c r="D393" s="47"/>
      <c r="E393" s="47"/>
      <c r="F393" s="47"/>
      <c r="G393" s="47"/>
    </row>
    <row r="394" spans="1:7" x14ac:dyDescent="0.25">
      <c r="A394" s="47"/>
      <c r="B394" s="47"/>
      <c r="C394" s="47"/>
      <c r="D394" s="47"/>
      <c r="E394" s="47"/>
      <c r="F394" s="47"/>
      <c r="G394" s="47"/>
    </row>
    <row r="395" spans="1:7" x14ac:dyDescent="0.25">
      <c r="A395" s="47"/>
      <c r="B395" s="47"/>
      <c r="C395" s="47"/>
      <c r="D395" s="47"/>
      <c r="E395" s="47"/>
      <c r="F395" s="47"/>
      <c r="G395" s="47"/>
    </row>
    <row r="396" spans="1:7" x14ac:dyDescent="0.25">
      <c r="A396" s="47"/>
      <c r="B396" s="47"/>
      <c r="C396" s="47"/>
      <c r="D396" s="47"/>
      <c r="E396" s="47"/>
      <c r="F396" s="47"/>
      <c r="G396" s="47"/>
    </row>
    <row r="397" spans="1:7" x14ac:dyDescent="0.25">
      <c r="A397" s="47"/>
      <c r="B397" s="47"/>
      <c r="C397" s="47"/>
      <c r="D397" s="47"/>
      <c r="E397" s="47"/>
      <c r="F397" s="47"/>
      <c r="G397" s="47"/>
    </row>
    <row r="398" spans="1:7" x14ac:dyDescent="0.25">
      <c r="A398" s="47"/>
      <c r="B398" s="47"/>
      <c r="C398" s="47"/>
      <c r="D398" s="47"/>
      <c r="E398" s="47"/>
      <c r="F398" s="47"/>
      <c r="G398" s="47"/>
    </row>
    <row r="399" spans="1:7" x14ac:dyDescent="0.25">
      <c r="A399" s="47"/>
      <c r="B399" s="47"/>
      <c r="C399" s="47"/>
      <c r="D399" s="47"/>
      <c r="E399" s="47"/>
      <c r="F399" s="47"/>
      <c r="G399" s="47"/>
    </row>
    <row r="400" spans="1:7" x14ac:dyDescent="0.25">
      <c r="A400" s="47"/>
      <c r="B400" s="47"/>
      <c r="C400" s="47"/>
      <c r="D400" s="47"/>
      <c r="E400" s="47"/>
      <c r="F400" s="47"/>
      <c r="G400" s="47"/>
    </row>
    <row r="401" spans="1:7" x14ac:dyDescent="0.25">
      <c r="A401" s="47"/>
      <c r="B401" s="47"/>
      <c r="C401" s="47"/>
      <c r="D401" s="47"/>
      <c r="E401" s="47"/>
      <c r="F401" s="47"/>
      <c r="G401" s="47"/>
    </row>
    <row r="402" spans="1:7" x14ac:dyDescent="0.25">
      <c r="A402" s="47"/>
      <c r="B402" s="47"/>
      <c r="C402" s="47"/>
      <c r="D402" s="47"/>
      <c r="E402" s="47"/>
      <c r="F402" s="47"/>
      <c r="G402" s="47"/>
    </row>
    <row r="403" spans="1:7" x14ac:dyDescent="0.25">
      <c r="A403" s="47"/>
      <c r="B403" s="47"/>
      <c r="C403" s="47"/>
      <c r="D403" s="47"/>
      <c r="E403" s="47"/>
      <c r="F403" s="47"/>
      <c r="G403" s="47"/>
    </row>
    <row r="404" spans="1:7" x14ac:dyDescent="0.25">
      <c r="A404" s="47"/>
      <c r="B404" s="47"/>
      <c r="C404" s="47"/>
      <c r="D404" s="47"/>
      <c r="E404" s="47"/>
      <c r="F404" s="47"/>
      <c r="G404" s="47"/>
    </row>
    <row r="405" spans="1:7" x14ac:dyDescent="0.25">
      <c r="A405" s="47"/>
      <c r="B405" s="47"/>
      <c r="C405" s="47"/>
      <c r="D405" s="47"/>
      <c r="E405" s="47"/>
      <c r="F405" s="47"/>
      <c r="G405" s="47"/>
    </row>
    <row r="406" spans="1:7" x14ac:dyDescent="0.25">
      <c r="A406" s="47"/>
      <c r="B406" s="47"/>
      <c r="C406" s="47"/>
      <c r="D406" s="47"/>
      <c r="E406" s="47"/>
      <c r="F406" s="47"/>
      <c r="G406" s="47"/>
    </row>
    <row r="407" spans="1:7" x14ac:dyDescent="0.25">
      <c r="A407" s="47"/>
      <c r="B407" s="47"/>
      <c r="C407" s="47"/>
      <c r="D407" s="47"/>
      <c r="E407" s="47"/>
      <c r="F407" s="47"/>
      <c r="G407" s="47"/>
    </row>
    <row r="408" spans="1:7" x14ac:dyDescent="0.25">
      <c r="A408" s="47"/>
      <c r="B408" s="47"/>
      <c r="C408" s="47"/>
      <c r="D408" s="47"/>
      <c r="E408" s="47"/>
      <c r="F408" s="47"/>
      <c r="G408" s="47"/>
    </row>
    <row r="409" spans="1:7" x14ac:dyDescent="0.25">
      <c r="A409" s="47"/>
      <c r="B409" s="47"/>
      <c r="C409" s="47"/>
      <c r="D409" s="47"/>
      <c r="E409" s="47"/>
      <c r="F409" s="47"/>
      <c r="G409" s="47"/>
    </row>
    <row r="410" spans="1:7" x14ac:dyDescent="0.25">
      <c r="A410" s="47"/>
      <c r="B410" s="47"/>
      <c r="C410" s="47"/>
      <c r="D410" s="47"/>
      <c r="E410" s="47"/>
      <c r="F410" s="47"/>
      <c r="G410" s="47"/>
    </row>
    <row r="411" spans="1:7" x14ac:dyDescent="0.25">
      <c r="A411" s="47"/>
      <c r="B411" s="47"/>
      <c r="C411" s="47"/>
      <c r="D411" s="47"/>
      <c r="E411" s="47"/>
      <c r="F411" s="47"/>
      <c r="G411" s="47"/>
    </row>
    <row r="412" spans="1:7" x14ac:dyDescent="0.25">
      <c r="A412" s="47"/>
      <c r="B412" s="47"/>
      <c r="C412" s="47"/>
      <c r="D412" s="47"/>
      <c r="E412" s="47"/>
      <c r="F412" s="47"/>
      <c r="G412" s="47"/>
    </row>
    <row r="413" spans="1:7" x14ac:dyDescent="0.25">
      <c r="A413" s="47"/>
      <c r="B413" s="47"/>
      <c r="C413" s="47"/>
      <c r="D413" s="47"/>
      <c r="E413" s="47"/>
      <c r="F413" s="47"/>
      <c r="G413" s="47"/>
    </row>
    <row r="414" spans="1:7" x14ac:dyDescent="0.25">
      <c r="A414" s="47"/>
      <c r="B414" s="47"/>
      <c r="C414" s="47"/>
      <c r="D414" s="47"/>
      <c r="E414" s="47"/>
      <c r="F414" s="47"/>
      <c r="G414" s="47"/>
    </row>
    <row r="415" spans="1:7" x14ac:dyDescent="0.25">
      <c r="A415" s="47"/>
      <c r="B415" s="47"/>
      <c r="C415" s="47"/>
      <c r="D415" s="47"/>
      <c r="E415" s="47"/>
      <c r="F415" s="47"/>
      <c r="G415" s="47"/>
    </row>
    <row r="416" spans="1:7" x14ac:dyDescent="0.25">
      <c r="A416" s="47"/>
      <c r="B416" s="47"/>
      <c r="C416" s="47"/>
      <c r="D416" s="47"/>
      <c r="E416" s="47"/>
      <c r="F416" s="47"/>
      <c r="G416" s="47"/>
    </row>
    <row r="417" spans="1:7" x14ac:dyDescent="0.25">
      <c r="A417" s="47"/>
      <c r="B417" s="47"/>
      <c r="C417" s="47"/>
      <c r="D417" s="47"/>
      <c r="E417" s="47"/>
      <c r="F417" s="47"/>
      <c r="G417" s="47"/>
    </row>
    <row r="418" spans="1:7" x14ac:dyDescent="0.25">
      <c r="A418" s="47"/>
      <c r="B418" s="47"/>
      <c r="C418" s="47"/>
      <c r="D418" s="47"/>
      <c r="E418" s="47"/>
      <c r="F418" s="47"/>
      <c r="G418" s="47"/>
    </row>
    <row r="419" spans="1:7" x14ac:dyDescent="0.25">
      <c r="A419" s="47"/>
      <c r="B419" s="47"/>
      <c r="C419" s="47"/>
      <c r="D419" s="47"/>
      <c r="E419" s="47"/>
      <c r="F419" s="47"/>
      <c r="G419" s="47"/>
    </row>
    <row r="420" spans="1:7" x14ac:dyDescent="0.25">
      <c r="A420" s="47"/>
      <c r="B420" s="47"/>
      <c r="C420" s="47"/>
      <c r="D420" s="47"/>
      <c r="E420" s="47"/>
      <c r="F420" s="47"/>
      <c r="G420" s="47"/>
    </row>
    <row r="421" spans="1:7" x14ac:dyDescent="0.25">
      <c r="A421" s="47"/>
      <c r="B421" s="47"/>
      <c r="C421" s="47"/>
      <c r="D421" s="47"/>
      <c r="E421" s="47"/>
      <c r="F421" s="47"/>
      <c r="G421" s="47"/>
    </row>
    <row r="422" spans="1:7" x14ac:dyDescent="0.25">
      <c r="A422" s="47"/>
      <c r="B422" s="47"/>
      <c r="C422" s="47"/>
      <c r="D422" s="47"/>
      <c r="E422" s="47"/>
      <c r="F422" s="47"/>
      <c r="G422" s="47"/>
    </row>
    <row r="423" spans="1:7" x14ac:dyDescent="0.25">
      <c r="A423" s="47"/>
      <c r="B423" s="47"/>
      <c r="C423" s="47"/>
      <c r="D423" s="47"/>
      <c r="E423" s="47"/>
      <c r="F423" s="47"/>
      <c r="G423" s="47"/>
    </row>
    <row r="424" spans="1:7" x14ac:dyDescent="0.25">
      <c r="A424" s="47"/>
      <c r="B424" s="47"/>
      <c r="C424" s="47"/>
      <c r="D424" s="47"/>
      <c r="E424" s="47"/>
      <c r="F424" s="47"/>
      <c r="G424" s="47"/>
    </row>
    <row r="425" spans="1:7" x14ac:dyDescent="0.25">
      <c r="A425" s="47"/>
      <c r="B425" s="47"/>
      <c r="C425" s="47"/>
      <c r="D425" s="47"/>
      <c r="E425" s="47"/>
      <c r="F425" s="47"/>
      <c r="G425" s="47"/>
    </row>
    <row r="426" spans="1:7" x14ac:dyDescent="0.25">
      <c r="A426" s="47"/>
      <c r="B426" s="47"/>
      <c r="C426" s="47"/>
      <c r="D426" s="47"/>
      <c r="E426" s="47"/>
      <c r="F426" s="47"/>
      <c r="G426" s="47"/>
    </row>
    <row r="427" spans="1:7" x14ac:dyDescent="0.25">
      <c r="A427" s="47"/>
      <c r="B427" s="47"/>
      <c r="C427" s="47"/>
      <c r="D427" s="47"/>
      <c r="E427" s="47"/>
      <c r="F427" s="47"/>
      <c r="G427" s="47"/>
    </row>
    <row r="428" spans="1:7" x14ac:dyDescent="0.25">
      <c r="A428" s="47"/>
      <c r="B428" s="47"/>
      <c r="C428" s="47"/>
      <c r="D428" s="47"/>
      <c r="E428" s="47"/>
      <c r="F428" s="47"/>
      <c r="G428" s="47"/>
    </row>
    <row r="429" spans="1:7" x14ac:dyDescent="0.25">
      <c r="A429" s="47"/>
      <c r="B429" s="47"/>
      <c r="C429" s="47"/>
      <c r="D429" s="47"/>
      <c r="E429" s="47"/>
      <c r="F429" s="47"/>
      <c r="G429" s="47"/>
    </row>
    <row r="430" spans="1:7" x14ac:dyDescent="0.25">
      <c r="A430" s="47"/>
      <c r="B430" s="47"/>
      <c r="C430" s="47"/>
      <c r="D430" s="47"/>
      <c r="E430" s="47"/>
      <c r="F430" s="47"/>
      <c r="G430" s="47"/>
    </row>
    <row r="431" spans="1:7" x14ac:dyDescent="0.25">
      <c r="A431" s="47"/>
      <c r="B431" s="47"/>
      <c r="C431" s="47"/>
      <c r="D431" s="47"/>
      <c r="E431" s="47"/>
      <c r="F431" s="47"/>
      <c r="G431" s="47"/>
    </row>
    <row r="432" spans="1:7" x14ac:dyDescent="0.25">
      <c r="A432" s="47"/>
      <c r="B432" s="47"/>
      <c r="C432" s="47"/>
      <c r="D432" s="47"/>
      <c r="E432" s="47"/>
      <c r="F432" s="47"/>
      <c r="G432" s="47"/>
    </row>
    <row r="433" spans="1:7" x14ac:dyDescent="0.25">
      <c r="A433" s="47"/>
      <c r="B433" s="47"/>
      <c r="C433" s="47"/>
      <c r="D433" s="47"/>
      <c r="E433" s="47"/>
      <c r="F433" s="47"/>
      <c r="G433" s="47"/>
    </row>
    <row r="434" spans="1:7" x14ac:dyDescent="0.25">
      <c r="A434" s="47"/>
      <c r="B434" s="47"/>
      <c r="C434" s="47"/>
      <c r="D434" s="47"/>
      <c r="E434" s="47"/>
      <c r="F434" s="47"/>
      <c r="G434" s="47"/>
    </row>
    <row r="435" spans="1:7" x14ac:dyDescent="0.25">
      <c r="A435" s="47"/>
      <c r="B435" s="47"/>
      <c r="C435" s="47"/>
      <c r="D435" s="47"/>
      <c r="E435" s="47"/>
      <c r="F435" s="47"/>
      <c r="G435" s="47"/>
    </row>
    <row r="436" spans="1:7" x14ac:dyDescent="0.25">
      <c r="A436" s="47"/>
      <c r="B436" s="47"/>
      <c r="C436" s="47"/>
      <c r="D436" s="47"/>
      <c r="E436" s="47"/>
      <c r="F436" s="47"/>
      <c r="G436" s="47"/>
    </row>
    <row r="437" spans="1:7" x14ac:dyDescent="0.25">
      <c r="A437" s="47"/>
      <c r="B437" s="47"/>
      <c r="C437" s="47"/>
      <c r="D437" s="47"/>
      <c r="E437" s="47"/>
      <c r="F437" s="47"/>
      <c r="G437" s="47"/>
    </row>
    <row r="438" spans="1:7" x14ac:dyDescent="0.25">
      <c r="A438" s="47"/>
      <c r="B438" s="47"/>
      <c r="C438" s="47"/>
      <c r="D438" s="47"/>
      <c r="E438" s="47"/>
      <c r="F438" s="47"/>
      <c r="G438" s="47"/>
    </row>
    <row r="439" spans="1:7" x14ac:dyDescent="0.25">
      <c r="A439" s="47"/>
      <c r="B439" s="47"/>
      <c r="C439" s="47"/>
      <c r="D439" s="47"/>
      <c r="E439" s="47"/>
      <c r="F439" s="47"/>
      <c r="G439" s="47"/>
    </row>
    <row r="440" spans="1:7" x14ac:dyDescent="0.25">
      <c r="A440" s="47"/>
      <c r="B440" s="47"/>
      <c r="C440" s="47"/>
      <c r="D440" s="47"/>
      <c r="E440" s="47"/>
      <c r="F440" s="47"/>
      <c r="G440" s="47"/>
    </row>
    <row r="441" spans="1:7" x14ac:dyDescent="0.25">
      <c r="A441" s="47"/>
      <c r="B441" s="47"/>
      <c r="C441" s="47"/>
      <c r="D441" s="47"/>
      <c r="E441" s="47"/>
      <c r="F441" s="47"/>
      <c r="G441" s="47"/>
    </row>
    <row r="442" spans="1:7" x14ac:dyDescent="0.25">
      <c r="A442" s="47"/>
      <c r="B442" s="47"/>
      <c r="C442" s="47"/>
      <c r="D442" s="47"/>
      <c r="E442" s="47"/>
      <c r="F442" s="47"/>
      <c r="G442" s="47"/>
    </row>
    <row r="443" spans="1:7" x14ac:dyDescent="0.25">
      <c r="A443" s="47"/>
      <c r="B443" s="47"/>
      <c r="C443" s="47"/>
      <c r="D443" s="47"/>
      <c r="E443" s="47"/>
      <c r="F443" s="47"/>
      <c r="G443" s="47"/>
    </row>
    <row r="444" spans="1:7" x14ac:dyDescent="0.25">
      <c r="A444" s="47"/>
      <c r="B444" s="47"/>
      <c r="C444" s="47"/>
      <c r="D444" s="47"/>
      <c r="E444" s="47"/>
      <c r="F444" s="47"/>
      <c r="G444" s="47"/>
    </row>
    <row r="445" spans="1:7" x14ac:dyDescent="0.25">
      <c r="A445" s="47"/>
      <c r="B445" s="47"/>
      <c r="C445" s="47"/>
      <c r="D445" s="47"/>
      <c r="E445" s="47"/>
      <c r="F445" s="47"/>
      <c r="G445" s="47"/>
    </row>
    <row r="446" spans="1:7" x14ac:dyDescent="0.25">
      <c r="A446" s="47"/>
      <c r="B446" s="47"/>
      <c r="C446" s="47"/>
      <c r="D446" s="47"/>
      <c r="E446" s="47"/>
      <c r="F446" s="47"/>
      <c r="G446" s="47"/>
    </row>
    <row r="447" spans="1:7" x14ac:dyDescent="0.25">
      <c r="A447" s="47"/>
      <c r="B447" s="47"/>
      <c r="C447" s="47"/>
      <c r="D447" s="47"/>
      <c r="E447" s="47"/>
      <c r="F447" s="47"/>
      <c r="G447" s="47"/>
    </row>
    <row r="448" spans="1:7" x14ac:dyDescent="0.25">
      <c r="A448" s="47"/>
      <c r="B448" s="47"/>
      <c r="C448" s="47"/>
      <c r="D448" s="47"/>
      <c r="E448" s="47"/>
      <c r="F448" s="47"/>
      <c r="G448" s="47"/>
    </row>
    <row r="449" spans="1:7" x14ac:dyDescent="0.25">
      <c r="A449" s="47"/>
      <c r="B449" s="47"/>
      <c r="C449" s="47"/>
      <c r="D449" s="47"/>
      <c r="E449" s="47"/>
      <c r="F449" s="47"/>
      <c r="G449" s="47"/>
    </row>
    <row r="450" spans="1:7" x14ac:dyDescent="0.25">
      <c r="A450" s="47"/>
      <c r="B450" s="47"/>
      <c r="C450" s="47"/>
      <c r="D450" s="47"/>
      <c r="E450" s="47"/>
      <c r="F450" s="47"/>
      <c r="G450" s="47"/>
    </row>
    <row r="451" spans="1:7" x14ac:dyDescent="0.25">
      <c r="A451" s="47"/>
      <c r="B451" s="47"/>
      <c r="C451" s="47"/>
      <c r="D451" s="47"/>
      <c r="E451" s="47"/>
      <c r="F451" s="47"/>
      <c r="G451" s="47"/>
    </row>
    <row r="452" spans="1:7" x14ac:dyDescent="0.25">
      <c r="A452" s="47"/>
      <c r="B452" s="47"/>
      <c r="C452" s="47"/>
      <c r="D452" s="47"/>
      <c r="E452" s="47"/>
      <c r="F452" s="47"/>
      <c r="G452" s="47"/>
    </row>
    <row r="453" spans="1:7" x14ac:dyDescent="0.25">
      <c r="A453" s="47"/>
      <c r="B453" s="47"/>
      <c r="C453" s="47"/>
      <c r="D453" s="47"/>
      <c r="E453" s="47"/>
      <c r="F453" s="47"/>
      <c r="G453" s="47"/>
    </row>
    <row r="454" spans="1:7" x14ac:dyDescent="0.25">
      <c r="A454" s="47"/>
      <c r="B454" s="47"/>
      <c r="C454" s="47"/>
      <c r="D454" s="47"/>
      <c r="E454" s="47"/>
      <c r="F454" s="47"/>
      <c r="G454" s="47"/>
    </row>
    <row r="455" spans="1:7" x14ac:dyDescent="0.25">
      <c r="A455" s="47"/>
      <c r="B455" s="47"/>
      <c r="C455" s="47"/>
      <c r="D455" s="47"/>
      <c r="E455" s="47"/>
      <c r="F455" s="47"/>
      <c r="G455" s="47"/>
    </row>
    <row r="456" spans="1:7" x14ac:dyDescent="0.25">
      <c r="A456" s="47"/>
      <c r="B456" s="47"/>
      <c r="C456" s="47"/>
      <c r="D456" s="47"/>
      <c r="E456" s="47"/>
      <c r="F456" s="47"/>
      <c r="G456" s="47"/>
    </row>
    <row r="457" spans="1:7" x14ac:dyDescent="0.25">
      <c r="A457" s="47"/>
      <c r="B457" s="47"/>
      <c r="C457" s="47"/>
      <c r="D457" s="47"/>
      <c r="E457" s="47"/>
      <c r="F457" s="47"/>
      <c r="G457" s="47"/>
    </row>
    <row r="458" spans="1:7" x14ac:dyDescent="0.25">
      <c r="A458" s="47"/>
      <c r="B458" s="47"/>
      <c r="C458" s="47"/>
      <c r="D458" s="47"/>
      <c r="E458" s="47"/>
      <c r="F458" s="47"/>
      <c r="G458" s="47"/>
    </row>
    <row r="459" spans="1:7" x14ac:dyDescent="0.25">
      <c r="A459" s="47"/>
      <c r="B459" s="47"/>
      <c r="C459" s="47"/>
      <c r="D459" s="47"/>
      <c r="E459" s="47"/>
      <c r="F459" s="47"/>
      <c r="G459" s="47"/>
    </row>
    <row r="460" spans="1:7" x14ac:dyDescent="0.25">
      <c r="A460" s="47"/>
      <c r="B460" s="47"/>
      <c r="C460" s="47"/>
      <c r="D460" s="47"/>
      <c r="E460" s="47"/>
      <c r="F460" s="47"/>
      <c r="G460" s="47"/>
    </row>
    <row r="461" spans="1:7" x14ac:dyDescent="0.25">
      <c r="A461" s="47"/>
      <c r="B461" s="47"/>
      <c r="C461" s="47"/>
      <c r="D461" s="47"/>
      <c r="E461" s="47"/>
      <c r="F461" s="47"/>
      <c r="G461" s="47"/>
    </row>
    <row r="462" spans="1:7" x14ac:dyDescent="0.25">
      <c r="A462" s="47"/>
      <c r="B462" s="47"/>
      <c r="C462" s="47"/>
      <c r="D462" s="47"/>
      <c r="E462" s="47"/>
      <c r="F462" s="47"/>
      <c r="G462" s="47"/>
    </row>
    <row r="463" spans="1:7" x14ac:dyDescent="0.25">
      <c r="A463" s="47"/>
      <c r="B463" s="47"/>
      <c r="C463" s="47"/>
      <c r="D463" s="47"/>
      <c r="E463" s="47"/>
      <c r="F463" s="47"/>
      <c r="G463" s="47"/>
    </row>
    <row r="464" spans="1:7" x14ac:dyDescent="0.25">
      <c r="A464" s="47"/>
      <c r="B464" s="47"/>
      <c r="C464" s="47"/>
      <c r="D464" s="47"/>
      <c r="E464" s="47"/>
      <c r="F464" s="47"/>
      <c r="G464" s="47"/>
    </row>
    <row r="465" spans="1:7" x14ac:dyDescent="0.25">
      <c r="A465" s="47"/>
      <c r="B465" s="47"/>
      <c r="C465" s="47"/>
      <c r="D465" s="47"/>
      <c r="E465" s="47"/>
      <c r="F465" s="47"/>
      <c r="G465" s="47"/>
    </row>
    <row r="466" spans="1:7" x14ac:dyDescent="0.25">
      <c r="A466" s="47"/>
      <c r="B466" s="47"/>
      <c r="C466" s="47"/>
      <c r="D466" s="47"/>
      <c r="E466" s="47"/>
      <c r="F466" s="47"/>
      <c r="G466" s="47"/>
    </row>
    <row r="467" spans="1:7" x14ac:dyDescent="0.25">
      <c r="A467" s="47"/>
      <c r="B467" s="47"/>
      <c r="C467" s="47"/>
      <c r="D467" s="47"/>
      <c r="E467" s="47"/>
      <c r="F467" s="47"/>
      <c r="G467" s="47"/>
    </row>
    <row r="468" spans="1:7" x14ac:dyDescent="0.25">
      <c r="A468" s="47"/>
      <c r="B468" s="47"/>
      <c r="C468" s="47"/>
      <c r="D468" s="47"/>
      <c r="E468" s="47"/>
      <c r="F468" s="47"/>
      <c r="G468" s="47"/>
    </row>
    <row r="469" spans="1:7" x14ac:dyDescent="0.25">
      <c r="A469" s="47"/>
      <c r="B469" s="47"/>
      <c r="C469" s="47"/>
      <c r="D469" s="47"/>
      <c r="E469" s="47"/>
      <c r="F469" s="47"/>
      <c r="G469" s="47"/>
    </row>
    <row r="470" spans="1:7" x14ac:dyDescent="0.25">
      <c r="A470" s="47"/>
      <c r="B470" s="47"/>
      <c r="C470" s="47"/>
      <c r="D470" s="47"/>
      <c r="E470" s="47"/>
      <c r="F470" s="47"/>
      <c r="G470" s="47"/>
    </row>
    <row r="471" spans="1:7" x14ac:dyDescent="0.25">
      <c r="A471" s="47"/>
      <c r="B471" s="47"/>
      <c r="C471" s="47"/>
      <c r="D471" s="47"/>
      <c r="E471" s="47"/>
      <c r="F471" s="47"/>
      <c r="G471" s="47"/>
    </row>
    <row r="472" spans="1:7" x14ac:dyDescent="0.25">
      <c r="A472" s="47"/>
      <c r="B472" s="47"/>
      <c r="C472" s="47"/>
      <c r="D472" s="47"/>
      <c r="E472" s="47"/>
      <c r="F472" s="47"/>
      <c r="G472" s="47"/>
    </row>
    <row r="473" spans="1:7" x14ac:dyDescent="0.25">
      <c r="A473" s="47"/>
      <c r="B473" s="47"/>
      <c r="C473" s="47"/>
      <c r="D473" s="47"/>
      <c r="E473" s="47"/>
      <c r="F473" s="47"/>
      <c r="G473" s="47"/>
    </row>
    <row r="474" spans="1:7" x14ac:dyDescent="0.25">
      <c r="A474" s="47"/>
      <c r="B474" s="47"/>
      <c r="C474" s="47"/>
      <c r="D474" s="47"/>
      <c r="E474" s="47"/>
      <c r="F474" s="47"/>
      <c r="G474" s="47"/>
    </row>
    <row r="475" spans="1:7" x14ac:dyDescent="0.25">
      <c r="A475" s="47"/>
      <c r="B475" s="47"/>
      <c r="C475" s="47"/>
      <c r="D475" s="47"/>
      <c r="E475" s="47"/>
      <c r="F475" s="47"/>
      <c r="G475" s="47"/>
    </row>
    <row r="476" spans="1:7" x14ac:dyDescent="0.25">
      <c r="A476" s="47"/>
      <c r="B476" s="47"/>
      <c r="C476" s="47"/>
      <c r="D476" s="47"/>
      <c r="E476" s="47"/>
      <c r="F476" s="47"/>
      <c r="G476" s="47"/>
    </row>
    <row r="477" spans="1:7" x14ac:dyDescent="0.25">
      <c r="A477" s="47"/>
      <c r="B477" s="47"/>
      <c r="C477" s="47"/>
      <c r="D477" s="47"/>
      <c r="E477" s="47"/>
      <c r="F477" s="47"/>
      <c r="G477" s="47"/>
    </row>
    <row r="478" spans="1:7" x14ac:dyDescent="0.25">
      <c r="A478" s="47"/>
      <c r="B478" s="47"/>
      <c r="C478" s="47"/>
      <c r="D478" s="47"/>
      <c r="E478" s="47"/>
      <c r="F478" s="47"/>
      <c r="G478" s="47"/>
    </row>
    <row r="479" spans="1:7" x14ac:dyDescent="0.25">
      <c r="A479" s="47"/>
      <c r="B479" s="47"/>
      <c r="C479" s="47"/>
      <c r="D479" s="47"/>
      <c r="E479" s="47"/>
      <c r="F479" s="47"/>
      <c r="G479" s="47"/>
    </row>
    <row r="480" spans="1:7" x14ac:dyDescent="0.25">
      <c r="A480" s="47"/>
      <c r="B480" s="47"/>
      <c r="C480" s="47"/>
      <c r="D480" s="47"/>
      <c r="E480" s="47"/>
      <c r="F480" s="47"/>
      <c r="G480" s="47"/>
    </row>
    <row r="481" spans="1:7" x14ac:dyDescent="0.25">
      <c r="A481" s="47"/>
      <c r="B481" s="47"/>
      <c r="C481" s="47"/>
      <c r="D481" s="47"/>
      <c r="E481" s="47"/>
      <c r="F481" s="47"/>
      <c r="G481" s="47"/>
    </row>
    <row r="482" spans="1:7" x14ac:dyDescent="0.25">
      <c r="A482" s="47"/>
      <c r="B482" s="47"/>
      <c r="C482" s="47"/>
      <c r="D482" s="47"/>
      <c r="E482" s="47"/>
      <c r="F482" s="47"/>
      <c r="G482" s="47"/>
    </row>
    <row r="483" spans="1:7" x14ac:dyDescent="0.25">
      <c r="A483" s="47"/>
      <c r="B483" s="47"/>
      <c r="C483" s="47"/>
      <c r="D483" s="47"/>
      <c r="E483" s="47"/>
      <c r="F483" s="47"/>
      <c r="G483" s="47"/>
    </row>
    <row r="484" spans="1:7" x14ac:dyDescent="0.25">
      <c r="A484" s="47"/>
      <c r="B484" s="47"/>
      <c r="C484" s="47"/>
      <c r="D484" s="47"/>
      <c r="E484" s="47"/>
      <c r="F484" s="47"/>
      <c r="G484" s="47"/>
    </row>
    <row r="485" spans="1:7" x14ac:dyDescent="0.25">
      <c r="A485" s="47"/>
      <c r="B485" s="47"/>
      <c r="C485" s="47"/>
      <c r="D485" s="47"/>
      <c r="E485" s="47"/>
      <c r="F485" s="47"/>
      <c r="G485" s="47"/>
    </row>
    <row r="486" spans="1:7" x14ac:dyDescent="0.25">
      <c r="A486" s="47"/>
      <c r="B486" s="47"/>
      <c r="C486" s="47"/>
      <c r="D486" s="47"/>
      <c r="E486" s="47"/>
      <c r="F486" s="47"/>
      <c r="G486" s="47"/>
    </row>
    <row r="487" spans="1:7" x14ac:dyDescent="0.25">
      <c r="A487" s="47"/>
      <c r="B487" s="47"/>
      <c r="C487" s="47"/>
      <c r="D487" s="47"/>
      <c r="E487" s="47"/>
      <c r="F487" s="47"/>
      <c r="G487" s="47"/>
    </row>
    <row r="488" spans="1:7" x14ac:dyDescent="0.25">
      <c r="A488" s="47"/>
      <c r="B488" s="47"/>
      <c r="C488" s="47"/>
      <c r="D488" s="47"/>
      <c r="E488" s="47"/>
      <c r="F488" s="47"/>
      <c r="G488" s="47"/>
    </row>
    <row r="489" spans="1:7" x14ac:dyDescent="0.25">
      <c r="A489" s="47"/>
      <c r="B489" s="47"/>
      <c r="C489" s="47"/>
      <c r="D489" s="47"/>
      <c r="E489" s="47"/>
      <c r="F489" s="47"/>
      <c r="G489" s="47"/>
    </row>
    <row r="490" spans="1:7" x14ac:dyDescent="0.25">
      <c r="A490" s="47"/>
      <c r="B490" s="47"/>
      <c r="C490" s="47"/>
      <c r="D490" s="47"/>
      <c r="E490" s="47"/>
      <c r="F490" s="47"/>
      <c r="G490" s="47"/>
    </row>
    <row r="491" spans="1:7" x14ac:dyDescent="0.25">
      <c r="A491" s="47"/>
      <c r="B491" s="47"/>
      <c r="C491" s="47"/>
      <c r="D491" s="47"/>
      <c r="E491" s="47"/>
      <c r="F491" s="47"/>
      <c r="G491" s="47"/>
    </row>
    <row r="492" spans="1:7" x14ac:dyDescent="0.25">
      <c r="A492" s="47"/>
      <c r="B492" s="47"/>
      <c r="C492" s="47"/>
      <c r="D492" s="47"/>
      <c r="E492" s="47"/>
      <c r="F492" s="47"/>
      <c r="G492" s="47"/>
    </row>
    <row r="493" spans="1:7" x14ac:dyDescent="0.25">
      <c r="A493" s="47"/>
      <c r="B493" s="47"/>
      <c r="C493" s="47"/>
      <c r="D493" s="47"/>
      <c r="E493" s="47"/>
      <c r="F493" s="47"/>
      <c r="G493" s="47"/>
    </row>
    <row r="494" spans="1:7" x14ac:dyDescent="0.25">
      <c r="A494" s="47"/>
      <c r="B494" s="47"/>
      <c r="C494" s="47"/>
      <c r="D494" s="47"/>
      <c r="E494" s="47"/>
      <c r="F494" s="47"/>
      <c r="G494" s="47"/>
    </row>
    <row r="495" spans="1:7" x14ac:dyDescent="0.25">
      <c r="A495" s="47"/>
      <c r="B495" s="47"/>
      <c r="C495" s="47"/>
      <c r="D495" s="47"/>
      <c r="E495" s="47"/>
      <c r="F495" s="47"/>
      <c r="G495" s="47"/>
    </row>
    <row r="496" spans="1:7" x14ac:dyDescent="0.25">
      <c r="A496" s="47"/>
      <c r="B496" s="47"/>
      <c r="C496" s="47"/>
      <c r="D496" s="47"/>
      <c r="E496" s="47"/>
      <c r="F496" s="47"/>
      <c r="G496" s="47"/>
    </row>
    <row r="497" spans="1:7" x14ac:dyDescent="0.25">
      <c r="A497" s="47"/>
      <c r="B497" s="47"/>
      <c r="C497" s="47"/>
      <c r="D497" s="47"/>
      <c r="E497" s="47"/>
      <c r="F497" s="47"/>
      <c r="G497" s="47"/>
    </row>
    <row r="498" spans="1:7" x14ac:dyDescent="0.25">
      <c r="A498" s="47"/>
      <c r="B498" s="47"/>
      <c r="C498" s="47"/>
      <c r="D498" s="47"/>
      <c r="E498" s="47"/>
      <c r="F498" s="47"/>
      <c r="G498" s="47"/>
    </row>
    <row r="499" spans="1:7" x14ac:dyDescent="0.25">
      <c r="A499" s="47"/>
      <c r="B499" s="47"/>
      <c r="C499" s="47"/>
      <c r="D499" s="47"/>
      <c r="E499" s="47"/>
      <c r="F499" s="47"/>
      <c r="G499" s="47"/>
    </row>
    <row r="500" spans="1:7" x14ac:dyDescent="0.25">
      <c r="A500" s="47"/>
      <c r="B500" s="47"/>
      <c r="C500" s="47"/>
      <c r="D500" s="47"/>
      <c r="E500" s="47"/>
      <c r="F500" s="47"/>
      <c r="G500" s="47"/>
    </row>
    <row r="501" spans="1:7" x14ac:dyDescent="0.25">
      <c r="A501" s="47"/>
      <c r="B501" s="47"/>
      <c r="C501" s="47"/>
      <c r="D501" s="47"/>
      <c r="E501" s="47"/>
      <c r="F501" s="47"/>
      <c r="G501" s="47"/>
    </row>
    <row r="502" spans="1:7" x14ac:dyDescent="0.25">
      <c r="A502" s="47"/>
      <c r="B502" s="47"/>
      <c r="C502" s="47"/>
      <c r="D502" s="47"/>
      <c r="E502" s="47"/>
      <c r="F502" s="47"/>
      <c r="G502" s="47"/>
    </row>
    <row r="503" spans="1:7" x14ac:dyDescent="0.25">
      <c r="A503" s="47"/>
      <c r="B503" s="47"/>
      <c r="C503" s="47"/>
      <c r="D503" s="47"/>
      <c r="E503" s="47"/>
      <c r="F503" s="47"/>
      <c r="G503" s="47"/>
    </row>
    <row r="504" spans="1:7" x14ac:dyDescent="0.25">
      <c r="A504" s="47"/>
      <c r="B504" s="47"/>
      <c r="C504" s="47"/>
      <c r="D504" s="47"/>
      <c r="E504" s="47"/>
      <c r="F504" s="47"/>
      <c r="G504" s="47"/>
    </row>
    <row r="505" spans="1:7" x14ac:dyDescent="0.25">
      <c r="A505" s="47"/>
      <c r="B505" s="47"/>
      <c r="C505" s="47"/>
      <c r="D505" s="47"/>
      <c r="E505" s="47"/>
      <c r="F505" s="47"/>
      <c r="G505" s="47"/>
    </row>
    <row r="506" spans="1:7" x14ac:dyDescent="0.25">
      <c r="A506" s="47"/>
      <c r="B506" s="47"/>
      <c r="C506" s="47"/>
      <c r="D506" s="47"/>
      <c r="E506" s="47"/>
      <c r="F506" s="47"/>
      <c r="G506" s="47"/>
    </row>
    <row r="507" spans="1:7" x14ac:dyDescent="0.25">
      <c r="A507" s="47"/>
      <c r="B507" s="47"/>
      <c r="C507" s="47"/>
      <c r="D507" s="47"/>
      <c r="E507" s="47"/>
      <c r="F507" s="47"/>
      <c r="G507" s="47"/>
    </row>
    <row r="508" spans="1:7" x14ac:dyDescent="0.25">
      <c r="A508" s="47"/>
      <c r="B508" s="47"/>
      <c r="C508" s="47"/>
      <c r="D508" s="47"/>
      <c r="E508" s="47"/>
      <c r="F508" s="47"/>
      <c r="G508" s="47"/>
    </row>
    <row r="509" spans="1:7" x14ac:dyDescent="0.25">
      <c r="A509" s="47"/>
      <c r="B509" s="47"/>
      <c r="C509" s="47"/>
      <c r="D509" s="47"/>
      <c r="E509" s="47"/>
      <c r="F509" s="47"/>
      <c r="G509" s="47"/>
    </row>
    <row r="510" spans="1:7" x14ac:dyDescent="0.25">
      <c r="A510" s="47"/>
      <c r="B510" s="47"/>
      <c r="C510" s="47"/>
      <c r="D510" s="47"/>
      <c r="E510" s="47"/>
      <c r="F510" s="47"/>
      <c r="G510" s="47"/>
    </row>
    <row r="511" spans="1:7" x14ac:dyDescent="0.25">
      <c r="A511" s="47"/>
      <c r="B511" s="47"/>
      <c r="C511" s="47"/>
      <c r="D511" s="47"/>
      <c r="E511" s="47"/>
      <c r="F511" s="47"/>
      <c r="G511" s="47"/>
    </row>
    <row r="512" spans="1:7" x14ac:dyDescent="0.25">
      <c r="A512" s="47"/>
      <c r="B512" s="47"/>
      <c r="C512" s="47"/>
      <c r="D512" s="47"/>
      <c r="E512" s="47"/>
      <c r="F512" s="47"/>
      <c r="G512" s="47"/>
    </row>
    <row r="513" spans="1:7" x14ac:dyDescent="0.25">
      <c r="A513" s="47"/>
      <c r="B513" s="47"/>
      <c r="C513" s="47"/>
      <c r="D513" s="47"/>
      <c r="E513" s="47"/>
      <c r="F513" s="47"/>
      <c r="G513" s="47"/>
    </row>
    <row r="514" spans="1:7" x14ac:dyDescent="0.25">
      <c r="A514" s="47"/>
      <c r="B514" s="47"/>
      <c r="C514" s="47"/>
      <c r="D514" s="47"/>
      <c r="E514" s="47"/>
      <c r="F514" s="47"/>
      <c r="G514" s="47"/>
    </row>
    <row r="515" spans="1:7" x14ac:dyDescent="0.25">
      <c r="A515" s="47"/>
      <c r="B515" s="47"/>
      <c r="C515" s="47"/>
      <c r="D515" s="47"/>
      <c r="E515" s="47"/>
      <c r="F515" s="47"/>
      <c r="G515" s="47"/>
    </row>
    <row r="516" spans="1:7" x14ac:dyDescent="0.25">
      <c r="A516" s="47"/>
      <c r="B516" s="47"/>
      <c r="C516" s="47"/>
      <c r="D516" s="47"/>
      <c r="E516" s="47"/>
      <c r="F516" s="47"/>
      <c r="G516" s="47"/>
    </row>
    <row r="517" spans="1:7" x14ac:dyDescent="0.25">
      <c r="A517" s="47"/>
      <c r="B517" s="47"/>
      <c r="C517" s="47"/>
      <c r="D517" s="47"/>
      <c r="E517" s="47"/>
      <c r="F517" s="47"/>
      <c r="G517" s="47"/>
    </row>
    <row r="518" spans="1:7" x14ac:dyDescent="0.25">
      <c r="A518" s="47"/>
      <c r="B518" s="47"/>
      <c r="C518" s="47"/>
      <c r="D518" s="47"/>
      <c r="E518" s="47"/>
      <c r="F518" s="47"/>
      <c r="G518" s="47"/>
    </row>
    <row r="519" spans="1:7" x14ac:dyDescent="0.25">
      <c r="A519" s="47"/>
      <c r="B519" s="47"/>
      <c r="C519" s="47"/>
      <c r="D519" s="47"/>
      <c r="E519" s="47"/>
      <c r="F519" s="47"/>
      <c r="G519" s="47"/>
    </row>
    <row r="520" spans="1:7" x14ac:dyDescent="0.25">
      <c r="A520" s="47"/>
      <c r="B520" s="47"/>
      <c r="C520" s="47"/>
      <c r="D520" s="47"/>
      <c r="E520" s="47"/>
      <c r="F520" s="47"/>
      <c r="G520" s="47"/>
    </row>
    <row r="521" spans="1:7" x14ac:dyDescent="0.25">
      <c r="A521" s="47"/>
      <c r="B521" s="47"/>
      <c r="C521" s="47"/>
      <c r="D521" s="47"/>
      <c r="E521" s="47"/>
      <c r="F521" s="47"/>
      <c r="G521" s="47"/>
    </row>
    <row r="522" spans="1:7" x14ac:dyDescent="0.25">
      <c r="A522" s="47"/>
      <c r="B522" s="47"/>
      <c r="C522" s="47"/>
      <c r="D522" s="47"/>
      <c r="E522" s="47"/>
      <c r="F522" s="47"/>
      <c r="G522" s="47"/>
    </row>
    <row r="523" spans="1:7" x14ac:dyDescent="0.25">
      <c r="A523" s="47"/>
      <c r="B523" s="47"/>
      <c r="C523" s="47"/>
      <c r="D523" s="47"/>
      <c r="E523" s="47"/>
      <c r="F523" s="47"/>
      <c r="G523" s="47"/>
    </row>
    <row r="524" spans="1:7" x14ac:dyDescent="0.25">
      <c r="A524" s="47"/>
      <c r="B524" s="47"/>
      <c r="C524" s="47"/>
      <c r="D524" s="47"/>
      <c r="E524" s="47"/>
      <c r="F524" s="47"/>
      <c r="G524" s="47"/>
    </row>
    <row r="525" spans="1:7" x14ac:dyDescent="0.25">
      <c r="A525" s="47"/>
      <c r="B525" s="47"/>
      <c r="C525" s="47"/>
      <c r="D525" s="47"/>
      <c r="E525" s="47"/>
      <c r="F525" s="47"/>
      <c r="G525" s="47"/>
    </row>
    <row r="526" spans="1:7" x14ac:dyDescent="0.25">
      <c r="A526" s="47"/>
      <c r="B526" s="47"/>
      <c r="C526" s="47"/>
      <c r="D526" s="47"/>
      <c r="E526" s="47"/>
      <c r="F526" s="47"/>
      <c r="G526" s="47"/>
    </row>
    <row r="527" spans="1:7" x14ac:dyDescent="0.25">
      <c r="A527" s="47"/>
      <c r="B527" s="47"/>
      <c r="C527" s="47"/>
      <c r="D527" s="47"/>
      <c r="E527" s="47"/>
      <c r="F527" s="47"/>
      <c r="G527" s="47"/>
    </row>
    <row r="528" spans="1:7" x14ac:dyDescent="0.25">
      <c r="A528" s="47"/>
      <c r="B528" s="47"/>
      <c r="C528" s="47"/>
      <c r="D528" s="47"/>
      <c r="E528" s="47"/>
      <c r="F528" s="47"/>
      <c r="G528" s="47"/>
    </row>
    <row r="529" spans="1:7" x14ac:dyDescent="0.25">
      <c r="A529" s="47"/>
      <c r="B529" s="47"/>
      <c r="C529" s="47"/>
      <c r="D529" s="47"/>
      <c r="E529" s="47"/>
      <c r="F529" s="47"/>
      <c r="G529" s="47"/>
    </row>
    <row r="530" spans="1:7" x14ac:dyDescent="0.25">
      <c r="A530" s="47"/>
      <c r="B530" s="47"/>
      <c r="C530" s="47"/>
      <c r="D530" s="47"/>
      <c r="E530" s="47"/>
      <c r="F530" s="47"/>
      <c r="G530" s="47"/>
    </row>
    <row r="531" spans="1:7" x14ac:dyDescent="0.25">
      <c r="A531" s="47"/>
      <c r="B531" s="47"/>
      <c r="C531" s="47"/>
      <c r="D531" s="47"/>
      <c r="E531" s="47"/>
      <c r="F531" s="47"/>
      <c r="G531" s="47"/>
    </row>
    <row r="532" spans="1:7" x14ac:dyDescent="0.25">
      <c r="A532" s="47"/>
      <c r="B532" s="47"/>
      <c r="C532" s="47"/>
      <c r="D532" s="47"/>
      <c r="E532" s="47"/>
      <c r="F532" s="47"/>
      <c r="G532" s="47"/>
    </row>
    <row r="533" spans="1:7" x14ac:dyDescent="0.25">
      <c r="A533" s="47"/>
      <c r="B533" s="47"/>
      <c r="C533" s="47"/>
      <c r="D533" s="47"/>
      <c r="E533" s="47"/>
      <c r="F533" s="47"/>
      <c r="G533" s="47"/>
    </row>
    <row r="534" spans="1:7" x14ac:dyDescent="0.25">
      <c r="A534" s="47"/>
      <c r="B534" s="47"/>
      <c r="C534" s="47"/>
      <c r="D534" s="47"/>
      <c r="E534" s="47"/>
      <c r="F534" s="47"/>
      <c r="G534" s="47"/>
    </row>
    <row r="535" spans="1:7" x14ac:dyDescent="0.25">
      <c r="A535" s="47"/>
      <c r="B535" s="47"/>
      <c r="C535" s="47"/>
      <c r="D535" s="47"/>
      <c r="E535" s="47"/>
      <c r="F535" s="47"/>
      <c r="G535" s="47"/>
    </row>
    <row r="536" spans="1:7" x14ac:dyDescent="0.25">
      <c r="A536" s="47"/>
      <c r="B536" s="47"/>
      <c r="C536" s="47"/>
      <c r="D536" s="47"/>
      <c r="E536" s="47"/>
      <c r="F536" s="47"/>
      <c r="G536" s="47"/>
    </row>
    <row r="537" spans="1:7" x14ac:dyDescent="0.25">
      <c r="A537" s="47"/>
      <c r="B537" s="47"/>
      <c r="C537" s="47"/>
      <c r="D537" s="47"/>
      <c r="E537" s="47"/>
      <c r="F537" s="47"/>
      <c r="G537" s="47"/>
    </row>
    <row r="538" spans="1:7" x14ac:dyDescent="0.25">
      <c r="A538" s="47"/>
      <c r="B538" s="47"/>
      <c r="C538" s="47"/>
      <c r="D538" s="47"/>
      <c r="E538" s="47"/>
      <c r="F538" s="47"/>
      <c r="G538" s="47"/>
    </row>
    <row r="539" spans="1:7" x14ac:dyDescent="0.25">
      <c r="A539" s="47"/>
      <c r="B539" s="47"/>
      <c r="C539" s="47"/>
      <c r="D539" s="47"/>
      <c r="E539" s="47"/>
      <c r="F539" s="47"/>
      <c r="G539" s="47"/>
    </row>
    <row r="540" spans="1:7" x14ac:dyDescent="0.25">
      <c r="A540" s="47"/>
      <c r="B540" s="47"/>
      <c r="C540" s="47"/>
      <c r="D540" s="47"/>
      <c r="E540" s="47"/>
      <c r="F540" s="47"/>
      <c r="G540" s="47"/>
    </row>
    <row r="541" spans="1:7" x14ac:dyDescent="0.25">
      <c r="A541" s="47"/>
      <c r="B541" s="47"/>
      <c r="C541" s="47"/>
      <c r="D541" s="47"/>
      <c r="E541" s="47"/>
      <c r="F541" s="47"/>
      <c r="G541" s="47"/>
    </row>
    <row r="542" spans="1:7" x14ac:dyDescent="0.25">
      <c r="A542" s="47"/>
      <c r="B542" s="47"/>
      <c r="C542" s="47"/>
      <c r="D542" s="47"/>
      <c r="E542" s="47"/>
      <c r="F542" s="47"/>
      <c r="G542" s="47"/>
    </row>
    <row r="543" spans="1:7" x14ac:dyDescent="0.25">
      <c r="A543" s="47"/>
      <c r="B543" s="47"/>
      <c r="C543" s="47"/>
      <c r="D543" s="47"/>
      <c r="E543" s="47"/>
      <c r="F543" s="47"/>
      <c r="G543" s="47"/>
    </row>
    <row r="544" spans="1:7" x14ac:dyDescent="0.25">
      <c r="A544" s="47"/>
      <c r="B544" s="47"/>
      <c r="C544" s="47"/>
      <c r="D544" s="47"/>
      <c r="E544" s="47"/>
      <c r="F544" s="47"/>
      <c r="G544" s="47"/>
    </row>
    <row r="545" spans="1:7" x14ac:dyDescent="0.25">
      <c r="A545" s="47"/>
      <c r="B545" s="47"/>
      <c r="C545" s="47"/>
      <c r="D545" s="47"/>
      <c r="E545" s="47"/>
      <c r="F545" s="47"/>
      <c r="G545" s="47"/>
    </row>
    <row r="546" spans="1:7" x14ac:dyDescent="0.25">
      <c r="A546" s="47"/>
      <c r="B546" s="47"/>
      <c r="C546" s="47"/>
      <c r="D546" s="47"/>
      <c r="E546" s="47"/>
      <c r="F546" s="47"/>
      <c r="G546" s="47"/>
    </row>
    <row r="547" spans="1:7" x14ac:dyDescent="0.25">
      <c r="A547" s="47"/>
      <c r="B547" s="47"/>
      <c r="C547" s="47"/>
      <c r="D547" s="47"/>
      <c r="E547" s="47"/>
      <c r="F547" s="47"/>
      <c r="G547" s="47"/>
    </row>
    <row r="548" spans="1:7" x14ac:dyDescent="0.25">
      <c r="A548" s="47"/>
      <c r="B548" s="47"/>
      <c r="C548" s="47"/>
      <c r="D548" s="47"/>
      <c r="E548" s="47"/>
      <c r="F548" s="47"/>
      <c r="G548" s="47"/>
    </row>
    <row r="549" spans="1:7" x14ac:dyDescent="0.25">
      <c r="A549" s="47"/>
      <c r="B549" s="47"/>
      <c r="C549" s="47"/>
      <c r="D549" s="47"/>
      <c r="E549" s="47"/>
      <c r="F549" s="47"/>
      <c r="G549" s="47"/>
    </row>
    <row r="550" spans="1:7" x14ac:dyDescent="0.25">
      <c r="A550" s="47"/>
      <c r="B550" s="47"/>
      <c r="C550" s="47"/>
      <c r="D550" s="47"/>
      <c r="E550" s="47"/>
      <c r="F550" s="47"/>
      <c r="G550" s="47"/>
    </row>
    <row r="551" spans="1:7" x14ac:dyDescent="0.25">
      <c r="A551" s="47"/>
      <c r="B551" s="47"/>
      <c r="C551" s="47"/>
      <c r="D551" s="47"/>
      <c r="E551" s="47"/>
      <c r="F551" s="47"/>
      <c r="G551" s="47"/>
    </row>
    <row r="552" spans="1:7" x14ac:dyDescent="0.25">
      <c r="A552" s="47"/>
      <c r="B552" s="47"/>
      <c r="C552" s="47"/>
      <c r="D552" s="47"/>
      <c r="E552" s="47"/>
      <c r="F552" s="47"/>
      <c r="G552" s="47"/>
    </row>
    <row r="553" spans="1:7" x14ac:dyDescent="0.25">
      <c r="A553" s="47"/>
      <c r="B553" s="47"/>
      <c r="C553" s="47"/>
      <c r="D553" s="47"/>
      <c r="E553" s="47"/>
      <c r="F553" s="47"/>
      <c r="G553" s="47"/>
    </row>
    <row r="554" spans="1:7" x14ac:dyDescent="0.25">
      <c r="A554" s="47"/>
      <c r="B554" s="47"/>
      <c r="C554" s="47"/>
      <c r="D554" s="47"/>
      <c r="E554" s="47"/>
      <c r="F554" s="47"/>
      <c r="G554" s="47"/>
    </row>
    <row r="555" spans="1:7" x14ac:dyDescent="0.25">
      <c r="A555" s="47"/>
      <c r="B555" s="47"/>
      <c r="C555" s="47"/>
      <c r="D555" s="47"/>
      <c r="E555" s="47"/>
      <c r="F555" s="47"/>
      <c r="G555" s="47"/>
    </row>
    <row r="556" spans="1:7" x14ac:dyDescent="0.25">
      <c r="A556" s="47"/>
      <c r="B556" s="47"/>
      <c r="C556" s="47"/>
      <c r="D556" s="47"/>
      <c r="E556" s="47"/>
      <c r="F556" s="47"/>
      <c r="G556" s="47"/>
    </row>
    <row r="557" spans="1:7" x14ac:dyDescent="0.25">
      <c r="A557" s="47"/>
      <c r="B557" s="47"/>
      <c r="C557" s="47"/>
      <c r="D557" s="47"/>
      <c r="E557" s="47"/>
      <c r="F557" s="47"/>
      <c r="G557" s="47"/>
    </row>
    <row r="558" spans="1:7" x14ac:dyDescent="0.25">
      <c r="A558" s="47"/>
      <c r="B558" s="47"/>
      <c r="C558" s="47"/>
      <c r="D558" s="47"/>
      <c r="E558" s="47"/>
      <c r="F558" s="47"/>
      <c r="G558" s="47"/>
    </row>
    <row r="559" spans="1:7" x14ac:dyDescent="0.25">
      <c r="A559" s="47"/>
      <c r="B559" s="47"/>
      <c r="C559" s="47"/>
      <c r="D559" s="47"/>
      <c r="E559" s="47"/>
      <c r="F559" s="47"/>
      <c r="G559" s="47"/>
    </row>
    <row r="560" spans="1:7" x14ac:dyDescent="0.25">
      <c r="A560" s="47"/>
      <c r="B560" s="47"/>
      <c r="C560" s="47"/>
      <c r="D560" s="47"/>
      <c r="E560" s="47"/>
      <c r="F560" s="47"/>
      <c r="G560" s="47"/>
    </row>
    <row r="561" spans="1:7" x14ac:dyDescent="0.25">
      <c r="A561" s="47"/>
      <c r="B561" s="47"/>
      <c r="C561" s="47"/>
      <c r="D561" s="47"/>
      <c r="E561" s="47"/>
      <c r="F561" s="47"/>
      <c r="G561" s="47"/>
    </row>
    <row r="562" spans="1:7" x14ac:dyDescent="0.25">
      <c r="A562" s="47"/>
      <c r="B562" s="47"/>
      <c r="C562" s="47"/>
      <c r="D562" s="47"/>
      <c r="E562" s="47"/>
      <c r="F562" s="47"/>
      <c r="G562" s="47"/>
    </row>
    <row r="563" spans="1:7" x14ac:dyDescent="0.25">
      <c r="A563" s="47"/>
      <c r="B563" s="47"/>
      <c r="C563" s="47"/>
      <c r="D563" s="47"/>
      <c r="E563" s="47"/>
      <c r="F563" s="47"/>
      <c r="G563" s="47"/>
    </row>
    <row r="564" spans="1:7" x14ac:dyDescent="0.25">
      <c r="A564" s="47"/>
      <c r="B564" s="47"/>
      <c r="C564" s="47"/>
      <c r="D564" s="47"/>
      <c r="E564" s="47"/>
      <c r="F564" s="47"/>
      <c r="G564" s="47"/>
    </row>
    <row r="565" spans="1:7" x14ac:dyDescent="0.25">
      <c r="A565" s="47"/>
      <c r="B565" s="47"/>
      <c r="C565" s="47"/>
      <c r="D565" s="47"/>
      <c r="E565" s="47"/>
      <c r="F565" s="47"/>
      <c r="G565" s="47"/>
    </row>
    <row r="566" spans="1:7" x14ac:dyDescent="0.25">
      <c r="A566" s="47"/>
      <c r="B566" s="47"/>
      <c r="C566" s="47"/>
      <c r="D566" s="47"/>
      <c r="E566" s="47"/>
      <c r="F566" s="47"/>
      <c r="G566" s="47"/>
    </row>
    <row r="567" spans="1:7" x14ac:dyDescent="0.25">
      <c r="A567" s="47"/>
      <c r="B567" s="47"/>
      <c r="C567" s="47"/>
      <c r="D567" s="47"/>
      <c r="E567" s="47"/>
      <c r="F567" s="47"/>
      <c r="G567" s="47"/>
    </row>
    <row r="568" spans="1:7" x14ac:dyDescent="0.25">
      <c r="A568" s="47"/>
      <c r="B568" s="47"/>
      <c r="C568" s="47"/>
      <c r="D568" s="47"/>
      <c r="E568" s="47"/>
      <c r="F568" s="47"/>
      <c r="G568" s="47"/>
    </row>
    <row r="569" spans="1:7" x14ac:dyDescent="0.25">
      <c r="A569" s="47"/>
      <c r="B569" s="47"/>
      <c r="C569" s="47"/>
      <c r="D569" s="47"/>
      <c r="E569" s="47"/>
      <c r="F569" s="47"/>
      <c r="G569" s="47"/>
    </row>
    <row r="570" spans="1:7" x14ac:dyDescent="0.25">
      <c r="A570" s="47"/>
      <c r="B570" s="47"/>
      <c r="C570" s="47"/>
      <c r="D570" s="47"/>
      <c r="E570" s="47"/>
      <c r="F570" s="47"/>
      <c r="G570" s="47"/>
    </row>
    <row r="571" spans="1:7" x14ac:dyDescent="0.25">
      <c r="A571" s="47"/>
      <c r="B571" s="47"/>
      <c r="C571" s="47"/>
      <c r="D571" s="47"/>
      <c r="E571" s="47"/>
      <c r="F571" s="47"/>
      <c r="G571" s="47"/>
    </row>
    <row r="572" spans="1:7" x14ac:dyDescent="0.25">
      <c r="A572" s="47"/>
      <c r="B572" s="47"/>
      <c r="C572" s="47"/>
      <c r="D572" s="47"/>
      <c r="E572" s="47"/>
      <c r="F572" s="47"/>
      <c r="G572" s="47"/>
    </row>
    <row r="573" spans="1:7" x14ac:dyDescent="0.25">
      <c r="A573" s="47"/>
      <c r="B573" s="47"/>
      <c r="C573" s="47"/>
      <c r="D573" s="47"/>
      <c r="E573" s="47"/>
      <c r="F573" s="47"/>
      <c r="G573" s="47"/>
    </row>
    <row r="574" spans="1:7" x14ac:dyDescent="0.25">
      <c r="A574" s="47"/>
      <c r="B574" s="47"/>
      <c r="C574" s="47"/>
      <c r="D574" s="47"/>
      <c r="E574" s="47"/>
      <c r="F574" s="47"/>
      <c r="G574" s="47"/>
    </row>
    <row r="575" spans="1:7" x14ac:dyDescent="0.25">
      <c r="A575" s="47"/>
      <c r="B575" s="47"/>
      <c r="C575" s="47"/>
      <c r="D575" s="47"/>
      <c r="E575" s="47"/>
      <c r="F575" s="47"/>
      <c r="G575" s="47"/>
    </row>
    <row r="576" spans="1:7" x14ac:dyDescent="0.25">
      <c r="A576" s="47"/>
      <c r="B576" s="47"/>
      <c r="C576" s="47"/>
      <c r="D576" s="47"/>
      <c r="E576" s="47"/>
      <c r="F576" s="47"/>
      <c r="G576" s="47"/>
    </row>
    <row r="577" spans="1:7" x14ac:dyDescent="0.25">
      <c r="A577" s="47"/>
      <c r="B577" s="47"/>
      <c r="C577" s="47"/>
      <c r="D577" s="47"/>
      <c r="E577" s="47"/>
      <c r="F577" s="47"/>
      <c r="G577" s="47"/>
    </row>
    <row r="578" spans="1:7" x14ac:dyDescent="0.25">
      <c r="A578" s="47"/>
      <c r="B578" s="47"/>
      <c r="C578" s="47"/>
      <c r="D578" s="47"/>
      <c r="E578" s="47"/>
      <c r="F578" s="47"/>
      <c r="G578" s="47"/>
    </row>
    <row r="579" spans="1:7" x14ac:dyDescent="0.25">
      <c r="A579" s="47"/>
      <c r="B579" s="47"/>
      <c r="C579" s="47"/>
      <c r="D579" s="47"/>
      <c r="E579" s="47"/>
      <c r="F579" s="47"/>
      <c r="G579" s="47"/>
    </row>
    <row r="580" spans="1:7" x14ac:dyDescent="0.25">
      <c r="A580" s="47"/>
      <c r="B580" s="47"/>
      <c r="C580" s="47"/>
      <c r="D580" s="47"/>
      <c r="E580" s="47"/>
      <c r="F580" s="47"/>
      <c r="G580" s="47"/>
    </row>
    <row r="581" spans="1:7" x14ac:dyDescent="0.25">
      <c r="A581" s="47"/>
      <c r="B581" s="47"/>
      <c r="C581" s="47"/>
      <c r="D581" s="47"/>
      <c r="E581" s="47"/>
      <c r="F581" s="47"/>
      <c r="G581" s="47"/>
    </row>
    <row r="582" spans="1:7" x14ac:dyDescent="0.25">
      <c r="A582" s="47"/>
      <c r="B582" s="47"/>
      <c r="C582" s="47"/>
      <c r="D582" s="47"/>
      <c r="E582" s="47"/>
      <c r="F582" s="47"/>
      <c r="G582" s="47"/>
    </row>
    <row r="583" spans="1:7" x14ac:dyDescent="0.25">
      <c r="A583" s="47"/>
      <c r="B583" s="47"/>
      <c r="C583" s="47"/>
      <c r="D583" s="47"/>
      <c r="E583" s="47"/>
      <c r="F583" s="47"/>
      <c r="G583" s="47"/>
    </row>
    <row r="584" spans="1:7" x14ac:dyDescent="0.25">
      <c r="A584" s="47"/>
      <c r="B584" s="47"/>
      <c r="C584" s="47"/>
      <c r="D584" s="47"/>
      <c r="E584" s="47"/>
      <c r="F584" s="47"/>
      <c r="G584" s="47"/>
    </row>
    <row r="585" spans="1:7" x14ac:dyDescent="0.25">
      <c r="A585" s="47"/>
      <c r="B585" s="47"/>
      <c r="C585" s="47"/>
      <c r="D585" s="47"/>
      <c r="E585" s="47"/>
      <c r="F585" s="47"/>
      <c r="G585" s="47"/>
    </row>
    <row r="586" spans="1:7" x14ac:dyDescent="0.25">
      <c r="A586" s="47"/>
      <c r="B586" s="47"/>
      <c r="C586" s="47"/>
      <c r="D586" s="47"/>
      <c r="E586" s="47"/>
      <c r="F586" s="47"/>
      <c r="G586" s="47"/>
    </row>
    <row r="587" spans="1:7" x14ac:dyDescent="0.25">
      <c r="A587" s="47"/>
      <c r="B587" s="47"/>
      <c r="C587" s="47"/>
      <c r="D587" s="47"/>
      <c r="E587" s="47"/>
      <c r="F587" s="47"/>
      <c r="G587" s="47"/>
    </row>
    <row r="588" spans="1:7" x14ac:dyDescent="0.25">
      <c r="A588" s="47"/>
      <c r="B588" s="47"/>
      <c r="C588" s="47"/>
      <c r="D588" s="47"/>
      <c r="E588" s="47"/>
      <c r="F588" s="47"/>
      <c r="G588" s="47"/>
    </row>
    <row r="589" spans="1:7" x14ac:dyDescent="0.25">
      <c r="A589" s="47"/>
      <c r="B589" s="47"/>
      <c r="C589" s="47"/>
      <c r="D589" s="47"/>
      <c r="E589" s="47"/>
      <c r="F589" s="47"/>
      <c r="G589" s="47"/>
    </row>
    <row r="590" spans="1:7" x14ac:dyDescent="0.25">
      <c r="A590" s="47"/>
      <c r="B590" s="47"/>
      <c r="C590" s="47"/>
      <c r="D590" s="47"/>
      <c r="E590" s="47"/>
      <c r="F590" s="47"/>
      <c r="G590" s="47"/>
    </row>
    <row r="591" spans="1:7" x14ac:dyDescent="0.25">
      <c r="A591" s="47"/>
      <c r="B591" s="47"/>
      <c r="C591" s="47"/>
      <c r="D591" s="47"/>
      <c r="E591" s="47"/>
      <c r="F591" s="47"/>
      <c r="G591" s="47"/>
    </row>
    <row r="592" spans="1:7" x14ac:dyDescent="0.25">
      <c r="A592" s="47"/>
      <c r="B592" s="47"/>
      <c r="C592" s="47"/>
      <c r="D592" s="47"/>
      <c r="E592" s="47"/>
      <c r="F592" s="47"/>
      <c r="G592" s="47"/>
    </row>
    <row r="593" spans="1:7" x14ac:dyDescent="0.25">
      <c r="A593" s="47"/>
      <c r="B593" s="47"/>
      <c r="C593" s="47"/>
      <c r="D593" s="47"/>
      <c r="E593" s="47"/>
      <c r="F593" s="47"/>
      <c r="G593" s="47"/>
    </row>
    <row r="594" spans="1:7" x14ac:dyDescent="0.25">
      <c r="A594" s="47"/>
      <c r="B594" s="47"/>
      <c r="C594" s="47"/>
      <c r="D594" s="47"/>
      <c r="E594" s="47"/>
      <c r="F594" s="47"/>
      <c r="G594" s="47"/>
    </row>
    <row r="595" spans="1:7" x14ac:dyDescent="0.25">
      <c r="A595" s="47"/>
      <c r="B595" s="47"/>
      <c r="C595" s="47"/>
      <c r="D595" s="47"/>
      <c r="E595" s="47"/>
      <c r="F595" s="47"/>
      <c r="G595" s="47"/>
    </row>
    <row r="596" spans="1:7" x14ac:dyDescent="0.25">
      <c r="A596" s="47"/>
      <c r="B596" s="47"/>
      <c r="C596" s="47"/>
      <c r="D596" s="47"/>
      <c r="E596" s="47"/>
      <c r="F596" s="47"/>
      <c r="G596" s="47"/>
    </row>
    <row r="597" spans="1:7" x14ac:dyDescent="0.25">
      <c r="A597" s="47"/>
      <c r="B597" s="47"/>
      <c r="C597" s="47"/>
      <c r="D597" s="47"/>
      <c r="E597" s="47"/>
      <c r="F597" s="47"/>
      <c r="G597" s="47"/>
    </row>
    <row r="598" spans="1:7" x14ac:dyDescent="0.25">
      <c r="A598" s="47"/>
      <c r="B598" s="47"/>
      <c r="C598" s="47"/>
      <c r="D598" s="47"/>
      <c r="E598" s="47"/>
      <c r="F598" s="47"/>
      <c r="G598" s="47"/>
    </row>
    <row r="599" spans="1:7" x14ac:dyDescent="0.25">
      <c r="A599" s="47"/>
      <c r="B599" s="47"/>
      <c r="C599" s="47"/>
      <c r="D599" s="47"/>
      <c r="E599" s="47"/>
      <c r="F599" s="47"/>
      <c r="G599" s="47"/>
    </row>
    <row r="600" spans="1:7" x14ac:dyDescent="0.25">
      <c r="A600" s="47"/>
      <c r="B600" s="47"/>
      <c r="C600" s="47"/>
      <c r="D600" s="47"/>
      <c r="E600" s="47"/>
      <c r="F600" s="47"/>
      <c r="G600" s="47"/>
    </row>
    <row r="601" spans="1:7" x14ac:dyDescent="0.25">
      <c r="A601" s="47"/>
      <c r="B601" s="47"/>
      <c r="C601" s="47"/>
      <c r="D601" s="47"/>
      <c r="E601" s="47"/>
      <c r="F601" s="47"/>
      <c r="G601" s="47"/>
    </row>
    <row r="602" spans="1:7" x14ac:dyDescent="0.25">
      <c r="A602" s="47"/>
      <c r="B602" s="47"/>
      <c r="C602" s="47"/>
      <c r="D602" s="47"/>
      <c r="E602" s="47"/>
      <c r="F602" s="47"/>
      <c r="G602" s="47"/>
    </row>
    <row r="603" spans="1:7" x14ac:dyDescent="0.25">
      <c r="A603" s="47"/>
      <c r="B603" s="47"/>
      <c r="C603" s="47"/>
      <c r="D603" s="47"/>
      <c r="E603" s="47"/>
      <c r="F603" s="47"/>
      <c r="G603" s="47"/>
    </row>
    <row r="604" spans="1:7" x14ac:dyDescent="0.25">
      <c r="A604" s="47"/>
      <c r="B604" s="47"/>
      <c r="C604" s="47"/>
      <c r="D604" s="47"/>
      <c r="E604" s="47"/>
      <c r="F604" s="47"/>
      <c r="G604" s="47"/>
    </row>
    <row r="605" spans="1:7" x14ac:dyDescent="0.25">
      <c r="A605" s="47"/>
      <c r="B605" s="47"/>
      <c r="C605" s="47"/>
      <c r="D605" s="47"/>
      <c r="E605" s="47"/>
      <c r="F605" s="47"/>
      <c r="G605" s="47"/>
    </row>
    <row r="606" spans="1:7" x14ac:dyDescent="0.25">
      <c r="A606" s="47"/>
      <c r="B606" s="47"/>
      <c r="C606" s="47"/>
      <c r="D606" s="47"/>
      <c r="E606" s="47"/>
      <c r="F606" s="47"/>
      <c r="G606" s="47"/>
    </row>
    <row r="607" spans="1:7" x14ac:dyDescent="0.25">
      <c r="A607" s="47"/>
      <c r="B607" s="47"/>
      <c r="C607" s="47"/>
      <c r="D607" s="47"/>
      <c r="E607" s="47"/>
      <c r="F607" s="47"/>
      <c r="G607" s="47"/>
    </row>
    <row r="608" spans="1:7" x14ac:dyDescent="0.25">
      <c r="A608" s="47"/>
      <c r="B608" s="47"/>
      <c r="C608" s="47"/>
      <c r="D608" s="47"/>
      <c r="E608" s="47"/>
      <c r="F608" s="47"/>
      <c r="G608" s="47"/>
    </row>
    <row r="609" spans="1:7" x14ac:dyDescent="0.25">
      <c r="A609" s="47"/>
      <c r="B609" s="47"/>
      <c r="C609" s="47"/>
      <c r="D609" s="47"/>
      <c r="E609" s="47"/>
      <c r="F609" s="47"/>
      <c r="G609" s="47"/>
    </row>
    <row r="610" spans="1:7" x14ac:dyDescent="0.25">
      <c r="A610" s="47"/>
      <c r="B610" s="47"/>
      <c r="C610" s="47"/>
      <c r="D610" s="47"/>
      <c r="E610" s="47"/>
      <c r="F610" s="47"/>
      <c r="G610" s="47"/>
    </row>
    <row r="611" spans="1:7" x14ac:dyDescent="0.25">
      <c r="A611" s="47"/>
      <c r="B611" s="47"/>
      <c r="C611" s="47"/>
      <c r="D611" s="47"/>
      <c r="E611" s="47"/>
      <c r="F611" s="47"/>
      <c r="G611" s="47"/>
    </row>
    <row r="612" spans="1:7" x14ac:dyDescent="0.25">
      <c r="A612" s="47"/>
      <c r="B612" s="47"/>
      <c r="C612" s="47"/>
      <c r="D612" s="47"/>
      <c r="E612" s="47"/>
      <c r="F612" s="47"/>
      <c r="G612" s="47"/>
    </row>
    <row r="613" spans="1:7" x14ac:dyDescent="0.25">
      <c r="A613" s="47"/>
      <c r="B613" s="47"/>
      <c r="C613" s="47"/>
      <c r="D613" s="47"/>
      <c r="E613" s="47"/>
      <c r="F613" s="47"/>
      <c r="G613" s="47"/>
    </row>
    <row r="614" spans="1:7" x14ac:dyDescent="0.25">
      <c r="A614" s="47"/>
      <c r="B614" s="47"/>
      <c r="C614" s="47"/>
      <c r="D614" s="47"/>
      <c r="E614" s="47"/>
      <c r="F614" s="47"/>
      <c r="G614" s="47"/>
    </row>
    <row r="615" spans="1:7" x14ac:dyDescent="0.25">
      <c r="A615" s="47"/>
      <c r="B615" s="47"/>
      <c r="C615" s="47"/>
      <c r="D615" s="47"/>
      <c r="E615" s="47"/>
      <c r="F615" s="47"/>
      <c r="G615" s="47"/>
    </row>
    <row r="616" spans="1:7" x14ac:dyDescent="0.25">
      <c r="A616" s="47"/>
      <c r="B616" s="47"/>
      <c r="C616" s="47"/>
      <c r="D616" s="47"/>
      <c r="E616" s="47"/>
      <c r="F616" s="47"/>
      <c r="G616" s="47"/>
    </row>
    <row r="617" spans="1:7" x14ac:dyDescent="0.25">
      <c r="A617" s="47"/>
      <c r="B617" s="47"/>
      <c r="C617" s="47"/>
      <c r="D617" s="47"/>
      <c r="E617" s="47"/>
      <c r="F617" s="47"/>
      <c r="G617" s="47"/>
    </row>
    <row r="618" spans="1:7" x14ac:dyDescent="0.25">
      <c r="A618" s="47"/>
      <c r="B618" s="47"/>
      <c r="C618" s="47"/>
      <c r="D618" s="47"/>
      <c r="E618" s="47"/>
      <c r="F618" s="47"/>
      <c r="G618" s="47"/>
    </row>
    <row r="619" spans="1:7" x14ac:dyDescent="0.25">
      <c r="A619" s="47"/>
      <c r="B619" s="47"/>
      <c r="C619" s="47"/>
      <c r="D619" s="47"/>
      <c r="E619" s="47"/>
      <c r="F619" s="47"/>
      <c r="G619" s="47"/>
    </row>
    <row r="620" spans="1:7" x14ac:dyDescent="0.25">
      <c r="A620" s="47"/>
      <c r="B620" s="47"/>
      <c r="C620" s="47"/>
      <c r="D620" s="47"/>
      <c r="E620" s="47"/>
      <c r="F620" s="47"/>
      <c r="G620" s="47"/>
    </row>
    <row r="621" spans="1:7" x14ac:dyDescent="0.25">
      <c r="A621" s="47"/>
      <c r="B621" s="47"/>
      <c r="C621" s="47"/>
      <c r="D621" s="47"/>
      <c r="E621" s="47"/>
      <c r="F621" s="47"/>
      <c r="G621" s="47"/>
    </row>
    <row r="622" spans="1:7" x14ac:dyDescent="0.25">
      <c r="A622" s="47"/>
      <c r="B622" s="47"/>
      <c r="C622" s="47"/>
      <c r="D622" s="47"/>
      <c r="E622" s="47"/>
      <c r="F622" s="47"/>
      <c r="G622" s="47"/>
    </row>
    <row r="623" spans="1:7" x14ac:dyDescent="0.25">
      <c r="A623" s="47"/>
      <c r="B623" s="47"/>
      <c r="C623" s="47"/>
      <c r="D623" s="47"/>
      <c r="E623" s="47"/>
      <c r="F623" s="47"/>
      <c r="G623" s="47"/>
    </row>
    <row r="624" spans="1:7" x14ac:dyDescent="0.25">
      <c r="A624" s="47"/>
      <c r="B624" s="47"/>
      <c r="C624" s="47"/>
      <c r="D624" s="47"/>
      <c r="E624" s="47"/>
      <c r="F624" s="47"/>
      <c r="G624" s="47"/>
    </row>
    <row r="625" spans="1:7" x14ac:dyDescent="0.25">
      <c r="A625" s="47"/>
      <c r="B625" s="47"/>
      <c r="C625" s="47"/>
      <c r="D625" s="47"/>
      <c r="E625" s="47"/>
      <c r="F625" s="47"/>
      <c r="G625" s="47"/>
    </row>
    <row r="626" spans="1:7" x14ac:dyDescent="0.25">
      <c r="A626" s="47"/>
      <c r="B626" s="47"/>
      <c r="C626" s="47"/>
      <c r="D626" s="47"/>
      <c r="E626" s="47"/>
      <c r="F626" s="47"/>
      <c r="G626" s="47"/>
    </row>
    <row r="627" spans="1:7" x14ac:dyDescent="0.25">
      <c r="A627" s="47"/>
      <c r="B627" s="47"/>
      <c r="C627" s="47"/>
      <c r="D627" s="47"/>
      <c r="E627" s="47"/>
      <c r="F627" s="47"/>
      <c r="G627" s="47"/>
    </row>
    <row r="628" spans="1:7" x14ac:dyDescent="0.25">
      <c r="A628" s="47"/>
      <c r="B628" s="47"/>
      <c r="C628" s="47"/>
      <c r="D628" s="47"/>
      <c r="E628" s="47"/>
      <c r="F628" s="47"/>
      <c r="G628" s="47"/>
    </row>
    <row r="629" spans="1:7" x14ac:dyDescent="0.25">
      <c r="A629" s="47"/>
      <c r="B629" s="47"/>
      <c r="C629" s="47"/>
      <c r="D629" s="47"/>
      <c r="E629" s="47"/>
      <c r="F629" s="47"/>
      <c r="G629" s="47"/>
    </row>
    <row r="630" spans="1:7" x14ac:dyDescent="0.25">
      <c r="A630" s="47"/>
      <c r="B630" s="47"/>
      <c r="C630" s="47"/>
      <c r="D630" s="47"/>
      <c r="E630" s="47"/>
      <c r="F630" s="47"/>
      <c r="G630" s="47"/>
    </row>
    <row r="631" spans="1:7" x14ac:dyDescent="0.25">
      <c r="A631" s="47"/>
      <c r="B631" s="47"/>
      <c r="C631" s="47"/>
      <c r="D631" s="47"/>
      <c r="E631" s="47"/>
      <c r="F631" s="47"/>
      <c r="G631" s="47"/>
    </row>
    <row r="632" spans="1:7" x14ac:dyDescent="0.25">
      <c r="A632" s="47"/>
      <c r="B632" s="47"/>
      <c r="C632" s="47"/>
      <c r="D632" s="47"/>
      <c r="E632" s="47"/>
      <c r="F632" s="47"/>
      <c r="G632" s="47"/>
    </row>
    <row r="633" spans="1:7" x14ac:dyDescent="0.25">
      <c r="A633" s="47"/>
      <c r="B633" s="47"/>
      <c r="C633" s="47"/>
      <c r="D633" s="47"/>
      <c r="E633" s="47"/>
      <c r="F633" s="47"/>
      <c r="G633" s="47"/>
    </row>
    <row r="634" spans="1:7" x14ac:dyDescent="0.25">
      <c r="A634" s="47"/>
      <c r="B634" s="47"/>
      <c r="C634" s="47"/>
      <c r="D634" s="47"/>
      <c r="E634" s="47"/>
      <c r="F634" s="47"/>
      <c r="G634" s="47"/>
    </row>
    <row r="635" spans="1:7" x14ac:dyDescent="0.25">
      <c r="A635" s="47"/>
      <c r="B635" s="47"/>
      <c r="C635" s="47"/>
      <c r="D635" s="47"/>
      <c r="E635" s="47"/>
      <c r="F635" s="47"/>
      <c r="G635" s="47"/>
    </row>
    <row r="636" spans="1:7" x14ac:dyDescent="0.25">
      <c r="A636" s="47"/>
      <c r="B636" s="47"/>
      <c r="C636" s="47"/>
      <c r="D636" s="47"/>
      <c r="E636" s="47"/>
      <c r="F636" s="47"/>
      <c r="G636" s="47"/>
    </row>
    <row r="637" spans="1:7" x14ac:dyDescent="0.25">
      <c r="A637" s="47"/>
      <c r="B637" s="47"/>
      <c r="C637" s="47"/>
      <c r="D637" s="47"/>
      <c r="E637" s="47"/>
      <c r="F637" s="47"/>
      <c r="G637" s="47"/>
    </row>
    <row r="638" spans="1:7" x14ac:dyDescent="0.25">
      <c r="A638" s="47"/>
      <c r="B638" s="47"/>
      <c r="C638" s="47"/>
      <c r="D638" s="47"/>
      <c r="E638" s="47"/>
      <c r="F638" s="47"/>
      <c r="G638" s="47"/>
    </row>
    <row r="639" spans="1:7" x14ac:dyDescent="0.25">
      <c r="A639" s="47"/>
      <c r="B639" s="47"/>
      <c r="C639" s="47"/>
      <c r="D639" s="47"/>
      <c r="E639" s="47"/>
      <c r="F639" s="47"/>
      <c r="G639" s="47"/>
    </row>
    <row r="640" spans="1:7" x14ac:dyDescent="0.25">
      <c r="A640" s="47"/>
      <c r="B640" s="47"/>
      <c r="C640" s="47"/>
      <c r="D640" s="47"/>
      <c r="E640" s="47"/>
      <c r="F640" s="47"/>
      <c r="G640" s="47"/>
    </row>
    <row r="641" spans="1:7" x14ac:dyDescent="0.25">
      <c r="A641" s="47"/>
      <c r="B641" s="47"/>
      <c r="C641" s="47"/>
      <c r="D641" s="47"/>
      <c r="E641" s="47"/>
      <c r="F641" s="47"/>
      <c r="G641" s="47"/>
    </row>
    <row r="642" spans="1:7" x14ac:dyDescent="0.25">
      <c r="A642" s="47"/>
      <c r="B642" s="47"/>
      <c r="C642" s="47"/>
      <c r="D642" s="47"/>
      <c r="E642" s="47"/>
      <c r="F642" s="47"/>
      <c r="G642" s="47"/>
    </row>
    <row r="643" spans="1:7" x14ac:dyDescent="0.25">
      <c r="A643" s="47"/>
      <c r="B643" s="47"/>
      <c r="C643" s="47"/>
      <c r="D643" s="47"/>
      <c r="E643" s="47"/>
      <c r="F643" s="47"/>
      <c r="G643" s="47"/>
    </row>
    <row r="644" spans="1:7" x14ac:dyDescent="0.25">
      <c r="A644" s="47"/>
      <c r="B644" s="47"/>
      <c r="C644" s="47"/>
      <c r="D644" s="47"/>
      <c r="E644" s="47"/>
      <c r="F644" s="47"/>
      <c r="G644" s="47"/>
    </row>
    <row r="645" spans="1:7" x14ac:dyDescent="0.25">
      <c r="A645" s="47"/>
      <c r="B645" s="47"/>
      <c r="C645" s="47"/>
      <c r="D645" s="47"/>
      <c r="E645" s="47"/>
      <c r="F645" s="47"/>
      <c r="G645" s="47"/>
    </row>
    <row r="646" spans="1:7" x14ac:dyDescent="0.25">
      <c r="A646" s="47"/>
      <c r="B646" s="47"/>
      <c r="C646" s="47"/>
      <c r="D646" s="47"/>
      <c r="E646" s="47"/>
      <c r="F646" s="47"/>
      <c r="G646" s="47"/>
    </row>
    <row r="647" spans="1:7" x14ac:dyDescent="0.25">
      <c r="A647" s="47"/>
      <c r="B647" s="47"/>
      <c r="C647" s="47"/>
      <c r="D647" s="47"/>
      <c r="E647" s="47"/>
      <c r="F647" s="47"/>
      <c r="G647" s="47"/>
    </row>
    <row r="648" spans="1:7" x14ac:dyDescent="0.25">
      <c r="A648" s="47"/>
      <c r="B648" s="47"/>
      <c r="C648" s="47"/>
      <c r="D648" s="47"/>
      <c r="E648" s="47"/>
      <c r="F648" s="47"/>
      <c r="G648" s="47"/>
    </row>
    <row r="649" spans="1:7" x14ac:dyDescent="0.25">
      <c r="A649" s="47"/>
      <c r="B649" s="47"/>
      <c r="C649" s="47"/>
      <c r="D649" s="47"/>
      <c r="E649" s="47"/>
      <c r="F649" s="47"/>
      <c r="G649" s="47"/>
    </row>
    <row r="650" spans="1:7" x14ac:dyDescent="0.25">
      <c r="A650" s="47"/>
      <c r="B650" s="47"/>
      <c r="C650" s="47"/>
      <c r="D650" s="47"/>
      <c r="E650" s="47"/>
      <c r="F650" s="47"/>
      <c r="G650" s="47"/>
    </row>
    <row r="651" spans="1:7" x14ac:dyDescent="0.25">
      <c r="A651" s="47"/>
      <c r="B651" s="47"/>
      <c r="C651" s="47"/>
      <c r="D651" s="47"/>
      <c r="E651" s="47"/>
      <c r="F651" s="47"/>
      <c r="G651" s="47"/>
    </row>
    <row r="652" spans="1:7" x14ac:dyDescent="0.25">
      <c r="A652" s="47"/>
      <c r="B652" s="47"/>
      <c r="C652" s="47"/>
      <c r="D652" s="47"/>
      <c r="E652" s="47"/>
      <c r="F652" s="47"/>
      <c r="G652" s="47"/>
    </row>
    <row r="653" spans="1:7" x14ac:dyDescent="0.25">
      <c r="A653" s="47"/>
      <c r="B653" s="47"/>
      <c r="C653" s="47"/>
      <c r="D653" s="47"/>
      <c r="E653" s="47"/>
      <c r="F653" s="47"/>
      <c r="G653" s="47"/>
    </row>
    <row r="654" spans="1:7" x14ac:dyDescent="0.25">
      <c r="A654" s="47"/>
      <c r="B654" s="47"/>
      <c r="C654" s="47"/>
      <c r="D654" s="47"/>
      <c r="E654" s="47"/>
      <c r="F654" s="47"/>
      <c r="G654" s="47"/>
    </row>
    <row r="655" spans="1:7" x14ac:dyDescent="0.25">
      <c r="A655" s="47"/>
      <c r="B655" s="47"/>
      <c r="C655" s="47"/>
      <c r="D655" s="47"/>
      <c r="E655" s="47"/>
      <c r="F655" s="47"/>
      <c r="G655" s="47"/>
    </row>
    <row r="656" spans="1:7" x14ac:dyDescent="0.25">
      <c r="A656" s="47"/>
      <c r="B656" s="47"/>
      <c r="C656" s="47"/>
      <c r="D656" s="47"/>
      <c r="E656" s="47"/>
      <c r="F656" s="47"/>
      <c r="G656" s="47"/>
    </row>
    <row r="657" spans="1:7" x14ac:dyDescent="0.25">
      <c r="A657" s="47"/>
      <c r="B657" s="47"/>
      <c r="C657" s="47"/>
      <c r="D657" s="47"/>
      <c r="E657" s="47"/>
      <c r="F657" s="47"/>
      <c r="G657" s="47"/>
    </row>
    <row r="658" spans="1:7" x14ac:dyDescent="0.25">
      <c r="A658" s="47"/>
      <c r="B658" s="47"/>
      <c r="C658" s="47"/>
      <c r="D658" s="47"/>
      <c r="E658" s="47"/>
      <c r="F658" s="47"/>
      <c r="G658" s="47"/>
    </row>
    <row r="659" spans="1:7" x14ac:dyDescent="0.25">
      <c r="A659" s="47"/>
      <c r="B659" s="47"/>
      <c r="C659" s="47"/>
      <c r="D659" s="47"/>
      <c r="E659" s="47"/>
      <c r="F659" s="47"/>
      <c r="G659" s="47"/>
    </row>
    <row r="660" spans="1:7" x14ac:dyDescent="0.25">
      <c r="A660" s="47"/>
      <c r="B660" s="47"/>
      <c r="C660" s="47"/>
      <c r="D660" s="47"/>
      <c r="E660" s="47"/>
      <c r="F660" s="47"/>
      <c r="G660" s="47"/>
    </row>
    <row r="661" spans="1:7" x14ac:dyDescent="0.25">
      <c r="A661" s="47"/>
      <c r="B661" s="47"/>
      <c r="C661" s="47"/>
      <c r="D661" s="47"/>
      <c r="E661" s="47"/>
      <c r="F661" s="47"/>
      <c r="G661" s="47"/>
    </row>
    <row r="662" spans="1:7" x14ac:dyDescent="0.25">
      <c r="A662" s="47"/>
      <c r="B662" s="47"/>
      <c r="C662" s="47"/>
      <c r="D662" s="47"/>
      <c r="E662" s="47"/>
      <c r="F662" s="47"/>
      <c r="G662" s="47"/>
    </row>
    <row r="663" spans="1:7" x14ac:dyDescent="0.25">
      <c r="A663" s="47"/>
      <c r="B663" s="47"/>
      <c r="C663" s="47"/>
      <c r="D663" s="47"/>
      <c r="E663" s="47"/>
      <c r="F663" s="47"/>
      <c r="G663" s="47"/>
    </row>
    <row r="664" spans="1:7" x14ac:dyDescent="0.25">
      <c r="A664" s="47"/>
      <c r="B664" s="47"/>
      <c r="C664" s="47"/>
      <c r="D664" s="47"/>
      <c r="E664" s="47"/>
      <c r="F664" s="47"/>
      <c r="G664" s="47"/>
    </row>
    <row r="665" spans="1:7" x14ac:dyDescent="0.25">
      <c r="A665" s="47"/>
      <c r="B665" s="47"/>
      <c r="C665" s="47"/>
      <c r="D665" s="47"/>
      <c r="E665" s="47"/>
      <c r="F665" s="47"/>
      <c r="G665" s="47"/>
    </row>
    <row r="666" spans="1:7" x14ac:dyDescent="0.25">
      <c r="A666" s="47"/>
      <c r="B666" s="47"/>
      <c r="C666" s="47"/>
      <c r="D666" s="47"/>
      <c r="E666" s="47"/>
      <c r="F666" s="47"/>
      <c r="G666" s="47"/>
    </row>
    <row r="667" spans="1:7" x14ac:dyDescent="0.25">
      <c r="A667" s="47"/>
      <c r="B667" s="47"/>
      <c r="C667" s="47"/>
      <c r="D667" s="47"/>
      <c r="E667" s="47"/>
      <c r="F667" s="47"/>
      <c r="G667" s="47"/>
    </row>
    <row r="668" spans="1:7" x14ac:dyDescent="0.25">
      <c r="A668" s="47"/>
      <c r="B668" s="47"/>
      <c r="C668" s="47"/>
      <c r="D668" s="47"/>
      <c r="E668" s="47"/>
      <c r="F668" s="47"/>
      <c r="G668" s="47"/>
    </row>
    <row r="669" spans="1:7" x14ac:dyDescent="0.25">
      <c r="A669" s="47"/>
      <c r="B669" s="47"/>
      <c r="C669" s="47"/>
      <c r="D669" s="47"/>
      <c r="E669" s="47"/>
      <c r="F669" s="47"/>
      <c r="G669" s="47"/>
    </row>
    <row r="670" spans="1:7" x14ac:dyDescent="0.25">
      <c r="A670" s="47"/>
      <c r="B670" s="47"/>
      <c r="C670" s="47"/>
      <c r="D670" s="47"/>
      <c r="E670" s="47"/>
      <c r="F670" s="47"/>
      <c r="G670" s="47"/>
    </row>
    <row r="671" spans="1:7" x14ac:dyDescent="0.25">
      <c r="A671" s="47"/>
      <c r="B671" s="47"/>
      <c r="C671" s="47"/>
      <c r="D671" s="47"/>
      <c r="E671" s="47"/>
      <c r="F671" s="47"/>
      <c r="G671" s="47"/>
    </row>
    <row r="672" spans="1:7" x14ac:dyDescent="0.25">
      <c r="A672" s="47"/>
      <c r="B672" s="47"/>
      <c r="C672" s="47"/>
      <c r="D672" s="47"/>
      <c r="E672" s="47"/>
      <c r="F672" s="47"/>
      <c r="G672" s="47"/>
    </row>
    <row r="673" spans="1:7" x14ac:dyDescent="0.25">
      <c r="A673" s="47"/>
      <c r="B673" s="47"/>
      <c r="C673" s="47"/>
      <c r="D673" s="47"/>
      <c r="E673" s="47"/>
      <c r="F673" s="47"/>
      <c r="G673" s="47"/>
    </row>
    <row r="674" spans="1:7" x14ac:dyDescent="0.25">
      <c r="A674" s="47"/>
      <c r="B674" s="47"/>
      <c r="C674" s="47"/>
      <c r="D674" s="47"/>
      <c r="E674" s="47"/>
      <c r="F674" s="47"/>
      <c r="G674" s="47"/>
    </row>
    <row r="675" spans="1:7" x14ac:dyDescent="0.25">
      <c r="A675" s="47"/>
      <c r="B675" s="47"/>
      <c r="C675" s="47"/>
      <c r="D675" s="47"/>
      <c r="E675" s="47"/>
      <c r="F675" s="47"/>
      <c r="G675" s="47"/>
    </row>
    <row r="676" spans="1:7" x14ac:dyDescent="0.25">
      <c r="A676" s="47"/>
      <c r="B676" s="47"/>
      <c r="C676" s="47"/>
      <c r="D676" s="47"/>
      <c r="E676" s="47"/>
      <c r="F676" s="47"/>
      <c r="G676" s="47"/>
    </row>
    <row r="677" spans="1:7" x14ac:dyDescent="0.25">
      <c r="A677" s="47"/>
      <c r="B677" s="47"/>
      <c r="C677" s="47"/>
      <c r="D677" s="47"/>
      <c r="E677" s="47"/>
      <c r="F677" s="47"/>
      <c r="G677" s="47"/>
    </row>
    <row r="678" spans="1:7" x14ac:dyDescent="0.25">
      <c r="A678" s="47"/>
      <c r="B678" s="47"/>
      <c r="C678" s="47"/>
      <c r="D678" s="47"/>
      <c r="E678" s="47"/>
      <c r="F678" s="47"/>
      <c r="G678" s="47"/>
    </row>
    <row r="679" spans="1:7" x14ac:dyDescent="0.25">
      <c r="A679" s="47"/>
      <c r="B679" s="47"/>
      <c r="C679" s="47"/>
      <c r="D679" s="47"/>
      <c r="E679" s="47"/>
      <c r="F679" s="47"/>
      <c r="G679" s="47"/>
    </row>
    <row r="680" spans="1:7" x14ac:dyDescent="0.25">
      <c r="A680" s="47"/>
      <c r="B680" s="47"/>
      <c r="C680" s="47"/>
      <c r="D680" s="47"/>
      <c r="E680" s="47"/>
      <c r="F680" s="47"/>
      <c r="G680" s="47"/>
    </row>
    <row r="681" spans="1:7" x14ac:dyDescent="0.25">
      <c r="A681" s="47"/>
      <c r="B681" s="47"/>
      <c r="C681" s="47"/>
      <c r="D681" s="47"/>
      <c r="E681" s="47"/>
      <c r="F681" s="47"/>
      <c r="G681" s="47"/>
    </row>
    <row r="682" spans="1:7" x14ac:dyDescent="0.25">
      <c r="A682" s="47"/>
      <c r="B682" s="47"/>
      <c r="C682" s="47"/>
      <c r="D682" s="47"/>
      <c r="E682" s="47"/>
      <c r="F682" s="47"/>
      <c r="G682" s="47"/>
    </row>
    <row r="683" spans="1:7" x14ac:dyDescent="0.25">
      <c r="A683" s="47"/>
      <c r="B683" s="47"/>
      <c r="C683" s="47"/>
      <c r="D683" s="47"/>
      <c r="E683" s="47"/>
      <c r="F683" s="47"/>
      <c r="G683" s="47"/>
    </row>
    <row r="684" spans="1:7" x14ac:dyDescent="0.25">
      <c r="A684" s="47"/>
      <c r="B684" s="47"/>
      <c r="C684" s="47"/>
      <c r="D684" s="47"/>
      <c r="E684" s="47"/>
      <c r="F684" s="47"/>
      <c r="G684" s="47"/>
    </row>
    <row r="685" spans="1:7" x14ac:dyDescent="0.25">
      <c r="A685" s="47"/>
      <c r="B685" s="47"/>
      <c r="C685" s="47"/>
      <c r="D685" s="47"/>
      <c r="E685" s="47"/>
      <c r="F685" s="47"/>
      <c r="G685" s="47"/>
    </row>
    <row r="686" spans="1:7" x14ac:dyDescent="0.25">
      <c r="A686" s="47"/>
      <c r="B686" s="47"/>
      <c r="C686" s="47"/>
      <c r="D686" s="47"/>
      <c r="E686" s="47"/>
      <c r="F686" s="47"/>
      <c r="G686" s="47"/>
    </row>
    <row r="687" spans="1:7" x14ac:dyDescent="0.25">
      <c r="A687" s="47"/>
      <c r="B687" s="47"/>
      <c r="C687" s="47"/>
      <c r="D687" s="47"/>
      <c r="E687" s="47"/>
      <c r="F687" s="47"/>
      <c r="G687" s="47"/>
    </row>
    <row r="688" spans="1:7" x14ac:dyDescent="0.25">
      <c r="A688" s="47"/>
      <c r="B688" s="47"/>
      <c r="C688" s="47"/>
      <c r="D688" s="47"/>
      <c r="E688" s="47"/>
      <c r="F688" s="47"/>
      <c r="G688" s="47"/>
    </row>
    <row r="689" spans="1:7" x14ac:dyDescent="0.25">
      <c r="A689" s="47"/>
      <c r="B689" s="47"/>
      <c r="C689" s="47"/>
      <c r="D689" s="47"/>
      <c r="E689" s="47"/>
      <c r="F689" s="47"/>
      <c r="G689" s="47"/>
    </row>
    <row r="690" spans="1:7" x14ac:dyDescent="0.25">
      <c r="A690" s="47"/>
      <c r="B690" s="47"/>
      <c r="C690" s="47"/>
      <c r="D690" s="47"/>
      <c r="E690" s="47"/>
      <c r="F690" s="47"/>
      <c r="G690" s="47"/>
    </row>
    <row r="691" spans="1:7" x14ac:dyDescent="0.25">
      <c r="A691" s="47"/>
      <c r="B691" s="47"/>
      <c r="C691" s="47"/>
      <c r="D691" s="47"/>
      <c r="E691" s="47"/>
      <c r="F691" s="47"/>
      <c r="G691" s="47"/>
    </row>
    <row r="692" spans="1:7" x14ac:dyDescent="0.25">
      <c r="A692" s="47"/>
      <c r="B692" s="47"/>
      <c r="C692" s="47"/>
      <c r="D692" s="47"/>
      <c r="E692" s="47"/>
      <c r="F692" s="47"/>
      <c r="G692" s="47"/>
    </row>
    <row r="693" spans="1:7" x14ac:dyDescent="0.25">
      <c r="A693" s="47"/>
      <c r="B693" s="47"/>
      <c r="C693" s="47"/>
      <c r="D693" s="47"/>
      <c r="E693" s="47"/>
      <c r="F693" s="47"/>
      <c r="G693" s="47"/>
    </row>
    <row r="694" spans="1:7" x14ac:dyDescent="0.25">
      <c r="A694" s="47"/>
      <c r="B694" s="47"/>
      <c r="C694" s="47"/>
      <c r="D694" s="47"/>
      <c r="E694" s="47"/>
      <c r="F694" s="47"/>
      <c r="G694" s="47"/>
    </row>
    <row r="695" spans="1:7" x14ac:dyDescent="0.25">
      <c r="A695" s="47"/>
      <c r="B695" s="47"/>
      <c r="C695" s="47"/>
      <c r="D695" s="47"/>
      <c r="E695" s="47"/>
      <c r="F695" s="47"/>
      <c r="G695" s="47"/>
    </row>
    <row r="696" spans="1:7" x14ac:dyDescent="0.25">
      <c r="A696" s="47"/>
      <c r="B696" s="47"/>
      <c r="C696" s="47"/>
      <c r="D696" s="47"/>
      <c r="E696" s="47"/>
      <c r="F696" s="47"/>
      <c r="G696" s="47"/>
    </row>
    <row r="697" spans="1:7" x14ac:dyDescent="0.25">
      <c r="A697" s="47"/>
      <c r="B697" s="47"/>
      <c r="C697" s="47"/>
      <c r="D697" s="47"/>
      <c r="E697" s="47"/>
      <c r="F697" s="47"/>
      <c r="G697" s="47"/>
    </row>
    <row r="698" spans="1:7" x14ac:dyDescent="0.25">
      <c r="A698" s="47"/>
      <c r="B698" s="47"/>
      <c r="C698" s="47"/>
      <c r="D698" s="47"/>
      <c r="E698" s="47"/>
      <c r="F698" s="47"/>
      <c r="G698" s="47"/>
    </row>
    <row r="699" spans="1:7" x14ac:dyDescent="0.25">
      <c r="A699" s="47"/>
      <c r="B699" s="47"/>
      <c r="C699" s="47"/>
      <c r="D699" s="47"/>
      <c r="E699" s="47"/>
      <c r="F699" s="47"/>
      <c r="G699" s="47"/>
    </row>
    <row r="700" spans="1:7" x14ac:dyDescent="0.25">
      <c r="A700" s="47"/>
      <c r="B700" s="47"/>
      <c r="C700" s="47"/>
      <c r="D700" s="47"/>
      <c r="E700" s="47"/>
      <c r="F700" s="47"/>
      <c r="G700" s="47"/>
    </row>
    <row r="701" spans="1:7" x14ac:dyDescent="0.25">
      <c r="A701" s="47"/>
      <c r="B701" s="47"/>
      <c r="C701" s="47"/>
      <c r="D701" s="47"/>
      <c r="E701" s="47"/>
      <c r="F701" s="47"/>
      <c r="G701" s="47"/>
    </row>
    <row r="702" spans="1:7" x14ac:dyDescent="0.25">
      <c r="A702" s="47"/>
      <c r="B702" s="47"/>
      <c r="C702" s="47"/>
      <c r="D702" s="47"/>
      <c r="E702" s="47"/>
      <c r="F702" s="47"/>
      <c r="G702" s="47"/>
    </row>
    <row r="703" spans="1:7" x14ac:dyDescent="0.25">
      <c r="A703" s="47"/>
      <c r="B703" s="47"/>
      <c r="C703" s="47"/>
      <c r="D703" s="47"/>
      <c r="E703" s="47"/>
      <c r="F703" s="47"/>
      <c r="G703" s="47"/>
    </row>
    <row r="704" spans="1:7" x14ac:dyDescent="0.25">
      <c r="A704" s="47"/>
      <c r="B704" s="47"/>
      <c r="C704" s="47"/>
      <c r="D704" s="47"/>
      <c r="E704" s="47"/>
      <c r="F704" s="47"/>
      <c r="G704" s="47"/>
    </row>
    <row r="705" spans="1:7" x14ac:dyDescent="0.25">
      <c r="A705" s="47"/>
      <c r="B705" s="47"/>
      <c r="C705" s="47"/>
      <c r="D705" s="47"/>
      <c r="E705" s="47"/>
      <c r="F705" s="47"/>
      <c r="G705" s="47"/>
    </row>
    <row r="706" spans="1:7" x14ac:dyDescent="0.25">
      <c r="A706" s="47"/>
      <c r="B706" s="47"/>
      <c r="C706" s="47"/>
      <c r="D706" s="47"/>
      <c r="E706" s="47"/>
      <c r="F706" s="47"/>
      <c r="G706" s="47"/>
    </row>
    <row r="707" spans="1:7" x14ac:dyDescent="0.25">
      <c r="A707" s="47"/>
      <c r="B707" s="47"/>
      <c r="C707" s="47"/>
      <c r="D707" s="47"/>
      <c r="E707" s="47"/>
      <c r="F707" s="47"/>
      <c r="G707" s="47"/>
    </row>
    <row r="708" spans="1:7" x14ac:dyDescent="0.25">
      <c r="A708" s="47"/>
      <c r="B708" s="47"/>
      <c r="C708" s="47"/>
      <c r="D708" s="47"/>
      <c r="E708" s="47"/>
      <c r="F708" s="47"/>
      <c r="G708" s="47"/>
    </row>
    <row r="709" spans="1:7" x14ac:dyDescent="0.25">
      <c r="A709" s="47"/>
      <c r="B709" s="47"/>
      <c r="C709" s="47"/>
      <c r="D709" s="47"/>
      <c r="E709" s="47"/>
      <c r="F709" s="47"/>
      <c r="G709" s="47"/>
    </row>
    <row r="710" spans="1:7" x14ac:dyDescent="0.25">
      <c r="A710" s="47"/>
      <c r="B710" s="47"/>
      <c r="C710" s="47"/>
      <c r="D710" s="47"/>
      <c r="E710" s="47"/>
      <c r="F710" s="47"/>
      <c r="G710" s="47"/>
    </row>
    <row r="711" spans="1:7" x14ac:dyDescent="0.25">
      <c r="A711" s="47"/>
      <c r="B711" s="47"/>
      <c r="C711" s="47"/>
      <c r="D711" s="47"/>
      <c r="E711" s="47"/>
      <c r="F711" s="47"/>
      <c r="G711" s="47"/>
    </row>
    <row r="712" spans="1:7" x14ac:dyDescent="0.25">
      <c r="A712" s="47"/>
      <c r="B712" s="47"/>
      <c r="C712" s="47"/>
      <c r="D712" s="47"/>
      <c r="E712" s="47"/>
      <c r="F712" s="47"/>
      <c r="G712" s="47"/>
    </row>
    <row r="713" spans="1:7" x14ac:dyDescent="0.25">
      <c r="A713" s="47"/>
      <c r="B713" s="47"/>
      <c r="C713" s="47"/>
      <c r="D713" s="47"/>
      <c r="E713" s="47"/>
      <c r="F713" s="47"/>
      <c r="G713" s="47"/>
    </row>
    <row r="714" spans="1:7" x14ac:dyDescent="0.25">
      <c r="A714" s="47"/>
      <c r="B714" s="47"/>
      <c r="C714" s="47"/>
      <c r="D714" s="47"/>
      <c r="E714" s="47"/>
      <c r="F714" s="47"/>
      <c r="G714" s="47"/>
    </row>
    <row r="715" spans="1:7" x14ac:dyDescent="0.25">
      <c r="A715" s="47"/>
      <c r="B715" s="47"/>
      <c r="C715" s="47"/>
      <c r="D715" s="47"/>
      <c r="E715" s="47"/>
      <c r="F715" s="47"/>
      <c r="G715" s="47"/>
    </row>
    <row r="716" spans="1:7" x14ac:dyDescent="0.25">
      <c r="A716" s="47"/>
      <c r="B716" s="47"/>
      <c r="C716" s="47"/>
      <c r="D716" s="47"/>
      <c r="E716" s="47"/>
      <c r="F716" s="47"/>
      <c r="G716" s="47"/>
    </row>
    <row r="717" spans="1:7" x14ac:dyDescent="0.25">
      <c r="A717" s="47"/>
      <c r="B717" s="47"/>
      <c r="C717" s="47"/>
      <c r="D717" s="47"/>
      <c r="E717" s="47"/>
      <c r="F717" s="47"/>
      <c r="G717" s="47"/>
    </row>
    <row r="718" spans="1:7" x14ac:dyDescent="0.25">
      <c r="A718" s="47"/>
      <c r="B718" s="47"/>
      <c r="C718" s="47"/>
      <c r="D718" s="47"/>
      <c r="E718" s="47"/>
      <c r="F718" s="47"/>
      <c r="G718" s="47"/>
    </row>
    <row r="719" spans="1:7" x14ac:dyDescent="0.25">
      <c r="A719" s="47"/>
      <c r="B719" s="47"/>
      <c r="C719" s="47"/>
      <c r="D719" s="47"/>
      <c r="E719" s="47"/>
      <c r="F719" s="47"/>
      <c r="G719" s="47"/>
    </row>
    <row r="720" spans="1:7" x14ac:dyDescent="0.25">
      <c r="A720" s="47"/>
      <c r="B720" s="47"/>
      <c r="C720" s="47"/>
      <c r="D720" s="47"/>
      <c r="E720" s="47"/>
      <c r="F720" s="47"/>
      <c r="G720" s="47"/>
    </row>
    <row r="721" spans="1:7" x14ac:dyDescent="0.25">
      <c r="A721" s="47"/>
      <c r="B721" s="47"/>
      <c r="C721" s="47"/>
      <c r="D721" s="47"/>
      <c r="E721" s="47"/>
      <c r="F721" s="47"/>
      <c r="G721" s="47"/>
    </row>
    <row r="722" spans="1:7" x14ac:dyDescent="0.25">
      <c r="A722" s="47"/>
      <c r="B722" s="47"/>
      <c r="C722" s="47"/>
      <c r="D722" s="47"/>
      <c r="E722" s="47"/>
      <c r="F722" s="47"/>
      <c r="G722" s="47"/>
    </row>
    <row r="723" spans="1:7" x14ac:dyDescent="0.25">
      <c r="A723" s="47"/>
      <c r="B723" s="47"/>
      <c r="C723" s="47"/>
      <c r="D723" s="47"/>
      <c r="E723" s="47"/>
      <c r="F723" s="47"/>
      <c r="G723" s="47"/>
    </row>
    <row r="724" spans="1:7" x14ac:dyDescent="0.25">
      <c r="A724" s="47"/>
      <c r="B724" s="47"/>
      <c r="C724" s="47"/>
      <c r="D724" s="47"/>
      <c r="E724" s="47"/>
      <c r="F724" s="47"/>
      <c r="G724" s="47"/>
    </row>
    <row r="725" spans="1:7" x14ac:dyDescent="0.25">
      <c r="A725" s="47"/>
      <c r="B725" s="47"/>
      <c r="C725" s="47"/>
      <c r="D725" s="47"/>
      <c r="E725" s="47"/>
      <c r="F725" s="47"/>
      <c r="G725" s="47"/>
    </row>
    <row r="726" spans="1:7" x14ac:dyDescent="0.25">
      <c r="A726" s="47"/>
      <c r="B726" s="47"/>
      <c r="C726" s="47"/>
      <c r="D726" s="47"/>
      <c r="E726" s="47"/>
      <c r="F726" s="47"/>
      <c r="G726" s="47"/>
    </row>
    <row r="727" spans="1:7" x14ac:dyDescent="0.25">
      <c r="A727" s="47"/>
      <c r="B727" s="47"/>
      <c r="C727" s="47"/>
      <c r="D727" s="47"/>
      <c r="E727" s="47"/>
      <c r="F727" s="47"/>
      <c r="G727" s="47"/>
    </row>
    <row r="728" spans="1:7" x14ac:dyDescent="0.25">
      <c r="A728" s="47"/>
      <c r="B728" s="47"/>
      <c r="C728" s="47"/>
      <c r="D728" s="47"/>
      <c r="E728" s="47"/>
      <c r="F728" s="47"/>
      <c r="G728" s="47"/>
    </row>
    <row r="729" spans="1:7" x14ac:dyDescent="0.25">
      <c r="A729" s="47"/>
      <c r="B729" s="47"/>
      <c r="C729" s="47"/>
      <c r="D729" s="47"/>
      <c r="E729" s="47"/>
      <c r="F729" s="47"/>
      <c r="G729" s="47"/>
    </row>
    <row r="730" spans="1:7" x14ac:dyDescent="0.25">
      <c r="A730" s="47"/>
      <c r="B730" s="47"/>
      <c r="C730" s="47"/>
      <c r="D730" s="47"/>
      <c r="E730" s="47"/>
      <c r="F730" s="47"/>
      <c r="G730" s="47"/>
    </row>
    <row r="731" spans="1:7" x14ac:dyDescent="0.25">
      <c r="A731" s="47"/>
      <c r="B731" s="47"/>
      <c r="C731" s="47"/>
      <c r="D731" s="47"/>
      <c r="E731" s="47"/>
      <c r="F731" s="47"/>
      <c r="G731" s="47"/>
    </row>
    <row r="732" spans="1:7" x14ac:dyDescent="0.25">
      <c r="A732" s="47"/>
      <c r="B732" s="47"/>
      <c r="C732" s="47"/>
      <c r="D732" s="47"/>
      <c r="E732" s="47"/>
      <c r="F732" s="47"/>
      <c r="G732" s="47"/>
    </row>
    <row r="733" spans="1:7" x14ac:dyDescent="0.25">
      <c r="A733" s="47"/>
      <c r="B733" s="47"/>
      <c r="C733" s="47"/>
      <c r="D733" s="47"/>
      <c r="E733" s="47"/>
      <c r="F733" s="47"/>
      <c r="G733" s="47"/>
    </row>
    <row r="734" spans="1:7" x14ac:dyDescent="0.25">
      <c r="A734" s="47"/>
      <c r="B734" s="47"/>
      <c r="C734" s="47"/>
      <c r="D734" s="47"/>
      <c r="E734" s="47"/>
      <c r="F734" s="47"/>
      <c r="G734" s="47"/>
    </row>
    <row r="735" spans="1:7" x14ac:dyDescent="0.25">
      <c r="A735" s="47"/>
      <c r="B735" s="47"/>
      <c r="C735" s="47"/>
      <c r="D735" s="47"/>
      <c r="E735" s="47"/>
      <c r="F735" s="47"/>
      <c r="G735" s="47"/>
    </row>
    <row r="736" spans="1:7" x14ac:dyDescent="0.25">
      <c r="A736" s="47"/>
      <c r="B736" s="47"/>
      <c r="C736" s="47"/>
      <c r="D736" s="47"/>
      <c r="E736" s="47"/>
      <c r="F736" s="47"/>
      <c r="G736" s="47"/>
    </row>
    <row r="737" spans="1:7" x14ac:dyDescent="0.25">
      <c r="A737" s="47"/>
      <c r="B737" s="47"/>
      <c r="C737" s="47"/>
      <c r="D737" s="47"/>
      <c r="E737" s="47"/>
      <c r="F737" s="47"/>
      <c r="G737" s="47"/>
    </row>
    <row r="738" spans="1:7" x14ac:dyDescent="0.25">
      <c r="A738" s="47"/>
      <c r="B738" s="47"/>
      <c r="C738" s="47"/>
      <c r="D738" s="47"/>
      <c r="E738" s="47"/>
      <c r="F738" s="47"/>
      <c r="G738" s="47"/>
    </row>
    <row r="739" spans="1:7" x14ac:dyDescent="0.25">
      <c r="A739" s="47"/>
      <c r="B739" s="47"/>
      <c r="C739" s="47"/>
      <c r="D739" s="47"/>
      <c r="E739" s="47"/>
      <c r="F739" s="47"/>
      <c r="G739" s="47"/>
    </row>
    <row r="740" spans="1:7" x14ac:dyDescent="0.25">
      <c r="A740" s="47"/>
      <c r="B740" s="47"/>
      <c r="C740" s="47"/>
      <c r="D740" s="47"/>
      <c r="E740" s="47"/>
      <c r="F740" s="47"/>
      <c r="G740" s="47"/>
    </row>
    <row r="741" spans="1:7" x14ac:dyDescent="0.25">
      <c r="A741" s="47"/>
      <c r="B741" s="47"/>
      <c r="C741" s="47"/>
      <c r="D741" s="47"/>
      <c r="E741" s="47"/>
      <c r="F741" s="47"/>
      <c r="G741" s="47"/>
    </row>
    <row r="742" spans="1:7" x14ac:dyDescent="0.25">
      <c r="A742" s="47"/>
      <c r="B742" s="47"/>
      <c r="C742" s="47"/>
      <c r="D742" s="47"/>
      <c r="E742" s="47"/>
      <c r="F742" s="47"/>
      <c r="G742" s="47"/>
    </row>
    <row r="743" spans="1:7" x14ac:dyDescent="0.25">
      <c r="A743" s="47"/>
      <c r="B743" s="47"/>
      <c r="C743" s="47"/>
      <c r="D743" s="47"/>
      <c r="E743" s="47"/>
      <c r="F743" s="47"/>
      <c r="G743" s="47"/>
    </row>
    <row r="744" spans="1:7" x14ac:dyDescent="0.25">
      <c r="A744" s="47"/>
      <c r="B744" s="47"/>
      <c r="C744" s="47"/>
      <c r="D744" s="47"/>
      <c r="E744" s="47"/>
      <c r="F744" s="47"/>
      <c r="G744" s="47"/>
    </row>
    <row r="745" spans="1:7" x14ac:dyDescent="0.25">
      <c r="A745" s="47"/>
      <c r="B745" s="47"/>
      <c r="C745" s="47"/>
      <c r="D745" s="47"/>
      <c r="E745" s="47"/>
      <c r="F745" s="47"/>
      <c r="G745" s="47"/>
    </row>
    <row r="746" spans="1:7" x14ac:dyDescent="0.25">
      <c r="A746" s="47"/>
      <c r="B746" s="47"/>
      <c r="C746" s="47"/>
      <c r="D746" s="47"/>
      <c r="E746" s="47"/>
      <c r="F746" s="47"/>
      <c r="G746" s="47"/>
    </row>
    <row r="747" spans="1:7" x14ac:dyDescent="0.25">
      <c r="A747" s="47"/>
      <c r="B747" s="47"/>
      <c r="C747" s="47"/>
      <c r="D747" s="47"/>
      <c r="E747" s="47"/>
      <c r="F747" s="47"/>
      <c r="G747" s="47"/>
    </row>
    <row r="748" spans="1:7" x14ac:dyDescent="0.25">
      <c r="A748" s="47"/>
      <c r="B748" s="47"/>
      <c r="C748" s="47"/>
      <c r="D748" s="47"/>
      <c r="E748" s="47"/>
      <c r="F748" s="47"/>
      <c r="G748" s="47"/>
    </row>
    <row r="749" spans="1:7" x14ac:dyDescent="0.25">
      <c r="A749" s="47"/>
      <c r="B749" s="47"/>
      <c r="C749" s="47"/>
      <c r="D749" s="47"/>
      <c r="E749" s="47"/>
      <c r="F749" s="47"/>
      <c r="G749" s="47"/>
    </row>
    <row r="750" spans="1:7" x14ac:dyDescent="0.25">
      <c r="A750" s="47"/>
      <c r="B750" s="47"/>
      <c r="C750" s="47"/>
      <c r="D750" s="47"/>
      <c r="E750" s="47"/>
      <c r="F750" s="47"/>
      <c r="G750" s="47"/>
    </row>
    <row r="751" spans="1:7" x14ac:dyDescent="0.25">
      <c r="A751" s="47"/>
      <c r="B751" s="47"/>
      <c r="C751" s="47"/>
      <c r="D751" s="47"/>
      <c r="E751" s="47"/>
      <c r="F751" s="47"/>
      <c r="G751" s="47"/>
    </row>
    <row r="752" spans="1:7" x14ac:dyDescent="0.25">
      <c r="A752" s="47"/>
      <c r="B752" s="47"/>
      <c r="C752" s="47"/>
      <c r="D752" s="47"/>
      <c r="E752" s="47"/>
      <c r="F752" s="47"/>
      <c r="G752" s="47"/>
    </row>
    <row r="753" spans="1:7" x14ac:dyDescent="0.25">
      <c r="A753" s="47"/>
      <c r="B753" s="47"/>
      <c r="C753" s="47"/>
      <c r="D753" s="47"/>
      <c r="E753" s="47"/>
      <c r="F753" s="47"/>
      <c r="G753" s="47"/>
    </row>
    <row r="754" spans="1:7" x14ac:dyDescent="0.25">
      <c r="A754" s="47"/>
      <c r="B754" s="47"/>
      <c r="C754" s="47"/>
      <c r="D754" s="47"/>
      <c r="E754" s="47"/>
      <c r="F754" s="47"/>
      <c r="G754" s="47"/>
    </row>
    <row r="755" spans="1:7" x14ac:dyDescent="0.25">
      <c r="A755" s="47"/>
      <c r="B755" s="47"/>
      <c r="C755" s="47"/>
      <c r="D755" s="47"/>
      <c r="E755" s="47"/>
      <c r="F755" s="47"/>
      <c r="G755" s="47"/>
    </row>
    <row r="756" spans="1:7" x14ac:dyDescent="0.25">
      <c r="A756" s="47"/>
      <c r="B756" s="47"/>
      <c r="C756" s="47"/>
      <c r="D756" s="47"/>
      <c r="E756" s="47"/>
      <c r="F756" s="47"/>
      <c r="G756" s="47"/>
    </row>
    <row r="757" spans="1:7" x14ac:dyDescent="0.25">
      <c r="A757" s="47"/>
      <c r="B757" s="47"/>
      <c r="C757" s="47"/>
      <c r="D757" s="47"/>
      <c r="E757" s="47"/>
      <c r="F757" s="47"/>
      <c r="G757" s="47"/>
    </row>
    <row r="758" spans="1:7" x14ac:dyDescent="0.25">
      <c r="A758" s="47"/>
      <c r="B758" s="47"/>
      <c r="C758" s="47"/>
      <c r="D758" s="47"/>
      <c r="E758" s="47"/>
      <c r="F758" s="47"/>
      <c r="G758" s="47"/>
    </row>
    <row r="759" spans="1:7" x14ac:dyDescent="0.25">
      <c r="A759" s="47"/>
      <c r="B759" s="47"/>
      <c r="C759" s="47"/>
      <c r="D759" s="47"/>
      <c r="E759" s="47"/>
      <c r="F759" s="47"/>
      <c r="G759" s="47"/>
    </row>
    <row r="760" spans="1:7" x14ac:dyDescent="0.25">
      <c r="A760" s="47"/>
      <c r="B760" s="47"/>
      <c r="C760" s="47"/>
      <c r="D760" s="47"/>
      <c r="E760" s="47"/>
      <c r="F760" s="47"/>
      <c r="G760" s="47"/>
    </row>
    <row r="761" spans="1:7" x14ac:dyDescent="0.25">
      <c r="A761" s="47"/>
      <c r="B761" s="47"/>
      <c r="C761" s="47"/>
      <c r="D761" s="47"/>
      <c r="E761" s="47"/>
      <c r="F761" s="47"/>
      <c r="G761" s="47"/>
    </row>
    <row r="762" spans="1:7" x14ac:dyDescent="0.25">
      <c r="A762" s="47"/>
      <c r="B762" s="47"/>
      <c r="C762" s="47"/>
      <c r="D762" s="47"/>
      <c r="E762" s="47"/>
      <c r="F762" s="47"/>
      <c r="G762" s="47"/>
    </row>
    <row r="763" spans="1:7" x14ac:dyDescent="0.25">
      <c r="A763" s="47"/>
      <c r="B763" s="47"/>
      <c r="C763" s="47"/>
      <c r="D763" s="47"/>
      <c r="E763" s="47"/>
      <c r="F763" s="47"/>
      <c r="G763" s="47"/>
    </row>
    <row r="764" spans="1:7" x14ac:dyDescent="0.25">
      <c r="A764" s="47"/>
      <c r="B764" s="47"/>
      <c r="C764" s="47"/>
      <c r="D764" s="47"/>
      <c r="E764" s="47"/>
      <c r="F764" s="47"/>
      <c r="G764" s="47"/>
    </row>
    <row r="765" spans="1:7" x14ac:dyDescent="0.25">
      <c r="A765" s="47"/>
      <c r="B765" s="47"/>
      <c r="C765" s="47"/>
      <c r="D765" s="47"/>
      <c r="E765" s="47"/>
      <c r="F765" s="47"/>
      <c r="G765" s="47"/>
    </row>
    <row r="766" spans="1:7" x14ac:dyDescent="0.25">
      <c r="A766" s="47"/>
      <c r="B766" s="47"/>
      <c r="C766" s="47"/>
      <c r="D766" s="47"/>
      <c r="E766" s="47"/>
      <c r="F766" s="47"/>
      <c r="G766" s="47"/>
    </row>
    <row r="767" spans="1:7" x14ac:dyDescent="0.25">
      <c r="A767" s="47"/>
      <c r="B767" s="47"/>
      <c r="C767" s="47"/>
      <c r="D767" s="47"/>
      <c r="E767" s="47"/>
      <c r="F767" s="47"/>
      <c r="G767" s="47"/>
    </row>
    <row r="768" spans="1:7" x14ac:dyDescent="0.25">
      <c r="A768" s="47"/>
      <c r="B768" s="47"/>
      <c r="C768" s="47"/>
      <c r="D768" s="47"/>
      <c r="E768" s="47"/>
      <c r="F768" s="47"/>
      <c r="G768" s="47"/>
    </row>
    <row r="769" spans="1:7" x14ac:dyDescent="0.25">
      <c r="A769" s="47"/>
      <c r="B769" s="47"/>
      <c r="C769" s="47"/>
      <c r="D769" s="47"/>
      <c r="E769" s="47"/>
      <c r="F769" s="47"/>
      <c r="G769" s="47"/>
    </row>
    <row r="770" spans="1:7" x14ac:dyDescent="0.25">
      <c r="A770" s="47"/>
      <c r="B770" s="47"/>
      <c r="C770" s="47"/>
      <c r="D770" s="47"/>
      <c r="E770" s="47"/>
      <c r="F770" s="47"/>
      <c r="G770" s="47"/>
    </row>
    <row r="771" spans="1:7" x14ac:dyDescent="0.25">
      <c r="A771" s="47"/>
      <c r="B771" s="47"/>
      <c r="C771" s="47"/>
      <c r="D771" s="47"/>
      <c r="E771" s="47"/>
      <c r="F771" s="47"/>
      <c r="G771" s="47"/>
    </row>
    <row r="772" spans="1:7" x14ac:dyDescent="0.25">
      <c r="A772" s="47"/>
      <c r="B772" s="47"/>
      <c r="C772" s="47"/>
      <c r="D772" s="47"/>
      <c r="E772" s="47"/>
      <c r="F772" s="47"/>
      <c r="G772" s="47"/>
    </row>
    <row r="773" spans="1:7" x14ac:dyDescent="0.25">
      <c r="A773" s="47"/>
      <c r="B773" s="47"/>
      <c r="C773" s="47"/>
      <c r="D773" s="47"/>
      <c r="E773" s="47"/>
      <c r="F773" s="47"/>
      <c r="G773" s="47"/>
    </row>
    <row r="774" spans="1:7" x14ac:dyDescent="0.25">
      <c r="A774" s="47"/>
      <c r="B774" s="47"/>
      <c r="C774" s="47"/>
      <c r="D774" s="47"/>
      <c r="E774" s="47"/>
      <c r="F774" s="47"/>
      <c r="G774" s="47"/>
    </row>
    <row r="775" spans="1:7" x14ac:dyDescent="0.25">
      <c r="A775" s="47"/>
      <c r="B775" s="47"/>
      <c r="C775" s="47"/>
      <c r="D775" s="47"/>
      <c r="E775" s="47"/>
      <c r="F775" s="47"/>
      <c r="G775" s="47"/>
    </row>
    <row r="776" spans="1:7" x14ac:dyDescent="0.25">
      <c r="A776" s="47"/>
      <c r="B776" s="47"/>
      <c r="C776" s="47"/>
      <c r="D776" s="47"/>
      <c r="E776" s="47"/>
      <c r="F776" s="47"/>
      <c r="G776" s="47"/>
    </row>
    <row r="777" spans="1:7" x14ac:dyDescent="0.25">
      <c r="A777" s="47"/>
      <c r="B777" s="47"/>
      <c r="C777" s="47"/>
      <c r="D777" s="47"/>
      <c r="E777" s="47"/>
      <c r="F777" s="47"/>
      <c r="G777" s="47"/>
    </row>
    <row r="778" spans="1:7" x14ac:dyDescent="0.25">
      <c r="A778" s="47"/>
      <c r="B778" s="47"/>
      <c r="C778" s="47"/>
      <c r="D778" s="47"/>
      <c r="E778" s="47"/>
      <c r="F778" s="47"/>
      <c r="G778" s="47"/>
    </row>
    <row r="779" spans="1:7" x14ac:dyDescent="0.25">
      <c r="A779" s="47"/>
      <c r="B779" s="47"/>
      <c r="C779" s="47"/>
      <c r="D779" s="47"/>
      <c r="E779" s="47"/>
      <c r="F779" s="47"/>
      <c r="G779" s="47"/>
    </row>
    <row r="780" spans="1:7" x14ac:dyDescent="0.25">
      <c r="A780" s="47"/>
      <c r="B780" s="47"/>
      <c r="C780" s="47"/>
      <c r="D780" s="47"/>
      <c r="E780" s="47"/>
      <c r="F780" s="47"/>
      <c r="G780" s="47"/>
    </row>
    <row r="781" spans="1:7" x14ac:dyDescent="0.25">
      <c r="A781" s="47"/>
      <c r="B781" s="47"/>
      <c r="C781" s="47"/>
      <c r="D781" s="47"/>
      <c r="E781" s="47"/>
      <c r="F781" s="47"/>
      <c r="G781" s="47"/>
    </row>
    <row r="782" spans="1:7" x14ac:dyDescent="0.25">
      <c r="A782" s="47"/>
      <c r="B782" s="47"/>
      <c r="C782" s="47"/>
      <c r="D782" s="47"/>
      <c r="E782" s="47"/>
      <c r="F782" s="47"/>
      <c r="G782" s="47"/>
    </row>
    <row r="783" spans="1:7" x14ac:dyDescent="0.25">
      <c r="A783" s="47"/>
      <c r="B783" s="47"/>
      <c r="C783" s="47"/>
      <c r="D783" s="47"/>
      <c r="E783" s="47"/>
      <c r="F783" s="47"/>
      <c r="G783" s="47"/>
    </row>
    <row r="784" spans="1:7" x14ac:dyDescent="0.25">
      <c r="A784" s="47"/>
      <c r="B784" s="47"/>
      <c r="C784" s="47"/>
      <c r="D784" s="47"/>
      <c r="E784" s="47"/>
      <c r="F784" s="47"/>
      <c r="G784" s="47"/>
    </row>
    <row r="785" spans="1:7" x14ac:dyDescent="0.25">
      <c r="A785" s="47"/>
      <c r="B785" s="47"/>
      <c r="C785" s="47"/>
      <c r="D785" s="47"/>
      <c r="E785" s="47"/>
      <c r="F785" s="47"/>
      <c r="G785" s="47"/>
    </row>
    <row r="786" spans="1:7" x14ac:dyDescent="0.25">
      <c r="A786" s="47"/>
      <c r="B786" s="47"/>
      <c r="C786" s="47"/>
      <c r="D786" s="47"/>
      <c r="E786" s="47"/>
      <c r="F786" s="47"/>
      <c r="G786" s="47"/>
    </row>
    <row r="787" spans="1:7" x14ac:dyDescent="0.25">
      <c r="A787" s="47"/>
      <c r="B787" s="47"/>
      <c r="C787" s="47"/>
      <c r="D787" s="47"/>
      <c r="E787" s="47"/>
      <c r="F787" s="47"/>
      <c r="G787" s="47"/>
    </row>
    <row r="788" spans="1:7" x14ac:dyDescent="0.25">
      <c r="A788" s="47"/>
      <c r="B788" s="47"/>
      <c r="C788" s="47"/>
      <c r="D788" s="47"/>
      <c r="E788" s="47"/>
      <c r="F788" s="47"/>
      <c r="G788" s="47"/>
    </row>
    <row r="789" spans="1:7" x14ac:dyDescent="0.25">
      <c r="A789" s="47"/>
      <c r="B789" s="47"/>
      <c r="C789" s="47"/>
      <c r="D789" s="47"/>
      <c r="E789" s="47"/>
      <c r="F789" s="47"/>
      <c r="G789" s="47"/>
    </row>
    <row r="790" spans="1:7" x14ac:dyDescent="0.25">
      <c r="A790" s="47"/>
      <c r="B790" s="47"/>
      <c r="C790" s="47"/>
      <c r="D790" s="47"/>
      <c r="E790" s="47"/>
      <c r="F790" s="47"/>
      <c r="G790" s="47"/>
    </row>
    <row r="791" spans="1:7" x14ac:dyDescent="0.25">
      <c r="A791" s="47"/>
      <c r="B791" s="47"/>
      <c r="C791" s="47"/>
      <c r="D791" s="47"/>
      <c r="E791" s="47"/>
      <c r="F791" s="47"/>
      <c r="G791" s="47"/>
    </row>
    <row r="792" spans="1:7" x14ac:dyDescent="0.25">
      <c r="A792" s="47"/>
      <c r="B792" s="47"/>
      <c r="C792" s="47"/>
      <c r="D792" s="47"/>
      <c r="E792" s="47"/>
      <c r="F792" s="47"/>
      <c r="G792" s="47"/>
    </row>
    <row r="793" spans="1:7" x14ac:dyDescent="0.25">
      <c r="A793" s="47"/>
      <c r="B793" s="47"/>
      <c r="C793" s="47"/>
      <c r="D793" s="47"/>
      <c r="E793" s="47"/>
      <c r="F793" s="47"/>
      <c r="G793" s="47"/>
    </row>
    <row r="794" spans="1:7" x14ac:dyDescent="0.25">
      <c r="A794" s="47"/>
      <c r="B794" s="47"/>
      <c r="C794" s="47"/>
      <c r="D794" s="47"/>
      <c r="E794" s="47"/>
      <c r="F794" s="47"/>
      <c r="G794" s="47"/>
    </row>
    <row r="795" spans="1:7" x14ac:dyDescent="0.25">
      <c r="A795" s="47"/>
      <c r="B795" s="47"/>
      <c r="C795" s="47"/>
      <c r="D795" s="47"/>
      <c r="E795" s="47"/>
      <c r="F795" s="47"/>
      <c r="G795" s="47"/>
    </row>
    <row r="796" spans="1:7" x14ac:dyDescent="0.25">
      <c r="A796" s="47"/>
      <c r="B796" s="47"/>
      <c r="C796" s="47"/>
      <c r="D796" s="47"/>
      <c r="E796" s="47"/>
      <c r="F796" s="47"/>
      <c r="G796" s="47"/>
    </row>
    <row r="797" spans="1:7" x14ac:dyDescent="0.25">
      <c r="A797" s="47"/>
      <c r="B797" s="47"/>
      <c r="C797" s="47"/>
      <c r="D797" s="47"/>
      <c r="E797" s="47"/>
      <c r="F797" s="47"/>
      <c r="G797" s="47"/>
    </row>
    <row r="798" spans="1:7" x14ac:dyDescent="0.25">
      <c r="A798" s="47"/>
      <c r="B798" s="47"/>
      <c r="C798" s="47"/>
      <c r="D798" s="47"/>
      <c r="E798" s="47"/>
      <c r="F798" s="47"/>
      <c r="G798" s="47"/>
    </row>
    <row r="799" spans="1:7" x14ac:dyDescent="0.25">
      <c r="A799" s="47"/>
      <c r="B799" s="47"/>
      <c r="C799" s="47"/>
      <c r="D799" s="47"/>
      <c r="E799" s="47"/>
      <c r="F799" s="47"/>
      <c r="G799" s="47"/>
    </row>
    <row r="800" spans="1:7" x14ac:dyDescent="0.25">
      <c r="A800" s="47"/>
      <c r="B800" s="47"/>
      <c r="C800" s="47"/>
      <c r="D800" s="47"/>
      <c r="E800" s="47"/>
      <c r="F800" s="47"/>
      <c r="G800" s="47"/>
    </row>
    <row r="801" spans="1:7" x14ac:dyDescent="0.25">
      <c r="A801" s="47"/>
      <c r="B801" s="47"/>
      <c r="C801" s="47"/>
      <c r="D801" s="47"/>
      <c r="E801" s="47"/>
      <c r="F801" s="47"/>
      <c r="G801" s="47"/>
    </row>
    <row r="802" spans="1:7" x14ac:dyDescent="0.25">
      <c r="A802" s="47"/>
      <c r="B802" s="47"/>
      <c r="C802" s="47"/>
      <c r="D802" s="47"/>
      <c r="E802" s="47"/>
      <c r="F802" s="47"/>
      <c r="G802" s="47"/>
    </row>
    <row r="803" spans="1:7" x14ac:dyDescent="0.25">
      <c r="A803" s="47"/>
      <c r="B803" s="47"/>
      <c r="C803" s="47"/>
      <c r="D803" s="47"/>
      <c r="E803" s="47"/>
      <c r="F803" s="47"/>
      <c r="G803" s="47"/>
    </row>
    <row r="804" spans="1:7" x14ac:dyDescent="0.25">
      <c r="A804" s="47"/>
      <c r="B804" s="47"/>
      <c r="C804" s="47"/>
      <c r="D804" s="47"/>
      <c r="E804" s="47"/>
      <c r="F804" s="47"/>
      <c r="G804" s="47"/>
    </row>
    <row r="805" spans="1:7" x14ac:dyDescent="0.25">
      <c r="A805" s="47"/>
      <c r="B805" s="47"/>
      <c r="C805" s="47"/>
      <c r="D805" s="47"/>
      <c r="E805" s="47"/>
      <c r="F805" s="47"/>
      <c r="G805" s="47"/>
    </row>
    <row r="806" spans="1:7" x14ac:dyDescent="0.25">
      <c r="A806" s="47"/>
      <c r="B806" s="47"/>
      <c r="C806" s="47"/>
      <c r="D806" s="47"/>
      <c r="E806" s="47"/>
      <c r="F806" s="47"/>
      <c r="G806" s="47"/>
    </row>
    <row r="807" spans="1:7" x14ac:dyDescent="0.25">
      <c r="A807" s="47"/>
      <c r="B807" s="47"/>
      <c r="C807" s="47"/>
      <c r="D807" s="47"/>
      <c r="E807" s="47"/>
      <c r="F807" s="47"/>
      <c r="G807" s="47"/>
    </row>
    <row r="808" spans="1:7" x14ac:dyDescent="0.25">
      <c r="A808" s="47"/>
      <c r="B808" s="47"/>
      <c r="C808" s="47"/>
      <c r="D808" s="47"/>
      <c r="E808" s="47"/>
      <c r="F808" s="47"/>
      <c r="G808" s="47"/>
    </row>
    <row r="809" spans="1:7" x14ac:dyDescent="0.25">
      <c r="A809" s="47"/>
      <c r="B809" s="47"/>
      <c r="C809" s="47"/>
      <c r="D809" s="47"/>
      <c r="E809" s="47"/>
      <c r="F809" s="47"/>
      <c r="G809" s="47"/>
    </row>
    <row r="810" spans="1:7" x14ac:dyDescent="0.25">
      <c r="A810" s="47"/>
      <c r="B810" s="47"/>
      <c r="C810" s="47"/>
      <c r="D810" s="47"/>
      <c r="E810" s="47"/>
      <c r="F810" s="47"/>
      <c r="G810" s="47"/>
    </row>
    <row r="811" spans="1:7" x14ac:dyDescent="0.25">
      <c r="A811" s="47"/>
      <c r="B811" s="47"/>
      <c r="C811" s="47"/>
      <c r="D811" s="47"/>
      <c r="E811" s="47"/>
      <c r="F811" s="47"/>
      <c r="G811" s="47"/>
    </row>
    <row r="812" spans="1:7" x14ac:dyDescent="0.25">
      <c r="A812" s="47"/>
      <c r="B812" s="47"/>
      <c r="C812" s="47"/>
      <c r="D812" s="47"/>
      <c r="E812" s="47"/>
      <c r="F812" s="47"/>
      <c r="G812" s="47"/>
    </row>
    <row r="813" spans="1:7" x14ac:dyDescent="0.25">
      <c r="A813" s="47"/>
      <c r="B813" s="47"/>
      <c r="C813" s="47"/>
      <c r="D813" s="47"/>
      <c r="E813" s="47"/>
      <c r="F813" s="47"/>
      <c r="G813" s="47"/>
    </row>
    <row r="814" spans="1:7" x14ac:dyDescent="0.25">
      <c r="A814" s="47"/>
      <c r="B814" s="47"/>
      <c r="C814" s="47"/>
      <c r="D814" s="47"/>
      <c r="E814" s="47"/>
      <c r="F814" s="47"/>
      <c r="G814" s="47"/>
    </row>
    <row r="815" spans="1:7" x14ac:dyDescent="0.25">
      <c r="A815" s="47"/>
      <c r="B815" s="47"/>
      <c r="C815" s="47"/>
      <c r="D815" s="47"/>
      <c r="E815" s="47"/>
      <c r="F815" s="47"/>
      <c r="G815" s="47"/>
    </row>
    <row r="816" spans="1:7" x14ac:dyDescent="0.25">
      <c r="A816" s="47"/>
      <c r="B816" s="47"/>
      <c r="C816" s="47"/>
      <c r="D816" s="47"/>
      <c r="E816" s="47"/>
      <c r="F816" s="47"/>
      <c r="G816" s="47"/>
    </row>
    <row r="817" spans="1:7" x14ac:dyDescent="0.25">
      <c r="A817" s="47"/>
      <c r="B817" s="47"/>
      <c r="C817" s="47"/>
      <c r="D817" s="47"/>
      <c r="E817" s="47"/>
      <c r="F817" s="47"/>
      <c r="G817" s="47"/>
    </row>
    <row r="818" spans="1:7" x14ac:dyDescent="0.25">
      <c r="A818" s="47"/>
      <c r="B818" s="47"/>
      <c r="C818" s="47"/>
      <c r="D818" s="47"/>
      <c r="E818" s="47"/>
      <c r="F818" s="47"/>
      <c r="G818" s="47"/>
    </row>
    <row r="819" spans="1:7" x14ac:dyDescent="0.25">
      <c r="A819" s="47"/>
      <c r="B819" s="47"/>
      <c r="C819" s="47"/>
      <c r="D819" s="47"/>
      <c r="E819" s="47"/>
      <c r="F819" s="47"/>
      <c r="G819" s="47"/>
    </row>
    <row r="820" spans="1:7" x14ac:dyDescent="0.25">
      <c r="A820" s="47"/>
      <c r="B820" s="47"/>
      <c r="C820" s="47"/>
      <c r="D820" s="47"/>
      <c r="E820" s="47"/>
      <c r="F820" s="47"/>
      <c r="G820" s="47"/>
    </row>
    <row r="821" spans="1:7" x14ac:dyDescent="0.25">
      <c r="A821" s="47"/>
      <c r="B821" s="47"/>
      <c r="C821" s="47"/>
      <c r="D821" s="47"/>
      <c r="E821" s="47"/>
      <c r="F821" s="47"/>
      <c r="G821" s="47"/>
    </row>
    <row r="822" spans="1:7" x14ac:dyDescent="0.25">
      <c r="A822" s="47"/>
      <c r="B822" s="47"/>
      <c r="C822" s="47"/>
      <c r="D822" s="47"/>
      <c r="E822" s="47"/>
      <c r="F822" s="47"/>
      <c r="G822" s="47"/>
    </row>
    <row r="823" spans="1:7" x14ac:dyDescent="0.25">
      <c r="A823" s="47"/>
      <c r="B823" s="47"/>
      <c r="C823" s="47"/>
      <c r="D823" s="47"/>
      <c r="E823" s="47"/>
      <c r="F823" s="47"/>
      <c r="G823" s="47"/>
    </row>
    <row r="824" spans="1:7" x14ac:dyDescent="0.25">
      <c r="A824" s="47"/>
      <c r="B824" s="47"/>
      <c r="C824" s="47"/>
      <c r="D824" s="47"/>
      <c r="E824" s="47"/>
      <c r="F824" s="47"/>
      <c r="G824" s="47"/>
    </row>
    <row r="825" spans="1:7" x14ac:dyDescent="0.25">
      <c r="A825" s="47"/>
      <c r="B825" s="47"/>
      <c r="C825" s="47"/>
      <c r="D825" s="47"/>
      <c r="E825" s="47"/>
      <c r="F825" s="47"/>
      <c r="G825" s="47"/>
    </row>
    <row r="826" spans="1:7" x14ac:dyDescent="0.25">
      <c r="A826" s="47"/>
      <c r="B826" s="47"/>
      <c r="C826" s="47"/>
      <c r="D826" s="47"/>
      <c r="E826" s="47"/>
      <c r="F826" s="47"/>
      <c r="G826" s="47"/>
    </row>
    <row r="827" spans="1:7" x14ac:dyDescent="0.25">
      <c r="A827" s="47"/>
      <c r="B827" s="47"/>
      <c r="C827" s="47"/>
      <c r="D827" s="47"/>
      <c r="E827" s="47"/>
      <c r="F827" s="47"/>
      <c r="G827" s="47"/>
    </row>
    <row r="828" spans="1:7" x14ac:dyDescent="0.25">
      <c r="A828" s="47"/>
      <c r="B828" s="47"/>
      <c r="C828" s="47"/>
      <c r="D828" s="47"/>
      <c r="E828" s="47"/>
      <c r="F828" s="47"/>
      <c r="G828" s="47"/>
    </row>
    <row r="829" spans="1:7" x14ac:dyDescent="0.25">
      <c r="A829" s="47"/>
      <c r="B829" s="47"/>
      <c r="C829" s="47"/>
      <c r="D829" s="47"/>
      <c r="E829" s="47"/>
      <c r="F829" s="47"/>
      <c r="G829" s="47"/>
    </row>
    <row r="830" spans="1:7" x14ac:dyDescent="0.25">
      <c r="A830" s="47"/>
      <c r="B830" s="47"/>
      <c r="C830" s="47"/>
      <c r="D830" s="47"/>
      <c r="E830" s="47"/>
      <c r="F830" s="47"/>
      <c r="G830" s="47"/>
    </row>
    <row r="831" spans="1:7" x14ac:dyDescent="0.25">
      <c r="A831" s="47"/>
      <c r="B831" s="47"/>
      <c r="C831" s="47"/>
      <c r="D831" s="47"/>
      <c r="E831" s="47"/>
      <c r="F831" s="47"/>
      <c r="G831" s="47"/>
    </row>
    <row r="832" spans="1:7" x14ac:dyDescent="0.25">
      <c r="A832" s="47"/>
      <c r="B832" s="47"/>
      <c r="C832" s="47"/>
      <c r="D832" s="47"/>
      <c r="E832" s="47"/>
      <c r="F832" s="47"/>
      <c r="G832" s="47"/>
    </row>
    <row r="833" spans="1:7" x14ac:dyDescent="0.25">
      <c r="A833" s="47"/>
      <c r="B833" s="47"/>
      <c r="C833" s="47"/>
      <c r="D833" s="47"/>
      <c r="E833" s="47"/>
      <c r="F833" s="47"/>
      <c r="G833" s="47"/>
    </row>
    <row r="834" spans="1:7" x14ac:dyDescent="0.25">
      <c r="A834" s="47"/>
      <c r="B834" s="47"/>
      <c r="C834" s="47"/>
      <c r="D834" s="47"/>
      <c r="E834" s="47"/>
      <c r="F834" s="47"/>
      <c r="G834" s="47"/>
    </row>
    <row r="835" spans="1:7" x14ac:dyDescent="0.25">
      <c r="A835" s="47"/>
      <c r="B835" s="47"/>
      <c r="C835" s="47"/>
      <c r="D835" s="47"/>
      <c r="E835" s="47"/>
      <c r="F835" s="47"/>
      <c r="G835" s="47"/>
    </row>
    <row r="836" spans="1:7" x14ac:dyDescent="0.25">
      <c r="A836" s="47"/>
      <c r="B836" s="47"/>
      <c r="C836" s="47"/>
      <c r="D836" s="47"/>
      <c r="E836" s="47"/>
      <c r="F836" s="47"/>
      <c r="G836" s="47"/>
    </row>
    <row r="837" spans="1:7" x14ac:dyDescent="0.25">
      <c r="A837" s="47"/>
      <c r="B837" s="47"/>
      <c r="C837" s="47"/>
      <c r="D837" s="47"/>
      <c r="E837" s="47"/>
      <c r="F837" s="47"/>
      <c r="G837" s="47"/>
    </row>
    <row r="838" spans="1:7" x14ac:dyDescent="0.25">
      <c r="A838" s="47"/>
      <c r="B838" s="47"/>
      <c r="C838" s="47"/>
      <c r="D838" s="47"/>
      <c r="E838" s="47"/>
      <c r="F838" s="47"/>
      <c r="G838" s="47"/>
    </row>
    <row r="839" spans="1:7" x14ac:dyDescent="0.25">
      <c r="A839" s="47"/>
      <c r="B839" s="47"/>
      <c r="C839" s="47"/>
      <c r="D839" s="47"/>
      <c r="E839" s="47"/>
      <c r="F839" s="47"/>
      <c r="G839" s="47"/>
    </row>
    <row r="840" spans="1:7" x14ac:dyDescent="0.25">
      <c r="A840" s="47"/>
      <c r="B840" s="47"/>
      <c r="C840" s="47"/>
      <c r="D840" s="47"/>
      <c r="E840" s="47"/>
      <c r="F840" s="47"/>
      <c r="G840" s="47"/>
    </row>
    <row r="841" spans="1:7" x14ac:dyDescent="0.25">
      <c r="A841" s="47"/>
      <c r="B841" s="47"/>
      <c r="C841" s="47"/>
      <c r="D841" s="47"/>
      <c r="E841" s="47"/>
      <c r="F841" s="47"/>
      <c r="G841" s="47"/>
    </row>
    <row r="842" spans="1:7" x14ac:dyDescent="0.25">
      <c r="A842" s="47"/>
      <c r="B842" s="47"/>
      <c r="C842" s="47"/>
      <c r="D842" s="47"/>
      <c r="E842" s="47"/>
      <c r="F842" s="47"/>
      <c r="G842" s="47"/>
    </row>
    <row r="843" spans="1:7" x14ac:dyDescent="0.25">
      <c r="A843" s="47"/>
      <c r="B843" s="47"/>
      <c r="C843" s="47"/>
      <c r="D843" s="47"/>
      <c r="E843" s="47"/>
      <c r="F843" s="47"/>
      <c r="G843" s="47"/>
    </row>
    <row r="844" spans="1:7" x14ac:dyDescent="0.25">
      <c r="A844" s="47"/>
      <c r="B844" s="47"/>
      <c r="C844" s="47"/>
      <c r="D844" s="47"/>
      <c r="E844" s="47"/>
      <c r="F844" s="47"/>
      <c r="G844" s="47"/>
    </row>
    <row r="845" spans="1:7" x14ac:dyDescent="0.25">
      <c r="A845" s="47"/>
      <c r="B845" s="47"/>
      <c r="C845" s="47"/>
      <c r="D845" s="47"/>
      <c r="E845" s="47"/>
      <c r="F845" s="47"/>
      <c r="G845" s="47"/>
    </row>
    <row r="846" spans="1:7" x14ac:dyDescent="0.25">
      <c r="A846" s="47"/>
      <c r="B846" s="47"/>
      <c r="C846" s="47"/>
      <c r="D846" s="47"/>
      <c r="E846" s="47"/>
      <c r="F846" s="47"/>
      <c r="G846" s="47"/>
    </row>
    <row r="847" spans="1:7" x14ac:dyDescent="0.25">
      <c r="A847" s="47"/>
      <c r="B847" s="47"/>
      <c r="C847" s="47"/>
      <c r="D847" s="47"/>
      <c r="E847" s="47"/>
      <c r="F847" s="47"/>
      <c r="G847" s="47"/>
    </row>
    <row r="848" spans="1:7" x14ac:dyDescent="0.25">
      <c r="A848" s="47"/>
      <c r="B848" s="47"/>
      <c r="C848" s="47"/>
      <c r="D848" s="47"/>
      <c r="E848" s="47"/>
      <c r="F848" s="47"/>
      <c r="G848" s="47"/>
    </row>
    <row r="849" spans="1:7" x14ac:dyDescent="0.25">
      <c r="A849" s="47"/>
      <c r="B849" s="47"/>
      <c r="C849" s="47"/>
      <c r="D849" s="47"/>
      <c r="E849" s="47"/>
      <c r="F849" s="47"/>
      <c r="G849" s="47"/>
    </row>
    <row r="850" spans="1:7" x14ac:dyDescent="0.25">
      <c r="A850" s="47"/>
      <c r="B850" s="47"/>
      <c r="C850" s="47"/>
      <c r="D850" s="47"/>
      <c r="E850" s="47"/>
      <c r="F850" s="47"/>
      <c r="G850" s="47"/>
    </row>
    <row r="851" spans="1:7" x14ac:dyDescent="0.25">
      <c r="A851" s="47"/>
      <c r="B851" s="47"/>
      <c r="C851" s="47"/>
      <c r="D851" s="47"/>
      <c r="E851" s="47"/>
      <c r="F851" s="47"/>
      <c r="G851" s="47"/>
    </row>
    <row r="852" spans="1:7" x14ac:dyDescent="0.25">
      <c r="A852" s="47"/>
      <c r="B852" s="47"/>
      <c r="C852" s="47"/>
      <c r="D852" s="47"/>
      <c r="E852" s="47"/>
      <c r="F852" s="47"/>
      <c r="G852" s="47"/>
    </row>
    <row r="853" spans="1:7" x14ac:dyDescent="0.25">
      <c r="A853" s="47"/>
      <c r="B853" s="47"/>
      <c r="C853" s="47"/>
      <c r="D853" s="47"/>
      <c r="E853" s="47"/>
      <c r="F853" s="47"/>
      <c r="G853" s="47"/>
    </row>
    <row r="854" spans="1:7" x14ac:dyDescent="0.25">
      <c r="A854" s="47"/>
      <c r="B854" s="47"/>
      <c r="C854" s="47"/>
      <c r="D854" s="47"/>
      <c r="E854" s="47"/>
      <c r="F854" s="47"/>
      <c r="G854" s="47"/>
    </row>
    <row r="855" spans="1:7" x14ac:dyDescent="0.25">
      <c r="A855" s="47"/>
      <c r="B855" s="47"/>
      <c r="C855" s="47"/>
      <c r="D855" s="47"/>
      <c r="E855" s="47"/>
      <c r="F855" s="47"/>
      <c r="G855" s="47"/>
    </row>
    <row r="856" spans="1:7" x14ac:dyDescent="0.25">
      <c r="A856" s="47"/>
      <c r="B856" s="47"/>
      <c r="C856" s="47"/>
      <c r="D856" s="47"/>
      <c r="E856" s="47"/>
      <c r="F856" s="47"/>
      <c r="G856" s="47"/>
    </row>
    <row r="857" spans="1:7" x14ac:dyDescent="0.25">
      <c r="A857" s="47"/>
      <c r="B857" s="47"/>
      <c r="C857" s="47"/>
      <c r="D857" s="47"/>
      <c r="E857" s="47"/>
      <c r="F857" s="47"/>
      <c r="G857" s="47"/>
    </row>
    <row r="858" spans="1:7" x14ac:dyDescent="0.25">
      <c r="A858" s="47"/>
      <c r="B858" s="47"/>
      <c r="C858" s="47"/>
      <c r="D858" s="47"/>
      <c r="E858" s="47"/>
      <c r="F858" s="47"/>
      <c r="G858" s="47"/>
    </row>
    <row r="859" spans="1:7" x14ac:dyDescent="0.25">
      <c r="A859" s="47"/>
      <c r="B859" s="47"/>
      <c r="C859" s="47"/>
      <c r="D859" s="47"/>
      <c r="E859" s="47"/>
      <c r="F859" s="47"/>
      <c r="G859" s="47"/>
    </row>
    <row r="860" spans="1:7" x14ac:dyDescent="0.25">
      <c r="A860" s="47"/>
      <c r="B860" s="47"/>
      <c r="C860" s="47"/>
      <c r="D860" s="47"/>
      <c r="E860" s="47"/>
      <c r="F860" s="47"/>
      <c r="G860" s="47"/>
    </row>
    <row r="861" spans="1:7" x14ac:dyDescent="0.25">
      <c r="A861" s="47"/>
      <c r="B861" s="47"/>
      <c r="C861" s="47"/>
      <c r="D861" s="47"/>
      <c r="E861" s="47"/>
      <c r="F861" s="47"/>
      <c r="G861" s="47"/>
    </row>
    <row r="862" spans="1:7" x14ac:dyDescent="0.25">
      <c r="A862" s="47"/>
      <c r="B862" s="47"/>
      <c r="C862" s="47"/>
      <c r="D862" s="47"/>
      <c r="E862" s="47"/>
      <c r="F862" s="47"/>
      <c r="G862" s="47"/>
    </row>
    <row r="863" spans="1:7" x14ac:dyDescent="0.25">
      <c r="A863" s="47"/>
      <c r="B863" s="47"/>
      <c r="C863" s="47"/>
      <c r="D863" s="47"/>
      <c r="E863" s="47"/>
      <c r="F863" s="47"/>
      <c r="G863" s="47"/>
    </row>
    <row r="864" spans="1:7" x14ac:dyDescent="0.25">
      <c r="A864" s="47"/>
      <c r="B864" s="47"/>
      <c r="C864" s="47"/>
      <c r="D864" s="47"/>
      <c r="E864" s="47"/>
      <c r="F864" s="47"/>
      <c r="G864" s="47"/>
    </row>
    <row r="865" spans="1:7" x14ac:dyDescent="0.25">
      <c r="A865" s="47"/>
      <c r="B865" s="47"/>
      <c r="C865" s="47"/>
      <c r="D865" s="47"/>
      <c r="E865" s="47"/>
      <c r="F865" s="47"/>
      <c r="G865" s="47"/>
    </row>
    <row r="866" spans="1:7" x14ac:dyDescent="0.25">
      <c r="A866" s="47"/>
      <c r="B866" s="47"/>
      <c r="C866" s="47"/>
      <c r="D866" s="47"/>
      <c r="E866" s="47"/>
      <c r="F866" s="47"/>
      <c r="G866" s="47"/>
    </row>
    <row r="867" spans="1:7" x14ac:dyDescent="0.25">
      <c r="A867" s="47"/>
      <c r="B867" s="47"/>
      <c r="C867" s="47"/>
      <c r="D867" s="47"/>
      <c r="E867" s="47"/>
      <c r="F867" s="47"/>
      <c r="G867" s="47"/>
    </row>
    <row r="868" spans="1:7" x14ac:dyDescent="0.25">
      <c r="A868" s="47"/>
      <c r="B868" s="47"/>
      <c r="C868" s="47"/>
      <c r="D868" s="47"/>
      <c r="E868" s="47"/>
      <c r="F868" s="47"/>
      <c r="G868" s="47"/>
    </row>
    <row r="869" spans="1:7" x14ac:dyDescent="0.25">
      <c r="A869" s="47"/>
      <c r="B869" s="47"/>
      <c r="C869" s="47"/>
      <c r="D869" s="47"/>
      <c r="E869" s="47"/>
      <c r="F869" s="47"/>
      <c r="G869" s="47"/>
    </row>
    <row r="870" spans="1:7" x14ac:dyDescent="0.25">
      <c r="A870" s="47"/>
      <c r="B870" s="47"/>
      <c r="C870" s="47"/>
      <c r="D870" s="47"/>
      <c r="E870" s="47"/>
      <c r="F870" s="47"/>
      <c r="G870" s="47"/>
    </row>
    <row r="871" spans="1:7" x14ac:dyDescent="0.25">
      <c r="A871" s="47"/>
      <c r="B871" s="47"/>
      <c r="C871" s="47"/>
      <c r="D871" s="47"/>
      <c r="E871" s="47"/>
      <c r="F871" s="47"/>
      <c r="G871" s="47"/>
    </row>
    <row r="872" spans="1:7" x14ac:dyDescent="0.25">
      <c r="A872" s="47"/>
      <c r="B872" s="47"/>
      <c r="C872" s="47"/>
      <c r="D872" s="47"/>
      <c r="E872" s="47"/>
      <c r="F872" s="47"/>
      <c r="G872" s="47"/>
    </row>
    <row r="873" spans="1:7" x14ac:dyDescent="0.25">
      <c r="A873" s="47"/>
      <c r="B873" s="47"/>
      <c r="C873" s="47"/>
      <c r="D873" s="47"/>
      <c r="E873" s="47"/>
      <c r="F873" s="47"/>
      <c r="G873" s="47"/>
    </row>
    <row r="874" spans="1:7" x14ac:dyDescent="0.25">
      <c r="A874" s="47"/>
      <c r="B874" s="47"/>
      <c r="C874" s="47"/>
      <c r="D874" s="47"/>
      <c r="E874" s="47"/>
      <c r="F874" s="47"/>
      <c r="G874" s="47"/>
    </row>
    <row r="875" spans="1:7" x14ac:dyDescent="0.25">
      <c r="A875" s="47"/>
      <c r="B875" s="47"/>
      <c r="C875" s="47"/>
      <c r="D875" s="47"/>
      <c r="E875" s="47"/>
      <c r="F875" s="47"/>
      <c r="G875" s="47"/>
    </row>
    <row r="876" spans="1:7" x14ac:dyDescent="0.25">
      <c r="A876" s="47"/>
      <c r="B876" s="47"/>
      <c r="C876" s="47"/>
      <c r="D876" s="47"/>
      <c r="E876" s="47"/>
      <c r="F876" s="47"/>
      <c r="G876" s="47"/>
    </row>
    <row r="877" spans="1:7" x14ac:dyDescent="0.25">
      <c r="A877" s="47"/>
      <c r="B877" s="47"/>
      <c r="C877" s="47"/>
      <c r="D877" s="47"/>
      <c r="E877" s="47"/>
      <c r="F877" s="47"/>
      <c r="G877" s="47"/>
    </row>
    <row r="878" spans="1:7" x14ac:dyDescent="0.25">
      <c r="A878" s="47"/>
      <c r="B878" s="47"/>
      <c r="C878" s="47"/>
      <c r="D878" s="47"/>
      <c r="E878" s="47"/>
      <c r="F878" s="47"/>
      <c r="G878" s="47"/>
    </row>
    <row r="879" spans="1:7" x14ac:dyDescent="0.25">
      <c r="A879" s="47"/>
      <c r="B879" s="47"/>
      <c r="C879" s="47"/>
      <c r="D879" s="47"/>
      <c r="E879" s="47"/>
      <c r="F879" s="47"/>
      <c r="G879" s="47"/>
    </row>
    <row r="880" spans="1:7" x14ac:dyDescent="0.25">
      <c r="A880" s="47"/>
      <c r="B880" s="47"/>
      <c r="C880" s="47"/>
      <c r="D880" s="47"/>
      <c r="E880" s="47"/>
      <c r="F880" s="47"/>
      <c r="G880" s="47"/>
    </row>
    <row r="881" spans="1:7" x14ac:dyDescent="0.25">
      <c r="A881" s="47"/>
      <c r="B881" s="47"/>
      <c r="C881" s="47"/>
      <c r="D881" s="47"/>
      <c r="E881" s="47"/>
      <c r="F881" s="47"/>
      <c r="G881" s="47"/>
    </row>
    <row r="882" spans="1:7" x14ac:dyDescent="0.25">
      <c r="A882" s="47"/>
      <c r="B882" s="47"/>
      <c r="C882" s="47"/>
      <c r="D882" s="47"/>
      <c r="E882" s="47"/>
      <c r="F882" s="47"/>
      <c r="G882" s="47"/>
    </row>
    <row r="883" spans="1:7" x14ac:dyDescent="0.25">
      <c r="A883" s="47"/>
      <c r="B883" s="47"/>
      <c r="C883" s="47"/>
      <c r="D883" s="47"/>
      <c r="E883" s="47"/>
      <c r="F883" s="47"/>
      <c r="G883" s="47"/>
    </row>
    <row r="884" spans="1:7" x14ac:dyDescent="0.25">
      <c r="A884" s="47"/>
      <c r="B884" s="47"/>
      <c r="C884" s="47"/>
      <c r="D884" s="47"/>
      <c r="E884" s="47"/>
      <c r="F884" s="47"/>
      <c r="G884" s="47"/>
    </row>
    <row r="885" spans="1:7" x14ac:dyDescent="0.25">
      <c r="A885" s="47"/>
      <c r="B885" s="47"/>
      <c r="C885" s="47"/>
      <c r="D885" s="47"/>
      <c r="E885" s="47"/>
      <c r="F885" s="47"/>
      <c r="G885" s="47"/>
    </row>
    <row r="886" spans="1:7" x14ac:dyDescent="0.25">
      <c r="A886" s="47"/>
      <c r="B886" s="47"/>
      <c r="C886" s="47"/>
      <c r="D886" s="47"/>
      <c r="E886" s="47"/>
      <c r="F886" s="47"/>
      <c r="G886" s="47"/>
    </row>
    <row r="887" spans="1:7" x14ac:dyDescent="0.25">
      <c r="A887" s="47"/>
      <c r="B887" s="47"/>
      <c r="C887" s="47"/>
      <c r="D887" s="47"/>
      <c r="E887" s="47"/>
      <c r="F887" s="47"/>
      <c r="G887" s="47"/>
    </row>
    <row r="888" spans="1:7" x14ac:dyDescent="0.25">
      <c r="A888" s="47"/>
      <c r="B888" s="47"/>
      <c r="C888" s="47"/>
      <c r="D888" s="47"/>
      <c r="E888" s="47"/>
      <c r="F888" s="47"/>
      <c r="G888" s="47"/>
    </row>
    <row r="889" spans="1:7" x14ac:dyDescent="0.25">
      <c r="A889" s="47"/>
      <c r="B889" s="47"/>
      <c r="C889" s="47"/>
      <c r="D889" s="47"/>
      <c r="E889" s="47"/>
      <c r="F889" s="47"/>
      <c r="G889" s="47"/>
    </row>
    <row r="890" spans="1:7" x14ac:dyDescent="0.25">
      <c r="A890" s="47"/>
      <c r="B890" s="47"/>
      <c r="C890" s="47"/>
      <c r="D890" s="47"/>
      <c r="E890" s="47"/>
      <c r="F890" s="47"/>
      <c r="G890" s="47"/>
    </row>
    <row r="891" spans="1:7" x14ac:dyDescent="0.25">
      <c r="A891" s="47"/>
      <c r="B891" s="47"/>
      <c r="C891" s="47"/>
      <c r="D891" s="47"/>
      <c r="E891" s="47"/>
      <c r="F891" s="47"/>
      <c r="G891" s="47"/>
    </row>
    <row r="892" spans="1:7" x14ac:dyDescent="0.25">
      <c r="A892" s="47"/>
      <c r="B892" s="47"/>
      <c r="C892" s="47"/>
      <c r="D892" s="47"/>
      <c r="E892" s="47"/>
      <c r="F892" s="47"/>
      <c r="G892" s="47"/>
    </row>
    <row r="893" spans="1:7" x14ac:dyDescent="0.25">
      <c r="A893" s="47"/>
      <c r="B893" s="47"/>
      <c r="C893" s="47"/>
      <c r="D893" s="47"/>
      <c r="E893" s="47"/>
      <c r="F893" s="47"/>
      <c r="G893" s="47"/>
    </row>
    <row r="894" spans="1:7" x14ac:dyDescent="0.25">
      <c r="A894" s="47"/>
      <c r="B894" s="47"/>
      <c r="C894" s="47"/>
      <c r="D894" s="47"/>
      <c r="E894" s="47"/>
      <c r="F894" s="47"/>
      <c r="G894" s="47"/>
    </row>
    <row r="895" spans="1:7" x14ac:dyDescent="0.25">
      <c r="A895" s="47"/>
      <c r="B895" s="47"/>
      <c r="C895" s="47"/>
      <c r="D895" s="47"/>
      <c r="E895" s="47"/>
      <c r="F895" s="47"/>
      <c r="G895" s="47"/>
    </row>
    <row r="896" spans="1:7" x14ac:dyDescent="0.25">
      <c r="A896" s="47"/>
      <c r="B896" s="47"/>
      <c r="C896" s="47"/>
      <c r="D896" s="47"/>
      <c r="E896" s="47"/>
      <c r="F896" s="47"/>
      <c r="G896" s="47"/>
    </row>
    <row r="897" spans="1:7" x14ac:dyDescent="0.25">
      <c r="A897" s="47"/>
      <c r="B897" s="47"/>
      <c r="C897" s="47"/>
      <c r="D897" s="47"/>
      <c r="E897" s="47"/>
      <c r="F897" s="47"/>
      <c r="G897" s="47"/>
    </row>
    <row r="898" spans="1:7" x14ac:dyDescent="0.25">
      <c r="A898" s="47"/>
      <c r="B898" s="47"/>
      <c r="C898" s="47"/>
      <c r="D898" s="47"/>
      <c r="E898" s="47"/>
      <c r="F898" s="47"/>
      <c r="G898" s="47"/>
    </row>
    <row r="899" spans="1:7" x14ac:dyDescent="0.25">
      <c r="A899" s="47"/>
      <c r="B899" s="47"/>
      <c r="C899" s="47"/>
      <c r="D899" s="47"/>
      <c r="E899" s="47"/>
      <c r="F899" s="47"/>
      <c r="G899" s="47"/>
    </row>
    <row r="900" spans="1:7" x14ac:dyDescent="0.25">
      <c r="A900" s="47"/>
      <c r="B900" s="47"/>
      <c r="C900" s="47"/>
      <c r="D900" s="47"/>
      <c r="E900" s="47"/>
      <c r="F900" s="47"/>
      <c r="G900" s="47"/>
    </row>
    <row r="901" spans="1:7" x14ac:dyDescent="0.25">
      <c r="A901" s="47"/>
      <c r="B901" s="47"/>
      <c r="C901" s="47"/>
      <c r="D901" s="47"/>
      <c r="E901" s="47"/>
      <c r="F901" s="47"/>
      <c r="G901" s="47"/>
    </row>
    <row r="902" spans="1:7" x14ac:dyDescent="0.25">
      <c r="A902" s="47"/>
      <c r="B902" s="47"/>
      <c r="C902" s="47"/>
      <c r="D902" s="47"/>
      <c r="E902" s="47"/>
      <c r="F902" s="47"/>
      <c r="G902" s="47"/>
    </row>
    <row r="903" spans="1:7" x14ac:dyDescent="0.25">
      <c r="A903" s="47"/>
      <c r="B903" s="47"/>
      <c r="C903" s="47"/>
      <c r="D903" s="47"/>
      <c r="E903" s="47"/>
      <c r="F903" s="47"/>
      <c r="G903" s="47"/>
    </row>
    <row r="904" spans="1:7" x14ac:dyDescent="0.25">
      <c r="A904" s="47"/>
      <c r="B904" s="47"/>
      <c r="C904" s="47"/>
      <c r="D904" s="47"/>
      <c r="E904" s="47"/>
      <c r="F904" s="47"/>
      <c r="G904" s="47"/>
    </row>
    <row r="905" spans="1:7" x14ac:dyDescent="0.25">
      <c r="A905" s="47"/>
      <c r="B905" s="47"/>
      <c r="C905" s="47"/>
      <c r="D905" s="47"/>
      <c r="E905" s="47"/>
      <c r="F905" s="47"/>
      <c r="G905" s="47"/>
    </row>
    <row r="906" spans="1:7" x14ac:dyDescent="0.25">
      <c r="A906" s="47"/>
      <c r="B906" s="47"/>
      <c r="C906" s="47"/>
      <c r="D906" s="47"/>
      <c r="E906" s="47"/>
      <c r="F906" s="47"/>
      <c r="G906" s="47"/>
    </row>
    <row r="907" spans="1:7" x14ac:dyDescent="0.25">
      <c r="A907" s="47"/>
      <c r="B907" s="47"/>
      <c r="C907" s="47"/>
      <c r="D907" s="47"/>
      <c r="E907" s="47"/>
      <c r="F907" s="47"/>
      <c r="G907" s="47"/>
    </row>
    <row r="908" spans="1:7" x14ac:dyDescent="0.25">
      <c r="A908" s="47"/>
      <c r="B908" s="47"/>
      <c r="C908" s="47"/>
      <c r="D908" s="47"/>
      <c r="E908" s="47"/>
      <c r="F908" s="47"/>
      <c r="G908" s="47"/>
    </row>
    <row r="909" spans="1:7" x14ac:dyDescent="0.25">
      <c r="A909" s="47"/>
      <c r="B909" s="47"/>
      <c r="C909" s="47"/>
      <c r="D909" s="47"/>
      <c r="E909" s="47"/>
      <c r="F909" s="47"/>
      <c r="G909" s="47"/>
    </row>
    <row r="910" spans="1:7" x14ac:dyDescent="0.25">
      <c r="A910" s="47"/>
      <c r="B910" s="47"/>
      <c r="C910" s="47"/>
      <c r="D910" s="47"/>
      <c r="E910" s="47"/>
      <c r="F910" s="47"/>
      <c r="G910" s="47"/>
    </row>
    <row r="911" spans="1:7" x14ac:dyDescent="0.25">
      <c r="A911" s="47"/>
      <c r="B911" s="47"/>
      <c r="C911" s="47"/>
      <c r="D911" s="47"/>
      <c r="E911" s="47"/>
      <c r="F911" s="47"/>
      <c r="G911" s="47"/>
    </row>
    <row r="912" spans="1:7" x14ac:dyDescent="0.25">
      <c r="A912" s="47"/>
      <c r="B912" s="47"/>
      <c r="C912" s="47"/>
      <c r="D912" s="47"/>
      <c r="E912" s="47"/>
      <c r="F912" s="47"/>
      <c r="G912" s="47"/>
    </row>
    <row r="913" spans="1:7" x14ac:dyDescent="0.25">
      <c r="A913" s="47"/>
      <c r="B913" s="47"/>
      <c r="C913" s="47"/>
      <c r="D913" s="47"/>
      <c r="E913" s="47"/>
      <c r="F913" s="47"/>
      <c r="G913" s="47"/>
    </row>
    <row r="914" spans="1:7" x14ac:dyDescent="0.25">
      <c r="A914" s="47"/>
      <c r="B914" s="47"/>
      <c r="C914" s="47"/>
      <c r="D914" s="47"/>
      <c r="E914" s="47"/>
      <c r="F914" s="47"/>
      <c r="G914" s="47"/>
    </row>
    <row r="915" spans="1:7" x14ac:dyDescent="0.25">
      <c r="A915" s="47"/>
      <c r="B915" s="47"/>
      <c r="C915" s="47"/>
      <c r="D915" s="47"/>
      <c r="E915" s="47"/>
      <c r="F915" s="47"/>
      <c r="G915" s="47"/>
    </row>
    <row r="916" spans="1:7" x14ac:dyDescent="0.25">
      <c r="A916" s="47"/>
      <c r="B916" s="47"/>
      <c r="C916" s="47"/>
      <c r="D916" s="47"/>
      <c r="E916" s="47"/>
      <c r="F916" s="47"/>
      <c r="G916" s="47"/>
    </row>
    <row r="917" spans="1:7" x14ac:dyDescent="0.25">
      <c r="A917" s="47"/>
      <c r="B917" s="47"/>
      <c r="C917" s="47"/>
      <c r="D917" s="47"/>
      <c r="E917" s="47"/>
      <c r="F917" s="47"/>
      <c r="G917" s="47"/>
    </row>
    <row r="918" spans="1:7" x14ac:dyDescent="0.25">
      <c r="A918" s="47"/>
      <c r="B918" s="47"/>
      <c r="C918" s="47"/>
      <c r="D918" s="47"/>
      <c r="E918" s="47"/>
      <c r="F918" s="47"/>
      <c r="G918" s="47"/>
    </row>
    <row r="919" spans="1:7" x14ac:dyDescent="0.25">
      <c r="A919" s="47"/>
      <c r="B919" s="47"/>
      <c r="C919" s="47"/>
      <c r="D919" s="47"/>
      <c r="E919" s="47"/>
      <c r="F919" s="47"/>
      <c r="G919" s="47"/>
    </row>
    <row r="920" spans="1:7" x14ac:dyDescent="0.25">
      <c r="A920" s="47"/>
      <c r="B920" s="47"/>
      <c r="C920" s="47"/>
      <c r="D920" s="47"/>
      <c r="E920" s="47"/>
      <c r="F920" s="47"/>
      <c r="G920" s="47"/>
    </row>
    <row r="921" spans="1:7" x14ac:dyDescent="0.25">
      <c r="A921" s="47"/>
      <c r="B921" s="47"/>
      <c r="C921" s="47"/>
      <c r="D921" s="47"/>
      <c r="E921" s="47"/>
      <c r="F921" s="47"/>
      <c r="G921" s="47"/>
    </row>
    <row r="922" spans="1:7" x14ac:dyDescent="0.25">
      <c r="A922" s="47"/>
      <c r="B922" s="47"/>
      <c r="C922" s="47"/>
      <c r="D922" s="47"/>
      <c r="E922" s="47"/>
      <c r="F922" s="47"/>
      <c r="G922" s="47"/>
    </row>
    <row r="923" spans="1:7" x14ac:dyDescent="0.25">
      <c r="A923" s="47"/>
      <c r="B923" s="47"/>
      <c r="C923" s="47"/>
      <c r="D923" s="47"/>
      <c r="E923" s="47"/>
      <c r="F923" s="47"/>
      <c r="G923" s="47"/>
    </row>
    <row r="924" spans="1:7" x14ac:dyDescent="0.25">
      <c r="A924" s="47"/>
      <c r="B924" s="47"/>
      <c r="C924" s="47"/>
      <c r="D924" s="47"/>
      <c r="E924" s="47"/>
      <c r="F924" s="47"/>
      <c r="G924" s="47"/>
    </row>
    <row r="925" spans="1:7" x14ac:dyDescent="0.25">
      <c r="A925" s="47"/>
      <c r="B925" s="47"/>
      <c r="C925" s="47"/>
      <c r="D925" s="47"/>
      <c r="E925" s="47"/>
      <c r="F925" s="47"/>
      <c r="G925" s="47"/>
    </row>
    <row r="926" spans="1:7" x14ac:dyDescent="0.25">
      <c r="A926" s="47"/>
      <c r="B926" s="47"/>
      <c r="C926" s="47"/>
      <c r="D926" s="47"/>
      <c r="E926" s="47"/>
      <c r="F926" s="47"/>
      <c r="G926" s="47"/>
    </row>
    <row r="927" spans="1:7" x14ac:dyDescent="0.25">
      <c r="A927" s="47"/>
      <c r="B927" s="47"/>
      <c r="C927" s="47"/>
      <c r="D927" s="47"/>
      <c r="E927" s="47"/>
      <c r="F927" s="47"/>
      <c r="G927" s="47"/>
    </row>
    <row r="928" spans="1:7" x14ac:dyDescent="0.25">
      <c r="A928" s="47"/>
      <c r="B928" s="47"/>
      <c r="C928" s="47"/>
      <c r="D928" s="47"/>
      <c r="E928" s="47"/>
      <c r="F928" s="47"/>
      <c r="G928" s="47"/>
    </row>
    <row r="929" spans="1:7" x14ac:dyDescent="0.25">
      <c r="A929" s="47"/>
      <c r="B929" s="47"/>
      <c r="C929" s="47"/>
      <c r="D929" s="47"/>
      <c r="E929" s="47"/>
      <c r="F929" s="47"/>
      <c r="G929" s="47"/>
    </row>
    <row r="930" spans="1:7" x14ac:dyDescent="0.25">
      <c r="A930" s="47"/>
      <c r="B930" s="47"/>
      <c r="C930" s="47"/>
      <c r="D930" s="47"/>
      <c r="E930" s="47"/>
      <c r="F930" s="47"/>
      <c r="G930" s="47"/>
    </row>
    <row r="931" spans="1:7" x14ac:dyDescent="0.25">
      <c r="A931" s="47"/>
      <c r="B931" s="47"/>
      <c r="C931" s="47"/>
      <c r="D931" s="47"/>
      <c r="E931" s="47"/>
      <c r="F931" s="47"/>
      <c r="G931" s="47"/>
    </row>
    <row r="932" spans="1:7" x14ac:dyDescent="0.25">
      <c r="A932" s="47"/>
      <c r="B932" s="47"/>
      <c r="C932" s="47"/>
      <c r="D932" s="47"/>
      <c r="E932" s="47"/>
      <c r="F932" s="47"/>
      <c r="G932" s="47"/>
    </row>
    <row r="933" spans="1:7" x14ac:dyDescent="0.25">
      <c r="A933" s="47"/>
      <c r="B933" s="47"/>
      <c r="C933" s="47"/>
      <c r="D933" s="47"/>
      <c r="E933" s="47"/>
      <c r="F933" s="47"/>
      <c r="G933" s="47"/>
    </row>
    <row r="934" spans="1:7" x14ac:dyDescent="0.25">
      <c r="A934" s="47"/>
      <c r="B934" s="47"/>
      <c r="C934" s="47"/>
      <c r="D934" s="47"/>
      <c r="E934" s="47"/>
      <c r="F934" s="47"/>
      <c r="G934" s="47"/>
    </row>
    <row r="935" spans="1:7" x14ac:dyDescent="0.25">
      <c r="A935" s="47"/>
      <c r="B935" s="47"/>
      <c r="C935" s="47"/>
      <c r="D935" s="47"/>
      <c r="E935" s="47"/>
      <c r="F935" s="47"/>
      <c r="G935" s="47"/>
    </row>
    <row r="936" spans="1:7" x14ac:dyDescent="0.25">
      <c r="A936" s="47"/>
      <c r="B936" s="47"/>
      <c r="C936" s="47"/>
      <c r="D936" s="47"/>
      <c r="E936" s="47"/>
      <c r="F936" s="47"/>
      <c r="G936" s="47"/>
    </row>
    <row r="937" spans="1:7" x14ac:dyDescent="0.25">
      <c r="A937" s="47"/>
      <c r="B937" s="47"/>
      <c r="C937" s="47"/>
      <c r="D937" s="47"/>
      <c r="E937" s="47"/>
      <c r="F937" s="47"/>
      <c r="G937" s="47"/>
    </row>
    <row r="938" spans="1:7" x14ac:dyDescent="0.25">
      <c r="A938" s="47"/>
      <c r="B938" s="47"/>
      <c r="C938" s="47"/>
      <c r="D938" s="47"/>
      <c r="E938" s="47"/>
      <c r="F938" s="47"/>
      <c r="G938" s="47"/>
    </row>
    <row r="939" spans="1:7" x14ac:dyDescent="0.25">
      <c r="A939" s="47"/>
      <c r="B939" s="47"/>
      <c r="C939" s="47"/>
      <c r="D939" s="47"/>
      <c r="E939" s="47"/>
      <c r="F939" s="47"/>
      <c r="G939" s="47"/>
    </row>
    <row r="940" spans="1:7" x14ac:dyDescent="0.25">
      <c r="A940" s="47"/>
      <c r="B940" s="47"/>
      <c r="C940" s="47"/>
      <c r="D940" s="47"/>
      <c r="E940" s="47"/>
      <c r="F940" s="47"/>
      <c r="G940" s="47"/>
    </row>
    <row r="941" spans="1:7" x14ac:dyDescent="0.25">
      <c r="A941" s="47"/>
      <c r="B941" s="47"/>
      <c r="C941" s="47"/>
      <c r="D941" s="47"/>
      <c r="E941" s="47"/>
      <c r="F941" s="47"/>
      <c r="G941" s="47"/>
    </row>
    <row r="942" spans="1:7" x14ac:dyDescent="0.25">
      <c r="A942" s="47"/>
      <c r="B942" s="47"/>
      <c r="C942" s="47"/>
      <c r="D942" s="47"/>
      <c r="E942" s="47"/>
      <c r="F942" s="47"/>
      <c r="G942" s="47"/>
    </row>
    <row r="943" spans="1:7" x14ac:dyDescent="0.25">
      <c r="A943" s="47"/>
      <c r="B943" s="47"/>
      <c r="C943" s="47"/>
      <c r="D943" s="47"/>
      <c r="E943" s="47"/>
      <c r="F943" s="47"/>
      <c r="G943" s="47"/>
    </row>
    <row r="944" spans="1:7" x14ac:dyDescent="0.25">
      <c r="A944" s="47"/>
      <c r="B944" s="47"/>
      <c r="C944" s="47"/>
      <c r="D944" s="47"/>
      <c r="E944" s="47"/>
      <c r="F944" s="47"/>
      <c r="G944" s="47"/>
    </row>
    <row r="945" spans="1:7" x14ac:dyDescent="0.25">
      <c r="A945" s="47"/>
      <c r="B945" s="47"/>
      <c r="C945" s="47"/>
      <c r="D945" s="47"/>
      <c r="E945" s="47"/>
      <c r="F945" s="47"/>
      <c r="G945" s="47"/>
    </row>
    <row r="946" spans="1:7" x14ac:dyDescent="0.25">
      <c r="A946" s="47"/>
      <c r="B946" s="47"/>
      <c r="C946" s="47"/>
      <c r="D946" s="47"/>
      <c r="E946" s="47"/>
      <c r="F946" s="47"/>
      <c r="G946" s="47"/>
    </row>
    <row r="947" spans="1:7" x14ac:dyDescent="0.25">
      <c r="A947" s="47"/>
      <c r="B947" s="47"/>
      <c r="C947" s="47"/>
      <c r="D947" s="47"/>
      <c r="E947" s="47"/>
      <c r="F947" s="47"/>
      <c r="G947" s="47"/>
    </row>
    <row r="948" spans="1:7" x14ac:dyDescent="0.25">
      <c r="A948" s="47"/>
      <c r="B948" s="47"/>
      <c r="C948" s="47"/>
      <c r="D948" s="47"/>
      <c r="E948" s="47"/>
      <c r="F948" s="47"/>
      <c r="G948" s="47"/>
    </row>
    <row r="949" spans="1:7" x14ac:dyDescent="0.25">
      <c r="A949" s="47"/>
      <c r="B949" s="47"/>
      <c r="C949" s="47"/>
      <c r="D949" s="47"/>
      <c r="E949" s="47"/>
      <c r="F949" s="47"/>
      <c r="G949" s="47"/>
    </row>
    <row r="950" spans="1:7" x14ac:dyDescent="0.25">
      <c r="A950" s="47"/>
      <c r="B950" s="47"/>
      <c r="C950" s="47"/>
      <c r="D950" s="47"/>
      <c r="E950" s="47"/>
      <c r="F950" s="47"/>
      <c r="G950" s="47"/>
    </row>
    <row r="951" spans="1:7" x14ac:dyDescent="0.25">
      <c r="A951" s="47"/>
      <c r="B951" s="47"/>
      <c r="C951" s="47"/>
      <c r="D951" s="47"/>
      <c r="E951" s="47"/>
      <c r="F951" s="47"/>
      <c r="G951" s="47"/>
    </row>
    <row r="952" spans="1:7" x14ac:dyDescent="0.25">
      <c r="A952" s="47"/>
      <c r="B952" s="47"/>
      <c r="C952" s="47"/>
      <c r="D952" s="47"/>
      <c r="E952" s="47"/>
      <c r="F952" s="47"/>
      <c r="G952" s="47"/>
    </row>
    <row r="953" spans="1:7" x14ac:dyDescent="0.25">
      <c r="A953" s="47"/>
      <c r="B953" s="47"/>
      <c r="C953" s="47"/>
      <c r="D953" s="47"/>
      <c r="E953" s="47"/>
      <c r="F953" s="47"/>
      <c r="G953" s="47"/>
    </row>
    <row r="954" spans="1:7" x14ac:dyDescent="0.25">
      <c r="A954" s="47"/>
      <c r="B954" s="47"/>
      <c r="C954" s="47"/>
      <c r="D954" s="47"/>
      <c r="E954" s="47"/>
      <c r="F954" s="47"/>
      <c r="G954" s="47"/>
    </row>
    <row r="955" spans="1:7" x14ac:dyDescent="0.25">
      <c r="A955" s="47"/>
      <c r="B955" s="47"/>
      <c r="C955" s="47"/>
      <c r="D955" s="47"/>
      <c r="E955" s="47"/>
      <c r="F955" s="47"/>
      <c r="G955" s="47"/>
    </row>
    <row r="956" spans="1:7" x14ac:dyDescent="0.25">
      <c r="A956" s="47"/>
      <c r="B956" s="47"/>
      <c r="C956" s="47"/>
      <c r="D956" s="47"/>
      <c r="E956" s="47"/>
      <c r="F956" s="47"/>
      <c r="G956" s="47"/>
    </row>
    <row r="957" spans="1:7" x14ac:dyDescent="0.25">
      <c r="A957" s="47"/>
      <c r="B957" s="47"/>
      <c r="C957" s="47"/>
      <c r="D957" s="47"/>
      <c r="E957" s="47"/>
      <c r="F957" s="47"/>
      <c r="G957" s="47"/>
    </row>
    <row r="958" spans="1:7" x14ac:dyDescent="0.25">
      <c r="A958" s="47"/>
      <c r="B958" s="47"/>
      <c r="C958" s="47"/>
      <c r="D958" s="47"/>
      <c r="E958" s="47"/>
      <c r="F958" s="47"/>
      <c r="G958" s="47"/>
    </row>
    <row r="959" spans="1:7" x14ac:dyDescent="0.25">
      <c r="A959" s="47"/>
      <c r="B959" s="47"/>
      <c r="C959" s="47"/>
      <c r="D959" s="47"/>
      <c r="E959" s="47"/>
      <c r="F959" s="47"/>
      <c r="G959" s="47"/>
    </row>
    <row r="960" spans="1:7" x14ac:dyDescent="0.25">
      <c r="A960" s="47"/>
      <c r="B960" s="47"/>
      <c r="C960" s="47"/>
      <c r="D960" s="47"/>
      <c r="E960" s="47"/>
      <c r="F960" s="47"/>
      <c r="G960" s="47"/>
    </row>
    <row r="961" spans="1:7" x14ac:dyDescent="0.25">
      <c r="A961" s="47"/>
      <c r="B961" s="47"/>
      <c r="C961" s="47"/>
      <c r="D961" s="47"/>
      <c r="E961" s="47"/>
      <c r="F961" s="47"/>
      <c r="G961" s="47"/>
    </row>
    <row r="962" spans="1:7" x14ac:dyDescent="0.25">
      <c r="A962" s="47"/>
      <c r="B962" s="47"/>
      <c r="C962" s="47"/>
      <c r="D962" s="47"/>
      <c r="E962" s="47"/>
      <c r="F962" s="47"/>
      <c r="G962" s="47"/>
    </row>
    <row r="963" spans="1:7" x14ac:dyDescent="0.25">
      <c r="A963" s="47"/>
      <c r="B963" s="47"/>
      <c r="C963" s="47"/>
      <c r="D963" s="47"/>
      <c r="E963" s="47"/>
      <c r="F963" s="47"/>
      <c r="G963" s="47"/>
    </row>
    <row r="964" spans="1:7" x14ac:dyDescent="0.25">
      <c r="A964" s="47"/>
      <c r="B964" s="47"/>
      <c r="C964" s="47"/>
      <c r="D964" s="47"/>
      <c r="E964" s="47"/>
      <c r="F964" s="47"/>
      <c r="G964" s="47"/>
    </row>
    <row r="965" spans="1:7" x14ac:dyDescent="0.25">
      <c r="A965" s="47"/>
      <c r="B965" s="47"/>
      <c r="C965" s="47"/>
      <c r="D965" s="47"/>
      <c r="E965" s="47"/>
      <c r="F965" s="47"/>
      <c r="G965" s="47"/>
    </row>
    <row r="966" spans="1:7" x14ac:dyDescent="0.25">
      <c r="A966" s="47"/>
      <c r="B966" s="47"/>
      <c r="C966" s="47"/>
      <c r="D966" s="47"/>
      <c r="E966" s="47"/>
      <c r="F966" s="47"/>
      <c r="G966" s="47"/>
    </row>
    <row r="967" spans="1:7" x14ac:dyDescent="0.25">
      <c r="A967" s="47"/>
      <c r="B967" s="47"/>
      <c r="C967" s="47"/>
      <c r="D967" s="47"/>
      <c r="E967" s="47"/>
      <c r="F967" s="47"/>
      <c r="G967" s="47"/>
    </row>
    <row r="968" spans="1:7" x14ac:dyDescent="0.25">
      <c r="A968" s="47"/>
      <c r="B968" s="47"/>
      <c r="C968" s="47"/>
      <c r="D968" s="47"/>
      <c r="E968" s="47"/>
      <c r="F968" s="47"/>
      <c r="G968" s="47"/>
    </row>
    <row r="969" spans="1:7" x14ac:dyDescent="0.25">
      <c r="A969" s="47"/>
      <c r="B969" s="47"/>
      <c r="C969" s="47"/>
      <c r="D969" s="47"/>
      <c r="E969" s="47"/>
      <c r="F969" s="47"/>
      <c r="G969" s="47"/>
    </row>
    <row r="970" spans="1:7" x14ac:dyDescent="0.25">
      <c r="A970" s="47"/>
      <c r="B970" s="47"/>
      <c r="C970" s="47"/>
      <c r="D970" s="47"/>
      <c r="E970" s="47"/>
      <c r="F970" s="47"/>
      <c r="G970" s="47"/>
    </row>
    <row r="971" spans="1:7" x14ac:dyDescent="0.25">
      <c r="A971" s="47"/>
      <c r="B971" s="47"/>
      <c r="C971" s="47"/>
      <c r="D971" s="47"/>
      <c r="E971" s="47"/>
      <c r="F971" s="47"/>
      <c r="G971" s="47"/>
    </row>
    <row r="972" spans="1:7" x14ac:dyDescent="0.25">
      <c r="A972" s="47"/>
      <c r="B972" s="47"/>
      <c r="C972" s="47"/>
      <c r="D972" s="47"/>
      <c r="E972" s="47"/>
      <c r="F972" s="47"/>
      <c r="G972" s="47"/>
    </row>
    <row r="973" spans="1:7" x14ac:dyDescent="0.25">
      <c r="A973" s="47"/>
      <c r="B973" s="47"/>
      <c r="C973" s="47"/>
      <c r="D973" s="47"/>
      <c r="E973" s="47"/>
      <c r="F973" s="47"/>
      <c r="G973" s="47"/>
    </row>
    <row r="974" spans="1:7" x14ac:dyDescent="0.25">
      <c r="A974" s="47"/>
      <c r="B974" s="47"/>
      <c r="C974" s="47"/>
      <c r="D974" s="47"/>
      <c r="E974" s="47"/>
      <c r="F974" s="47"/>
      <c r="G974" s="47"/>
    </row>
    <row r="975" spans="1:7" x14ac:dyDescent="0.25">
      <c r="A975" s="47"/>
      <c r="B975" s="47"/>
      <c r="C975" s="47"/>
      <c r="D975" s="47"/>
      <c r="E975" s="47"/>
      <c r="F975" s="47"/>
      <c r="G975" s="47"/>
    </row>
    <row r="976" spans="1:7" x14ac:dyDescent="0.25">
      <c r="A976" s="47"/>
      <c r="B976" s="47"/>
      <c r="C976" s="47"/>
      <c r="D976" s="47"/>
      <c r="E976" s="47"/>
      <c r="F976" s="47"/>
      <c r="G976" s="47"/>
    </row>
    <row r="977" spans="1:7" x14ac:dyDescent="0.25">
      <c r="A977" s="47"/>
      <c r="B977" s="47"/>
      <c r="C977" s="47"/>
      <c r="D977" s="47"/>
      <c r="E977" s="47"/>
      <c r="F977" s="47"/>
      <c r="G977" s="47"/>
    </row>
    <row r="978" spans="1:7" x14ac:dyDescent="0.25">
      <c r="A978" s="47"/>
      <c r="B978" s="47"/>
      <c r="C978" s="47"/>
      <c r="D978" s="47"/>
      <c r="E978" s="47"/>
      <c r="F978" s="47"/>
      <c r="G978" s="47"/>
    </row>
    <row r="979" spans="1:7" x14ac:dyDescent="0.25">
      <c r="A979" s="47"/>
      <c r="B979" s="47"/>
      <c r="C979" s="47"/>
      <c r="D979" s="47"/>
      <c r="E979" s="47"/>
      <c r="F979" s="47"/>
      <c r="G979" s="47"/>
    </row>
    <row r="980" spans="1:7" x14ac:dyDescent="0.25">
      <c r="A980" s="47"/>
      <c r="B980" s="47"/>
      <c r="C980" s="47"/>
      <c r="D980" s="47"/>
      <c r="E980" s="47"/>
      <c r="F980" s="47"/>
      <c r="G980" s="47"/>
    </row>
    <row r="981" spans="1:7" x14ac:dyDescent="0.25">
      <c r="A981" s="47"/>
      <c r="B981" s="47"/>
      <c r="C981" s="47"/>
      <c r="D981" s="47"/>
      <c r="E981" s="47"/>
      <c r="F981" s="47"/>
      <c r="G981" s="47"/>
    </row>
    <row r="982" spans="1:7" x14ac:dyDescent="0.25">
      <c r="A982" s="47"/>
      <c r="B982" s="47"/>
      <c r="C982" s="47"/>
      <c r="D982" s="47"/>
      <c r="E982" s="47"/>
      <c r="F982" s="47"/>
      <c r="G982" s="47"/>
    </row>
    <row r="983" spans="1:7" x14ac:dyDescent="0.25">
      <c r="A983" s="47"/>
      <c r="B983" s="47"/>
      <c r="C983" s="47"/>
      <c r="D983" s="47"/>
      <c r="E983" s="47"/>
      <c r="F983" s="47"/>
      <c r="G983" s="47"/>
    </row>
    <row r="984" spans="1:7" x14ac:dyDescent="0.25">
      <c r="A984" s="47"/>
      <c r="B984" s="47"/>
      <c r="C984" s="47"/>
      <c r="D984" s="47"/>
      <c r="E984" s="47"/>
      <c r="F984" s="47"/>
      <c r="G984" s="47"/>
    </row>
    <row r="985" spans="1:7" x14ac:dyDescent="0.25">
      <c r="A985" s="47"/>
      <c r="B985" s="47"/>
      <c r="C985" s="47"/>
      <c r="D985" s="47"/>
      <c r="E985" s="47"/>
      <c r="F985" s="47"/>
      <c r="G985" s="47"/>
    </row>
    <row r="986" spans="1:7" x14ac:dyDescent="0.25">
      <c r="A986" s="47"/>
      <c r="B986" s="47"/>
      <c r="C986" s="47"/>
      <c r="D986" s="47"/>
      <c r="E986" s="47"/>
      <c r="F986" s="47"/>
      <c r="G986" s="47"/>
    </row>
    <row r="987" spans="1:7" x14ac:dyDescent="0.25">
      <c r="A987" s="47"/>
      <c r="B987" s="47"/>
      <c r="C987" s="47"/>
      <c r="D987" s="47"/>
      <c r="E987" s="47"/>
      <c r="F987" s="47"/>
      <c r="G987" s="47"/>
    </row>
    <row r="988" spans="1:7" x14ac:dyDescent="0.25">
      <c r="A988" s="47"/>
      <c r="B988" s="47"/>
      <c r="C988" s="47"/>
      <c r="D988" s="47"/>
      <c r="E988" s="47"/>
      <c r="F988" s="47"/>
      <c r="G988" s="47"/>
    </row>
    <row r="989" spans="1:7" x14ac:dyDescent="0.25">
      <c r="A989" s="47"/>
      <c r="B989" s="47"/>
      <c r="C989" s="47"/>
      <c r="D989" s="47"/>
      <c r="E989" s="47"/>
      <c r="F989" s="47"/>
      <c r="G989" s="47"/>
    </row>
    <row r="990" spans="1:7" x14ac:dyDescent="0.25">
      <c r="A990" s="47"/>
      <c r="B990" s="47"/>
      <c r="C990" s="47"/>
      <c r="D990" s="47"/>
      <c r="E990" s="47"/>
      <c r="F990" s="47"/>
      <c r="G990" s="47"/>
    </row>
    <row r="991" spans="1:7" x14ac:dyDescent="0.25">
      <c r="A991" s="47"/>
      <c r="B991" s="47"/>
      <c r="C991" s="47"/>
      <c r="D991" s="47"/>
      <c r="E991" s="47"/>
      <c r="F991" s="47"/>
      <c r="G991" s="47"/>
    </row>
    <row r="992" spans="1:7" x14ac:dyDescent="0.25">
      <c r="A992" s="47"/>
      <c r="B992" s="47"/>
      <c r="C992" s="47"/>
      <c r="D992" s="47"/>
      <c r="E992" s="47"/>
      <c r="F992" s="47"/>
      <c r="G992" s="47"/>
    </row>
    <row r="993" spans="1:7" x14ac:dyDescent="0.25">
      <c r="A993" s="47"/>
      <c r="B993" s="47"/>
      <c r="C993" s="47"/>
      <c r="D993" s="47"/>
      <c r="E993" s="47"/>
      <c r="F993" s="47"/>
      <c r="G993" s="47"/>
    </row>
    <row r="994" spans="1:7" x14ac:dyDescent="0.25">
      <c r="A994" s="47"/>
      <c r="B994" s="47"/>
      <c r="C994" s="47"/>
      <c r="D994" s="47"/>
      <c r="E994" s="47"/>
      <c r="F994" s="47"/>
      <c r="G994" s="47"/>
    </row>
    <row r="995" spans="1:7" x14ac:dyDescent="0.25">
      <c r="A995" s="47"/>
      <c r="B995" s="47"/>
      <c r="C995" s="47"/>
      <c r="D995" s="47"/>
      <c r="E995" s="47"/>
      <c r="F995" s="47"/>
      <c r="G995" s="47"/>
    </row>
    <row r="996" spans="1:7" x14ac:dyDescent="0.25">
      <c r="A996" s="47"/>
      <c r="B996" s="47"/>
      <c r="C996" s="47"/>
      <c r="D996" s="47"/>
      <c r="E996" s="47"/>
      <c r="F996" s="47"/>
      <c r="G996" s="47"/>
    </row>
    <row r="997" spans="1:7" x14ac:dyDescent="0.25">
      <c r="A997" s="47"/>
      <c r="B997" s="47"/>
      <c r="C997" s="47"/>
      <c r="D997" s="47"/>
      <c r="E997" s="47"/>
      <c r="F997" s="47"/>
      <c r="G997" s="47"/>
    </row>
    <row r="998" spans="1:7" x14ac:dyDescent="0.25">
      <c r="A998" s="47"/>
      <c r="B998" s="47"/>
      <c r="C998" s="47"/>
      <c r="D998" s="47"/>
      <c r="E998" s="47"/>
      <c r="F998" s="47"/>
      <c r="G998" s="47"/>
    </row>
    <row r="999" spans="1:7" x14ac:dyDescent="0.25">
      <c r="A999" s="47"/>
      <c r="B999" s="47"/>
      <c r="C999" s="47"/>
      <c r="D999" s="47"/>
      <c r="E999" s="47"/>
      <c r="F999" s="47"/>
      <c r="G999" s="47"/>
    </row>
    <row r="1000" spans="1:7" x14ac:dyDescent="0.25">
      <c r="A1000" s="47"/>
      <c r="B1000" s="47"/>
      <c r="C1000" s="47"/>
      <c r="D1000" s="47"/>
      <c r="E1000" s="47"/>
      <c r="F1000" s="47"/>
      <c r="G1000" s="47"/>
    </row>
    <row r="1001" spans="1:7" x14ac:dyDescent="0.25">
      <c r="A1001" s="47"/>
      <c r="B1001" s="47"/>
      <c r="C1001" s="47"/>
      <c r="D1001" s="47"/>
      <c r="E1001" s="47"/>
      <c r="F1001" s="47"/>
      <c r="G1001" s="47"/>
    </row>
    <row r="1002" spans="1:7" x14ac:dyDescent="0.25">
      <c r="A1002" s="47"/>
      <c r="B1002" s="47"/>
      <c r="C1002" s="47"/>
      <c r="D1002" s="47"/>
      <c r="E1002" s="47"/>
      <c r="F1002" s="47"/>
      <c r="G1002" s="47"/>
    </row>
    <row r="1003" spans="1:7" x14ac:dyDescent="0.25">
      <c r="A1003" s="47"/>
      <c r="B1003" s="47"/>
      <c r="C1003" s="47"/>
      <c r="D1003" s="47"/>
      <c r="E1003" s="47"/>
      <c r="F1003" s="47"/>
      <c r="G1003" s="47"/>
    </row>
    <row r="1004" spans="1:7" x14ac:dyDescent="0.25">
      <c r="A1004" s="47"/>
      <c r="B1004" s="47"/>
      <c r="C1004" s="47"/>
      <c r="D1004" s="47"/>
      <c r="E1004" s="47"/>
      <c r="F1004" s="47"/>
      <c r="G1004" s="47"/>
    </row>
    <row r="1005" spans="1:7" x14ac:dyDescent="0.25">
      <c r="A1005" s="47"/>
      <c r="B1005" s="47"/>
      <c r="C1005" s="47"/>
      <c r="D1005" s="47"/>
      <c r="E1005" s="47"/>
      <c r="F1005" s="47"/>
      <c r="G1005" s="47"/>
    </row>
    <row r="1006" spans="1:7" x14ac:dyDescent="0.25">
      <c r="A1006" s="47"/>
      <c r="B1006" s="47"/>
      <c r="C1006" s="47"/>
      <c r="D1006" s="47"/>
      <c r="E1006" s="47"/>
      <c r="F1006" s="47"/>
      <c r="G1006" s="47"/>
    </row>
    <row r="1007" spans="1:7" x14ac:dyDescent="0.25">
      <c r="A1007" s="47"/>
      <c r="B1007" s="47"/>
      <c r="C1007" s="47"/>
      <c r="D1007" s="47"/>
      <c r="E1007" s="47"/>
      <c r="F1007" s="47"/>
      <c r="G1007" s="47"/>
    </row>
    <row r="1008" spans="1:7" x14ac:dyDescent="0.25">
      <c r="A1008" s="47"/>
      <c r="B1008" s="47"/>
      <c r="C1008" s="47"/>
      <c r="D1008" s="47"/>
      <c r="E1008" s="47"/>
      <c r="F1008" s="47"/>
      <c r="G1008" s="47"/>
    </row>
    <row r="1009" spans="1:7" x14ac:dyDescent="0.25">
      <c r="A1009" s="47"/>
      <c r="B1009" s="47"/>
      <c r="C1009" s="47"/>
      <c r="D1009" s="47"/>
      <c r="E1009" s="47"/>
      <c r="F1009" s="47"/>
      <c r="G1009" s="47"/>
    </row>
    <row r="1010" spans="1:7" x14ac:dyDescent="0.25">
      <c r="A1010" s="47"/>
      <c r="B1010" s="47"/>
      <c r="C1010" s="47"/>
      <c r="D1010" s="47"/>
      <c r="E1010" s="47"/>
      <c r="F1010" s="47"/>
      <c r="G1010" s="47"/>
    </row>
    <row r="1011" spans="1:7" x14ac:dyDescent="0.25">
      <c r="A1011" s="47"/>
      <c r="B1011" s="47"/>
      <c r="C1011" s="47"/>
      <c r="D1011" s="47"/>
      <c r="E1011" s="47"/>
      <c r="F1011" s="47"/>
      <c r="G1011" s="47"/>
    </row>
    <row r="1012" spans="1:7" x14ac:dyDescent="0.25">
      <c r="A1012" s="47"/>
      <c r="B1012" s="47"/>
      <c r="C1012" s="47"/>
      <c r="D1012" s="47"/>
      <c r="E1012" s="47"/>
      <c r="F1012" s="47"/>
      <c r="G1012" s="47"/>
    </row>
    <row r="1013" spans="1:7" x14ac:dyDescent="0.25">
      <c r="A1013" s="47"/>
      <c r="B1013" s="47"/>
      <c r="C1013" s="47"/>
      <c r="D1013" s="47"/>
      <c r="E1013" s="47"/>
      <c r="F1013" s="47"/>
      <c r="G1013" s="47"/>
    </row>
    <row r="1014" spans="1:7" x14ac:dyDescent="0.25">
      <c r="A1014" s="47"/>
      <c r="B1014" s="47"/>
      <c r="C1014" s="47"/>
      <c r="D1014" s="47"/>
      <c r="E1014" s="47"/>
      <c r="F1014" s="47"/>
      <c r="G1014" s="47"/>
    </row>
    <row r="1015" spans="1:7" x14ac:dyDescent="0.25">
      <c r="A1015" s="47"/>
      <c r="B1015" s="47"/>
      <c r="C1015" s="47"/>
      <c r="D1015" s="47"/>
      <c r="E1015" s="47"/>
      <c r="F1015" s="47"/>
      <c r="G1015" s="47"/>
    </row>
    <row r="1016" spans="1:7" x14ac:dyDescent="0.25">
      <c r="A1016" s="47"/>
      <c r="B1016" s="47"/>
      <c r="C1016" s="47"/>
      <c r="D1016" s="47"/>
      <c r="E1016" s="47"/>
      <c r="F1016" s="47"/>
      <c r="G1016" s="47"/>
    </row>
    <row r="1017" spans="1:7" x14ac:dyDescent="0.25">
      <c r="A1017" s="47"/>
      <c r="B1017" s="47"/>
      <c r="C1017" s="47"/>
      <c r="D1017" s="47"/>
      <c r="E1017" s="47"/>
      <c r="F1017" s="47"/>
      <c r="G1017" s="47"/>
    </row>
    <row r="1018" spans="1:7" x14ac:dyDescent="0.25">
      <c r="A1018" s="47"/>
      <c r="B1018" s="47"/>
      <c r="C1018" s="47"/>
      <c r="D1018" s="47"/>
      <c r="E1018" s="47"/>
      <c r="F1018" s="47"/>
      <c r="G1018" s="47"/>
    </row>
  </sheetData>
  <customSheetViews>
    <customSheetView guid="{B6B32F45-A9D9-479B-AD0E-29A61458D679}">
      <selection activeCell="N19" sqref="N19"/>
      <pageMargins left="0.7" right="0.7" top="0.75" bottom="0.75" header="0.3" footer="0.3"/>
    </customSheetView>
  </customSheetViews>
  <mergeCells count="25">
    <mergeCell ref="B38:K38"/>
    <mergeCell ref="C3:D3"/>
    <mergeCell ref="B21:K21"/>
    <mergeCell ref="C22:D22"/>
    <mergeCell ref="E22:G22"/>
    <mergeCell ref="I22:J22"/>
    <mergeCell ref="C40:D40"/>
    <mergeCell ref="E40:G40"/>
    <mergeCell ref="I40:J40"/>
    <mergeCell ref="B57:K57"/>
    <mergeCell ref="C58:D58"/>
    <mergeCell ref="E58:G58"/>
    <mergeCell ref="I58:J58"/>
    <mergeCell ref="B111:K111"/>
    <mergeCell ref="C112:D112"/>
    <mergeCell ref="E112:G112"/>
    <mergeCell ref="I112:J112"/>
    <mergeCell ref="B75:K75"/>
    <mergeCell ref="C76:D76"/>
    <mergeCell ref="E76:G76"/>
    <mergeCell ref="I76:J76"/>
    <mergeCell ref="B94:K94"/>
    <mergeCell ref="C95:D95"/>
    <mergeCell ref="E95:G95"/>
    <mergeCell ref="I95:J9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2"/>
  <sheetViews>
    <sheetView workbookViewId="0">
      <selection activeCell="J37" sqref="J37"/>
    </sheetView>
  </sheetViews>
  <sheetFormatPr defaultColWidth="15.140625" defaultRowHeight="15" customHeight="1" x14ac:dyDescent="0.25"/>
  <cols>
    <col min="1" max="3" width="7.42578125" style="94" customWidth="1"/>
    <col min="4" max="4" width="12.42578125" style="94" customWidth="1"/>
    <col min="5" max="6" width="7.42578125" style="94" customWidth="1"/>
    <col min="7" max="7" width="15.85546875" style="94" customWidth="1"/>
    <col min="8" max="24" width="7.42578125" style="94" customWidth="1"/>
    <col min="25" max="16384" width="15.140625" style="94"/>
  </cols>
  <sheetData>
    <row r="1" spans="1:8" ht="15" customHeight="1" x14ac:dyDescent="0.25">
      <c r="A1" s="535" t="s">
        <v>180</v>
      </c>
      <c r="B1" s="536" t="s">
        <v>181</v>
      </c>
      <c r="C1" s="95" t="s">
        <v>182</v>
      </c>
      <c r="D1" s="96" t="s">
        <v>277</v>
      </c>
      <c r="E1" s="537" t="s">
        <v>278</v>
      </c>
      <c r="F1" s="527"/>
      <c r="G1" s="55" t="s">
        <v>279</v>
      </c>
      <c r="H1" s="85"/>
    </row>
    <row r="2" spans="1:8" ht="15" customHeight="1" x14ac:dyDescent="0.25">
      <c r="A2" s="527"/>
      <c r="B2" s="527"/>
      <c r="C2" s="95" t="s">
        <v>186</v>
      </c>
      <c r="D2" s="96"/>
      <c r="E2" s="535" t="s">
        <v>280</v>
      </c>
      <c r="F2" s="527"/>
      <c r="G2" s="97" t="s">
        <v>281</v>
      </c>
    </row>
    <row r="3" spans="1:8" ht="15" customHeight="1" x14ac:dyDescent="0.2">
      <c r="A3" s="97">
        <v>1</v>
      </c>
      <c r="B3" s="97" t="s">
        <v>141</v>
      </c>
      <c r="C3" s="98">
        <v>5.0610000000000002E-2</v>
      </c>
      <c r="D3" s="97">
        <v>8</v>
      </c>
      <c r="E3" s="99" t="s">
        <v>282</v>
      </c>
      <c r="F3" s="100">
        <f>37+24/60</f>
        <v>37.4</v>
      </c>
      <c r="G3" s="98">
        <f t="shared" ref="G3:G14" si="0">(F3/60)*D3/C3</f>
        <v>98.531252058223004</v>
      </c>
    </row>
    <row r="4" spans="1:8" ht="15" customHeight="1" x14ac:dyDescent="0.2">
      <c r="A4" s="97">
        <v>2</v>
      </c>
      <c r="B4" s="97" t="s">
        <v>5</v>
      </c>
      <c r="C4" s="98">
        <v>5.9285999999999998E-2</v>
      </c>
      <c r="D4" s="97">
        <v>8</v>
      </c>
      <c r="E4" s="99" t="s">
        <v>283</v>
      </c>
      <c r="F4" s="100">
        <f>34+34/60</f>
        <v>34.56666666666667</v>
      </c>
      <c r="G4" s="98">
        <f t="shared" si="0"/>
        <v>77.739919861162662</v>
      </c>
    </row>
    <row r="5" spans="1:8" ht="15" customHeight="1" x14ac:dyDescent="0.2">
      <c r="A5" s="97">
        <v>3</v>
      </c>
      <c r="B5" s="97" t="s">
        <v>70</v>
      </c>
      <c r="C5" s="98">
        <v>4.5790000000000004E-2</v>
      </c>
      <c r="D5" s="97">
        <v>8</v>
      </c>
      <c r="E5" s="99" t="s">
        <v>284</v>
      </c>
      <c r="F5" s="100">
        <f>36+47/60</f>
        <v>36.783333333333331</v>
      </c>
      <c r="G5" s="98">
        <f t="shared" si="0"/>
        <v>107.10732571400838</v>
      </c>
    </row>
    <row r="6" spans="1:8" ht="15" customHeight="1" x14ac:dyDescent="0.2">
      <c r="A6" s="97">
        <v>4</v>
      </c>
      <c r="B6" s="97" t="s">
        <v>141</v>
      </c>
      <c r="C6" s="98">
        <v>5.7840000000000009E-2</v>
      </c>
      <c r="D6" s="97">
        <v>8</v>
      </c>
      <c r="E6" s="99" t="s">
        <v>285</v>
      </c>
      <c r="F6" s="100">
        <f>39+45/60</f>
        <v>39.75</v>
      </c>
      <c r="G6" s="98">
        <f t="shared" si="0"/>
        <v>91.632088520055305</v>
      </c>
    </row>
    <row r="7" spans="1:8" ht="15" customHeight="1" x14ac:dyDescent="0.2">
      <c r="A7" s="97">
        <v>5</v>
      </c>
      <c r="B7" s="97" t="s">
        <v>70</v>
      </c>
      <c r="C7" s="98">
        <v>5.0128000000000006E-2</v>
      </c>
      <c r="D7" s="97">
        <v>10</v>
      </c>
      <c r="E7" s="99" t="s">
        <v>286</v>
      </c>
      <c r="F7" s="100">
        <f>29+27/60</f>
        <v>29.45</v>
      </c>
      <c r="G7" s="98">
        <f t="shared" si="0"/>
        <v>97.916001702308748</v>
      </c>
    </row>
    <row r="8" spans="1:8" ht="15" customHeight="1" x14ac:dyDescent="0.2">
      <c r="A8" s="97">
        <v>6</v>
      </c>
      <c r="B8" s="97" t="s">
        <v>149</v>
      </c>
      <c r="C8" s="98">
        <v>5.9285999999999998E-2</v>
      </c>
      <c r="D8" s="97">
        <v>10</v>
      </c>
      <c r="E8" s="99" t="s">
        <v>287</v>
      </c>
      <c r="F8" s="100">
        <f>30+28/60</f>
        <v>30.466666666666665</v>
      </c>
      <c r="G8" s="98">
        <f t="shared" si="0"/>
        <v>85.6488509560061</v>
      </c>
    </row>
    <row r="9" spans="1:8" ht="15" customHeight="1" x14ac:dyDescent="0.2">
      <c r="A9" s="97">
        <v>7</v>
      </c>
      <c r="B9" s="97" t="s">
        <v>70</v>
      </c>
      <c r="C9" s="98">
        <v>4.8614999999999998E-2</v>
      </c>
      <c r="D9" s="97">
        <v>8</v>
      </c>
      <c r="E9" s="99" t="s">
        <v>288</v>
      </c>
      <c r="F9" s="100">
        <f>34+50/60</f>
        <v>34.833333333333336</v>
      </c>
      <c r="G9" s="98">
        <f t="shared" si="0"/>
        <v>95.535214325711095</v>
      </c>
    </row>
    <row r="10" spans="1:8" ht="15" customHeight="1" x14ac:dyDescent="0.2">
      <c r="A10" s="97">
        <v>8</v>
      </c>
      <c r="B10" s="97" t="s">
        <v>149</v>
      </c>
      <c r="C10" s="98">
        <v>5.6949E-2</v>
      </c>
      <c r="D10" s="97">
        <v>8</v>
      </c>
      <c r="E10" s="99" t="s">
        <v>289</v>
      </c>
      <c r="F10" s="100">
        <f>42+27/60</f>
        <v>42.45</v>
      </c>
      <c r="G10" s="98">
        <f t="shared" si="0"/>
        <v>99.387170977541317</v>
      </c>
    </row>
    <row r="11" spans="1:8" ht="15" customHeight="1" x14ac:dyDescent="0.2">
      <c r="A11" s="97">
        <v>9</v>
      </c>
      <c r="B11" s="97" t="s">
        <v>149</v>
      </c>
      <c r="C11" s="98">
        <v>4.3984999999999996E-2</v>
      </c>
      <c r="D11" s="97">
        <v>8</v>
      </c>
      <c r="E11" s="99" t="s">
        <v>290</v>
      </c>
      <c r="F11" s="100">
        <f>38+11/60</f>
        <v>38.18333333333333</v>
      </c>
      <c r="G11" s="98">
        <f t="shared" si="0"/>
        <v>115.7465297513041</v>
      </c>
    </row>
    <row r="12" spans="1:8" ht="15" customHeight="1" x14ac:dyDescent="0.2">
      <c r="A12" s="97">
        <v>10</v>
      </c>
      <c r="B12" s="97" t="s">
        <v>5</v>
      </c>
      <c r="C12" s="98">
        <v>5.5559999999999991E-2</v>
      </c>
      <c r="D12" s="97">
        <v>8</v>
      </c>
      <c r="E12" s="99" t="s">
        <v>291</v>
      </c>
      <c r="F12" s="100">
        <f>35+58/60</f>
        <v>35.966666666666669</v>
      </c>
      <c r="G12" s="98">
        <f t="shared" si="0"/>
        <v>86.313094952403816</v>
      </c>
    </row>
    <row r="13" spans="1:8" ht="15" customHeight="1" x14ac:dyDescent="0.2">
      <c r="A13" s="97">
        <v>11</v>
      </c>
      <c r="B13" s="97" t="s">
        <v>141</v>
      </c>
      <c r="C13" s="98">
        <v>4.8152E-2</v>
      </c>
      <c r="D13" s="97">
        <v>10</v>
      </c>
      <c r="E13" s="99" t="s">
        <v>292</v>
      </c>
      <c r="F13" s="100">
        <f>34+58/60</f>
        <v>34.966666666666669</v>
      </c>
      <c r="G13" s="98">
        <f t="shared" si="0"/>
        <v>121.02877923612266</v>
      </c>
    </row>
    <row r="14" spans="1:8" ht="15" customHeight="1" x14ac:dyDescent="0.2">
      <c r="A14" s="97">
        <v>12</v>
      </c>
      <c r="B14" s="97" t="s">
        <v>5</v>
      </c>
      <c r="C14" s="98">
        <v>5.6949E-2</v>
      </c>
      <c r="D14" s="97">
        <v>10</v>
      </c>
      <c r="E14" s="99" t="s">
        <v>293</v>
      </c>
      <c r="F14" s="100">
        <f>29+8/60</f>
        <v>29.133333333333333</v>
      </c>
      <c r="G14" s="98">
        <f t="shared" si="0"/>
        <v>85.261471765185618</v>
      </c>
    </row>
    <row r="15" spans="1:8" ht="15" customHeight="1" x14ac:dyDescent="0.2">
      <c r="E15" s="101"/>
    </row>
    <row r="16" spans="1:8" ht="15" customHeight="1" x14ac:dyDescent="0.2">
      <c r="E16" s="101"/>
      <c r="G16" s="102">
        <f>AVERAGE(G3:G14)</f>
        <v>96.820641651669405</v>
      </c>
      <c r="H16" s="54" t="s">
        <v>294</v>
      </c>
    </row>
    <row r="17" spans="5:7" ht="15" customHeight="1" x14ac:dyDescent="0.2">
      <c r="E17" s="101"/>
      <c r="G17" s="103">
        <f>STDEV(G3:G14)</f>
        <v>12.870796095871068</v>
      </c>
    </row>
    <row r="18" spans="5:7" ht="15" customHeight="1" x14ac:dyDescent="0.2">
      <c r="E18" s="101"/>
    </row>
    <row r="19" spans="5:7" x14ac:dyDescent="0.2">
      <c r="E19" s="101"/>
    </row>
    <row r="20" spans="5:7" x14ac:dyDescent="0.2">
      <c r="E20" s="101"/>
    </row>
    <row r="21" spans="5:7" x14ac:dyDescent="0.2">
      <c r="E21" s="101"/>
    </row>
    <row r="22" spans="5:7" x14ac:dyDescent="0.2">
      <c r="E22" s="101"/>
    </row>
    <row r="23" spans="5:7" x14ac:dyDescent="0.2">
      <c r="E23" s="101"/>
    </row>
    <row r="24" spans="5:7" x14ac:dyDescent="0.2">
      <c r="E24" s="101"/>
    </row>
    <row r="25" spans="5:7" x14ac:dyDescent="0.2">
      <c r="E25" s="101"/>
    </row>
    <row r="26" spans="5:7" x14ac:dyDescent="0.2">
      <c r="E26" s="101"/>
    </row>
    <row r="27" spans="5:7" x14ac:dyDescent="0.2">
      <c r="E27" s="101"/>
    </row>
    <row r="28" spans="5:7" x14ac:dyDescent="0.2">
      <c r="E28" s="101"/>
    </row>
    <row r="29" spans="5:7" x14ac:dyDescent="0.2">
      <c r="E29" s="101"/>
    </row>
    <row r="30" spans="5:7" x14ac:dyDescent="0.2">
      <c r="E30" s="101"/>
    </row>
    <row r="31" spans="5:7" x14ac:dyDescent="0.2">
      <c r="E31" s="101"/>
    </row>
    <row r="32" spans="5:7" x14ac:dyDescent="0.2">
      <c r="E32" s="101"/>
    </row>
    <row r="33" spans="5:5" x14ac:dyDescent="0.2">
      <c r="E33" s="101"/>
    </row>
    <row r="34" spans="5:5" x14ac:dyDescent="0.2">
      <c r="E34" s="101"/>
    </row>
    <row r="35" spans="5:5" x14ac:dyDescent="0.2">
      <c r="E35" s="101"/>
    </row>
    <row r="36" spans="5:5" x14ac:dyDescent="0.2">
      <c r="E36" s="101"/>
    </row>
    <row r="37" spans="5:5" x14ac:dyDescent="0.2">
      <c r="E37" s="101"/>
    </row>
    <row r="38" spans="5:5" x14ac:dyDescent="0.2">
      <c r="E38" s="101"/>
    </row>
    <row r="39" spans="5:5" x14ac:dyDescent="0.2">
      <c r="E39" s="101"/>
    </row>
    <row r="40" spans="5:5" x14ac:dyDescent="0.2">
      <c r="E40" s="101"/>
    </row>
    <row r="41" spans="5:5" x14ac:dyDescent="0.2">
      <c r="E41" s="101"/>
    </row>
    <row r="42" spans="5:5" x14ac:dyDescent="0.2">
      <c r="E42" s="101"/>
    </row>
    <row r="43" spans="5:5" x14ac:dyDescent="0.2">
      <c r="E43" s="101"/>
    </row>
    <row r="44" spans="5:5" x14ac:dyDescent="0.2">
      <c r="E44" s="101"/>
    </row>
    <row r="45" spans="5:5" x14ac:dyDescent="0.2">
      <c r="E45" s="101"/>
    </row>
    <row r="46" spans="5:5" x14ac:dyDescent="0.2">
      <c r="E46" s="101"/>
    </row>
    <row r="47" spans="5:5" x14ac:dyDescent="0.2">
      <c r="E47" s="101"/>
    </row>
    <row r="48" spans="5:5" x14ac:dyDescent="0.2">
      <c r="E48" s="101"/>
    </row>
    <row r="49" spans="5:5" x14ac:dyDescent="0.2">
      <c r="E49" s="101"/>
    </row>
    <row r="50" spans="5:5" x14ac:dyDescent="0.2">
      <c r="E50" s="101"/>
    </row>
    <row r="51" spans="5:5" x14ac:dyDescent="0.2">
      <c r="E51" s="101"/>
    </row>
    <row r="52" spans="5:5" x14ac:dyDescent="0.25">
      <c r="E52" s="101"/>
    </row>
    <row r="53" spans="5:5" x14ac:dyDescent="0.25">
      <c r="E53" s="101"/>
    </row>
    <row r="54" spans="5:5" x14ac:dyDescent="0.25">
      <c r="E54" s="101"/>
    </row>
    <row r="55" spans="5:5" x14ac:dyDescent="0.25">
      <c r="E55" s="101"/>
    </row>
    <row r="56" spans="5:5" x14ac:dyDescent="0.25">
      <c r="E56" s="101"/>
    </row>
    <row r="57" spans="5:5" x14ac:dyDescent="0.25">
      <c r="E57" s="101"/>
    </row>
    <row r="58" spans="5:5" x14ac:dyDescent="0.25">
      <c r="E58" s="101"/>
    </row>
    <row r="59" spans="5:5" x14ac:dyDescent="0.25">
      <c r="E59" s="101"/>
    </row>
    <row r="60" spans="5:5" x14ac:dyDescent="0.25">
      <c r="E60" s="101"/>
    </row>
    <row r="61" spans="5:5" x14ac:dyDescent="0.25">
      <c r="E61" s="101"/>
    </row>
    <row r="62" spans="5:5" x14ac:dyDescent="0.25">
      <c r="E62" s="101"/>
    </row>
    <row r="63" spans="5:5" x14ac:dyDescent="0.25">
      <c r="E63" s="101"/>
    </row>
    <row r="64" spans="5:5" x14ac:dyDescent="0.25">
      <c r="E64" s="101"/>
    </row>
    <row r="65" spans="5:5" x14ac:dyDescent="0.25">
      <c r="E65" s="101"/>
    </row>
    <row r="66" spans="5:5" x14ac:dyDescent="0.25">
      <c r="E66" s="101"/>
    </row>
    <row r="67" spans="5:5" x14ac:dyDescent="0.25">
      <c r="E67" s="101"/>
    </row>
    <row r="68" spans="5:5" x14ac:dyDescent="0.25">
      <c r="E68" s="101"/>
    </row>
    <row r="69" spans="5:5" x14ac:dyDescent="0.25">
      <c r="E69" s="101"/>
    </row>
    <row r="70" spans="5:5" x14ac:dyDescent="0.25">
      <c r="E70" s="101"/>
    </row>
    <row r="71" spans="5:5" x14ac:dyDescent="0.25">
      <c r="E71" s="101"/>
    </row>
    <row r="72" spans="5:5" x14ac:dyDescent="0.25">
      <c r="E72" s="101"/>
    </row>
    <row r="73" spans="5:5" x14ac:dyDescent="0.25">
      <c r="E73" s="101"/>
    </row>
    <row r="74" spans="5:5" x14ac:dyDescent="0.25">
      <c r="E74" s="101"/>
    </row>
    <row r="75" spans="5:5" x14ac:dyDescent="0.25">
      <c r="E75" s="101"/>
    </row>
    <row r="76" spans="5:5" x14ac:dyDescent="0.25">
      <c r="E76" s="101"/>
    </row>
    <row r="77" spans="5:5" x14ac:dyDescent="0.25">
      <c r="E77" s="101"/>
    </row>
    <row r="78" spans="5:5" x14ac:dyDescent="0.25">
      <c r="E78" s="101"/>
    </row>
    <row r="79" spans="5:5" x14ac:dyDescent="0.25">
      <c r="E79" s="101"/>
    </row>
    <row r="80" spans="5:5" x14ac:dyDescent="0.25">
      <c r="E80" s="101"/>
    </row>
    <row r="81" spans="5:5" x14ac:dyDescent="0.25">
      <c r="E81" s="101"/>
    </row>
    <row r="82" spans="5:5" x14ac:dyDescent="0.25">
      <c r="E82" s="101"/>
    </row>
    <row r="83" spans="5:5" x14ac:dyDescent="0.25">
      <c r="E83" s="101"/>
    </row>
    <row r="84" spans="5:5" x14ac:dyDescent="0.25">
      <c r="E84" s="101"/>
    </row>
    <row r="85" spans="5:5" x14ac:dyDescent="0.25">
      <c r="E85" s="101"/>
    </row>
    <row r="86" spans="5:5" x14ac:dyDescent="0.25">
      <c r="E86" s="101"/>
    </row>
    <row r="87" spans="5:5" x14ac:dyDescent="0.25">
      <c r="E87" s="101"/>
    </row>
    <row r="88" spans="5:5" x14ac:dyDescent="0.25">
      <c r="E88" s="101"/>
    </row>
    <row r="89" spans="5:5" x14ac:dyDescent="0.25">
      <c r="E89" s="101"/>
    </row>
    <row r="90" spans="5:5" x14ac:dyDescent="0.25">
      <c r="E90" s="101"/>
    </row>
    <row r="91" spans="5:5" x14ac:dyDescent="0.25">
      <c r="E91" s="101"/>
    </row>
    <row r="92" spans="5:5" x14ac:dyDescent="0.25">
      <c r="E92" s="101"/>
    </row>
    <row r="93" spans="5:5" x14ac:dyDescent="0.25">
      <c r="E93" s="101"/>
    </row>
    <row r="94" spans="5:5" x14ac:dyDescent="0.25">
      <c r="E94" s="101"/>
    </row>
    <row r="95" spans="5:5" x14ac:dyDescent="0.25">
      <c r="E95" s="101"/>
    </row>
    <row r="96" spans="5:5" x14ac:dyDescent="0.25">
      <c r="E96" s="101"/>
    </row>
    <row r="97" spans="5:5" x14ac:dyDescent="0.25">
      <c r="E97" s="101"/>
    </row>
    <row r="98" spans="5:5" x14ac:dyDescent="0.25">
      <c r="E98" s="101"/>
    </row>
    <row r="99" spans="5:5" x14ac:dyDescent="0.25">
      <c r="E99" s="101"/>
    </row>
    <row r="100" spans="5:5" x14ac:dyDescent="0.25">
      <c r="E100" s="101"/>
    </row>
    <row r="101" spans="5:5" x14ac:dyDescent="0.25">
      <c r="E101" s="101"/>
    </row>
    <row r="102" spans="5:5" x14ac:dyDescent="0.25">
      <c r="E102" s="101"/>
    </row>
    <row r="103" spans="5:5" x14ac:dyDescent="0.25">
      <c r="E103" s="101"/>
    </row>
    <row r="104" spans="5:5" x14ac:dyDescent="0.25">
      <c r="E104" s="101"/>
    </row>
    <row r="105" spans="5:5" x14ac:dyDescent="0.25">
      <c r="E105" s="101"/>
    </row>
    <row r="106" spans="5:5" x14ac:dyDescent="0.25">
      <c r="E106" s="101"/>
    </row>
    <row r="107" spans="5:5" x14ac:dyDescent="0.25">
      <c r="E107" s="101"/>
    </row>
    <row r="108" spans="5:5" x14ac:dyDescent="0.25">
      <c r="E108" s="101"/>
    </row>
    <row r="109" spans="5:5" x14ac:dyDescent="0.25">
      <c r="E109" s="101"/>
    </row>
    <row r="110" spans="5:5" x14ac:dyDescent="0.25">
      <c r="E110" s="101"/>
    </row>
    <row r="111" spans="5:5" x14ac:dyDescent="0.25">
      <c r="E111" s="101"/>
    </row>
    <row r="112" spans="5:5" x14ac:dyDescent="0.25">
      <c r="E112" s="101"/>
    </row>
    <row r="113" spans="5:5" x14ac:dyDescent="0.25">
      <c r="E113" s="101"/>
    </row>
    <row r="114" spans="5:5" x14ac:dyDescent="0.25">
      <c r="E114" s="101"/>
    </row>
    <row r="115" spans="5:5" x14ac:dyDescent="0.25">
      <c r="E115" s="101"/>
    </row>
    <row r="116" spans="5:5" x14ac:dyDescent="0.25">
      <c r="E116" s="101"/>
    </row>
    <row r="117" spans="5:5" x14ac:dyDescent="0.25">
      <c r="E117" s="101"/>
    </row>
    <row r="118" spans="5:5" x14ac:dyDescent="0.25">
      <c r="E118" s="101"/>
    </row>
    <row r="119" spans="5:5" x14ac:dyDescent="0.25">
      <c r="E119" s="101"/>
    </row>
    <row r="120" spans="5:5" x14ac:dyDescent="0.25">
      <c r="E120" s="101"/>
    </row>
    <row r="121" spans="5:5" x14ac:dyDescent="0.25">
      <c r="E121" s="101"/>
    </row>
    <row r="122" spans="5:5" x14ac:dyDescent="0.25">
      <c r="E122" s="101"/>
    </row>
    <row r="123" spans="5:5" x14ac:dyDescent="0.25">
      <c r="E123" s="101"/>
    </row>
    <row r="124" spans="5:5" x14ac:dyDescent="0.25">
      <c r="E124" s="101"/>
    </row>
    <row r="125" spans="5:5" x14ac:dyDescent="0.25">
      <c r="E125" s="101"/>
    </row>
    <row r="126" spans="5:5" x14ac:dyDescent="0.25">
      <c r="E126" s="101"/>
    </row>
    <row r="127" spans="5:5" x14ac:dyDescent="0.25">
      <c r="E127" s="101"/>
    </row>
    <row r="128" spans="5:5" x14ac:dyDescent="0.25">
      <c r="E128" s="101"/>
    </row>
    <row r="129" spans="5:5" x14ac:dyDescent="0.25">
      <c r="E129" s="101"/>
    </row>
    <row r="130" spans="5:5" x14ac:dyDescent="0.25">
      <c r="E130" s="101"/>
    </row>
    <row r="131" spans="5:5" x14ac:dyDescent="0.25">
      <c r="E131" s="101"/>
    </row>
    <row r="132" spans="5:5" x14ac:dyDescent="0.25">
      <c r="E132" s="101"/>
    </row>
    <row r="133" spans="5:5" x14ac:dyDescent="0.25">
      <c r="E133" s="101"/>
    </row>
    <row r="134" spans="5:5" x14ac:dyDescent="0.25">
      <c r="E134" s="101"/>
    </row>
    <row r="135" spans="5:5" x14ac:dyDescent="0.25">
      <c r="E135" s="101"/>
    </row>
    <row r="136" spans="5:5" x14ac:dyDescent="0.25">
      <c r="E136" s="101"/>
    </row>
    <row r="137" spans="5:5" x14ac:dyDescent="0.25">
      <c r="E137" s="101"/>
    </row>
    <row r="138" spans="5:5" x14ac:dyDescent="0.25">
      <c r="E138" s="101"/>
    </row>
    <row r="139" spans="5:5" x14ac:dyDescent="0.25">
      <c r="E139" s="101"/>
    </row>
    <row r="140" spans="5:5" x14ac:dyDescent="0.25">
      <c r="E140" s="101"/>
    </row>
    <row r="141" spans="5:5" x14ac:dyDescent="0.25">
      <c r="E141" s="101"/>
    </row>
    <row r="142" spans="5:5" x14ac:dyDescent="0.25">
      <c r="E142" s="101"/>
    </row>
    <row r="143" spans="5:5" x14ac:dyDescent="0.25">
      <c r="E143" s="101"/>
    </row>
    <row r="144" spans="5:5" x14ac:dyDescent="0.25">
      <c r="E144" s="101"/>
    </row>
    <row r="145" spans="5:5" x14ac:dyDescent="0.25">
      <c r="E145" s="101"/>
    </row>
    <row r="146" spans="5:5" x14ac:dyDescent="0.25">
      <c r="E146" s="101"/>
    </row>
    <row r="147" spans="5:5" x14ac:dyDescent="0.25">
      <c r="E147" s="101"/>
    </row>
    <row r="148" spans="5:5" x14ac:dyDescent="0.25">
      <c r="E148" s="101"/>
    </row>
    <row r="149" spans="5:5" x14ac:dyDescent="0.25">
      <c r="E149" s="101"/>
    </row>
    <row r="150" spans="5:5" x14ac:dyDescent="0.25">
      <c r="E150" s="101"/>
    </row>
    <row r="151" spans="5:5" x14ac:dyDescent="0.25">
      <c r="E151" s="101"/>
    </row>
    <row r="152" spans="5:5" x14ac:dyDescent="0.25">
      <c r="E152" s="101"/>
    </row>
    <row r="153" spans="5:5" x14ac:dyDescent="0.25">
      <c r="E153" s="101"/>
    </row>
    <row r="154" spans="5:5" x14ac:dyDescent="0.25">
      <c r="E154" s="101"/>
    </row>
    <row r="155" spans="5:5" x14ac:dyDescent="0.25">
      <c r="E155" s="101"/>
    </row>
    <row r="156" spans="5:5" x14ac:dyDescent="0.25">
      <c r="E156" s="101"/>
    </row>
    <row r="157" spans="5:5" x14ac:dyDescent="0.25">
      <c r="E157" s="101"/>
    </row>
    <row r="158" spans="5:5" x14ac:dyDescent="0.25">
      <c r="E158" s="101"/>
    </row>
    <row r="159" spans="5:5" x14ac:dyDescent="0.25">
      <c r="E159" s="101"/>
    </row>
    <row r="160" spans="5:5" x14ac:dyDescent="0.25">
      <c r="E160" s="101"/>
    </row>
    <row r="161" spans="5:5" x14ac:dyDescent="0.25">
      <c r="E161" s="101"/>
    </row>
    <row r="162" spans="5:5" x14ac:dyDescent="0.25">
      <c r="E162" s="101"/>
    </row>
    <row r="163" spans="5:5" x14ac:dyDescent="0.25">
      <c r="E163" s="101"/>
    </row>
    <row r="164" spans="5:5" x14ac:dyDescent="0.25">
      <c r="E164" s="101"/>
    </row>
    <row r="165" spans="5:5" x14ac:dyDescent="0.25">
      <c r="E165" s="101"/>
    </row>
    <row r="166" spans="5:5" x14ac:dyDescent="0.25">
      <c r="E166" s="101"/>
    </row>
    <row r="167" spans="5:5" x14ac:dyDescent="0.25">
      <c r="E167" s="101"/>
    </row>
    <row r="168" spans="5:5" x14ac:dyDescent="0.25">
      <c r="E168" s="101"/>
    </row>
    <row r="169" spans="5:5" x14ac:dyDescent="0.25">
      <c r="E169" s="101"/>
    </row>
    <row r="170" spans="5:5" x14ac:dyDescent="0.25">
      <c r="E170" s="101"/>
    </row>
    <row r="171" spans="5:5" x14ac:dyDescent="0.25">
      <c r="E171" s="101"/>
    </row>
    <row r="172" spans="5:5" x14ac:dyDescent="0.25">
      <c r="E172" s="101"/>
    </row>
    <row r="173" spans="5:5" x14ac:dyDescent="0.25">
      <c r="E173" s="101"/>
    </row>
    <row r="174" spans="5:5" x14ac:dyDescent="0.25">
      <c r="E174" s="101"/>
    </row>
    <row r="175" spans="5:5" x14ac:dyDescent="0.25">
      <c r="E175" s="101"/>
    </row>
    <row r="176" spans="5:5" x14ac:dyDescent="0.25">
      <c r="E176" s="101"/>
    </row>
    <row r="177" spans="5:5" x14ac:dyDescent="0.25">
      <c r="E177" s="101"/>
    </row>
    <row r="178" spans="5:5" x14ac:dyDescent="0.25">
      <c r="E178" s="101"/>
    </row>
    <row r="179" spans="5:5" x14ac:dyDescent="0.25">
      <c r="E179" s="101"/>
    </row>
    <row r="180" spans="5:5" x14ac:dyDescent="0.25">
      <c r="E180" s="101"/>
    </row>
    <row r="181" spans="5:5" x14ac:dyDescent="0.25">
      <c r="E181" s="101"/>
    </row>
    <row r="182" spans="5:5" x14ac:dyDescent="0.25">
      <c r="E182" s="101"/>
    </row>
    <row r="183" spans="5:5" x14ac:dyDescent="0.25">
      <c r="E183" s="101"/>
    </row>
    <row r="184" spans="5:5" x14ac:dyDescent="0.25">
      <c r="E184" s="101"/>
    </row>
    <row r="185" spans="5:5" x14ac:dyDescent="0.25">
      <c r="E185" s="101"/>
    </row>
    <row r="186" spans="5:5" x14ac:dyDescent="0.25">
      <c r="E186" s="101"/>
    </row>
    <row r="187" spans="5:5" x14ac:dyDescent="0.25">
      <c r="E187" s="101"/>
    </row>
    <row r="188" spans="5:5" x14ac:dyDescent="0.25">
      <c r="E188" s="101"/>
    </row>
    <row r="189" spans="5:5" x14ac:dyDescent="0.25">
      <c r="E189" s="101"/>
    </row>
    <row r="190" spans="5:5" x14ac:dyDescent="0.25">
      <c r="E190" s="101"/>
    </row>
    <row r="191" spans="5:5" x14ac:dyDescent="0.25">
      <c r="E191" s="101"/>
    </row>
    <row r="192" spans="5:5" x14ac:dyDescent="0.25">
      <c r="E192" s="101"/>
    </row>
    <row r="193" spans="5:5" x14ac:dyDescent="0.25">
      <c r="E193" s="101"/>
    </row>
    <row r="194" spans="5:5" x14ac:dyDescent="0.25">
      <c r="E194" s="101"/>
    </row>
    <row r="195" spans="5:5" x14ac:dyDescent="0.25">
      <c r="E195" s="101"/>
    </row>
    <row r="196" spans="5:5" x14ac:dyDescent="0.25">
      <c r="E196" s="101"/>
    </row>
    <row r="197" spans="5:5" x14ac:dyDescent="0.25">
      <c r="E197" s="101"/>
    </row>
    <row r="198" spans="5:5" x14ac:dyDescent="0.25">
      <c r="E198" s="101"/>
    </row>
    <row r="199" spans="5:5" x14ac:dyDescent="0.25">
      <c r="E199" s="101"/>
    </row>
    <row r="200" spans="5:5" x14ac:dyDescent="0.25">
      <c r="E200" s="101"/>
    </row>
    <row r="201" spans="5:5" x14ac:dyDescent="0.25">
      <c r="E201" s="101"/>
    </row>
    <row r="202" spans="5:5" x14ac:dyDescent="0.25">
      <c r="E202" s="101"/>
    </row>
    <row r="203" spans="5:5" x14ac:dyDescent="0.25">
      <c r="E203" s="101"/>
    </row>
    <row r="204" spans="5:5" x14ac:dyDescent="0.25">
      <c r="E204" s="101"/>
    </row>
    <row r="205" spans="5:5" x14ac:dyDescent="0.25">
      <c r="E205" s="101"/>
    </row>
    <row r="206" spans="5:5" x14ac:dyDescent="0.25">
      <c r="E206" s="101"/>
    </row>
    <row r="207" spans="5:5" x14ac:dyDescent="0.25">
      <c r="E207" s="101"/>
    </row>
    <row r="208" spans="5:5" x14ac:dyDescent="0.25">
      <c r="E208" s="101"/>
    </row>
    <row r="209" spans="5:5" x14ac:dyDescent="0.25">
      <c r="E209" s="101"/>
    </row>
    <row r="210" spans="5:5" x14ac:dyDescent="0.25">
      <c r="E210" s="101"/>
    </row>
    <row r="211" spans="5:5" x14ac:dyDescent="0.25">
      <c r="E211" s="101"/>
    </row>
    <row r="212" spans="5:5" x14ac:dyDescent="0.25">
      <c r="E212" s="101"/>
    </row>
    <row r="213" spans="5:5" x14ac:dyDescent="0.25">
      <c r="E213" s="101"/>
    </row>
    <row r="214" spans="5:5" x14ac:dyDescent="0.25">
      <c r="E214" s="101"/>
    </row>
    <row r="215" spans="5:5" x14ac:dyDescent="0.25">
      <c r="E215" s="101"/>
    </row>
    <row r="216" spans="5:5" x14ac:dyDescent="0.25">
      <c r="E216" s="101"/>
    </row>
    <row r="217" spans="5:5" x14ac:dyDescent="0.25">
      <c r="E217" s="101"/>
    </row>
    <row r="218" spans="5:5" x14ac:dyDescent="0.25">
      <c r="E218" s="101"/>
    </row>
    <row r="219" spans="5:5" x14ac:dyDescent="0.25">
      <c r="E219" s="101"/>
    </row>
    <row r="220" spans="5:5" x14ac:dyDescent="0.25">
      <c r="E220" s="101"/>
    </row>
    <row r="221" spans="5:5" x14ac:dyDescent="0.25">
      <c r="E221" s="101"/>
    </row>
    <row r="222" spans="5:5" x14ac:dyDescent="0.25">
      <c r="E222" s="101"/>
    </row>
    <row r="223" spans="5:5" x14ac:dyDescent="0.25">
      <c r="E223" s="101"/>
    </row>
    <row r="224" spans="5:5" x14ac:dyDescent="0.25">
      <c r="E224" s="101"/>
    </row>
    <row r="225" spans="5:5" x14ac:dyDescent="0.25">
      <c r="E225" s="101"/>
    </row>
    <row r="226" spans="5:5" x14ac:dyDescent="0.25">
      <c r="E226" s="101"/>
    </row>
    <row r="227" spans="5:5" x14ac:dyDescent="0.25">
      <c r="E227" s="101"/>
    </row>
    <row r="228" spans="5:5" x14ac:dyDescent="0.25">
      <c r="E228" s="101"/>
    </row>
    <row r="229" spans="5:5" x14ac:dyDescent="0.25">
      <c r="E229" s="101"/>
    </row>
    <row r="230" spans="5:5" x14ac:dyDescent="0.25">
      <c r="E230" s="101"/>
    </row>
    <row r="231" spans="5:5" x14ac:dyDescent="0.25">
      <c r="E231" s="101"/>
    </row>
    <row r="232" spans="5:5" x14ac:dyDescent="0.25">
      <c r="E232" s="101"/>
    </row>
    <row r="233" spans="5:5" x14ac:dyDescent="0.25">
      <c r="E233" s="101"/>
    </row>
    <row r="234" spans="5:5" x14ac:dyDescent="0.25">
      <c r="E234" s="101"/>
    </row>
    <row r="235" spans="5:5" x14ac:dyDescent="0.25">
      <c r="E235" s="101"/>
    </row>
    <row r="236" spans="5:5" x14ac:dyDescent="0.25">
      <c r="E236" s="101"/>
    </row>
    <row r="237" spans="5:5" x14ac:dyDescent="0.25">
      <c r="E237" s="101"/>
    </row>
    <row r="238" spans="5:5" x14ac:dyDescent="0.25">
      <c r="E238" s="101"/>
    </row>
    <row r="239" spans="5:5" x14ac:dyDescent="0.25">
      <c r="E239" s="101"/>
    </row>
    <row r="240" spans="5:5" x14ac:dyDescent="0.25">
      <c r="E240" s="101"/>
    </row>
    <row r="241" spans="5:5" x14ac:dyDescent="0.25">
      <c r="E241" s="101"/>
    </row>
    <row r="242" spans="5:5" x14ac:dyDescent="0.25">
      <c r="E242" s="101"/>
    </row>
    <row r="243" spans="5:5" x14ac:dyDescent="0.25">
      <c r="E243" s="101"/>
    </row>
    <row r="244" spans="5:5" x14ac:dyDescent="0.25">
      <c r="E244" s="101"/>
    </row>
    <row r="245" spans="5:5" x14ac:dyDescent="0.25">
      <c r="E245" s="101"/>
    </row>
    <row r="246" spans="5:5" x14ac:dyDescent="0.25">
      <c r="E246" s="101"/>
    </row>
    <row r="247" spans="5:5" x14ac:dyDescent="0.25">
      <c r="E247" s="101"/>
    </row>
    <row r="248" spans="5:5" x14ac:dyDescent="0.25">
      <c r="E248" s="101"/>
    </row>
    <row r="249" spans="5:5" x14ac:dyDescent="0.25">
      <c r="E249" s="101"/>
    </row>
    <row r="250" spans="5:5" x14ac:dyDescent="0.25">
      <c r="E250" s="101"/>
    </row>
    <row r="251" spans="5:5" x14ac:dyDescent="0.25">
      <c r="E251" s="101"/>
    </row>
    <row r="252" spans="5:5" x14ac:dyDescent="0.25">
      <c r="E252" s="101"/>
    </row>
    <row r="253" spans="5:5" x14ac:dyDescent="0.25">
      <c r="E253" s="101"/>
    </row>
    <row r="254" spans="5:5" x14ac:dyDescent="0.25">
      <c r="E254" s="101"/>
    </row>
    <row r="255" spans="5:5" x14ac:dyDescent="0.25">
      <c r="E255" s="101"/>
    </row>
    <row r="256" spans="5:5" x14ac:dyDescent="0.25">
      <c r="E256" s="101"/>
    </row>
    <row r="257" spans="5:5" x14ac:dyDescent="0.25">
      <c r="E257" s="101"/>
    </row>
    <row r="258" spans="5:5" x14ac:dyDescent="0.25">
      <c r="E258" s="101"/>
    </row>
    <row r="259" spans="5:5" x14ac:dyDescent="0.25">
      <c r="E259" s="101"/>
    </row>
    <row r="260" spans="5:5" x14ac:dyDescent="0.25">
      <c r="E260" s="101"/>
    </row>
    <row r="261" spans="5:5" x14ac:dyDescent="0.25">
      <c r="E261" s="101"/>
    </row>
    <row r="262" spans="5:5" x14ac:dyDescent="0.25">
      <c r="E262" s="101"/>
    </row>
    <row r="263" spans="5:5" x14ac:dyDescent="0.25">
      <c r="E263" s="101"/>
    </row>
    <row r="264" spans="5:5" x14ac:dyDescent="0.25">
      <c r="E264" s="101"/>
    </row>
    <row r="265" spans="5:5" x14ac:dyDescent="0.25">
      <c r="E265" s="101"/>
    </row>
    <row r="266" spans="5:5" x14ac:dyDescent="0.25">
      <c r="E266" s="101"/>
    </row>
    <row r="267" spans="5:5" x14ac:dyDescent="0.25">
      <c r="E267" s="101"/>
    </row>
    <row r="268" spans="5:5" x14ac:dyDescent="0.25">
      <c r="E268" s="101"/>
    </row>
    <row r="269" spans="5:5" x14ac:dyDescent="0.25">
      <c r="E269" s="101"/>
    </row>
    <row r="270" spans="5:5" x14ac:dyDescent="0.25">
      <c r="E270" s="101"/>
    </row>
    <row r="271" spans="5:5" x14ac:dyDescent="0.25">
      <c r="E271" s="101"/>
    </row>
    <row r="272" spans="5:5" x14ac:dyDescent="0.25">
      <c r="E272" s="101"/>
    </row>
    <row r="273" spans="5:5" x14ac:dyDescent="0.25">
      <c r="E273" s="101"/>
    </row>
    <row r="274" spans="5:5" x14ac:dyDescent="0.25">
      <c r="E274" s="101"/>
    </row>
    <row r="275" spans="5:5" x14ac:dyDescent="0.25">
      <c r="E275" s="101"/>
    </row>
    <row r="276" spans="5:5" x14ac:dyDescent="0.25">
      <c r="E276" s="101"/>
    </row>
    <row r="277" spans="5:5" x14ac:dyDescent="0.25">
      <c r="E277" s="101"/>
    </row>
    <row r="278" spans="5:5" x14ac:dyDescent="0.25">
      <c r="E278" s="101"/>
    </row>
    <row r="279" spans="5:5" x14ac:dyDescent="0.25">
      <c r="E279" s="101"/>
    </row>
    <row r="280" spans="5:5" x14ac:dyDescent="0.25">
      <c r="E280" s="101"/>
    </row>
    <row r="281" spans="5:5" x14ac:dyDescent="0.25">
      <c r="E281" s="101"/>
    </row>
    <row r="282" spans="5:5" x14ac:dyDescent="0.25">
      <c r="E282" s="101"/>
    </row>
    <row r="283" spans="5:5" x14ac:dyDescent="0.25">
      <c r="E283" s="101"/>
    </row>
    <row r="284" spans="5:5" x14ac:dyDescent="0.25">
      <c r="E284" s="101"/>
    </row>
    <row r="285" spans="5:5" x14ac:dyDescent="0.25">
      <c r="E285" s="101"/>
    </row>
    <row r="286" spans="5:5" x14ac:dyDescent="0.25">
      <c r="E286" s="101"/>
    </row>
    <row r="287" spans="5:5" x14ac:dyDescent="0.25">
      <c r="E287" s="101"/>
    </row>
    <row r="288" spans="5:5" x14ac:dyDescent="0.25">
      <c r="E288" s="101"/>
    </row>
    <row r="289" spans="5:5" x14ac:dyDescent="0.25">
      <c r="E289" s="101"/>
    </row>
    <row r="290" spans="5:5" x14ac:dyDescent="0.25">
      <c r="E290" s="101"/>
    </row>
    <row r="291" spans="5:5" x14ac:dyDescent="0.25">
      <c r="E291" s="101"/>
    </row>
    <row r="292" spans="5:5" x14ac:dyDescent="0.25">
      <c r="E292" s="101"/>
    </row>
    <row r="293" spans="5:5" x14ac:dyDescent="0.25">
      <c r="E293" s="101"/>
    </row>
    <row r="294" spans="5:5" x14ac:dyDescent="0.25">
      <c r="E294" s="101"/>
    </row>
    <row r="295" spans="5:5" x14ac:dyDescent="0.25">
      <c r="E295" s="101"/>
    </row>
    <row r="296" spans="5:5" x14ac:dyDescent="0.25">
      <c r="E296" s="101"/>
    </row>
    <row r="297" spans="5:5" x14ac:dyDescent="0.25">
      <c r="E297" s="101"/>
    </row>
    <row r="298" spans="5:5" x14ac:dyDescent="0.25">
      <c r="E298" s="101"/>
    </row>
    <row r="299" spans="5:5" x14ac:dyDescent="0.25">
      <c r="E299" s="101"/>
    </row>
    <row r="300" spans="5:5" x14ac:dyDescent="0.25">
      <c r="E300" s="101"/>
    </row>
    <row r="301" spans="5:5" x14ac:dyDescent="0.25">
      <c r="E301" s="101"/>
    </row>
    <row r="302" spans="5:5" x14ac:dyDescent="0.25">
      <c r="E302" s="101"/>
    </row>
    <row r="303" spans="5:5" x14ac:dyDescent="0.25">
      <c r="E303" s="101"/>
    </row>
    <row r="304" spans="5:5" x14ac:dyDescent="0.25">
      <c r="E304" s="101"/>
    </row>
    <row r="305" spans="5:5" x14ac:dyDescent="0.25">
      <c r="E305" s="101"/>
    </row>
    <row r="306" spans="5:5" x14ac:dyDescent="0.25">
      <c r="E306" s="101"/>
    </row>
    <row r="307" spans="5:5" x14ac:dyDescent="0.25">
      <c r="E307" s="101"/>
    </row>
    <row r="308" spans="5:5" x14ac:dyDescent="0.25">
      <c r="E308" s="101"/>
    </row>
    <row r="309" spans="5:5" x14ac:dyDescent="0.25">
      <c r="E309" s="101"/>
    </row>
    <row r="310" spans="5:5" x14ac:dyDescent="0.25">
      <c r="E310" s="101"/>
    </row>
    <row r="311" spans="5:5" x14ac:dyDescent="0.25">
      <c r="E311" s="101"/>
    </row>
    <row r="312" spans="5:5" x14ac:dyDescent="0.25">
      <c r="E312" s="101"/>
    </row>
    <row r="313" spans="5:5" x14ac:dyDescent="0.25">
      <c r="E313" s="101"/>
    </row>
    <row r="314" spans="5:5" x14ac:dyDescent="0.25">
      <c r="E314" s="101"/>
    </row>
    <row r="315" spans="5:5" x14ac:dyDescent="0.25">
      <c r="E315" s="101"/>
    </row>
    <row r="316" spans="5:5" x14ac:dyDescent="0.25">
      <c r="E316" s="101"/>
    </row>
    <row r="317" spans="5:5" x14ac:dyDescent="0.25">
      <c r="E317" s="101"/>
    </row>
    <row r="318" spans="5:5" x14ac:dyDescent="0.25">
      <c r="E318" s="101"/>
    </row>
    <row r="319" spans="5:5" x14ac:dyDescent="0.25">
      <c r="E319" s="101"/>
    </row>
    <row r="320" spans="5:5" x14ac:dyDescent="0.25">
      <c r="E320" s="101"/>
    </row>
    <row r="321" spans="5:5" x14ac:dyDescent="0.25">
      <c r="E321" s="101"/>
    </row>
    <row r="322" spans="5:5" x14ac:dyDescent="0.25">
      <c r="E322" s="101"/>
    </row>
    <row r="323" spans="5:5" x14ac:dyDescent="0.25">
      <c r="E323" s="101"/>
    </row>
    <row r="324" spans="5:5" x14ac:dyDescent="0.25">
      <c r="E324" s="101"/>
    </row>
    <row r="325" spans="5:5" x14ac:dyDescent="0.25">
      <c r="E325" s="101"/>
    </row>
    <row r="326" spans="5:5" x14ac:dyDescent="0.25">
      <c r="E326" s="101"/>
    </row>
    <row r="327" spans="5:5" x14ac:dyDescent="0.25">
      <c r="E327" s="101"/>
    </row>
    <row r="328" spans="5:5" x14ac:dyDescent="0.25">
      <c r="E328" s="101"/>
    </row>
    <row r="329" spans="5:5" x14ac:dyDescent="0.25">
      <c r="E329" s="101"/>
    </row>
    <row r="330" spans="5:5" x14ac:dyDescent="0.25">
      <c r="E330" s="101"/>
    </row>
    <row r="331" spans="5:5" x14ac:dyDescent="0.25">
      <c r="E331" s="101"/>
    </row>
    <row r="332" spans="5:5" x14ac:dyDescent="0.25">
      <c r="E332" s="101"/>
    </row>
    <row r="333" spans="5:5" x14ac:dyDescent="0.25">
      <c r="E333" s="101"/>
    </row>
    <row r="334" spans="5:5" x14ac:dyDescent="0.25">
      <c r="E334" s="101"/>
    </row>
    <row r="335" spans="5:5" x14ac:dyDescent="0.25">
      <c r="E335" s="101"/>
    </row>
    <row r="336" spans="5:5" x14ac:dyDescent="0.25">
      <c r="E336" s="101"/>
    </row>
    <row r="337" spans="5:5" x14ac:dyDescent="0.25">
      <c r="E337" s="101"/>
    </row>
    <row r="338" spans="5:5" x14ac:dyDescent="0.25">
      <c r="E338" s="101"/>
    </row>
    <row r="339" spans="5:5" x14ac:dyDescent="0.25">
      <c r="E339" s="101"/>
    </row>
    <row r="340" spans="5:5" x14ac:dyDescent="0.25">
      <c r="E340" s="101"/>
    </row>
    <row r="341" spans="5:5" x14ac:dyDescent="0.25">
      <c r="E341" s="101"/>
    </row>
    <row r="342" spans="5:5" x14ac:dyDescent="0.25">
      <c r="E342" s="101"/>
    </row>
    <row r="343" spans="5:5" x14ac:dyDescent="0.25">
      <c r="E343" s="101"/>
    </row>
    <row r="344" spans="5:5" x14ac:dyDescent="0.25">
      <c r="E344" s="101"/>
    </row>
    <row r="345" spans="5:5" x14ac:dyDescent="0.25">
      <c r="E345" s="101"/>
    </row>
    <row r="346" spans="5:5" x14ac:dyDescent="0.25">
      <c r="E346" s="101"/>
    </row>
    <row r="347" spans="5:5" x14ac:dyDescent="0.25">
      <c r="E347" s="101"/>
    </row>
    <row r="348" spans="5:5" x14ac:dyDescent="0.25">
      <c r="E348" s="101"/>
    </row>
    <row r="349" spans="5:5" x14ac:dyDescent="0.25">
      <c r="E349" s="101"/>
    </row>
    <row r="350" spans="5:5" x14ac:dyDescent="0.25">
      <c r="E350" s="101"/>
    </row>
    <row r="351" spans="5:5" x14ac:dyDescent="0.25">
      <c r="E351" s="101"/>
    </row>
    <row r="352" spans="5:5" x14ac:dyDescent="0.25">
      <c r="E352" s="101"/>
    </row>
    <row r="353" spans="5:5" x14ac:dyDescent="0.25">
      <c r="E353" s="101"/>
    </row>
    <row r="354" spans="5:5" x14ac:dyDescent="0.25">
      <c r="E354" s="101"/>
    </row>
    <row r="355" spans="5:5" x14ac:dyDescent="0.25">
      <c r="E355" s="101"/>
    </row>
    <row r="356" spans="5:5" x14ac:dyDescent="0.25">
      <c r="E356" s="101"/>
    </row>
    <row r="357" spans="5:5" x14ac:dyDescent="0.25">
      <c r="E357" s="101"/>
    </row>
    <row r="358" spans="5:5" x14ac:dyDescent="0.25">
      <c r="E358" s="101"/>
    </row>
    <row r="359" spans="5:5" x14ac:dyDescent="0.25">
      <c r="E359" s="101"/>
    </row>
    <row r="360" spans="5:5" x14ac:dyDescent="0.25">
      <c r="E360" s="101"/>
    </row>
    <row r="361" spans="5:5" x14ac:dyDescent="0.25">
      <c r="E361" s="101"/>
    </row>
    <row r="362" spans="5:5" x14ac:dyDescent="0.25">
      <c r="E362" s="101"/>
    </row>
    <row r="363" spans="5:5" x14ac:dyDescent="0.25">
      <c r="E363" s="101"/>
    </row>
    <row r="364" spans="5:5" x14ac:dyDescent="0.25">
      <c r="E364" s="101"/>
    </row>
    <row r="365" spans="5:5" x14ac:dyDescent="0.25">
      <c r="E365" s="101"/>
    </row>
    <row r="366" spans="5:5" x14ac:dyDescent="0.25">
      <c r="E366" s="101"/>
    </row>
    <row r="367" spans="5:5" x14ac:dyDescent="0.25">
      <c r="E367" s="101"/>
    </row>
    <row r="368" spans="5:5" x14ac:dyDescent="0.25">
      <c r="E368" s="101"/>
    </row>
    <row r="369" spans="5:5" x14ac:dyDescent="0.25">
      <c r="E369" s="101"/>
    </row>
    <row r="370" spans="5:5" x14ac:dyDescent="0.25">
      <c r="E370" s="101"/>
    </row>
    <row r="371" spans="5:5" x14ac:dyDescent="0.25">
      <c r="E371" s="101"/>
    </row>
    <row r="372" spans="5:5" x14ac:dyDescent="0.25">
      <c r="E372" s="101"/>
    </row>
    <row r="373" spans="5:5" x14ac:dyDescent="0.25">
      <c r="E373" s="101"/>
    </row>
    <row r="374" spans="5:5" x14ac:dyDescent="0.25">
      <c r="E374" s="101"/>
    </row>
    <row r="375" spans="5:5" x14ac:dyDescent="0.25">
      <c r="E375" s="101"/>
    </row>
    <row r="376" spans="5:5" x14ac:dyDescent="0.25">
      <c r="E376" s="101"/>
    </row>
    <row r="377" spans="5:5" x14ac:dyDescent="0.25">
      <c r="E377" s="101"/>
    </row>
    <row r="378" spans="5:5" x14ac:dyDescent="0.25">
      <c r="E378" s="101"/>
    </row>
    <row r="379" spans="5:5" x14ac:dyDescent="0.25">
      <c r="E379" s="101"/>
    </row>
    <row r="380" spans="5:5" x14ac:dyDescent="0.25">
      <c r="E380" s="101"/>
    </row>
    <row r="381" spans="5:5" x14ac:dyDescent="0.25">
      <c r="E381" s="101"/>
    </row>
    <row r="382" spans="5:5" x14ac:dyDescent="0.25">
      <c r="E382" s="101"/>
    </row>
    <row r="383" spans="5:5" x14ac:dyDescent="0.25">
      <c r="E383" s="101"/>
    </row>
    <row r="384" spans="5:5" x14ac:dyDescent="0.25">
      <c r="E384" s="101"/>
    </row>
    <row r="385" spans="5:5" x14ac:dyDescent="0.25">
      <c r="E385" s="101"/>
    </row>
    <row r="386" spans="5:5" x14ac:dyDescent="0.25">
      <c r="E386" s="101"/>
    </row>
    <row r="387" spans="5:5" x14ac:dyDescent="0.25">
      <c r="E387" s="101"/>
    </row>
    <row r="388" spans="5:5" x14ac:dyDescent="0.25">
      <c r="E388" s="101"/>
    </row>
    <row r="389" spans="5:5" x14ac:dyDescent="0.25">
      <c r="E389" s="101"/>
    </row>
    <row r="390" spans="5:5" x14ac:dyDescent="0.25">
      <c r="E390" s="101"/>
    </row>
    <row r="391" spans="5:5" x14ac:dyDescent="0.25">
      <c r="E391" s="101"/>
    </row>
    <row r="392" spans="5:5" x14ac:dyDescent="0.25">
      <c r="E392" s="101"/>
    </row>
    <row r="393" spans="5:5" x14ac:dyDescent="0.25">
      <c r="E393" s="101"/>
    </row>
    <row r="394" spans="5:5" x14ac:dyDescent="0.25">
      <c r="E394" s="101"/>
    </row>
    <row r="395" spans="5:5" x14ac:dyDescent="0.25">
      <c r="E395" s="101"/>
    </row>
    <row r="396" spans="5:5" x14ac:dyDescent="0.25">
      <c r="E396" s="101"/>
    </row>
    <row r="397" spans="5:5" x14ac:dyDescent="0.25">
      <c r="E397" s="101"/>
    </row>
    <row r="398" spans="5:5" x14ac:dyDescent="0.25">
      <c r="E398" s="101"/>
    </row>
    <row r="399" spans="5:5" x14ac:dyDescent="0.25">
      <c r="E399" s="101"/>
    </row>
    <row r="400" spans="5:5" x14ac:dyDescent="0.25">
      <c r="E400" s="101"/>
    </row>
    <row r="401" spans="5:5" x14ac:dyDescent="0.25">
      <c r="E401" s="101"/>
    </row>
    <row r="402" spans="5:5" x14ac:dyDescent="0.25">
      <c r="E402" s="101"/>
    </row>
    <row r="403" spans="5:5" x14ac:dyDescent="0.25">
      <c r="E403" s="101"/>
    </row>
    <row r="404" spans="5:5" x14ac:dyDescent="0.25">
      <c r="E404" s="101"/>
    </row>
    <row r="405" spans="5:5" x14ac:dyDescent="0.25">
      <c r="E405" s="101"/>
    </row>
    <row r="406" spans="5:5" x14ac:dyDescent="0.25">
      <c r="E406" s="101"/>
    </row>
    <row r="407" spans="5:5" x14ac:dyDescent="0.25">
      <c r="E407" s="101"/>
    </row>
    <row r="408" spans="5:5" x14ac:dyDescent="0.25">
      <c r="E408" s="101"/>
    </row>
    <row r="409" spans="5:5" x14ac:dyDescent="0.25">
      <c r="E409" s="101"/>
    </row>
    <row r="410" spans="5:5" x14ac:dyDescent="0.25">
      <c r="E410" s="101"/>
    </row>
    <row r="411" spans="5:5" x14ac:dyDescent="0.25">
      <c r="E411" s="101"/>
    </row>
    <row r="412" spans="5:5" x14ac:dyDescent="0.25">
      <c r="E412" s="101"/>
    </row>
    <row r="413" spans="5:5" x14ac:dyDescent="0.25">
      <c r="E413" s="101"/>
    </row>
    <row r="414" spans="5:5" x14ac:dyDescent="0.25">
      <c r="E414" s="101"/>
    </row>
    <row r="415" spans="5:5" x14ac:dyDescent="0.25">
      <c r="E415" s="101"/>
    </row>
    <row r="416" spans="5:5" x14ac:dyDescent="0.25">
      <c r="E416" s="101"/>
    </row>
    <row r="417" spans="5:5" x14ac:dyDescent="0.25">
      <c r="E417" s="101"/>
    </row>
    <row r="418" spans="5:5" x14ac:dyDescent="0.25">
      <c r="E418" s="101"/>
    </row>
    <row r="419" spans="5:5" x14ac:dyDescent="0.25">
      <c r="E419" s="101"/>
    </row>
    <row r="420" spans="5:5" x14ac:dyDescent="0.25">
      <c r="E420" s="101"/>
    </row>
    <row r="421" spans="5:5" x14ac:dyDescent="0.25">
      <c r="E421" s="101"/>
    </row>
    <row r="422" spans="5:5" x14ac:dyDescent="0.25">
      <c r="E422" s="101"/>
    </row>
    <row r="423" spans="5:5" x14ac:dyDescent="0.25">
      <c r="E423" s="101"/>
    </row>
    <row r="424" spans="5:5" x14ac:dyDescent="0.25">
      <c r="E424" s="101"/>
    </row>
    <row r="425" spans="5:5" x14ac:dyDescent="0.25">
      <c r="E425" s="101"/>
    </row>
    <row r="426" spans="5:5" x14ac:dyDescent="0.25">
      <c r="E426" s="101"/>
    </row>
    <row r="427" spans="5:5" x14ac:dyDescent="0.25">
      <c r="E427" s="101"/>
    </row>
    <row r="428" spans="5:5" x14ac:dyDescent="0.25">
      <c r="E428" s="101"/>
    </row>
    <row r="429" spans="5:5" x14ac:dyDescent="0.25">
      <c r="E429" s="101"/>
    </row>
    <row r="430" spans="5:5" x14ac:dyDescent="0.25">
      <c r="E430" s="101"/>
    </row>
    <row r="431" spans="5:5" x14ac:dyDescent="0.25">
      <c r="E431" s="101"/>
    </row>
    <row r="432" spans="5:5" x14ac:dyDescent="0.25">
      <c r="E432" s="101"/>
    </row>
    <row r="433" spans="5:5" x14ac:dyDescent="0.25">
      <c r="E433" s="101"/>
    </row>
    <row r="434" spans="5:5" x14ac:dyDescent="0.25">
      <c r="E434" s="101"/>
    </row>
    <row r="435" spans="5:5" x14ac:dyDescent="0.25">
      <c r="E435" s="101"/>
    </row>
    <row r="436" spans="5:5" x14ac:dyDescent="0.25">
      <c r="E436" s="101"/>
    </row>
    <row r="437" spans="5:5" x14ac:dyDescent="0.25">
      <c r="E437" s="101"/>
    </row>
    <row r="438" spans="5:5" x14ac:dyDescent="0.25">
      <c r="E438" s="101"/>
    </row>
    <row r="439" spans="5:5" x14ac:dyDescent="0.25">
      <c r="E439" s="101"/>
    </row>
    <row r="440" spans="5:5" x14ac:dyDescent="0.25">
      <c r="E440" s="101"/>
    </row>
    <row r="441" spans="5:5" x14ac:dyDescent="0.25">
      <c r="E441" s="101"/>
    </row>
    <row r="442" spans="5:5" x14ac:dyDescent="0.25">
      <c r="E442" s="101"/>
    </row>
    <row r="443" spans="5:5" x14ac:dyDescent="0.25">
      <c r="E443" s="101"/>
    </row>
    <row r="444" spans="5:5" x14ac:dyDescent="0.25">
      <c r="E444" s="101"/>
    </row>
    <row r="445" spans="5:5" x14ac:dyDescent="0.25">
      <c r="E445" s="101"/>
    </row>
    <row r="446" spans="5:5" x14ac:dyDescent="0.25">
      <c r="E446" s="101"/>
    </row>
    <row r="447" spans="5:5" x14ac:dyDescent="0.25">
      <c r="E447" s="101"/>
    </row>
    <row r="448" spans="5:5" x14ac:dyDescent="0.25">
      <c r="E448" s="101"/>
    </row>
    <row r="449" spans="5:5" x14ac:dyDescent="0.25">
      <c r="E449" s="101"/>
    </row>
    <row r="450" spans="5:5" x14ac:dyDescent="0.25">
      <c r="E450" s="101"/>
    </row>
    <row r="451" spans="5:5" x14ac:dyDescent="0.25">
      <c r="E451" s="101"/>
    </row>
    <row r="452" spans="5:5" x14ac:dyDescent="0.25">
      <c r="E452" s="101"/>
    </row>
    <row r="453" spans="5:5" x14ac:dyDescent="0.25">
      <c r="E453" s="101"/>
    </row>
    <row r="454" spans="5:5" x14ac:dyDescent="0.25">
      <c r="E454" s="101"/>
    </row>
    <row r="455" spans="5:5" x14ac:dyDescent="0.25">
      <c r="E455" s="101"/>
    </row>
    <row r="456" spans="5:5" x14ac:dyDescent="0.25">
      <c r="E456" s="101"/>
    </row>
    <row r="457" spans="5:5" x14ac:dyDescent="0.25">
      <c r="E457" s="101"/>
    </row>
    <row r="458" spans="5:5" x14ac:dyDescent="0.25">
      <c r="E458" s="101"/>
    </row>
    <row r="459" spans="5:5" x14ac:dyDescent="0.25">
      <c r="E459" s="101"/>
    </row>
    <row r="460" spans="5:5" x14ac:dyDescent="0.25">
      <c r="E460" s="101"/>
    </row>
    <row r="461" spans="5:5" x14ac:dyDescent="0.25">
      <c r="E461" s="101"/>
    </row>
    <row r="462" spans="5:5" x14ac:dyDescent="0.25">
      <c r="E462" s="101"/>
    </row>
    <row r="463" spans="5:5" x14ac:dyDescent="0.25">
      <c r="E463" s="101"/>
    </row>
    <row r="464" spans="5:5" x14ac:dyDescent="0.25">
      <c r="E464" s="101"/>
    </row>
    <row r="465" spans="5:5" x14ac:dyDescent="0.25">
      <c r="E465" s="101"/>
    </row>
    <row r="466" spans="5:5" x14ac:dyDescent="0.25">
      <c r="E466" s="101"/>
    </row>
    <row r="467" spans="5:5" x14ac:dyDescent="0.25">
      <c r="E467" s="101"/>
    </row>
    <row r="468" spans="5:5" x14ac:dyDescent="0.25">
      <c r="E468" s="101"/>
    </row>
    <row r="469" spans="5:5" x14ac:dyDescent="0.25">
      <c r="E469" s="101"/>
    </row>
    <row r="470" spans="5:5" x14ac:dyDescent="0.25">
      <c r="E470" s="101"/>
    </row>
    <row r="471" spans="5:5" x14ac:dyDescent="0.25">
      <c r="E471" s="101"/>
    </row>
    <row r="472" spans="5:5" x14ac:dyDescent="0.25">
      <c r="E472" s="101"/>
    </row>
    <row r="473" spans="5:5" x14ac:dyDescent="0.25">
      <c r="E473" s="101"/>
    </row>
    <row r="474" spans="5:5" x14ac:dyDescent="0.25">
      <c r="E474" s="101"/>
    </row>
    <row r="475" spans="5:5" x14ac:dyDescent="0.25">
      <c r="E475" s="101"/>
    </row>
    <row r="476" spans="5:5" x14ac:dyDescent="0.25">
      <c r="E476" s="101"/>
    </row>
    <row r="477" spans="5:5" x14ac:dyDescent="0.25">
      <c r="E477" s="101"/>
    </row>
    <row r="478" spans="5:5" x14ac:dyDescent="0.25">
      <c r="E478" s="101"/>
    </row>
    <row r="479" spans="5:5" x14ac:dyDescent="0.25">
      <c r="E479" s="101"/>
    </row>
    <row r="480" spans="5:5" x14ac:dyDescent="0.25">
      <c r="E480" s="101"/>
    </row>
    <row r="481" spans="5:5" x14ac:dyDescent="0.25">
      <c r="E481" s="101"/>
    </row>
    <row r="482" spans="5:5" x14ac:dyDescent="0.25">
      <c r="E482" s="101"/>
    </row>
    <row r="483" spans="5:5" x14ac:dyDescent="0.25">
      <c r="E483" s="101"/>
    </row>
    <row r="484" spans="5:5" x14ac:dyDescent="0.25">
      <c r="E484" s="101"/>
    </row>
    <row r="485" spans="5:5" x14ac:dyDescent="0.25">
      <c r="E485" s="101"/>
    </row>
    <row r="486" spans="5:5" x14ac:dyDescent="0.25">
      <c r="E486" s="101"/>
    </row>
    <row r="487" spans="5:5" x14ac:dyDescent="0.25">
      <c r="E487" s="101"/>
    </row>
    <row r="488" spans="5:5" x14ac:dyDescent="0.25">
      <c r="E488" s="101"/>
    </row>
    <row r="489" spans="5:5" x14ac:dyDescent="0.25">
      <c r="E489" s="101"/>
    </row>
    <row r="490" spans="5:5" x14ac:dyDescent="0.25">
      <c r="E490" s="101"/>
    </row>
    <row r="491" spans="5:5" x14ac:dyDescent="0.25">
      <c r="E491" s="101"/>
    </row>
    <row r="492" spans="5:5" x14ac:dyDescent="0.25">
      <c r="E492" s="101"/>
    </row>
    <row r="493" spans="5:5" x14ac:dyDescent="0.25">
      <c r="E493" s="101"/>
    </row>
    <row r="494" spans="5:5" x14ac:dyDescent="0.25">
      <c r="E494" s="101"/>
    </row>
    <row r="495" spans="5:5" x14ac:dyDescent="0.25">
      <c r="E495" s="101"/>
    </row>
    <row r="496" spans="5:5" x14ac:dyDescent="0.25">
      <c r="E496" s="101"/>
    </row>
    <row r="497" spans="5:5" x14ac:dyDescent="0.25">
      <c r="E497" s="101"/>
    </row>
    <row r="498" spans="5:5" x14ac:dyDescent="0.25">
      <c r="E498" s="101"/>
    </row>
    <row r="499" spans="5:5" x14ac:dyDescent="0.25">
      <c r="E499" s="101"/>
    </row>
    <row r="500" spans="5:5" x14ac:dyDescent="0.25">
      <c r="E500" s="101"/>
    </row>
    <row r="501" spans="5:5" x14ac:dyDescent="0.25">
      <c r="E501" s="101"/>
    </row>
    <row r="502" spans="5:5" x14ac:dyDescent="0.25">
      <c r="E502" s="101"/>
    </row>
    <row r="503" spans="5:5" x14ac:dyDescent="0.25">
      <c r="E503" s="101"/>
    </row>
    <row r="504" spans="5:5" x14ac:dyDescent="0.25">
      <c r="E504" s="101"/>
    </row>
    <row r="505" spans="5:5" x14ac:dyDescent="0.25">
      <c r="E505" s="101"/>
    </row>
    <row r="506" spans="5:5" x14ac:dyDescent="0.25">
      <c r="E506" s="101"/>
    </row>
    <row r="507" spans="5:5" x14ac:dyDescent="0.25">
      <c r="E507" s="101"/>
    </row>
    <row r="508" spans="5:5" x14ac:dyDescent="0.25">
      <c r="E508" s="101"/>
    </row>
    <row r="509" spans="5:5" x14ac:dyDescent="0.25">
      <c r="E509" s="101"/>
    </row>
    <row r="510" spans="5:5" x14ac:dyDescent="0.25">
      <c r="E510" s="101"/>
    </row>
    <row r="511" spans="5:5" x14ac:dyDescent="0.25">
      <c r="E511" s="101"/>
    </row>
    <row r="512" spans="5:5" x14ac:dyDescent="0.25">
      <c r="E512" s="101"/>
    </row>
    <row r="513" spans="5:5" x14ac:dyDescent="0.25">
      <c r="E513" s="101"/>
    </row>
    <row r="514" spans="5:5" x14ac:dyDescent="0.25">
      <c r="E514" s="101"/>
    </row>
    <row r="515" spans="5:5" x14ac:dyDescent="0.25">
      <c r="E515" s="101"/>
    </row>
    <row r="516" spans="5:5" x14ac:dyDescent="0.25">
      <c r="E516" s="101"/>
    </row>
    <row r="517" spans="5:5" x14ac:dyDescent="0.25">
      <c r="E517" s="101"/>
    </row>
    <row r="518" spans="5:5" x14ac:dyDescent="0.25">
      <c r="E518" s="101"/>
    </row>
    <row r="519" spans="5:5" x14ac:dyDescent="0.25">
      <c r="E519" s="101"/>
    </row>
    <row r="520" spans="5:5" x14ac:dyDescent="0.25">
      <c r="E520" s="101"/>
    </row>
    <row r="521" spans="5:5" x14ac:dyDescent="0.25">
      <c r="E521" s="101"/>
    </row>
    <row r="522" spans="5:5" x14ac:dyDescent="0.25">
      <c r="E522" s="101"/>
    </row>
    <row r="523" spans="5:5" x14ac:dyDescent="0.25">
      <c r="E523" s="101"/>
    </row>
    <row r="524" spans="5:5" x14ac:dyDescent="0.25">
      <c r="E524" s="101"/>
    </row>
    <row r="525" spans="5:5" x14ac:dyDescent="0.25">
      <c r="E525" s="101"/>
    </row>
    <row r="526" spans="5:5" x14ac:dyDescent="0.25">
      <c r="E526" s="101"/>
    </row>
    <row r="527" spans="5:5" x14ac:dyDescent="0.25">
      <c r="E527" s="101"/>
    </row>
    <row r="528" spans="5:5" x14ac:dyDescent="0.25">
      <c r="E528" s="101"/>
    </row>
    <row r="529" spans="5:5" x14ac:dyDescent="0.25">
      <c r="E529" s="101"/>
    </row>
    <row r="530" spans="5:5" x14ac:dyDescent="0.25">
      <c r="E530" s="101"/>
    </row>
    <row r="531" spans="5:5" x14ac:dyDescent="0.25">
      <c r="E531" s="101"/>
    </row>
    <row r="532" spans="5:5" x14ac:dyDescent="0.25">
      <c r="E532" s="101"/>
    </row>
    <row r="533" spans="5:5" x14ac:dyDescent="0.25">
      <c r="E533" s="101"/>
    </row>
    <row r="534" spans="5:5" x14ac:dyDescent="0.25">
      <c r="E534" s="101"/>
    </row>
    <row r="535" spans="5:5" x14ac:dyDescent="0.25">
      <c r="E535" s="101"/>
    </row>
    <row r="536" spans="5:5" x14ac:dyDescent="0.25">
      <c r="E536" s="101"/>
    </row>
    <row r="537" spans="5:5" x14ac:dyDescent="0.25">
      <c r="E537" s="101"/>
    </row>
    <row r="538" spans="5:5" x14ac:dyDescent="0.25">
      <c r="E538" s="101"/>
    </row>
    <row r="539" spans="5:5" x14ac:dyDescent="0.25">
      <c r="E539" s="101"/>
    </row>
    <row r="540" spans="5:5" x14ac:dyDescent="0.25">
      <c r="E540" s="101"/>
    </row>
    <row r="541" spans="5:5" x14ac:dyDescent="0.25">
      <c r="E541" s="101"/>
    </row>
    <row r="542" spans="5:5" x14ac:dyDescent="0.25">
      <c r="E542" s="101"/>
    </row>
    <row r="543" spans="5:5" x14ac:dyDescent="0.25">
      <c r="E543" s="101"/>
    </row>
    <row r="544" spans="5:5" x14ac:dyDescent="0.25">
      <c r="E544" s="101"/>
    </row>
    <row r="545" spans="5:5" x14ac:dyDescent="0.25">
      <c r="E545" s="101"/>
    </row>
    <row r="546" spans="5:5" x14ac:dyDescent="0.25">
      <c r="E546" s="101"/>
    </row>
    <row r="547" spans="5:5" x14ac:dyDescent="0.25">
      <c r="E547" s="101"/>
    </row>
    <row r="548" spans="5:5" x14ac:dyDescent="0.25">
      <c r="E548" s="101"/>
    </row>
    <row r="549" spans="5:5" x14ac:dyDescent="0.25">
      <c r="E549" s="101"/>
    </row>
    <row r="550" spans="5:5" x14ac:dyDescent="0.25">
      <c r="E550" s="101"/>
    </row>
    <row r="551" spans="5:5" x14ac:dyDescent="0.25">
      <c r="E551" s="101"/>
    </row>
    <row r="552" spans="5:5" x14ac:dyDescent="0.25">
      <c r="E552" s="101"/>
    </row>
    <row r="553" spans="5:5" x14ac:dyDescent="0.25">
      <c r="E553" s="101"/>
    </row>
    <row r="554" spans="5:5" x14ac:dyDescent="0.25">
      <c r="E554" s="101"/>
    </row>
    <row r="555" spans="5:5" x14ac:dyDescent="0.25">
      <c r="E555" s="101"/>
    </row>
    <row r="556" spans="5:5" x14ac:dyDescent="0.25">
      <c r="E556" s="101"/>
    </row>
    <row r="557" spans="5:5" x14ac:dyDescent="0.25">
      <c r="E557" s="101"/>
    </row>
    <row r="558" spans="5:5" x14ac:dyDescent="0.25">
      <c r="E558" s="101"/>
    </row>
    <row r="559" spans="5:5" x14ac:dyDescent="0.25">
      <c r="E559" s="101"/>
    </row>
    <row r="560" spans="5:5" x14ac:dyDescent="0.25">
      <c r="E560" s="101"/>
    </row>
    <row r="561" spans="5:5" x14ac:dyDescent="0.25">
      <c r="E561" s="101"/>
    </row>
    <row r="562" spans="5:5" x14ac:dyDescent="0.25">
      <c r="E562" s="101"/>
    </row>
    <row r="563" spans="5:5" x14ac:dyDescent="0.25">
      <c r="E563" s="101"/>
    </row>
    <row r="564" spans="5:5" x14ac:dyDescent="0.25">
      <c r="E564" s="101"/>
    </row>
    <row r="565" spans="5:5" x14ac:dyDescent="0.25">
      <c r="E565" s="101"/>
    </row>
    <row r="566" spans="5:5" x14ac:dyDescent="0.25">
      <c r="E566" s="101"/>
    </row>
    <row r="567" spans="5:5" x14ac:dyDescent="0.25">
      <c r="E567" s="101"/>
    </row>
    <row r="568" spans="5:5" x14ac:dyDescent="0.25">
      <c r="E568" s="101"/>
    </row>
    <row r="569" spans="5:5" x14ac:dyDescent="0.25">
      <c r="E569" s="101"/>
    </row>
    <row r="570" spans="5:5" x14ac:dyDescent="0.25">
      <c r="E570" s="101"/>
    </row>
    <row r="571" spans="5:5" x14ac:dyDescent="0.25">
      <c r="E571" s="101"/>
    </row>
    <row r="572" spans="5:5" x14ac:dyDescent="0.25">
      <c r="E572" s="101"/>
    </row>
    <row r="573" spans="5:5" x14ac:dyDescent="0.25">
      <c r="E573" s="101"/>
    </row>
    <row r="574" spans="5:5" x14ac:dyDescent="0.25">
      <c r="E574" s="101"/>
    </row>
    <row r="575" spans="5:5" x14ac:dyDescent="0.25">
      <c r="E575" s="101"/>
    </row>
    <row r="576" spans="5:5" x14ac:dyDescent="0.25">
      <c r="E576" s="101"/>
    </row>
    <row r="577" spans="5:5" x14ac:dyDescent="0.25">
      <c r="E577" s="101"/>
    </row>
    <row r="578" spans="5:5" x14ac:dyDescent="0.25">
      <c r="E578" s="101"/>
    </row>
    <row r="579" spans="5:5" x14ac:dyDescent="0.25">
      <c r="E579" s="101"/>
    </row>
    <row r="580" spans="5:5" x14ac:dyDescent="0.25">
      <c r="E580" s="101"/>
    </row>
    <row r="581" spans="5:5" x14ac:dyDescent="0.25">
      <c r="E581" s="101"/>
    </row>
    <row r="582" spans="5:5" x14ac:dyDescent="0.25">
      <c r="E582" s="101"/>
    </row>
    <row r="583" spans="5:5" x14ac:dyDescent="0.25">
      <c r="E583" s="101"/>
    </row>
    <row r="584" spans="5:5" x14ac:dyDescent="0.25">
      <c r="E584" s="101"/>
    </row>
    <row r="585" spans="5:5" x14ac:dyDescent="0.25">
      <c r="E585" s="101"/>
    </row>
    <row r="586" spans="5:5" x14ac:dyDescent="0.25">
      <c r="E586" s="101"/>
    </row>
    <row r="587" spans="5:5" x14ac:dyDescent="0.25">
      <c r="E587" s="101"/>
    </row>
    <row r="588" spans="5:5" x14ac:dyDescent="0.25">
      <c r="E588" s="101"/>
    </row>
    <row r="589" spans="5:5" x14ac:dyDescent="0.25">
      <c r="E589" s="101"/>
    </row>
    <row r="590" spans="5:5" x14ac:dyDescent="0.25">
      <c r="E590" s="101"/>
    </row>
    <row r="591" spans="5:5" x14ac:dyDescent="0.25">
      <c r="E591" s="101"/>
    </row>
    <row r="592" spans="5:5" x14ac:dyDescent="0.25">
      <c r="E592" s="101"/>
    </row>
    <row r="593" spans="5:5" x14ac:dyDescent="0.25">
      <c r="E593" s="101"/>
    </row>
    <row r="594" spans="5:5" x14ac:dyDescent="0.25">
      <c r="E594" s="101"/>
    </row>
    <row r="595" spans="5:5" x14ac:dyDescent="0.25">
      <c r="E595" s="101"/>
    </row>
    <row r="596" spans="5:5" x14ac:dyDescent="0.25">
      <c r="E596" s="101"/>
    </row>
    <row r="597" spans="5:5" x14ac:dyDescent="0.25">
      <c r="E597" s="101"/>
    </row>
    <row r="598" spans="5:5" x14ac:dyDescent="0.25">
      <c r="E598" s="101"/>
    </row>
    <row r="599" spans="5:5" x14ac:dyDescent="0.25">
      <c r="E599" s="101"/>
    </row>
    <row r="600" spans="5:5" x14ac:dyDescent="0.25">
      <c r="E600" s="101"/>
    </row>
    <row r="601" spans="5:5" x14ac:dyDescent="0.25">
      <c r="E601" s="101"/>
    </row>
    <row r="602" spans="5:5" x14ac:dyDescent="0.25">
      <c r="E602" s="101"/>
    </row>
    <row r="603" spans="5:5" x14ac:dyDescent="0.25">
      <c r="E603" s="101"/>
    </row>
    <row r="604" spans="5:5" x14ac:dyDescent="0.25">
      <c r="E604" s="101"/>
    </row>
    <row r="605" spans="5:5" x14ac:dyDescent="0.25">
      <c r="E605" s="101"/>
    </row>
    <row r="606" spans="5:5" x14ac:dyDescent="0.25">
      <c r="E606" s="101"/>
    </row>
    <row r="607" spans="5:5" x14ac:dyDescent="0.25">
      <c r="E607" s="101"/>
    </row>
    <row r="608" spans="5:5" x14ac:dyDescent="0.25">
      <c r="E608" s="101"/>
    </row>
    <row r="609" spans="5:5" x14ac:dyDescent="0.25">
      <c r="E609" s="101"/>
    </row>
    <row r="610" spans="5:5" x14ac:dyDescent="0.25">
      <c r="E610" s="101"/>
    </row>
    <row r="611" spans="5:5" x14ac:dyDescent="0.25">
      <c r="E611" s="101"/>
    </row>
    <row r="612" spans="5:5" x14ac:dyDescent="0.25">
      <c r="E612" s="101"/>
    </row>
    <row r="613" spans="5:5" x14ac:dyDescent="0.25">
      <c r="E613" s="101"/>
    </row>
    <row r="614" spans="5:5" x14ac:dyDescent="0.25">
      <c r="E614" s="101"/>
    </row>
    <row r="615" spans="5:5" x14ac:dyDescent="0.25">
      <c r="E615" s="101"/>
    </row>
    <row r="616" spans="5:5" x14ac:dyDescent="0.25">
      <c r="E616" s="101"/>
    </row>
    <row r="617" spans="5:5" x14ac:dyDescent="0.25">
      <c r="E617" s="101"/>
    </row>
    <row r="618" spans="5:5" x14ac:dyDescent="0.25">
      <c r="E618" s="101"/>
    </row>
    <row r="619" spans="5:5" x14ac:dyDescent="0.25">
      <c r="E619" s="101"/>
    </row>
    <row r="620" spans="5:5" x14ac:dyDescent="0.25">
      <c r="E620" s="101"/>
    </row>
    <row r="621" spans="5:5" x14ac:dyDescent="0.25">
      <c r="E621" s="101"/>
    </row>
    <row r="622" spans="5:5" x14ac:dyDescent="0.25">
      <c r="E622" s="101"/>
    </row>
    <row r="623" spans="5:5" x14ac:dyDescent="0.25">
      <c r="E623" s="101"/>
    </row>
    <row r="624" spans="5:5" x14ac:dyDescent="0.25">
      <c r="E624" s="101"/>
    </row>
    <row r="625" spans="5:5" x14ac:dyDescent="0.25">
      <c r="E625" s="101"/>
    </row>
    <row r="626" spans="5:5" x14ac:dyDescent="0.25">
      <c r="E626" s="101"/>
    </row>
    <row r="627" spans="5:5" x14ac:dyDescent="0.25">
      <c r="E627" s="101"/>
    </row>
    <row r="628" spans="5:5" x14ac:dyDescent="0.25">
      <c r="E628" s="101"/>
    </row>
    <row r="629" spans="5:5" x14ac:dyDescent="0.25">
      <c r="E629" s="101"/>
    </row>
    <row r="630" spans="5:5" x14ac:dyDescent="0.25">
      <c r="E630" s="101"/>
    </row>
    <row r="631" spans="5:5" x14ac:dyDescent="0.25">
      <c r="E631" s="101"/>
    </row>
    <row r="632" spans="5:5" x14ac:dyDescent="0.25">
      <c r="E632" s="101"/>
    </row>
    <row r="633" spans="5:5" x14ac:dyDescent="0.25">
      <c r="E633" s="101"/>
    </row>
    <row r="634" spans="5:5" x14ac:dyDescent="0.25">
      <c r="E634" s="101"/>
    </row>
    <row r="635" spans="5:5" x14ac:dyDescent="0.25">
      <c r="E635" s="101"/>
    </row>
    <row r="636" spans="5:5" x14ac:dyDescent="0.25">
      <c r="E636" s="101"/>
    </row>
    <row r="637" spans="5:5" x14ac:dyDescent="0.25">
      <c r="E637" s="101"/>
    </row>
    <row r="638" spans="5:5" x14ac:dyDescent="0.25">
      <c r="E638" s="101"/>
    </row>
    <row r="639" spans="5:5" x14ac:dyDescent="0.25">
      <c r="E639" s="101"/>
    </row>
    <row r="640" spans="5:5" x14ac:dyDescent="0.25">
      <c r="E640" s="101"/>
    </row>
    <row r="641" spans="5:5" x14ac:dyDescent="0.25">
      <c r="E641" s="101"/>
    </row>
    <row r="642" spans="5:5" x14ac:dyDescent="0.25">
      <c r="E642" s="101"/>
    </row>
    <row r="643" spans="5:5" x14ac:dyDescent="0.25">
      <c r="E643" s="101"/>
    </row>
    <row r="644" spans="5:5" x14ac:dyDescent="0.25">
      <c r="E644" s="101"/>
    </row>
    <row r="645" spans="5:5" x14ac:dyDescent="0.25">
      <c r="E645" s="101"/>
    </row>
    <row r="646" spans="5:5" x14ac:dyDescent="0.25">
      <c r="E646" s="101"/>
    </row>
    <row r="647" spans="5:5" x14ac:dyDescent="0.25">
      <c r="E647" s="101"/>
    </row>
    <row r="648" spans="5:5" x14ac:dyDescent="0.25">
      <c r="E648" s="101"/>
    </row>
    <row r="649" spans="5:5" x14ac:dyDescent="0.25">
      <c r="E649" s="101"/>
    </row>
    <row r="650" spans="5:5" x14ac:dyDescent="0.25">
      <c r="E650" s="101"/>
    </row>
    <row r="651" spans="5:5" x14ac:dyDescent="0.25">
      <c r="E651" s="101"/>
    </row>
    <row r="652" spans="5:5" x14ac:dyDescent="0.25">
      <c r="E652" s="101"/>
    </row>
    <row r="653" spans="5:5" x14ac:dyDescent="0.25">
      <c r="E653" s="101"/>
    </row>
    <row r="654" spans="5:5" x14ac:dyDescent="0.25">
      <c r="E654" s="101"/>
    </row>
    <row r="655" spans="5:5" x14ac:dyDescent="0.25">
      <c r="E655" s="101"/>
    </row>
    <row r="656" spans="5:5" x14ac:dyDescent="0.25">
      <c r="E656" s="101"/>
    </row>
    <row r="657" spans="5:5" x14ac:dyDescent="0.25">
      <c r="E657" s="101"/>
    </row>
    <row r="658" spans="5:5" x14ac:dyDescent="0.25">
      <c r="E658" s="101"/>
    </row>
    <row r="659" spans="5:5" x14ac:dyDescent="0.25">
      <c r="E659" s="101"/>
    </row>
    <row r="660" spans="5:5" x14ac:dyDescent="0.25">
      <c r="E660" s="101"/>
    </row>
    <row r="661" spans="5:5" x14ac:dyDescent="0.25">
      <c r="E661" s="101"/>
    </row>
    <row r="662" spans="5:5" x14ac:dyDescent="0.25">
      <c r="E662" s="101"/>
    </row>
    <row r="663" spans="5:5" x14ac:dyDescent="0.25">
      <c r="E663" s="101"/>
    </row>
    <row r="664" spans="5:5" x14ac:dyDescent="0.25">
      <c r="E664" s="101"/>
    </row>
    <row r="665" spans="5:5" x14ac:dyDescent="0.25">
      <c r="E665" s="101"/>
    </row>
    <row r="666" spans="5:5" x14ac:dyDescent="0.25">
      <c r="E666" s="101"/>
    </row>
    <row r="667" spans="5:5" x14ac:dyDescent="0.25">
      <c r="E667" s="101"/>
    </row>
    <row r="668" spans="5:5" x14ac:dyDescent="0.25">
      <c r="E668" s="101"/>
    </row>
    <row r="669" spans="5:5" x14ac:dyDescent="0.25">
      <c r="E669" s="101"/>
    </row>
    <row r="670" spans="5:5" x14ac:dyDescent="0.25">
      <c r="E670" s="101"/>
    </row>
    <row r="671" spans="5:5" x14ac:dyDescent="0.25">
      <c r="E671" s="101"/>
    </row>
    <row r="672" spans="5:5" x14ac:dyDescent="0.25">
      <c r="E672" s="101"/>
    </row>
    <row r="673" spans="5:5" x14ac:dyDescent="0.25">
      <c r="E673" s="101"/>
    </row>
    <row r="674" spans="5:5" x14ac:dyDescent="0.25">
      <c r="E674" s="101"/>
    </row>
    <row r="675" spans="5:5" x14ac:dyDescent="0.25">
      <c r="E675" s="101"/>
    </row>
    <row r="676" spans="5:5" x14ac:dyDescent="0.25">
      <c r="E676" s="101"/>
    </row>
    <row r="677" spans="5:5" x14ac:dyDescent="0.25">
      <c r="E677" s="101"/>
    </row>
    <row r="678" spans="5:5" x14ac:dyDescent="0.25">
      <c r="E678" s="101"/>
    </row>
    <row r="679" spans="5:5" x14ac:dyDescent="0.25">
      <c r="E679" s="101"/>
    </row>
    <row r="680" spans="5:5" x14ac:dyDescent="0.25">
      <c r="E680" s="101"/>
    </row>
    <row r="681" spans="5:5" x14ac:dyDescent="0.25">
      <c r="E681" s="101"/>
    </row>
    <row r="682" spans="5:5" x14ac:dyDescent="0.25">
      <c r="E682" s="101"/>
    </row>
    <row r="683" spans="5:5" x14ac:dyDescent="0.25">
      <c r="E683" s="101"/>
    </row>
    <row r="684" spans="5:5" x14ac:dyDescent="0.25">
      <c r="E684" s="101"/>
    </row>
    <row r="685" spans="5:5" x14ac:dyDescent="0.25">
      <c r="E685" s="101"/>
    </row>
    <row r="686" spans="5:5" x14ac:dyDescent="0.25">
      <c r="E686" s="101"/>
    </row>
    <row r="687" spans="5:5" x14ac:dyDescent="0.25">
      <c r="E687" s="101"/>
    </row>
    <row r="688" spans="5:5" x14ac:dyDescent="0.25">
      <c r="E688" s="101"/>
    </row>
    <row r="689" spans="5:5" x14ac:dyDescent="0.25">
      <c r="E689" s="101"/>
    </row>
    <row r="690" spans="5:5" x14ac:dyDescent="0.25">
      <c r="E690" s="101"/>
    </row>
    <row r="691" spans="5:5" x14ac:dyDescent="0.25">
      <c r="E691" s="101"/>
    </row>
    <row r="692" spans="5:5" x14ac:dyDescent="0.25">
      <c r="E692" s="101"/>
    </row>
    <row r="693" spans="5:5" x14ac:dyDescent="0.25">
      <c r="E693" s="101"/>
    </row>
    <row r="694" spans="5:5" x14ac:dyDescent="0.25">
      <c r="E694" s="101"/>
    </row>
    <row r="695" spans="5:5" x14ac:dyDescent="0.25">
      <c r="E695" s="101"/>
    </row>
    <row r="696" spans="5:5" x14ac:dyDescent="0.25">
      <c r="E696" s="101"/>
    </row>
    <row r="697" spans="5:5" x14ac:dyDescent="0.25">
      <c r="E697" s="101"/>
    </row>
    <row r="698" spans="5:5" x14ac:dyDescent="0.25">
      <c r="E698" s="101"/>
    </row>
    <row r="699" spans="5:5" x14ac:dyDescent="0.25">
      <c r="E699" s="101"/>
    </row>
    <row r="700" spans="5:5" x14ac:dyDescent="0.25">
      <c r="E700" s="101"/>
    </row>
    <row r="701" spans="5:5" x14ac:dyDescent="0.25">
      <c r="E701" s="101"/>
    </row>
    <row r="702" spans="5:5" x14ac:dyDescent="0.25">
      <c r="E702" s="101"/>
    </row>
    <row r="703" spans="5:5" x14ac:dyDescent="0.25">
      <c r="E703" s="101"/>
    </row>
    <row r="704" spans="5:5" x14ac:dyDescent="0.25">
      <c r="E704" s="101"/>
    </row>
    <row r="705" spans="5:5" x14ac:dyDescent="0.25">
      <c r="E705" s="101"/>
    </row>
    <row r="706" spans="5:5" x14ac:dyDescent="0.25">
      <c r="E706" s="101"/>
    </row>
    <row r="707" spans="5:5" x14ac:dyDescent="0.25">
      <c r="E707" s="101"/>
    </row>
    <row r="708" spans="5:5" x14ac:dyDescent="0.25">
      <c r="E708" s="101"/>
    </row>
    <row r="709" spans="5:5" x14ac:dyDescent="0.25">
      <c r="E709" s="101"/>
    </row>
    <row r="710" spans="5:5" x14ac:dyDescent="0.25">
      <c r="E710" s="101"/>
    </row>
    <row r="711" spans="5:5" x14ac:dyDescent="0.25">
      <c r="E711" s="101"/>
    </row>
    <row r="712" spans="5:5" x14ac:dyDescent="0.25">
      <c r="E712" s="101"/>
    </row>
    <row r="713" spans="5:5" x14ac:dyDescent="0.25">
      <c r="E713" s="101"/>
    </row>
    <row r="714" spans="5:5" x14ac:dyDescent="0.25">
      <c r="E714" s="101"/>
    </row>
    <row r="715" spans="5:5" x14ac:dyDescent="0.25">
      <c r="E715" s="101"/>
    </row>
    <row r="716" spans="5:5" x14ac:dyDescent="0.25">
      <c r="E716" s="101"/>
    </row>
    <row r="717" spans="5:5" x14ac:dyDescent="0.25">
      <c r="E717" s="101"/>
    </row>
    <row r="718" spans="5:5" x14ac:dyDescent="0.25">
      <c r="E718" s="101"/>
    </row>
    <row r="719" spans="5:5" x14ac:dyDescent="0.25">
      <c r="E719" s="101"/>
    </row>
    <row r="720" spans="5:5" x14ac:dyDescent="0.25">
      <c r="E720" s="101"/>
    </row>
    <row r="721" spans="5:5" x14ac:dyDescent="0.25">
      <c r="E721" s="101"/>
    </row>
    <row r="722" spans="5:5" x14ac:dyDescent="0.25">
      <c r="E722" s="101"/>
    </row>
    <row r="723" spans="5:5" x14ac:dyDescent="0.25">
      <c r="E723" s="101"/>
    </row>
    <row r="724" spans="5:5" x14ac:dyDescent="0.25">
      <c r="E724" s="101"/>
    </row>
    <row r="725" spans="5:5" x14ac:dyDescent="0.25">
      <c r="E725" s="101"/>
    </row>
    <row r="726" spans="5:5" x14ac:dyDescent="0.25">
      <c r="E726" s="101"/>
    </row>
    <row r="727" spans="5:5" x14ac:dyDescent="0.25">
      <c r="E727" s="101"/>
    </row>
    <row r="728" spans="5:5" x14ac:dyDescent="0.25">
      <c r="E728" s="101"/>
    </row>
    <row r="729" spans="5:5" x14ac:dyDescent="0.25">
      <c r="E729" s="101"/>
    </row>
    <row r="730" spans="5:5" x14ac:dyDescent="0.25">
      <c r="E730" s="101"/>
    </row>
    <row r="731" spans="5:5" x14ac:dyDescent="0.25">
      <c r="E731" s="101"/>
    </row>
    <row r="732" spans="5:5" x14ac:dyDescent="0.25">
      <c r="E732" s="101"/>
    </row>
    <row r="733" spans="5:5" x14ac:dyDescent="0.25">
      <c r="E733" s="101"/>
    </row>
    <row r="734" spans="5:5" x14ac:dyDescent="0.25">
      <c r="E734" s="101"/>
    </row>
    <row r="735" spans="5:5" x14ac:dyDescent="0.25">
      <c r="E735" s="101"/>
    </row>
    <row r="736" spans="5:5" x14ac:dyDescent="0.25">
      <c r="E736" s="101"/>
    </row>
    <row r="737" spans="5:5" x14ac:dyDescent="0.25">
      <c r="E737" s="101"/>
    </row>
    <row r="738" spans="5:5" x14ac:dyDescent="0.25">
      <c r="E738" s="101"/>
    </row>
    <row r="739" spans="5:5" x14ac:dyDescent="0.25">
      <c r="E739" s="101"/>
    </row>
    <row r="740" spans="5:5" x14ac:dyDescent="0.25">
      <c r="E740" s="101"/>
    </row>
    <row r="741" spans="5:5" x14ac:dyDescent="0.25">
      <c r="E741" s="101"/>
    </row>
    <row r="742" spans="5:5" x14ac:dyDescent="0.25">
      <c r="E742" s="101"/>
    </row>
    <row r="743" spans="5:5" x14ac:dyDescent="0.25">
      <c r="E743" s="101"/>
    </row>
    <row r="744" spans="5:5" x14ac:dyDescent="0.25">
      <c r="E744" s="101"/>
    </row>
    <row r="745" spans="5:5" x14ac:dyDescent="0.25">
      <c r="E745" s="101"/>
    </row>
    <row r="746" spans="5:5" x14ac:dyDescent="0.25">
      <c r="E746" s="101"/>
    </row>
    <row r="747" spans="5:5" x14ac:dyDescent="0.25">
      <c r="E747" s="101"/>
    </row>
    <row r="748" spans="5:5" x14ac:dyDescent="0.25">
      <c r="E748" s="101"/>
    </row>
    <row r="749" spans="5:5" x14ac:dyDescent="0.25">
      <c r="E749" s="101"/>
    </row>
    <row r="750" spans="5:5" x14ac:dyDescent="0.25">
      <c r="E750" s="101"/>
    </row>
    <row r="751" spans="5:5" x14ac:dyDescent="0.25">
      <c r="E751" s="101"/>
    </row>
    <row r="752" spans="5:5" x14ac:dyDescent="0.25">
      <c r="E752" s="101"/>
    </row>
    <row r="753" spans="5:5" x14ac:dyDescent="0.25">
      <c r="E753" s="101"/>
    </row>
    <row r="754" spans="5:5" x14ac:dyDescent="0.25">
      <c r="E754" s="101"/>
    </row>
    <row r="755" spans="5:5" x14ac:dyDescent="0.25">
      <c r="E755" s="101"/>
    </row>
    <row r="756" spans="5:5" x14ac:dyDescent="0.25">
      <c r="E756" s="101"/>
    </row>
    <row r="757" spans="5:5" x14ac:dyDescent="0.25">
      <c r="E757" s="101"/>
    </row>
    <row r="758" spans="5:5" x14ac:dyDescent="0.25">
      <c r="E758" s="101"/>
    </row>
    <row r="759" spans="5:5" x14ac:dyDescent="0.25">
      <c r="E759" s="101"/>
    </row>
    <row r="760" spans="5:5" x14ac:dyDescent="0.25">
      <c r="E760" s="101"/>
    </row>
    <row r="761" spans="5:5" x14ac:dyDescent="0.25">
      <c r="E761" s="101"/>
    </row>
    <row r="762" spans="5:5" x14ac:dyDescent="0.25">
      <c r="E762" s="101"/>
    </row>
    <row r="763" spans="5:5" x14ac:dyDescent="0.25">
      <c r="E763" s="101"/>
    </row>
    <row r="764" spans="5:5" x14ac:dyDescent="0.25">
      <c r="E764" s="101"/>
    </row>
    <row r="765" spans="5:5" x14ac:dyDescent="0.25">
      <c r="E765" s="101"/>
    </row>
    <row r="766" spans="5:5" x14ac:dyDescent="0.25">
      <c r="E766" s="101"/>
    </row>
    <row r="767" spans="5:5" x14ac:dyDescent="0.25">
      <c r="E767" s="101"/>
    </row>
    <row r="768" spans="5:5" x14ac:dyDescent="0.25">
      <c r="E768" s="101"/>
    </row>
    <row r="769" spans="5:5" x14ac:dyDescent="0.25">
      <c r="E769" s="101"/>
    </row>
    <row r="770" spans="5:5" x14ac:dyDescent="0.25">
      <c r="E770" s="101"/>
    </row>
    <row r="771" spans="5:5" x14ac:dyDescent="0.25">
      <c r="E771" s="101"/>
    </row>
    <row r="772" spans="5:5" x14ac:dyDescent="0.25">
      <c r="E772" s="101"/>
    </row>
    <row r="773" spans="5:5" x14ac:dyDescent="0.25">
      <c r="E773" s="101"/>
    </row>
    <row r="774" spans="5:5" x14ac:dyDescent="0.25">
      <c r="E774" s="101"/>
    </row>
    <row r="775" spans="5:5" x14ac:dyDescent="0.25">
      <c r="E775" s="101"/>
    </row>
    <row r="776" spans="5:5" x14ac:dyDescent="0.25">
      <c r="E776" s="101"/>
    </row>
    <row r="777" spans="5:5" x14ac:dyDescent="0.25">
      <c r="E777" s="101"/>
    </row>
    <row r="778" spans="5:5" x14ac:dyDescent="0.25">
      <c r="E778" s="101"/>
    </row>
    <row r="779" spans="5:5" x14ac:dyDescent="0.25">
      <c r="E779" s="101"/>
    </row>
    <row r="780" spans="5:5" x14ac:dyDescent="0.25">
      <c r="E780" s="101"/>
    </row>
    <row r="781" spans="5:5" x14ac:dyDescent="0.25">
      <c r="E781" s="101"/>
    </row>
    <row r="782" spans="5:5" x14ac:dyDescent="0.25">
      <c r="E782" s="101"/>
    </row>
    <row r="783" spans="5:5" x14ac:dyDescent="0.25">
      <c r="E783" s="101"/>
    </row>
    <row r="784" spans="5:5" x14ac:dyDescent="0.25">
      <c r="E784" s="101"/>
    </row>
    <row r="785" spans="5:5" x14ac:dyDescent="0.25">
      <c r="E785" s="101"/>
    </row>
    <row r="786" spans="5:5" x14ac:dyDescent="0.25">
      <c r="E786" s="101"/>
    </row>
    <row r="787" spans="5:5" x14ac:dyDescent="0.25">
      <c r="E787" s="101"/>
    </row>
    <row r="788" spans="5:5" x14ac:dyDescent="0.25">
      <c r="E788" s="101"/>
    </row>
    <row r="789" spans="5:5" x14ac:dyDescent="0.25">
      <c r="E789" s="101"/>
    </row>
    <row r="790" spans="5:5" x14ac:dyDescent="0.25">
      <c r="E790" s="101"/>
    </row>
    <row r="791" spans="5:5" x14ac:dyDescent="0.25">
      <c r="E791" s="101"/>
    </row>
    <row r="792" spans="5:5" x14ac:dyDescent="0.25">
      <c r="E792" s="101"/>
    </row>
    <row r="793" spans="5:5" x14ac:dyDescent="0.25">
      <c r="E793" s="101"/>
    </row>
    <row r="794" spans="5:5" x14ac:dyDescent="0.25">
      <c r="E794" s="101"/>
    </row>
    <row r="795" spans="5:5" x14ac:dyDescent="0.25">
      <c r="E795" s="101"/>
    </row>
    <row r="796" spans="5:5" x14ac:dyDescent="0.25">
      <c r="E796" s="101"/>
    </row>
    <row r="797" spans="5:5" x14ac:dyDescent="0.25">
      <c r="E797" s="101"/>
    </row>
    <row r="798" spans="5:5" x14ac:dyDescent="0.25">
      <c r="E798" s="101"/>
    </row>
    <row r="799" spans="5:5" x14ac:dyDescent="0.25">
      <c r="E799" s="101"/>
    </row>
    <row r="800" spans="5:5" x14ac:dyDescent="0.25">
      <c r="E800" s="101"/>
    </row>
    <row r="801" spans="5:5" x14ac:dyDescent="0.25">
      <c r="E801" s="101"/>
    </row>
    <row r="802" spans="5:5" x14ac:dyDescent="0.25">
      <c r="E802" s="101"/>
    </row>
    <row r="803" spans="5:5" x14ac:dyDescent="0.25">
      <c r="E803" s="101"/>
    </row>
    <row r="804" spans="5:5" x14ac:dyDescent="0.25">
      <c r="E804" s="101"/>
    </row>
    <row r="805" spans="5:5" x14ac:dyDescent="0.25">
      <c r="E805" s="101"/>
    </row>
    <row r="806" spans="5:5" x14ac:dyDescent="0.25">
      <c r="E806" s="101"/>
    </row>
    <row r="807" spans="5:5" x14ac:dyDescent="0.25">
      <c r="E807" s="101"/>
    </row>
    <row r="808" spans="5:5" x14ac:dyDescent="0.25">
      <c r="E808" s="101"/>
    </row>
    <row r="809" spans="5:5" x14ac:dyDescent="0.25">
      <c r="E809" s="101"/>
    </row>
    <row r="810" spans="5:5" x14ac:dyDescent="0.25">
      <c r="E810" s="101"/>
    </row>
    <row r="811" spans="5:5" x14ac:dyDescent="0.25">
      <c r="E811" s="101"/>
    </row>
    <row r="812" spans="5:5" x14ac:dyDescent="0.25">
      <c r="E812" s="101"/>
    </row>
    <row r="813" spans="5:5" x14ac:dyDescent="0.25">
      <c r="E813" s="101"/>
    </row>
    <row r="814" spans="5:5" x14ac:dyDescent="0.25">
      <c r="E814" s="101"/>
    </row>
    <row r="815" spans="5:5" x14ac:dyDescent="0.25">
      <c r="E815" s="101"/>
    </row>
    <row r="816" spans="5:5" x14ac:dyDescent="0.25">
      <c r="E816" s="101"/>
    </row>
    <row r="817" spans="5:5" x14ac:dyDescent="0.25">
      <c r="E817" s="101"/>
    </row>
    <row r="818" spans="5:5" x14ac:dyDescent="0.25">
      <c r="E818" s="101"/>
    </row>
    <row r="819" spans="5:5" x14ac:dyDescent="0.25">
      <c r="E819" s="101"/>
    </row>
    <row r="820" spans="5:5" x14ac:dyDescent="0.25">
      <c r="E820" s="101"/>
    </row>
    <row r="821" spans="5:5" x14ac:dyDescent="0.25">
      <c r="E821" s="101"/>
    </row>
    <row r="822" spans="5:5" x14ac:dyDescent="0.25">
      <c r="E822" s="101"/>
    </row>
    <row r="823" spans="5:5" x14ac:dyDescent="0.25">
      <c r="E823" s="101"/>
    </row>
    <row r="824" spans="5:5" x14ac:dyDescent="0.25">
      <c r="E824" s="101"/>
    </row>
    <row r="825" spans="5:5" x14ac:dyDescent="0.25">
      <c r="E825" s="101"/>
    </row>
    <row r="826" spans="5:5" x14ac:dyDescent="0.25">
      <c r="E826" s="101"/>
    </row>
    <row r="827" spans="5:5" x14ac:dyDescent="0.25">
      <c r="E827" s="101"/>
    </row>
    <row r="828" spans="5:5" x14ac:dyDescent="0.25">
      <c r="E828" s="101"/>
    </row>
    <row r="829" spans="5:5" x14ac:dyDescent="0.25">
      <c r="E829" s="101"/>
    </row>
    <row r="830" spans="5:5" x14ac:dyDescent="0.25">
      <c r="E830" s="101"/>
    </row>
    <row r="831" spans="5:5" x14ac:dyDescent="0.25">
      <c r="E831" s="101"/>
    </row>
    <row r="832" spans="5:5" x14ac:dyDescent="0.25">
      <c r="E832" s="101"/>
    </row>
    <row r="833" spans="5:5" x14ac:dyDescent="0.25">
      <c r="E833" s="101"/>
    </row>
    <row r="834" spans="5:5" x14ac:dyDescent="0.25">
      <c r="E834" s="101"/>
    </row>
    <row r="835" spans="5:5" x14ac:dyDescent="0.25">
      <c r="E835" s="101"/>
    </row>
    <row r="836" spans="5:5" x14ac:dyDescent="0.25">
      <c r="E836" s="101"/>
    </row>
    <row r="837" spans="5:5" x14ac:dyDescent="0.25">
      <c r="E837" s="101"/>
    </row>
    <row r="838" spans="5:5" x14ac:dyDescent="0.25">
      <c r="E838" s="101"/>
    </row>
    <row r="839" spans="5:5" x14ac:dyDescent="0.25">
      <c r="E839" s="101"/>
    </row>
    <row r="840" spans="5:5" x14ac:dyDescent="0.25">
      <c r="E840" s="101"/>
    </row>
    <row r="841" spans="5:5" x14ac:dyDescent="0.25">
      <c r="E841" s="101"/>
    </row>
    <row r="842" spans="5:5" x14ac:dyDescent="0.25">
      <c r="E842" s="101"/>
    </row>
    <row r="843" spans="5:5" x14ac:dyDescent="0.25">
      <c r="E843" s="101"/>
    </row>
    <row r="844" spans="5:5" x14ac:dyDescent="0.25">
      <c r="E844" s="101"/>
    </row>
    <row r="845" spans="5:5" x14ac:dyDescent="0.25">
      <c r="E845" s="101"/>
    </row>
    <row r="846" spans="5:5" x14ac:dyDescent="0.25">
      <c r="E846" s="101"/>
    </row>
    <row r="847" spans="5:5" x14ac:dyDescent="0.25">
      <c r="E847" s="101"/>
    </row>
    <row r="848" spans="5:5" x14ac:dyDescent="0.25">
      <c r="E848" s="101"/>
    </row>
    <row r="849" spans="5:5" x14ac:dyDescent="0.25">
      <c r="E849" s="101"/>
    </row>
    <row r="850" spans="5:5" x14ac:dyDescent="0.25">
      <c r="E850" s="101"/>
    </row>
    <row r="851" spans="5:5" x14ac:dyDescent="0.25">
      <c r="E851" s="101"/>
    </row>
    <row r="852" spans="5:5" x14ac:dyDescent="0.25">
      <c r="E852" s="101"/>
    </row>
    <row r="853" spans="5:5" x14ac:dyDescent="0.25">
      <c r="E853" s="101"/>
    </row>
    <row r="854" spans="5:5" x14ac:dyDescent="0.25">
      <c r="E854" s="101"/>
    </row>
    <row r="855" spans="5:5" x14ac:dyDescent="0.25">
      <c r="E855" s="101"/>
    </row>
    <row r="856" spans="5:5" x14ac:dyDescent="0.25">
      <c r="E856" s="101"/>
    </row>
    <row r="857" spans="5:5" x14ac:dyDescent="0.25">
      <c r="E857" s="101"/>
    </row>
    <row r="858" spans="5:5" x14ac:dyDescent="0.25">
      <c r="E858" s="101"/>
    </row>
    <row r="859" spans="5:5" x14ac:dyDescent="0.25">
      <c r="E859" s="101"/>
    </row>
    <row r="860" spans="5:5" x14ac:dyDescent="0.25">
      <c r="E860" s="101"/>
    </row>
    <row r="861" spans="5:5" x14ac:dyDescent="0.25">
      <c r="E861" s="101"/>
    </row>
    <row r="862" spans="5:5" x14ac:dyDescent="0.25">
      <c r="E862" s="101"/>
    </row>
    <row r="863" spans="5:5" x14ac:dyDescent="0.25">
      <c r="E863" s="101"/>
    </row>
    <row r="864" spans="5:5" x14ac:dyDescent="0.25">
      <c r="E864" s="101"/>
    </row>
    <row r="865" spans="5:5" x14ac:dyDescent="0.25">
      <c r="E865" s="101"/>
    </row>
    <row r="866" spans="5:5" x14ac:dyDescent="0.25">
      <c r="E866" s="101"/>
    </row>
    <row r="867" spans="5:5" x14ac:dyDescent="0.25">
      <c r="E867" s="101"/>
    </row>
    <row r="868" spans="5:5" x14ac:dyDescent="0.25">
      <c r="E868" s="101"/>
    </row>
    <row r="869" spans="5:5" x14ac:dyDescent="0.25">
      <c r="E869" s="101"/>
    </row>
    <row r="870" spans="5:5" x14ac:dyDescent="0.25">
      <c r="E870" s="101"/>
    </row>
    <row r="871" spans="5:5" x14ac:dyDescent="0.25">
      <c r="E871" s="101"/>
    </row>
    <row r="872" spans="5:5" x14ac:dyDescent="0.25">
      <c r="E872" s="101"/>
    </row>
    <row r="873" spans="5:5" x14ac:dyDescent="0.25">
      <c r="E873" s="101"/>
    </row>
    <row r="874" spans="5:5" x14ac:dyDescent="0.25">
      <c r="E874" s="101"/>
    </row>
    <row r="875" spans="5:5" x14ac:dyDescent="0.25">
      <c r="E875" s="101"/>
    </row>
    <row r="876" spans="5:5" x14ac:dyDescent="0.25">
      <c r="E876" s="101"/>
    </row>
    <row r="877" spans="5:5" x14ac:dyDescent="0.25">
      <c r="E877" s="101"/>
    </row>
    <row r="878" spans="5:5" x14ac:dyDescent="0.25">
      <c r="E878" s="101"/>
    </row>
    <row r="879" spans="5:5" x14ac:dyDescent="0.25">
      <c r="E879" s="101"/>
    </row>
    <row r="880" spans="5:5" x14ac:dyDescent="0.25">
      <c r="E880" s="101"/>
    </row>
    <row r="881" spans="5:5" x14ac:dyDescent="0.25">
      <c r="E881" s="101"/>
    </row>
    <row r="882" spans="5:5" x14ac:dyDescent="0.25">
      <c r="E882" s="101"/>
    </row>
    <row r="883" spans="5:5" x14ac:dyDescent="0.25">
      <c r="E883" s="101"/>
    </row>
    <row r="884" spans="5:5" x14ac:dyDescent="0.25">
      <c r="E884" s="101"/>
    </row>
    <row r="885" spans="5:5" x14ac:dyDescent="0.25">
      <c r="E885" s="101"/>
    </row>
    <row r="886" spans="5:5" x14ac:dyDescent="0.25">
      <c r="E886" s="101"/>
    </row>
    <row r="887" spans="5:5" x14ac:dyDescent="0.25">
      <c r="E887" s="101"/>
    </row>
    <row r="888" spans="5:5" x14ac:dyDescent="0.25">
      <c r="E888" s="101"/>
    </row>
    <row r="889" spans="5:5" x14ac:dyDescent="0.25">
      <c r="E889" s="101"/>
    </row>
    <row r="890" spans="5:5" x14ac:dyDescent="0.25">
      <c r="E890" s="101"/>
    </row>
    <row r="891" spans="5:5" x14ac:dyDescent="0.25">
      <c r="E891" s="101"/>
    </row>
    <row r="892" spans="5:5" x14ac:dyDescent="0.25">
      <c r="E892" s="101"/>
    </row>
    <row r="893" spans="5:5" x14ac:dyDescent="0.25">
      <c r="E893" s="101"/>
    </row>
    <row r="894" spans="5:5" x14ac:dyDescent="0.25">
      <c r="E894" s="101"/>
    </row>
    <row r="895" spans="5:5" x14ac:dyDescent="0.25">
      <c r="E895" s="101"/>
    </row>
    <row r="896" spans="5:5" x14ac:dyDescent="0.25">
      <c r="E896" s="101"/>
    </row>
    <row r="897" spans="5:5" x14ac:dyDescent="0.25">
      <c r="E897" s="101"/>
    </row>
    <row r="898" spans="5:5" x14ac:dyDescent="0.25">
      <c r="E898" s="101"/>
    </row>
    <row r="899" spans="5:5" x14ac:dyDescent="0.25">
      <c r="E899" s="101"/>
    </row>
    <row r="900" spans="5:5" x14ac:dyDescent="0.25">
      <c r="E900" s="101"/>
    </row>
    <row r="901" spans="5:5" x14ac:dyDescent="0.25">
      <c r="E901" s="101"/>
    </row>
    <row r="902" spans="5:5" x14ac:dyDescent="0.25">
      <c r="E902" s="101"/>
    </row>
    <row r="903" spans="5:5" x14ac:dyDescent="0.25">
      <c r="E903" s="101"/>
    </row>
    <row r="904" spans="5:5" x14ac:dyDescent="0.25">
      <c r="E904" s="101"/>
    </row>
    <row r="905" spans="5:5" x14ac:dyDescent="0.25">
      <c r="E905" s="101"/>
    </row>
    <row r="906" spans="5:5" x14ac:dyDescent="0.25">
      <c r="E906" s="101"/>
    </row>
    <row r="907" spans="5:5" x14ac:dyDescent="0.25">
      <c r="E907" s="101"/>
    </row>
    <row r="908" spans="5:5" x14ac:dyDescent="0.25">
      <c r="E908" s="101"/>
    </row>
    <row r="909" spans="5:5" x14ac:dyDescent="0.25">
      <c r="E909" s="101"/>
    </row>
    <row r="910" spans="5:5" x14ac:dyDescent="0.25">
      <c r="E910" s="101"/>
    </row>
    <row r="911" spans="5:5" x14ac:dyDescent="0.25">
      <c r="E911" s="101"/>
    </row>
    <row r="912" spans="5:5" x14ac:dyDescent="0.25">
      <c r="E912" s="101"/>
    </row>
    <row r="913" spans="5:5" x14ac:dyDescent="0.25">
      <c r="E913" s="101"/>
    </row>
    <row r="914" spans="5:5" x14ac:dyDescent="0.25">
      <c r="E914" s="101"/>
    </row>
    <row r="915" spans="5:5" x14ac:dyDescent="0.25">
      <c r="E915" s="101"/>
    </row>
    <row r="916" spans="5:5" x14ac:dyDescent="0.25">
      <c r="E916" s="101"/>
    </row>
    <row r="917" spans="5:5" x14ac:dyDescent="0.25">
      <c r="E917" s="101"/>
    </row>
    <row r="918" spans="5:5" x14ac:dyDescent="0.25">
      <c r="E918" s="101"/>
    </row>
    <row r="919" spans="5:5" x14ac:dyDescent="0.25">
      <c r="E919" s="101"/>
    </row>
    <row r="920" spans="5:5" x14ac:dyDescent="0.25">
      <c r="E920" s="101"/>
    </row>
    <row r="921" spans="5:5" x14ac:dyDescent="0.25">
      <c r="E921" s="101"/>
    </row>
    <row r="922" spans="5:5" x14ac:dyDescent="0.25">
      <c r="E922" s="101"/>
    </row>
    <row r="923" spans="5:5" x14ac:dyDescent="0.25">
      <c r="E923" s="101"/>
    </row>
    <row r="924" spans="5:5" x14ac:dyDescent="0.25">
      <c r="E924" s="101"/>
    </row>
    <row r="925" spans="5:5" x14ac:dyDescent="0.25">
      <c r="E925" s="101"/>
    </row>
    <row r="926" spans="5:5" x14ac:dyDescent="0.25">
      <c r="E926" s="101"/>
    </row>
    <row r="927" spans="5:5" x14ac:dyDescent="0.25">
      <c r="E927" s="101"/>
    </row>
    <row r="928" spans="5:5" x14ac:dyDescent="0.25">
      <c r="E928" s="101"/>
    </row>
    <row r="929" spans="5:5" x14ac:dyDescent="0.25">
      <c r="E929" s="101"/>
    </row>
    <row r="930" spans="5:5" x14ac:dyDescent="0.25">
      <c r="E930" s="101"/>
    </row>
    <row r="931" spans="5:5" x14ac:dyDescent="0.25">
      <c r="E931" s="101"/>
    </row>
    <row r="932" spans="5:5" x14ac:dyDescent="0.25">
      <c r="E932" s="101"/>
    </row>
    <row r="933" spans="5:5" x14ac:dyDescent="0.25">
      <c r="E933" s="101"/>
    </row>
    <row r="934" spans="5:5" x14ac:dyDescent="0.25">
      <c r="E934" s="101"/>
    </row>
    <row r="935" spans="5:5" x14ac:dyDescent="0.25">
      <c r="E935" s="101"/>
    </row>
    <row r="936" spans="5:5" x14ac:dyDescent="0.25">
      <c r="E936" s="101"/>
    </row>
    <row r="937" spans="5:5" x14ac:dyDescent="0.25">
      <c r="E937" s="101"/>
    </row>
    <row r="938" spans="5:5" x14ac:dyDescent="0.25">
      <c r="E938" s="101"/>
    </row>
    <row r="939" spans="5:5" x14ac:dyDescent="0.25">
      <c r="E939" s="101"/>
    </row>
    <row r="940" spans="5:5" x14ac:dyDescent="0.25">
      <c r="E940" s="101"/>
    </row>
    <row r="941" spans="5:5" x14ac:dyDescent="0.25">
      <c r="E941" s="101"/>
    </row>
    <row r="942" spans="5:5" x14ac:dyDescent="0.25">
      <c r="E942" s="101"/>
    </row>
    <row r="943" spans="5:5" x14ac:dyDescent="0.25">
      <c r="E943" s="101"/>
    </row>
    <row r="944" spans="5:5" x14ac:dyDescent="0.25">
      <c r="E944" s="101"/>
    </row>
    <row r="945" spans="5:5" x14ac:dyDescent="0.25">
      <c r="E945" s="101"/>
    </row>
    <row r="946" spans="5:5" x14ac:dyDescent="0.25">
      <c r="E946" s="101"/>
    </row>
    <row r="947" spans="5:5" x14ac:dyDescent="0.25">
      <c r="E947" s="101"/>
    </row>
    <row r="948" spans="5:5" x14ac:dyDescent="0.25">
      <c r="E948" s="101"/>
    </row>
    <row r="949" spans="5:5" x14ac:dyDescent="0.25">
      <c r="E949" s="101"/>
    </row>
    <row r="950" spans="5:5" x14ac:dyDescent="0.25">
      <c r="E950" s="101"/>
    </row>
    <row r="951" spans="5:5" x14ac:dyDescent="0.25">
      <c r="E951" s="101"/>
    </row>
    <row r="952" spans="5:5" x14ac:dyDescent="0.25">
      <c r="E952" s="101"/>
    </row>
    <row r="953" spans="5:5" x14ac:dyDescent="0.25">
      <c r="E953" s="101"/>
    </row>
    <row r="954" spans="5:5" x14ac:dyDescent="0.25">
      <c r="E954" s="101"/>
    </row>
    <row r="955" spans="5:5" x14ac:dyDescent="0.25">
      <c r="E955" s="101"/>
    </row>
    <row r="956" spans="5:5" x14ac:dyDescent="0.25">
      <c r="E956" s="101"/>
    </row>
    <row r="957" spans="5:5" x14ac:dyDescent="0.25">
      <c r="E957" s="101"/>
    </row>
    <row r="958" spans="5:5" x14ac:dyDescent="0.25">
      <c r="E958" s="101"/>
    </row>
    <row r="959" spans="5:5" x14ac:dyDescent="0.25">
      <c r="E959" s="101"/>
    </row>
    <row r="960" spans="5:5" x14ac:dyDescent="0.25">
      <c r="E960" s="101"/>
    </row>
    <row r="961" spans="5:5" x14ac:dyDescent="0.25">
      <c r="E961" s="101"/>
    </row>
    <row r="962" spans="5:5" x14ac:dyDescent="0.25">
      <c r="E962" s="101"/>
    </row>
    <row r="963" spans="5:5" x14ac:dyDescent="0.25">
      <c r="E963" s="101"/>
    </row>
    <row r="964" spans="5:5" x14ac:dyDescent="0.25">
      <c r="E964" s="101"/>
    </row>
    <row r="965" spans="5:5" x14ac:dyDescent="0.25">
      <c r="E965" s="101"/>
    </row>
    <row r="966" spans="5:5" x14ac:dyDescent="0.25">
      <c r="E966" s="101"/>
    </row>
    <row r="967" spans="5:5" x14ac:dyDescent="0.25">
      <c r="E967" s="101"/>
    </row>
    <row r="968" spans="5:5" x14ac:dyDescent="0.25">
      <c r="E968" s="101"/>
    </row>
    <row r="969" spans="5:5" x14ac:dyDescent="0.25">
      <c r="E969" s="101"/>
    </row>
    <row r="970" spans="5:5" x14ac:dyDescent="0.25">
      <c r="E970" s="101"/>
    </row>
    <row r="971" spans="5:5" x14ac:dyDescent="0.25">
      <c r="E971" s="101"/>
    </row>
    <row r="972" spans="5:5" x14ac:dyDescent="0.25">
      <c r="E972" s="101"/>
    </row>
    <row r="973" spans="5:5" x14ac:dyDescent="0.25">
      <c r="E973" s="101"/>
    </row>
    <row r="974" spans="5:5" x14ac:dyDescent="0.25">
      <c r="E974" s="101"/>
    </row>
    <row r="975" spans="5:5" x14ac:dyDescent="0.25">
      <c r="E975" s="101"/>
    </row>
    <row r="976" spans="5:5" x14ac:dyDescent="0.25">
      <c r="E976" s="101"/>
    </row>
    <row r="977" spans="5:5" x14ac:dyDescent="0.25">
      <c r="E977" s="101"/>
    </row>
    <row r="978" spans="5:5" x14ac:dyDescent="0.25">
      <c r="E978" s="101"/>
    </row>
    <row r="979" spans="5:5" x14ac:dyDescent="0.25">
      <c r="E979" s="101"/>
    </row>
    <row r="980" spans="5:5" x14ac:dyDescent="0.25">
      <c r="E980" s="101"/>
    </row>
    <row r="981" spans="5:5" x14ac:dyDescent="0.25">
      <c r="E981" s="101"/>
    </row>
    <row r="982" spans="5:5" x14ac:dyDescent="0.25">
      <c r="E982" s="101"/>
    </row>
  </sheetData>
  <customSheetViews>
    <customSheetView guid="{B6B32F45-A9D9-479B-AD0E-29A61458D679}">
      <selection activeCell="J37" sqref="J37"/>
      <pageMargins left="0.7" right="0.7" top="0.75" bottom="0.75" header="0.3" footer="0.3"/>
    </customSheetView>
  </customSheetViews>
  <mergeCells count="4">
    <mergeCell ref="A1:A2"/>
    <mergeCell ref="B1:B2"/>
    <mergeCell ref="E1:F1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F21" sqref="F21"/>
    </sheetView>
  </sheetViews>
  <sheetFormatPr defaultColWidth="9.140625" defaultRowHeight="15" x14ac:dyDescent="0.25"/>
  <cols>
    <col min="1" max="1" width="18.85546875" style="94" customWidth="1"/>
    <col min="2" max="16384" width="9.140625" style="94"/>
  </cols>
  <sheetData>
    <row r="1" spans="1:5" x14ac:dyDescent="0.2">
      <c r="A1" s="104" t="str">
        <f>[2]analyse!K35</f>
        <v>Agr. Inputs</v>
      </c>
      <c r="B1" s="104" t="str">
        <f>[2]analyse!L35</f>
        <v>CSR</v>
      </c>
      <c r="C1" s="104" t="str">
        <f>[2]analyse!M35</f>
        <v>PSR</v>
      </c>
      <c r="D1" s="104" t="str">
        <f>[2]analyse!N35</f>
        <v>SB</v>
      </c>
      <c r="E1" s="104" t="str">
        <f>[2]analyse!O35</f>
        <v>SRT</v>
      </c>
    </row>
    <row r="2" spans="1:5" x14ac:dyDescent="0.2">
      <c r="A2" s="104" t="s">
        <v>295</v>
      </c>
      <c r="B2" s="105">
        <f>[2]analyse!L36</f>
        <v>518.95333333333338</v>
      </c>
      <c r="C2" s="105">
        <f>[2]analyse!M36</f>
        <v>557.51333333333332</v>
      </c>
      <c r="D2" s="105">
        <f>[2]analyse!N36</f>
        <v>498.49666666666661</v>
      </c>
      <c r="E2" s="105">
        <f>[2]analyse!O36</f>
        <v>535.53666666666663</v>
      </c>
    </row>
    <row r="3" spans="1:5" x14ac:dyDescent="0.2">
      <c r="A3" s="104" t="str">
        <f>[2]analyse!K37</f>
        <v>Seeds (kg ha-1)</v>
      </c>
      <c r="B3" s="106">
        <f>[2]analyse!L37</f>
        <v>14.833333333333334</v>
      </c>
      <c r="C3" s="106">
        <f>[2]analyse!M37</f>
        <v>14.833333333333334</v>
      </c>
      <c r="D3" s="106">
        <f>[2]analyse!N37</f>
        <v>14.833333333333334</v>
      </c>
      <c r="E3" s="106">
        <f>B3</f>
        <v>14.833333333333334</v>
      </c>
    </row>
    <row r="4" spans="1:5" x14ac:dyDescent="0.2">
      <c r="A4" s="104" t="s">
        <v>296</v>
      </c>
      <c r="B4" s="105">
        <f>'[3]FERTILIZER APPLICATION'!N28</f>
        <v>249.8302140093185</v>
      </c>
      <c r="C4" s="105">
        <f>B4</f>
        <v>249.8302140093185</v>
      </c>
      <c r="D4" s="105">
        <f t="shared" ref="D4:E5" si="0">C4</f>
        <v>249.8302140093185</v>
      </c>
      <c r="E4" s="105">
        <f t="shared" si="0"/>
        <v>249.8302140093185</v>
      </c>
    </row>
    <row r="5" spans="1:5" x14ac:dyDescent="0.2">
      <c r="A5" s="104" t="s">
        <v>297</v>
      </c>
      <c r="B5" s="105">
        <f>'[3]FERTILIZER APPLICATION'!N29</f>
        <v>238.44902471768148</v>
      </c>
      <c r="C5" s="105">
        <f>B5</f>
        <v>238.44902471768148</v>
      </c>
      <c r="D5" s="105">
        <f t="shared" si="0"/>
        <v>238.44902471768148</v>
      </c>
      <c r="E5" s="105">
        <f t="shared" si="0"/>
        <v>238.44902471768148</v>
      </c>
    </row>
    <row r="6" spans="1:5" x14ac:dyDescent="0.2">
      <c r="A6" s="104" t="s">
        <v>298</v>
      </c>
      <c r="B6" s="106">
        <v>1.5</v>
      </c>
      <c r="C6" s="106">
        <v>1.5</v>
      </c>
      <c r="D6" s="106">
        <v>1.5</v>
      </c>
      <c r="E6" s="106">
        <v>1.5</v>
      </c>
    </row>
    <row r="7" spans="1:5" x14ac:dyDescent="0.2">
      <c r="A7" s="104"/>
      <c r="B7" s="104"/>
      <c r="C7" s="104"/>
      <c r="D7" s="104"/>
      <c r="E7" s="104"/>
    </row>
  </sheetData>
  <customSheetViews>
    <customSheetView guid="{B6B32F45-A9D9-479B-AD0E-29A61458D679}">
      <selection activeCell="F21" sqref="F2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08"/>
  <sheetViews>
    <sheetView topLeftCell="A59" zoomScale="111" workbookViewId="0">
      <selection activeCell="G112" sqref="G112"/>
    </sheetView>
  </sheetViews>
  <sheetFormatPr defaultColWidth="14.42578125" defaultRowHeight="15.75" customHeight="1" x14ac:dyDescent="0.25"/>
  <cols>
    <col min="1" max="1" width="25.140625" style="314" customWidth="1"/>
    <col min="2" max="2" width="14.42578125" style="314"/>
    <col min="3" max="3" width="20" style="314" customWidth="1"/>
    <col min="4" max="4" width="14.42578125" style="314"/>
    <col min="5" max="5" width="25.28515625" style="314" customWidth="1"/>
    <col min="6" max="6" width="14" style="314" customWidth="1"/>
    <col min="7" max="7" width="10.42578125" style="314" customWidth="1"/>
    <col min="8" max="8" width="20.42578125" style="314" customWidth="1"/>
    <col min="9" max="10" width="14.42578125" style="314"/>
    <col min="11" max="11" width="15.42578125" style="314" customWidth="1"/>
    <col min="12" max="12" width="10.7109375" style="314" customWidth="1"/>
    <col min="13" max="15" width="14.42578125" style="314"/>
    <col min="16" max="16" width="19.7109375" style="314" customWidth="1"/>
    <col min="17" max="18" width="14.42578125" style="314"/>
    <col min="19" max="19" width="16.85546875" style="314" customWidth="1"/>
    <col min="20" max="20" width="23.140625" style="314" customWidth="1"/>
    <col min="21" max="16384" width="14.42578125" style="314"/>
  </cols>
  <sheetData>
    <row r="1" spans="1:24" ht="30" x14ac:dyDescent="0.25">
      <c r="A1" s="313" t="s">
        <v>299</v>
      </c>
      <c r="H1" s="315" t="s">
        <v>392</v>
      </c>
      <c r="I1" s="316"/>
      <c r="J1" s="316"/>
      <c r="K1" s="545" t="s">
        <v>393</v>
      </c>
      <c r="L1" s="546"/>
      <c r="M1" s="547" t="s">
        <v>394</v>
      </c>
      <c r="N1" s="548"/>
      <c r="O1" s="549"/>
      <c r="P1" s="317"/>
      <c r="Q1" s="318" t="s">
        <v>395</v>
      </c>
      <c r="R1" s="318"/>
      <c r="S1" s="318"/>
      <c r="T1" s="319"/>
      <c r="U1" s="320" t="s">
        <v>396</v>
      </c>
      <c r="V1" s="320" t="s">
        <v>397</v>
      </c>
      <c r="W1" s="320" t="s">
        <v>398</v>
      </c>
      <c r="X1" s="321"/>
    </row>
    <row r="2" spans="1:24" ht="15" x14ac:dyDescent="0.2">
      <c r="A2" s="322" t="s">
        <v>300</v>
      </c>
      <c r="B2" s="323">
        <v>42184</v>
      </c>
      <c r="C2" s="324" t="s">
        <v>301</v>
      </c>
      <c r="D2" s="325" t="s">
        <v>302</v>
      </c>
      <c r="E2" s="326">
        <v>42174</v>
      </c>
      <c r="H2" s="327" t="s">
        <v>300</v>
      </c>
      <c r="I2" s="328">
        <f>E2+30</f>
        <v>42204</v>
      </c>
      <c r="K2" s="329" t="s">
        <v>300</v>
      </c>
      <c r="L2" s="330">
        <f>E2+45</f>
        <v>42219</v>
      </c>
      <c r="M2" s="331" t="s">
        <v>300</v>
      </c>
      <c r="N2" s="332">
        <v>42207</v>
      </c>
      <c r="O2" s="333" t="s">
        <v>399</v>
      </c>
      <c r="P2" s="317"/>
      <c r="Q2" s="318" t="s">
        <v>300</v>
      </c>
      <c r="R2" s="334">
        <v>42216</v>
      </c>
      <c r="S2" s="318" t="s">
        <v>400</v>
      </c>
      <c r="T2" s="319"/>
      <c r="U2" s="319"/>
      <c r="V2" s="319"/>
      <c r="W2" s="319"/>
    </row>
    <row r="3" spans="1:24" ht="15" x14ac:dyDescent="0.2">
      <c r="A3" s="335" t="s">
        <v>305</v>
      </c>
      <c r="B3" s="336" t="s">
        <v>306</v>
      </c>
      <c r="C3" s="337"/>
      <c r="D3" s="338"/>
      <c r="E3" s="339"/>
      <c r="H3" s="340" t="s">
        <v>401</v>
      </c>
      <c r="I3" s="341" t="s">
        <v>325</v>
      </c>
      <c r="K3" s="341" t="s">
        <v>401</v>
      </c>
      <c r="L3" s="342" t="s">
        <v>325</v>
      </c>
      <c r="M3" s="331" t="s">
        <v>305</v>
      </c>
      <c r="N3" s="333" t="s">
        <v>402</v>
      </c>
      <c r="O3" s="333">
        <v>25</v>
      </c>
      <c r="P3" s="317"/>
      <c r="Q3" s="318" t="s">
        <v>305</v>
      </c>
      <c r="R3" s="318" t="s">
        <v>402</v>
      </c>
      <c r="S3" s="318">
        <v>22</v>
      </c>
      <c r="T3" s="319"/>
      <c r="U3" s="319"/>
      <c r="V3" s="319"/>
      <c r="W3" s="319"/>
    </row>
    <row r="4" spans="1:24" ht="15" x14ac:dyDescent="0.2">
      <c r="A4" s="343" t="s">
        <v>403</v>
      </c>
      <c r="B4" s="336">
        <f>200-39</f>
        <v>161</v>
      </c>
      <c r="C4" s="337" t="s">
        <v>309</v>
      </c>
      <c r="D4" s="550" t="s">
        <v>332</v>
      </c>
      <c r="E4" s="551"/>
      <c r="H4" s="341" t="s">
        <v>404</v>
      </c>
      <c r="I4" s="341">
        <v>35</v>
      </c>
      <c r="K4" s="341">
        <v>35</v>
      </c>
      <c r="M4" s="333"/>
      <c r="N4" s="344" t="s">
        <v>405</v>
      </c>
      <c r="O4" s="333">
        <f>O3*0.46</f>
        <v>11.5</v>
      </c>
      <c r="P4" s="345"/>
      <c r="Q4" s="318"/>
      <c r="R4" s="318" t="s">
        <v>405</v>
      </c>
      <c r="S4" s="318">
        <f>22*0.46</f>
        <v>10.120000000000001</v>
      </c>
      <c r="T4" s="319" t="s">
        <v>406</v>
      </c>
      <c r="U4" s="346">
        <f>(U5/0.63)*0.46</f>
        <v>46.292063492063491</v>
      </c>
      <c r="V4" s="346">
        <f>I4-U4</f>
        <v>-11.292063492063491</v>
      </c>
      <c r="W4" s="347">
        <f>V4+K4</f>
        <v>23.707936507936509</v>
      </c>
    </row>
    <row r="5" spans="1:24" ht="15" x14ac:dyDescent="0.2">
      <c r="A5" s="348" t="s">
        <v>407</v>
      </c>
      <c r="B5" s="337">
        <v>17.510000000000002</v>
      </c>
      <c r="C5" s="337" t="s">
        <v>309</v>
      </c>
      <c r="D5" s="349">
        <f>(B7/1000)/(B11/60)</f>
        <v>0.33153867951260985</v>
      </c>
      <c r="E5" s="339" t="s">
        <v>188</v>
      </c>
      <c r="H5" s="340" t="s">
        <v>408</v>
      </c>
      <c r="I5" s="350">
        <f>35/0.46</f>
        <v>76.086956521739125</v>
      </c>
      <c r="K5" s="341" t="s">
        <v>409</v>
      </c>
      <c r="L5" s="351">
        <f>35/0.46</f>
        <v>76.086956521739125</v>
      </c>
      <c r="M5" s="344" t="s">
        <v>313</v>
      </c>
      <c r="N5" s="333">
        <v>2</v>
      </c>
      <c r="O5" s="333"/>
      <c r="P5" s="317"/>
      <c r="Q5" s="318"/>
      <c r="R5" s="318" t="s">
        <v>313</v>
      </c>
      <c r="S5" s="318" t="s">
        <v>410</v>
      </c>
      <c r="T5" s="319" t="s">
        <v>402</v>
      </c>
      <c r="U5" s="346">
        <f>F68+O3+S3</f>
        <v>63.4</v>
      </c>
      <c r="V5" s="346">
        <f t="shared" ref="V5:W5" si="0">V4/0.46</f>
        <v>-24.5479641131815</v>
      </c>
      <c r="W5" s="347">
        <f t="shared" si="0"/>
        <v>51.538992408557625</v>
      </c>
    </row>
    <row r="6" spans="1:24" ht="15" customHeight="1" x14ac:dyDescent="0.2">
      <c r="A6" s="348" t="s">
        <v>411</v>
      </c>
      <c r="B6" s="352">
        <f>B4-B5</f>
        <v>143.49</v>
      </c>
      <c r="C6" s="337"/>
      <c r="D6" s="339"/>
      <c r="E6" s="339"/>
      <c r="H6" s="353" t="s">
        <v>412</v>
      </c>
      <c r="I6" s="350">
        <f>I5*0.63</f>
        <v>47.934782608695649</v>
      </c>
      <c r="K6" s="321" t="s">
        <v>412</v>
      </c>
      <c r="L6" s="351">
        <f>L5*0.63</f>
        <v>47.934782608695649</v>
      </c>
      <c r="M6" s="354" t="s">
        <v>413</v>
      </c>
      <c r="N6" s="355">
        <v>25</v>
      </c>
      <c r="O6" s="356" t="s">
        <v>414</v>
      </c>
      <c r="P6" s="317"/>
      <c r="Q6" s="318"/>
      <c r="R6" s="318"/>
      <c r="S6" s="318"/>
      <c r="T6" s="319"/>
      <c r="U6" s="319"/>
      <c r="V6" s="319"/>
      <c r="W6" s="319"/>
    </row>
    <row r="7" spans="1:24" ht="15" x14ac:dyDescent="0.2">
      <c r="A7" s="343" t="s">
        <v>311</v>
      </c>
      <c r="B7" s="336">
        <v>390</v>
      </c>
      <c r="C7" s="337" t="s">
        <v>187</v>
      </c>
      <c r="D7" s="338"/>
      <c r="E7" s="357"/>
      <c r="F7" s="358"/>
      <c r="G7" s="358"/>
      <c r="H7" s="340"/>
      <c r="L7" s="359"/>
      <c r="M7" s="317"/>
      <c r="N7" s="317"/>
      <c r="O7" s="317"/>
      <c r="P7" s="360"/>
    </row>
    <row r="8" spans="1:24" ht="21" customHeight="1" x14ac:dyDescent="0.2">
      <c r="A8" s="361" t="s">
        <v>415</v>
      </c>
      <c r="B8" s="336" t="s">
        <v>416</v>
      </c>
      <c r="C8" s="337"/>
      <c r="D8" s="362"/>
      <c r="E8" s="357"/>
      <c r="F8" s="358"/>
      <c r="G8" s="358"/>
      <c r="H8" s="363"/>
      <c r="I8" s="364"/>
      <c r="J8" s="364"/>
      <c r="K8" s="364"/>
      <c r="L8" s="365"/>
      <c r="M8" s="341"/>
      <c r="O8" s="341"/>
      <c r="Q8" s="328"/>
      <c r="R8" s="538" t="s">
        <v>417</v>
      </c>
      <c r="S8" s="539"/>
      <c r="T8" s="366" t="s">
        <v>418</v>
      </c>
      <c r="U8" s="367" t="s">
        <v>396</v>
      </c>
      <c r="V8" s="367" t="s">
        <v>397</v>
      </c>
      <c r="W8" s="367" t="s">
        <v>398</v>
      </c>
    </row>
    <row r="9" spans="1:24" ht="15" x14ac:dyDescent="0.2">
      <c r="A9" s="368" t="s">
        <v>419</v>
      </c>
      <c r="B9" s="369">
        <v>5</v>
      </c>
      <c r="C9" s="370"/>
      <c r="D9" s="362"/>
      <c r="E9" s="371"/>
      <c r="F9" s="358"/>
      <c r="G9" s="358"/>
      <c r="H9" s="341"/>
      <c r="R9" s="538"/>
      <c r="S9" s="539"/>
      <c r="T9" s="372"/>
      <c r="U9" s="372"/>
      <c r="V9" s="372"/>
      <c r="W9" s="372"/>
    </row>
    <row r="10" spans="1:24" ht="15" x14ac:dyDescent="0.2">
      <c r="A10" s="373" t="s">
        <v>420</v>
      </c>
      <c r="B10" s="369">
        <v>449.3</v>
      </c>
      <c r="C10" s="374" t="s">
        <v>421</v>
      </c>
      <c r="D10" s="375"/>
      <c r="E10" s="375"/>
      <c r="F10" s="358"/>
      <c r="G10" s="358"/>
      <c r="H10" s="341"/>
      <c r="R10" s="376" t="s">
        <v>422</v>
      </c>
      <c r="S10" s="376">
        <f>I4*0.63</f>
        <v>22.05</v>
      </c>
      <c r="T10" s="372" t="s">
        <v>406</v>
      </c>
      <c r="U10" s="377">
        <f>U12*0.46</f>
        <v>29.164000000000001</v>
      </c>
      <c r="V10" s="377">
        <f>(35*0.63)-U10</f>
        <v>-7.1140000000000008</v>
      </c>
      <c r="W10" s="378">
        <f>(35*0.63)+V10</f>
        <v>14.936</v>
      </c>
    </row>
    <row r="11" spans="1:24" ht="18" x14ac:dyDescent="0.2">
      <c r="A11" s="379" t="s">
        <v>413</v>
      </c>
      <c r="B11" s="380">
        <v>70.58</v>
      </c>
      <c r="C11" s="381" t="s">
        <v>414</v>
      </c>
      <c r="D11" s="375"/>
      <c r="E11" s="375"/>
      <c r="F11" s="375"/>
      <c r="G11" s="375"/>
      <c r="H11" s="382"/>
      <c r="J11" s="383"/>
      <c r="R11" s="376"/>
      <c r="S11" s="376"/>
      <c r="T11" s="372"/>
      <c r="U11" s="372" t="s">
        <v>423</v>
      </c>
      <c r="V11" s="377">
        <f>S10-U10</f>
        <v>-7.1140000000000008</v>
      </c>
      <c r="W11" s="378">
        <f>S12+V11</f>
        <v>14.936</v>
      </c>
    </row>
    <row r="12" spans="1:24" ht="25.5" x14ac:dyDescent="0.25">
      <c r="A12" s="540" t="s">
        <v>180</v>
      </c>
      <c r="B12" s="541" t="s">
        <v>181</v>
      </c>
      <c r="C12" s="358" t="s">
        <v>182</v>
      </c>
      <c r="D12" s="542" t="s">
        <v>314</v>
      </c>
      <c r="E12" s="539"/>
      <c r="F12" s="375" t="s">
        <v>315</v>
      </c>
      <c r="G12" s="375"/>
      <c r="H12" s="382" t="s">
        <v>424</v>
      </c>
      <c r="J12" s="383" t="s">
        <v>425</v>
      </c>
      <c r="R12" s="376" t="s">
        <v>426</v>
      </c>
      <c r="S12" s="376">
        <f>K4*0.63</f>
        <v>22.05</v>
      </c>
      <c r="T12" s="372" t="s">
        <v>402</v>
      </c>
      <c r="U12" s="377">
        <f>F68+O3+S3</f>
        <v>63.4</v>
      </c>
      <c r="V12" s="377">
        <f t="shared" ref="V12" si="1">V10/0.46</f>
        <v>-15.465217391304348</v>
      </c>
      <c r="W12" s="378">
        <f>W10/0.46</f>
        <v>32.469565217391306</v>
      </c>
      <c r="X12" s="350">
        <f>SUM(W10:W12)</f>
        <v>62.341565217391306</v>
      </c>
    </row>
    <row r="13" spans="1:24" ht="39" x14ac:dyDescent="0.25">
      <c r="A13" s="539"/>
      <c r="B13" s="539"/>
      <c r="C13" s="358" t="s">
        <v>186</v>
      </c>
      <c r="D13" s="384" t="s">
        <v>427</v>
      </c>
      <c r="E13" s="384" t="s">
        <v>317</v>
      </c>
      <c r="F13" s="384" t="s">
        <v>318</v>
      </c>
      <c r="G13" s="384"/>
      <c r="H13" s="384" t="s">
        <v>428</v>
      </c>
      <c r="J13" s="385" t="s">
        <v>429</v>
      </c>
      <c r="K13" s="386" t="s">
        <v>430</v>
      </c>
      <c r="L13" s="387"/>
      <c r="M13" s="386" t="s">
        <v>431</v>
      </c>
      <c r="N13" s="388"/>
      <c r="R13" s="317"/>
      <c r="S13" s="317"/>
      <c r="T13" s="317"/>
      <c r="U13" s="317"/>
      <c r="V13" s="317"/>
      <c r="W13" s="317"/>
    </row>
    <row r="14" spans="1:24" ht="29.1" x14ac:dyDescent="0.2">
      <c r="A14" s="389">
        <v>1</v>
      </c>
      <c r="B14" s="389" t="s">
        <v>141</v>
      </c>
      <c r="C14" s="390">
        <v>5.0610000000000002E-2</v>
      </c>
      <c r="D14" s="391">
        <v>108.48</v>
      </c>
      <c r="E14" s="391">
        <f>D14/3600</f>
        <v>3.0133333333333335E-2</v>
      </c>
      <c r="F14" s="392">
        <f>($B$6/$C$26)*C14</f>
        <v>11.469681592039803</v>
      </c>
      <c r="G14" s="350"/>
      <c r="H14" s="390">
        <f t="shared" ref="H14:H25" si="2">D$5*C14*1000</f>
        <v>16.779172570133184</v>
      </c>
      <c r="J14" s="393">
        <f>F14+F17+F24</f>
        <v>35.490517223406783</v>
      </c>
      <c r="K14" s="350">
        <f>C14+C17+C24</f>
        <v>0.15660200000000002</v>
      </c>
      <c r="L14" s="350"/>
      <c r="M14" s="350">
        <f>SUM(H24+H17+H14)</f>
        <v>51.91962028903373</v>
      </c>
      <c r="N14" s="394" t="s">
        <v>141</v>
      </c>
      <c r="S14" s="395"/>
      <c r="T14" s="396" t="s">
        <v>432</v>
      </c>
      <c r="U14" s="397" t="s">
        <v>433</v>
      </c>
      <c r="V14" s="396" t="s">
        <v>434</v>
      </c>
      <c r="W14" s="398" t="s">
        <v>435</v>
      </c>
    </row>
    <row r="15" spans="1:24" ht="15" x14ac:dyDescent="0.2">
      <c r="A15" s="389">
        <v>2</v>
      </c>
      <c r="B15" s="389" t="s">
        <v>5</v>
      </c>
      <c r="C15" s="390">
        <v>5.9285999999999998E-2</v>
      </c>
      <c r="D15" s="391">
        <v>91.82</v>
      </c>
      <c r="E15" s="391">
        <f t="shared" ref="E15:E25" si="3">D15/3600</f>
        <v>2.5505555555555552E-2</v>
      </c>
      <c r="F15" s="392">
        <f t="shared" ref="F15:F25" si="4">($B$6/$C$26)*C15</f>
        <v>13.435912722103769</v>
      </c>
      <c r="G15" s="350"/>
      <c r="H15" s="390">
        <f t="shared" si="2"/>
        <v>19.655602153584589</v>
      </c>
      <c r="J15" s="393">
        <f>F15+F23+F25</f>
        <v>38.933687988628293</v>
      </c>
      <c r="K15" s="350">
        <f>C15+C23+C25</f>
        <v>0.17179499999999998</v>
      </c>
      <c r="L15" s="350"/>
      <c r="M15" s="350">
        <f>SUM(H15+H23+H25)</f>
        <v>56.956687446868813</v>
      </c>
      <c r="N15" s="394" t="s">
        <v>5</v>
      </c>
      <c r="S15" s="399" t="s">
        <v>436</v>
      </c>
      <c r="T15" s="400">
        <f>F27</f>
        <v>143.49</v>
      </c>
      <c r="U15" s="400">
        <f>F68+L46+S3</f>
        <v>63.4</v>
      </c>
      <c r="V15" s="400">
        <f>F97+L74</f>
        <v>60.78</v>
      </c>
      <c r="W15" s="401"/>
      <c r="X15" s="341"/>
    </row>
    <row r="16" spans="1:24" ht="15" x14ac:dyDescent="0.2">
      <c r="A16" s="389">
        <v>3</v>
      </c>
      <c r="B16" s="389" t="s">
        <v>70</v>
      </c>
      <c r="C16" s="390">
        <v>4.5790000000000004E-2</v>
      </c>
      <c r="D16" s="391">
        <v>101.16</v>
      </c>
      <c r="E16" s="391">
        <f t="shared" si="3"/>
        <v>2.81E-2</v>
      </c>
      <c r="F16" s="392">
        <f t="shared" si="4"/>
        <v>10.377330964226489</v>
      </c>
      <c r="G16" s="350"/>
      <c r="H16" s="390">
        <f t="shared" si="2"/>
        <v>15.181156134882407</v>
      </c>
      <c r="J16" s="393">
        <f>F16+F18+F20</f>
        <v>32.755334707415315</v>
      </c>
      <c r="K16" s="350">
        <f>C16+C18+C20</f>
        <v>0.14453299999999999</v>
      </c>
      <c r="L16" s="350"/>
      <c r="M16" s="350">
        <f>SUM(H16+H18+H20)</f>
        <v>47.918279965996049</v>
      </c>
      <c r="N16" s="394" t="s">
        <v>70</v>
      </c>
      <c r="R16" s="341"/>
      <c r="S16" s="399" t="s">
        <v>437</v>
      </c>
      <c r="T16" s="400">
        <f>T15*0.14</f>
        <v>20.088600000000003</v>
      </c>
      <c r="U16" s="400">
        <f t="shared" ref="U16:V16" si="5">U15*0.46</f>
        <v>29.164000000000001</v>
      </c>
      <c r="V16" s="400">
        <f t="shared" si="5"/>
        <v>27.9588</v>
      </c>
      <c r="W16" s="402">
        <f>SUM(T16:V16)</f>
        <v>77.211399999999998</v>
      </c>
    </row>
    <row r="17" spans="1:23" ht="15" x14ac:dyDescent="0.2">
      <c r="A17" s="389">
        <v>4</v>
      </c>
      <c r="B17" s="389" t="s">
        <v>141</v>
      </c>
      <c r="C17" s="390">
        <v>5.7840000000000009E-2</v>
      </c>
      <c r="D17" s="391">
        <v>103.02</v>
      </c>
      <c r="E17" s="391">
        <f t="shared" si="3"/>
        <v>2.8616666666666665E-2</v>
      </c>
      <c r="F17" s="392">
        <f t="shared" si="4"/>
        <v>13.108207533759776</v>
      </c>
      <c r="G17" s="350"/>
      <c r="H17" s="390">
        <f t="shared" si="2"/>
        <v>19.176197223009357</v>
      </c>
      <c r="J17" s="340"/>
      <c r="L17" s="350"/>
      <c r="M17" s="350"/>
      <c r="N17" s="394"/>
      <c r="R17" s="341"/>
      <c r="S17" s="403" t="s">
        <v>438</v>
      </c>
      <c r="T17" s="404"/>
      <c r="U17" s="404" t="s">
        <v>439</v>
      </c>
      <c r="V17" s="404"/>
      <c r="W17" s="405">
        <f>(30+35+35)*0.63</f>
        <v>63</v>
      </c>
    </row>
    <row r="18" spans="1:23" ht="15" x14ac:dyDescent="0.2">
      <c r="A18" s="389">
        <v>5</v>
      </c>
      <c r="B18" s="389" t="s">
        <v>70</v>
      </c>
      <c r="C18" s="390">
        <v>5.0128000000000006E-2</v>
      </c>
      <c r="D18" s="391">
        <v>104.26</v>
      </c>
      <c r="E18" s="391">
        <f t="shared" si="3"/>
        <v>2.8961111111111111E-2</v>
      </c>
      <c r="F18" s="392">
        <f t="shared" si="4"/>
        <v>11.360446529258473</v>
      </c>
      <c r="G18" s="350"/>
      <c r="H18" s="390">
        <f t="shared" si="2"/>
        <v>16.619370926608109</v>
      </c>
      <c r="J18" s="340"/>
      <c r="L18" s="350"/>
      <c r="M18" s="350"/>
      <c r="N18" s="394"/>
      <c r="S18" s="406" t="s">
        <v>440</v>
      </c>
      <c r="T18" s="406"/>
      <c r="U18" s="406"/>
      <c r="V18" s="406"/>
      <c r="W18" s="400">
        <f>T15*0.14</f>
        <v>20.088600000000003</v>
      </c>
    </row>
    <row r="19" spans="1:23" ht="15" x14ac:dyDescent="0.2">
      <c r="A19" s="389">
        <v>6</v>
      </c>
      <c r="B19" s="389" t="s">
        <v>149</v>
      </c>
      <c r="C19" s="390">
        <v>5.9285999999999998E-2</v>
      </c>
      <c r="D19" s="391">
        <v>95.03</v>
      </c>
      <c r="E19" s="391">
        <f t="shared" si="3"/>
        <v>2.6397222222222221E-2</v>
      </c>
      <c r="F19" s="392">
        <f t="shared" si="4"/>
        <v>13.435912722103769</v>
      </c>
      <c r="G19" s="350"/>
      <c r="H19" s="390">
        <f t="shared" si="2"/>
        <v>19.655602153584589</v>
      </c>
      <c r="J19" s="393">
        <f>F19+F21+F22</f>
        <v>36.310460080549639</v>
      </c>
      <c r="K19" s="350">
        <f>C19+C21+C22</f>
        <v>0.16022</v>
      </c>
      <c r="L19" s="350"/>
      <c r="M19" s="350">
        <f>SUM(H19+H21+H22)</f>
        <v>53.119127231510348</v>
      </c>
      <c r="N19" s="394" t="s">
        <v>149</v>
      </c>
    </row>
    <row r="20" spans="1:23" ht="15" x14ac:dyDescent="0.2">
      <c r="A20" s="389">
        <v>7</v>
      </c>
      <c r="B20" s="389" t="s">
        <v>70</v>
      </c>
      <c r="C20" s="390">
        <v>4.8614999999999998E-2</v>
      </c>
      <c r="D20" s="391">
        <v>91.69</v>
      </c>
      <c r="E20" s="391">
        <f t="shared" si="3"/>
        <v>2.5469444444444444E-2</v>
      </c>
      <c r="F20" s="392">
        <f t="shared" si="4"/>
        <v>11.017557213930349</v>
      </c>
      <c r="G20" s="350"/>
      <c r="H20" s="390">
        <f t="shared" si="2"/>
        <v>16.117752904505529</v>
      </c>
      <c r="J20" s="340"/>
      <c r="L20" s="350">
        <f>SUM(L14:L19)</f>
        <v>0</v>
      </c>
      <c r="N20" s="359"/>
    </row>
    <row r="21" spans="1:23" ht="15" x14ac:dyDescent="0.2">
      <c r="A21" s="389">
        <v>8</v>
      </c>
      <c r="B21" s="389" t="s">
        <v>149</v>
      </c>
      <c r="C21" s="390">
        <v>5.6949E-2</v>
      </c>
      <c r="D21" s="391">
        <v>84.85</v>
      </c>
      <c r="E21" s="391">
        <f t="shared" si="3"/>
        <v>2.3569444444444441E-2</v>
      </c>
      <c r="F21" s="392">
        <f t="shared" si="4"/>
        <v>12.906281307746982</v>
      </c>
      <c r="G21" s="350"/>
      <c r="H21" s="390">
        <f t="shared" si="2"/>
        <v>18.880796259563621</v>
      </c>
      <c r="J21" s="340"/>
      <c r="M21" s="350">
        <f>SUM(M14:M19)</f>
        <v>209.91371493340893</v>
      </c>
      <c r="N21" s="359"/>
      <c r="S21" s="341"/>
      <c r="T21" s="341"/>
      <c r="U21" s="341"/>
    </row>
    <row r="22" spans="1:23" ht="15" x14ac:dyDescent="0.2">
      <c r="A22" s="389">
        <v>9</v>
      </c>
      <c r="B22" s="389" t="s">
        <v>149</v>
      </c>
      <c r="C22" s="390">
        <v>4.3984999999999996E-2</v>
      </c>
      <c r="D22" s="391">
        <v>89.51</v>
      </c>
      <c r="E22" s="391">
        <f t="shared" si="3"/>
        <v>2.486388888888889E-2</v>
      </c>
      <c r="F22" s="392">
        <f t="shared" si="4"/>
        <v>9.9682660506988867</v>
      </c>
      <c r="G22" s="350"/>
      <c r="H22" s="390">
        <f t="shared" si="2"/>
        <v>14.582728818362144</v>
      </c>
      <c r="J22" s="340"/>
      <c r="N22" s="359"/>
    </row>
    <row r="23" spans="1:23" ht="15" x14ac:dyDescent="0.2">
      <c r="A23" s="389">
        <v>10</v>
      </c>
      <c r="B23" s="389" t="s">
        <v>5</v>
      </c>
      <c r="C23" s="390">
        <v>5.5559999999999991E-2</v>
      </c>
      <c r="D23" s="391">
        <v>90.74</v>
      </c>
      <c r="E23" s="391">
        <f t="shared" si="3"/>
        <v>2.5205555555555554E-2</v>
      </c>
      <c r="F23" s="392">
        <f t="shared" si="4"/>
        <v>12.591493958777541</v>
      </c>
      <c r="G23" s="350"/>
      <c r="H23" s="390">
        <f t="shared" si="2"/>
        <v>18.4202890337206</v>
      </c>
      <c r="J23" s="363"/>
      <c r="K23" s="364"/>
      <c r="L23" s="364"/>
      <c r="M23" s="364"/>
      <c r="N23" s="365"/>
    </row>
    <row r="24" spans="1:23" ht="15" x14ac:dyDescent="0.2">
      <c r="A24" s="389">
        <v>11</v>
      </c>
      <c r="B24" s="389" t="s">
        <v>141</v>
      </c>
      <c r="C24" s="390">
        <v>4.8152E-2</v>
      </c>
      <c r="D24" s="391">
        <v>101.87</v>
      </c>
      <c r="E24" s="391">
        <f>D24/3600</f>
        <v>2.8297222222222224E-2</v>
      </c>
      <c r="F24" s="392">
        <f t="shared" si="4"/>
        <v>10.912628097607204</v>
      </c>
      <c r="G24" s="350"/>
      <c r="H24" s="390">
        <f t="shared" si="2"/>
        <v>15.964250495891189</v>
      </c>
    </row>
    <row r="25" spans="1:23" ht="15" x14ac:dyDescent="0.2">
      <c r="A25" s="389">
        <v>12</v>
      </c>
      <c r="B25" s="389" t="s">
        <v>5</v>
      </c>
      <c r="C25" s="390">
        <v>5.6949E-2</v>
      </c>
      <c r="D25" s="391">
        <v>87.25</v>
      </c>
      <c r="E25" s="391">
        <f t="shared" si="3"/>
        <v>2.4236111111111111E-2</v>
      </c>
      <c r="F25" s="392">
        <f t="shared" si="4"/>
        <v>12.906281307746982</v>
      </c>
      <c r="G25" s="350"/>
      <c r="H25" s="390">
        <f t="shared" si="2"/>
        <v>18.880796259563621</v>
      </c>
    </row>
    <row r="26" spans="1:23" ht="15" x14ac:dyDescent="0.2">
      <c r="C26" s="350">
        <f>SUM(C14:C25)</f>
        <v>0.63314999999999999</v>
      </c>
      <c r="E26" s="407">
        <f>SUM(E14:E25)</f>
        <v>0.3193555555555555</v>
      </c>
      <c r="H26" s="408">
        <f>SUM(H14:H25)</f>
        <v>209.91371493340893</v>
      </c>
      <c r="L26" s="384" t="s">
        <v>441</v>
      </c>
      <c r="M26" s="384" t="s">
        <v>442</v>
      </c>
      <c r="N26" s="384" t="s">
        <v>443</v>
      </c>
    </row>
    <row r="27" spans="1:23" ht="15" x14ac:dyDescent="0.2">
      <c r="D27" s="409" t="s">
        <v>322</v>
      </c>
      <c r="E27" s="409"/>
      <c r="F27" s="410">
        <f>SUM(F14:F25)</f>
        <v>143.49</v>
      </c>
      <c r="G27" s="411"/>
      <c r="K27" s="314">
        <f>F27*0.14</f>
        <v>20.088600000000003</v>
      </c>
      <c r="L27" s="350">
        <f>K27/C26</f>
        <v>31.72802653399669</v>
      </c>
      <c r="M27" s="350">
        <f t="shared" ref="M27:N27" si="6">L27</f>
        <v>31.72802653399669</v>
      </c>
      <c r="N27" s="350">
        <f t="shared" si="6"/>
        <v>31.72802653399669</v>
      </c>
    </row>
    <row r="28" spans="1:23" ht="15" x14ac:dyDescent="0.2">
      <c r="D28" s="412" t="s">
        <v>444</v>
      </c>
      <c r="E28" s="413"/>
      <c r="F28" s="414">
        <f>B4-F27</f>
        <v>17.509999999999991</v>
      </c>
      <c r="G28" s="415"/>
    </row>
    <row r="29" spans="1:23" ht="15" x14ac:dyDescent="0.2">
      <c r="E29" s="416" t="s">
        <v>445</v>
      </c>
      <c r="F29" s="314">
        <f>F27/C26</f>
        <v>226.6287609571192</v>
      </c>
      <c r="G29" s="417">
        <f>F29*0.14</f>
        <v>31.72802653399669</v>
      </c>
      <c r="H29" s="416" t="s">
        <v>446</v>
      </c>
    </row>
    <row r="33" spans="1:15" ht="15" x14ac:dyDescent="0.2">
      <c r="A33" s="418"/>
      <c r="B33" s="419"/>
      <c r="C33" s="419"/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20"/>
    </row>
    <row r="34" spans="1:15" ht="23.1" x14ac:dyDescent="0.25">
      <c r="A34" s="421" t="s">
        <v>447</v>
      </c>
      <c r="O34" s="422"/>
    </row>
    <row r="35" spans="1:15" ht="15" x14ac:dyDescent="0.2">
      <c r="A35" s="423"/>
      <c r="O35" s="422"/>
    </row>
    <row r="36" spans="1:15" ht="15" x14ac:dyDescent="0.2">
      <c r="A36" s="424"/>
      <c r="O36" s="422"/>
    </row>
    <row r="37" spans="1:15" ht="15" x14ac:dyDescent="0.2">
      <c r="A37" s="424" t="s">
        <v>448</v>
      </c>
      <c r="B37" s="329" t="s">
        <v>449</v>
      </c>
      <c r="C37" s="329" t="s">
        <v>450</v>
      </c>
      <c r="D37" s="329" t="s">
        <v>451</v>
      </c>
      <c r="E37" s="329" t="s">
        <v>452</v>
      </c>
      <c r="O37" s="422"/>
    </row>
    <row r="38" spans="1:15" ht="15" x14ac:dyDescent="0.2">
      <c r="A38" s="423" t="s">
        <v>453</v>
      </c>
      <c r="B38" s="341" t="s">
        <v>454</v>
      </c>
      <c r="C38" s="341" t="s">
        <v>455</v>
      </c>
      <c r="D38" s="341" t="s">
        <v>456</v>
      </c>
      <c r="E38" s="341">
        <v>750</v>
      </c>
      <c r="O38" s="422"/>
    </row>
    <row r="39" spans="1:15" ht="15" x14ac:dyDescent="0.2">
      <c r="A39" s="425"/>
      <c r="B39" s="426" t="s">
        <v>457</v>
      </c>
      <c r="C39" s="426" t="s">
        <v>458</v>
      </c>
      <c r="D39" s="426" t="s">
        <v>459</v>
      </c>
      <c r="E39" s="426">
        <v>900</v>
      </c>
      <c r="F39" s="426"/>
      <c r="G39" s="426"/>
      <c r="H39" s="426"/>
      <c r="I39" s="426"/>
      <c r="J39" s="426"/>
      <c r="K39" s="426"/>
      <c r="L39" s="426"/>
      <c r="M39" s="426"/>
      <c r="N39" s="426"/>
      <c r="O39" s="427"/>
    </row>
    <row r="41" spans="1:15" ht="18.95" x14ac:dyDescent="0.2">
      <c r="A41" s="428" t="s">
        <v>460</v>
      </c>
      <c r="B41" s="419"/>
      <c r="C41" s="419"/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20"/>
    </row>
    <row r="42" spans="1:15" ht="18.95" x14ac:dyDescent="0.2">
      <c r="A42" s="429"/>
      <c r="B42" s="341"/>
      <c r="C42" s="341"/>
      <c r="D42" s="341"/>
      <c r="E42" s="341"/>
      <c r="F42" s="341"/>
      <c r="G42" s="341"/>
      <c r="H42" s="341"/>
      <c r="I42" s="341"/>
      <c r="J42" s="341"/>
      <c r="K42" s="341"/>
      <c r="L42" s="341"/>
      <c r="M42" s="341"/>
      <c r="N42" s="341"/>
      <c r="O42" s="422"/>
    </row>
    <row r="43" spans="1:15" ht="15" x14ac:dyDescent="0.2">
      <c r="A43" s="430" t="s">
        <v>300</v>
      </c>
      <c r="B43" s="323">
        <v>42206</v>
      </c>
      <c r="C43" s="324" t="s">
        <v>461</v>
      </c>
      <c r="D43" s="325" t="s">
        <v>302</v>
      </c>
      <c r="E43" s="326">
        <v>42174</v>
      </c>
      <c r="F43" s="341"/>
      <c r="G43" s="341"/>
      <c r="H43" s="341"/>
      <c r="I43" s="341"/>
      <c r="J43" s="341"/>
      <c r="K43" s="341"/>
      <c r="L43" s="341"/>
      <c r="M43" s="341"/>
      <c r="N43" s="341"/>
      <c r="O43" s="422"/>
    </row>
    <row r="44" spans="1:15" ht="15" x14ac:dyDescent="0.2">
      <c r="A44" s="431" t="s">
        <v>305</v>
      </c>
      <c r="B44" s="336" t="s">
        <v>325</v>
      </c>
      <c r="C44" s="337"/>
      <c r="D44" s="338"/>
      <c r="E44" s="339"/>
      <c r="J44" s="315" t="s">
        <v>462</v>
      </c>
      <c r="K44" s="432"/>
      <c r="L44" s="432"/>
      <c r="M44" s="433"/>
      <c r="O44" s="422"/>
    </row>
    <row r="45" spans="1:15" ht="29.1" x14ac:dyDescent="0.2">
      <c r="A45" s="343" t="s">
        <v>403</v>
      </c>
      <c r="B45" s="336">
        <v>21</v>
      </c>
      <c r="C45" s="337" t="s">
        <v>309</v>
      </c>
      <c r="D45" s="434" t="s">
        <v>332</v>
      </c>
      <c r="E45" s="359"/>
      <c r="J45" s="340"/>
      <c r="M45" s="359"/>
      <c r="O45" s="422"/>
    </row>
    <row r="46" spans="1:15" ht="15" x14ac:dyDescent="0.2">
      <c r="A46" s="348" t="s">
        <v>407</v>
      </c>
      <c r="B46" s="337">
        <v>4.5999999999999996</v>
      </c>
      <c r="C46" s="337" t="s">
        <v>309</v>
      </c>
      <c r="D46" s="349">
        <f>(B48/1000)/(B52/60)</f>
        <v>1.115587232723892</v>
      </c>
      <c r="E46" s="339" t="s">
        <v>197</v>
      </c>
      <c r="J46" s="340" t="s">
        <v>463</v>
      </c>
      <c r="L46" s="341">
        <v>25</v>
      </c>
      <c r="M46" s="359" t="s">
        <v>309</v>
      </c>
      <c r="O46" s="422"/>
    </row>
    <row r="47" spans="1:15" ht="15" x14ac:dyDescent="0.2">
      <c r="A47" s="348" t="s">
        <v>411</v>
      </c>
      <c r="B47" s="337">
        <v>16.399999999999999</v>
      </c>
      <c r="C47" s="337"/>
      <c r="D47" s="338"/>
      <c r="E47" s="339"/>
      <c r="J47" s="340" t="s">
        <v>464</v>
      </c>
      <c r="L47" s="314">
        <f>25*0.46</f>
        <v>11.5</v>
      </c>
      <c r="M47" s="359"/>
      <c r="O47" s="422"/>
    </row>
    <row r="48" spans="1:15" ht="15" x14ac:dyDescent="0.2">
      <c r="A48" s="435" t="s">
        <v>311</v>
      </c>
      <c r="B48" s="336">
        <v>600</v>
      </c>
      <c r="C48" s="337" t="s">
        <v>187</v>
      </c>
      <c r="D48" s="362"/>
      <c r="E48" s="357"/>
      <c r="J48" s="340" t="s">
        <v>313</v>
      </c>
      <c r="L48" s="341">
        <v>2</v>
      </c>
      <c r="M48" s="359"/>
      <c r="O48" s="422"/>
    </row>
    <row r="49" spans="1:15" ht="15" x14ac:dyDescent="0.2">
      <c r="A49" s="436" t="s">
        <v>415</v>
      </c>
      <c r="B49" s="336" t="s">
        <v>465</v>
      </c>
      <c r="C49" s="337"/>
      <c r="D49" s="362"/>
      <c r="E49" s="357"/>
      <c r="H49" s="437">
        <f>21-F68</f>
        <v>4.6000000000000014</v>
      </c>
      <c r="J49" s="340" t="s">
        <v>466</v>
      </c>
      <c r="L49" s="341">
        <v>25</v>
      </c>
      <c r="M49" s="359" t="s">
        <v>414</v>
      </c>
      <c r="O49" s="422"/>
    </row>
    <row r="50" spans="1:15" ht="15" x14ac:dyDescent="0.2">
      <c r="A50" s="438" t="s">
        <v>419</v>
      </c>
      <c r="B50" s="369">
        <v>4</v>
      </c>
      <c r="C50" s="370">
        <v>1000</v>
      </c>
      <c r="D50" s="362"/>
      <c r="E50" s="357"/>
      <c r="J50" s="363"/>
      <c r="K50" s="364"/>
      <c r="L50" s="364"/>
      <c r="M50" s="365"/>
      <c r="O50" s="422"/>
    </row>
    <row r="51" spans="1:15" ht="15" x14ac:dyDescent="0.2">
      <c r="A51" s="439" t="s">
        <v>420</v>
      </c>
      <c r="B51" s="369">
        <v>25.91</v>
      </c>
      <c r="C51" s="374" t="s">
        <v>467</v>
      </c>
      <c r="D51" s="362"/>
      <c r="E51" s="357"/>
      <c r="O51" s="422"/>
    </row>
    <row r="52" spans="1:15" ht="18" x14ac:dyDescent="0.2">
      <c r="A52" s="440" t="s">
        <v>413</v>
      </c>
      <c r="B52" s="380">
        <f>32.27</f>
        <v>32.270000000000003</v>
      </c>
      <c r="C52" s="381" t="s">
        <v>414</v>
      </c>
      <c r="D52" s="362"/>
      <c r="E52" s="357"/>
      <c r="J52" s="383"/>
      <c r="O52" s="422"/>
    </row>
    <row r="53" spans="1:15" ht="18" x14ac:dyDescent="0.2">
      <c r="J53" s="383" t="s">
        <v>425</v>
      </c>
      <c r="O53" s="422"/>
    </row>
    <row r="54" spans="1:15" ht="39" x14ac:dyDescent="0.25">
      <c r="A54" s="543" t="s">
        <v>180</v>
      </c>
      <c r="B54" s="541" t="s">
        <v>181</v>
      </c>
      <c r="C54" s="358" t="s">
        <v>182</v>
      </c>
      <c r="D54" s="542" t="s">
        <v>314</v>
      </c>
      <c r="E54" s="539"/>
      <c r="F54" s="375" t="s">
        <v>315</v>
      </c>
      <c r="G54" s="375"/>
      <c r="H54" s="382" t="s">
        <v>424</v>
      </c>
      <c r="J54" s="385" t="s">
        <v>429</v>
      </c>
      <c r="K54" s="386" t="s">
        <v>430</v>
      </c>
      <c r="L54" s="387"/>
      <c r="M54" s="386" t="s">
        <v>431</v>
      </c>
      <c r="N54" s="388"/>
      <c r="O54" s="422"/>
    </row>
    <row r="55" spans="1:15" ht="15" x14ac:dyDescent="0.25">
      <c r="A55" s="544"/>
      <c r="B55" s="539"/>
      <c r="C55" s="358" t="s">
        <v>186</v>
      </c>
      <c r="D55" s="384" t="s">
        <v>427</v>
      </c>
      <c r="E55" s="384" t="s">
        <v>317</v>
      </c>
      <c r="F55" s="384" t="s">
        <v>318</v>
      </c>
      <c r="G55" s="384"/>
      <c r="H55" s="384" t="s">
        <v>187</v>
      </c>
      <c r="J55" s="393">
        <f>F56+F59+F66</f>
        <v>4.0563417831477535</v>
      </c>
      <c r="K55" s="350">
        <f t="shared" ref="K55:K60" si="7">K14</f>
        <v>0.15660200000000002</v>
      </c>
      <c r="L55" s="350"/>
      <c r="M55" s="350">
        <f>H56+H59+H66</f>
        <v>105.81654787728539</v>
      </c>
      <c r="N55" s="394" t="s">
        <v>141</v>
      </c>
      <c r="O55" s="422"/>
    </row>
    <row r="56" spans="1:15" ht="15" x14ac:dyDescent="0.2">
      <c r="A56" s="441">
        <v>1</v>
      </c>
      <c r="B56" s="389" t="s">
        <v>141</v>
      </c>
      <c r="C56" s="390">
        <v>5.0610000000000002E-2</v>
      </c>
      <c r="D56" s="391">
        <v>131.22</v>
      </c>
      <c r="E56" s="391">
        <f t="shared" ref="E56:E67" si="8">D56/3600</f>
        <v>3.6449999999999996E-2</v>
      </c>
      <c r="F56" s="392">
        <f>($B$47/$C$68)*C56</f>
        <v>1.3109121061359867</v>
      </c>
      <c r="G56" s="350"/>
      <c r="H56" s="350">
        <f t="shared" ref="H56:H67" si="9">D$46*E56*1000</f>
        <v>40.663154632785862</v>
      </c>
      <c r="J56" s="393">
        <f>F57+F67+F65</f>
        <v>4.4498744373371242</v>
      </c>
      <c r="K56" s="350">
        <f t="shared" si="7"/>
        <v>0.17179499999999998</v>
      </c>
      <c r="L56" s="350"/>
      <c r="M56" s="350">
        <f>H57+H65+H67</f>
        <v>103.71552525565541</v>
      </c>
      <c r="N56" s="394" t="s">
        <v>5</v>
      </c>
      <c r="O56" s="422"/>
    </row>
    <row r="57" spans="1:15" ht="15" x14ac:dyDescent="0.2">
      <c r="A57" s="441">
        <v>2</v>
      </c>
      <c r="B57" s="389" t="s">
        <v>5</v>
      </c>
      <c r="C57" s="390">
        <v>5.9285999999999998E-2</v>
      </c>
      <c r="D57" s="391">
        <f>51.1+62.84</f>
        <v>113.94</v>
      </c>
      <c r="E57" s="391">
        <f t="shared" si="8"/>
        <v>3.1649999999999998E-2</v>
      </c>
      <c r="F57" s="392">
        <f t="shared" ref="F57:F67" si="10">($B$47/$C$68)*C57</f>
        <v>1.5356398957592987</v>
      </c>
      <c r="G57" s="350"/>
      <c r="H57" s="350">
        <f t="shared" si="9"/>
        <v>35.308335915711183</v>
      </c>
      <c r="J57" s="393">
        <f>F491+F60+F62</f>
        <v>2.557664376530048</v>
      </c>
      <c r="K57" s="350">
        <f t="shared" si="7"/>
        <v>0.14453299999999999</v>
      </c>
      <c r="L57" s="350"/>
      <c r="M57" s="350">
        <f>H58+H62+H60</f>
        <v>100.38115897118067</v>
      </c>
      <c r="N57" s="394" t="s">
        <v>70</v>
      </c>
      <c r="O57" s="422"/>
    </row>
    <row r="58" spans="1:15" ht="15" x14ac:dyDescent="0.2">
      <c r="A58" s="441">
        <v>3</v>
      </c>
      <c r="B58" s="389" t="s">
        <v>70</v>
      </c>
      <c r="C58" s="390">
        <v>4.5790000000000004E-2</v>
      </c>
      <c r="D58" s="391">
        <f>56.59+54.35</f>
        <v>110.94</v>
      </c>
      <c r="E58" s="391">
        <f t="shared" si="8"/>
        <v>3.0816666666666666E-2</v>
      </c>
      <c r="F58" s="392">
        <f>($B$47/$C$68)*C58</f>
        <v>1.1860633341230358</v>
      </c>
      <c r="G58" s="350"/>
      <c r="H58" s="350">
        <f t="shared" si="9"/>
        <v>34.378679888441276</v>
      </c>
      <c r="J58" s="340"/>
      <c r="K58" s="314">
        <f t="shared" si="7"/>
        <v>0</v>
      </c>
      <c r="L58" s="350"/>
      <c r="M58" s="350"/>
      <c r="N58" s="394"/>
      <c r="O58" s="422"/>
    </row>
    <row r="59" spans="1:15" ht="15" x14ac:dyDescent="0.2">
      <c r="A59" s="441">
        <v>4</v>
      </c>
      <c r="B59" s="389" t="s">
        <v>141</v>
      </c>
      <c r="C59" s="390">
        <v>5.7840000000000009E-2</v>
      </c>
      <c r="D59" s="391">
        <f>61.37+52.94</f>
        <v>114.31</v>
      </c>
      <c r="E59" s="391">
        <f t="shared" si="8"/>
        <v>3.1752777777777776E-2</v>
      </c>
      <c r="F59" s="392">
        <f t="shared" si="10"/>
        <v>1.4981852641554136</v>
      </c>
      <c r="G59" s="350"/>
      <c r="H59" s="350">
        <f t="shared" si="9"/>
        <v>35.422993492407805</v>
      </c>
      <c r="J59" s="340"/>
      <c r="K59" s="314">
        <f t="shared" si="7"/>
        <v>0</v>
      </c>
      <c r="L59" s="350"/>
      <c r="M59" s="350"/>
      <c r="N59" s="394"/>
      <c r="O59" s="422"/>
    </row>
    <row r="60" spans="1:15" ht="15" x14ac:dyDescent="0.2">
      <c r="A60" s="441">
        <v>5</v>
      </c>
      <c r="B60" s="389" t="s">
        <v>70</v>
      </c>
      <c r="C60" s="390">
        <v>5.0128000000000006E-2</v>
      </c>
      <c r="D60" s="391">
        <f>58.12+57.53</f>
        <v>115.65</v>
      </c>
      <c r="E60" s="391">
        <f t="shared" si="8"/>
        <v>3.2125000000000001E-2</v>
      </c>
      <c r="F60" s="392">
        <f t="shared" si="10"/>
        <v>1.2984272289346916</v>
      </c>
      <c r="G60" s="350"/>
      <c r="H60" s="350">
        <f t="shared" si="9"/>
        <v>35.838239851255032</v>
      </c>
      <c r="J60" s="393">
        <f>F61+F63+F64</f>
        <v>4.1500560688620389</v>
      </c>
      <c r="K60" s="350">
        <f t="shared" si="7"/>
        <v>0.16022</v>
      </c>
      <c r="L60" s="350"/>
      <c r="M60" s="350">
        <f>H61+H63+H64</f>
        <v>106.73380849085837</v>
      </c>
      <c r="N60" s="394" t="s">
        <v>149</v>
      </c>
      <c r="O60" s="422"/>
    </row>
    <row r="61" spans="1:15" ht="15" x14ac:dyDescent="0.2">
      <c r="A61" s="441">
        <v>6</v>
      </c>
      <c r="B61" s="389" t="s">
        <v>149</v>
      </c>
      <c r="C61" s="390">
        <v>5.9285999999999998E-2</v>
      </c>
      <c r="D61" s="391">
        <f>68.25+50.59</f>
        <v>118.84</v>
      </c>
      <c r="E61" s="391">
        <f t="shared" si="8"/>
        <v>3.3011111111111109E-2</v>
      </c>
      <c r="F61" s="392">
        <f t="shared" si="10"/>
        <v>1.5356398957592987</v>
      </c>
      <c r="G61" s="350"/>
      <c r="H61" s="350">
        <f t="shared" si="9"/>
        <v>36.826774093585371</v>
      </c>
      <c r="J61" s="340"/>
      <c r="N61" s="359"/>
      <c r="O61" s="422"/>
    </row>
    <row r="62" spans="1:15" ht="15" x14ac:dyDescent="0.2">
      <c r="A62" s="441">
        <v>7</v>
      </c>
      <c r="B62" s="389" t="s">
        <v>70</v>
      </c>
      <c r="C62" s="390">
        <v>4.8614999999999998E-2</v>
      </c>
      <c r="D62" s="391">
        <f>49.84+47.5</f>
        <v>97.34</v>
      </c>
      <c r="E62" s="391">
        <f t="shared" si="8"/>
        <v>2.703888888888889E-2</v>
      </c>
      <c r="F62" s="392">
        <f t="shared" si="10"/>
        <v>1.2592371475953565</v>
      </c>
      <c r="G62" s="350"/>
      <c r="H62" s="350">
        <f t="shared" si="9"/>
        <v>30.164239231484348</v>
      </c>
      <c r="J62" s="340"/>
      <c r="N62" s="359"/>
      <c r="O62" s="422"/>
    </row>
    <row r="63" spans="1:15" ht="15" x14ac:dyDescent="0.2">
      <c r="A63" s="441">
        <v>8</v>
      </c>
      <c r="B63" s="389" t="s">
        <v>149</v>
      </c>
      <c r="C63" s="390">
        <v>5.6949E-2</v>
      </c>
      <c r="D63" s="391">
        <f>55.56+57.16</f>
        <v>112.72</v>
      </c>
      <c r="E63" s="391">
        <f t="shared" si="8"/>
        <v>3.1311111111111109E-2</v>
      </c>
      <c r="F63" s="392">
        <f t="shared" si="10"/>
        <v>1.4751063728974176</v>
      </c>
      <c r="G63" s="350"/>
      <c r="H63" s="350">
        <f t="shared" si="9"/>
        <v>34.930275797954749</v>
      </c>
      <c r="J63" s="340"/>
      <c r="K63" s="329" t="s">
        <v>441</v>
      </c>
      <c r="L63" s="350">
        <f>F68*0.46/C26</f>
        <v>11.915028034431019</v>
      </c>
      <c r="N63" s="359"/>
      <c r="O63" s="422"/>
    </row>
    <row r="64" spans="1:15" ht="15" x14ac:dyDescent="0.2">
      <c r="A64" s="441">
        <v>9</v>
      </c>
      <c r="B64" s="389" t="s">
        <v>149</v>
      </c>
      <c r="C64" s="390">
        <v>4.3984999999999996E-2</v>
      </c>
      <c r="D64" s="391">
        <f>52.21+60.66</f>
        <v>112.87</v>
      </c>
      <c r="E64" s="391">
        <f t="shared" si="8"/>
        <v>3.1352777777777778E-2</v>
      </c>
      <c r="F64" s="392">
        <f t="shared" si="10"/>
        <v>1.1393098002053224</v>
      </c>
      <c r="G64" s="350"/>
      <c r="H64" s="350">
        <f t="shared" si="9"/>
        <v>34.976758599318252</v>
      </c>
      <c r="J64" s="363"/>
      <c r="K64" s="364"/>
      <c r="L64" s="364"/>
      <c r="M64" s="364"/>
      <c r="N64" s="365"/>
      <c r="O64" s="422"/>
    </row>
    <row r="65" spans="1:15" ht="15" x14ac:dyDescent="0.2">
      <c r="A65" s="441">
        <v>10</v>
      </c>
      <c r="B65" s="389" t="s">
        <v>5</v>
      </c>
      <c r="C65" s="390">
        <v>5.5559999999999991E-2</v>
      </c>
      <c r="D65" s="391">
        <f>52.62+52.53</f>
        <v>105.15</v>
      </c>
      <c r="E65" s="391">
        <f t="shared" si="8"/>
        <v>2.9208333333333336E-2</v>
      </c>
      <c r="F65" s="392">
        <f t="shared" si="10"/>
        <v>1.4391281686804072</v>
      </c>
      <c r="G65" s="350"/>
      <c r="H65" s="350">
        <f t="shared" si="9"/>
        <v>32.584443755810348</v>
      </c>
      <c r="O65" s="422"/>
    </row>
    <row r="66" spans="1:15" ht="15" x14ac:dyDescent="0.2">
      <c r="A66" s="441">
        <v>11</v>
      </c>
      <c r="B66" s="389" t="s">
        <v>141</v>
      </c>
      <c r="C66" s="390">
        <v>4.8152E-2</v>
      </c>
      <c r="D66" s="391">
        <f>50.97+44.97</f>
        <v>95.94</v>
      </c>
      <c r="E66" s="391">
        <f t="shared" si="8"/>
        <v>2.665E-2</v>
      </c>
      <c r="F66" s="392">
        <f t="shared" si="10"/>
        <v>1.2472444128563531</v>
      </c>
      <c r="G66" s="350"/>
      <c r="H66" s="350">
        <f t="shared" si="9"/>
        <v>29.730399752091724</v>
      </c>
      <c r="O66" s="422"/>
    </row>
    <row r="67" spans="1:15" ht="15" x14ac:dyDescent="0.2">
      <c r="A67" s="441">
        <v>12</v>
      </c>
      <c r="B67" s="389" t="s">
        <v>5</v>
      </c>
      <c r="C67" s="390">
        <v>5.6949E-2</v>
      </c>
      <c r="D67" s="391">
        <f>59.37+56.23</f>
        <v>115.6</v>
      </c>
      <c r="E67" s="391">
        <f t="shared" si="8"/>
        <v>3.2111111111111111E-2</v>
      </c>
      <c r="F67" s="392">
        <f t="shared" si="10"/>
        <v>1.4751063728974176</v>
      </c>
      <c r="G67" s="350"/>
      <c r="H67" s="350">
        <f t="shared" si="9"/>
        <v>35.82274558413387</v>
      </c>
      <c r="O67" s="422"/>
    </row>
    <row r="68" spans="1:15" ht="15" x14ac:dyDescent="0.2">
      <c r="A68" s="423"/>
      <c r="C68" s="437">
        <f>SUM(C56:C67)</f>
        <v>0.63314999999999999</v>
      </c>
      <c r="D68" s="442" t="s">
        <v>468</v>
      </c>
      <c r="E68" s="409"/>
      <c r="F68" s="410">
        <f>SUM(F56:F67)</f>
        <v>16.399999999999999</v>
      </c>
      <c r="G68" s="411"/>
      <c r="H68" s="350">
        <f>SUM(H56:H67)</f>
        <v>416.64704059497984</v>
      </c>
      <c r="O68" s="422"/>
    </row>
    <row r="69" spans="1:15" ht="15" x14ac:dyDescent="0.2">
      <c r="A69" s="425"/>
      <c r="B69" s="426"/>
      <c r="C69" s="426"/>
      <c r="D69" s="426"/>
      <c r="E69" s="443"/>
      <c r="F69" s="426"/>
      <c r="G69" s="426"/>
      <c r="H69" s="426"/>
      <c r="I69" s="426"/>
      <c r="J69" s="426"/>
      <c r="K69" s="426"/>
      <c r="L69" s="426"/>
      <c r="M69" s="426"/>
      <c r="N69" s="426"/>
      <c r="O69" s="427"/>
    </row>
    <row r="70" spans="1:15" ht="15" x14ac:dyDescent="0.2">
      <c r="E70" s="444" t="s">
        <v>469</v>
      </c>
      <c r="F70" s="445">
        <f>F68/C68</f>
        <v>25.902234857458737</v>
      </c>
      <c r="G70" s="445">
        <f>F70*0.46</f>
        <v>11.915028034431019</v>
      </c>
      <c r="H70" s="416" t="s">
        <v>470</v>
      </c>
    </row>
    <row r="71" spans="1:15" ht="15" x14ac:dyDescent="0.2">
      <c r="A71" s="418"/>
      <c r="B71" s="419"/>
      <c r="C71" s="419"/>
      <c r="D71" s="419"/>
      <c r="E71" s="419"/>
      <c r="F71" s="419"/>
      <c r="G71" s="419"/>
      <c r="H71" s="419"/>
      <c r="I71" s="419"/>
      <c r="J71" s="419"/>
      <c r="K71" s="419"/>
      <c r="L71" s="419"/>
      <c r="M71" s="419"/>
      <c r="N71" s="419"/>
      <c r="O71" s="420"/>
    </row>
    <row r="72" spans="1:15" ht="23.1" x14ac:dyDescent="0.25">
      <c r="A72" s="421" t="s">
        <v>471</v>
      </c>
      <c r="J72" s="315" t="s">
        <v>462</v>
      </c>
      <c r="K72" s="432"/>
      <c r="L72" s="432"/>
      <c r="M72" s="433"/>
      <c r="O72" s="422"/>
    </row>
    <row r="73" spans="1:15" ht="15" x14ac:dyDescent="0.2">
      <c r="A73" s="430" t="s">
        <v>300</v>
      </c>
      <c r="B73" s="323">
        <v>42221</v>
      </c>
      <c r="C73" s="324"/>
      <c r="D73" s="325" t="s">
        <v>302</v>
      </c>
      <c r="E73" s="326">
        <v>42175</v>
      </c>
      <c r="J73" s="340"/>
      <c r="M73" s="359"/>
      <c r="O73" s="422"/>
    </row>
    <row r="74" spans="1:15" ht="15" x14ac:dyDescent="0.2">
      <c r="A74" s="431" t="s">
        <v>305</v>
      </c>
      <c r="B74" s="336" t="s">
        <v>325</v>
      </c>
      <c r="C74" s="337"/>
      <c r="D74" s="338"/>
      <c r="E74" s="339"/>
      <c r="J74" s="340" t="s">
        <v>463</v>
      </c>
      <c r="L74" s="341">
        <v>21</v>
      </c>
      <c r="M74" s="359" t="s">
        <v>309</v>
      </c>
      <c r="O74" s="422"/>
    </row>
    <row r="75" spans="1:15" ht="15" x14ac:dyDescent="0.2">
      <c r="A75" s="343" t="s">
        <v>403</v>
      </c>
      <c r="B75" s="446">
        <f>70-21</f>
        <v>49</v>
      </c>
      <c r="C75" s="337" t="s">
        <v>309</v>
      </c>
      <c r="D75" s="550" t="s">
        <v>332</v>
      </c>
      <c r="E75" s="551"/>
      <c r="J75" s="340" t="s">
        <v>464</v>
      </c>
      <c r="L75" s="314">
        <f>L74*0.46</f>
        <v>9.66</v>
      </c>
      <c r="M75" s="359"/>
      <c r="O75" s="422"/>
    </row>
    <row r="76" spans="1:15" ht="15" x14ac:dyDescent="0.2">
      <c r="A76" s="348" t="s">
        <v>407</v>
      </c>
      <c r="B76" s="352">
        <v>9.2200000000000006</v>
      </c>
      <c r="C76" s="337" t="s">
        <v>309</v>
      </c>
      <c r="D76" s="349">
        <f>(B78/1000)/(B82/60)</f>
        <v>0.66989207294380348</v>
      </c>
      <c r="E76" s="339" t="s">
        <v>197</v>
      </c>
      <c r="J76" s="340" t="s">
        <v>313</v>
      </c>
      <c r="L76" s="341">
        <v>1</v>
      </c>
      <c r="M76" s="359"/>
      <c r="O76" s="422"/>
    </row>
    <row r="77" spans="1:15" ht="15" x14ac:dyDescent="0.2">
      <c r="A77" s="348" t="s">
        <v>411</v>
      </c>
      <c r="B77" s="352">
        <v>39.78</v>
      </c>
      <c r="C77" s="337" t="s">
        <v>309</v>
      </c>
      <c r="H77" s="437">
        <f>B75-F97</f>
        <v>9.2199999999999989</v>
      </c>
      <c r="J77" s="340" t="s">
        <v>466</v>
      </c>
      <c r="L77" s="341"/>
      <c r="M77" s="359" t="s">
        <v>414</v>
      </c>
      <c r="O77" s="422"/>
    </row>
    <row r="78" spans="1:15" ht="15" x14ac:dyDescent="0.2">
      <c r="A78" s="435" t="s">
        <v>311</v>
      </c>
      <c r="B78" s="336">
        <v>500</v>
      </c>
      <c r="C78" s="337" t="s">
        <v>187</v>
      </c>
      <c r="J78" s="363"/>
      <c r="K78" s="364"/>
      <c r="L78" s="364"/>
      <c r="M78" s="365"/>
      <c r="O78" s="422"/>
    </row>
    <row r="79" spans="1:15" ht="15" x14ac:dyDescent="0.2">
      <c r="A79" s="436" t="s">
        <v>415</v>
      </c>
      <c r="B79" s="336" t="s">
        <v>465</v>
      </c>
      <c r="C79" s="337"/>
      <c r="D79" s="338"/>
      <c r="E79" s="339"/>
      <c r="O79" s="422"/>
    </row>
    <row r="80" spans="1:15" ht="15" x14ac:dyDescent="0.2">
      <c r="A80" s="438" t="s">
        <v>419</v>
      </c>
      <c r="B80" s="369">
        <v>5.5</v>
      </c>
      <c r="C80" s="370">
        <v>1000</v>
      </c>
      <c r="D80" s="362"/>
      <c r="E80" s="357"/>
      <c r="O80" s="422"/>
    </row>
    <row r="81" spans="1:15" ht="15" x14ac:dyDescent="0.2">
      <c r="A81" s="439" t="s">
        <v>420</v>
      </c>
      <c r="B81" s="369">
        <f>1.57*60</f>
        <v>94.2</v>
      </c>
      <c r="C81" s="374" t="s">
        <v>421</v>
      </c>
      <c r="D81" s="552"/>
      <c r="E81" s="539"/>
      <c r="O81" s="422"/>
    </row>
    <row r="82" spans="1:15" ht="18" x14ac:dyDescent="0.2">
      <c r="A82" s="439" t="s">
        <v>472</v>
      </c>
      <c r="B82" s="447">
        <f>44+(47/60)</f>
        <v>44.783333333333331</v>
      </c>
      <c r="C82" s="381" t="s">
        <v>414</v>
      </c>
      <c r="D82" s="448"/>
      <c r="E82" s="371"/>
      <c r="J82" s="383" t="s">
        <v>425</v>
      </c>
      <c r="O82" s="422"/>
    </row>
    <row r="83" spans="1:15" ht="39" x14ac:dyDescent="0.25">
      <c r="A83" s="543" t="s">
        <v>180</v>
      </c>
      <c r="B83" s="541" t="s">
        <v>181</v>
      </c>
      <c r="C83" s="358" t="s">
        <v>182</v>
      </c>
      <c r="D83" s="542" t="s">
        <v>314</v>
      </c>
      <c r="E83" s="539"/>
      <c r="F83" s="375" t="s">
        <v>315</v>
      </c>
      <c r="G83" s="375"/>
      <c r="H83" s="382" t="s">
        <v>424</v>
      </c>
      <c r="J83" s="385" t="s">
        <v>429</v>
      </c>
      <c r="K83" s="386" t="s">
        <v>430</v>
      </c>
      <c r="L83" s="387" t="s">
        <v>473</v>
      </c>
      <c r="M83" s="386" t="s">
        <v>431</v>
      </c>
      <c r="N83" s="388"/>
      <c r="O83" s="422"/>
    </row>
    <row r="84" spans="1:15" ht="15" x14ac:dyDescent="0.25">
      <c r="A84" s="544"/>
      <c r="B84" s="539"/>
      <c r="C84" s="358" t="s">
        <v>186</v>
      </c>
      <c r="D84" s="384" t="s">
        <v>427</v>
      </c>
      <c r="E84" s="384" t="s">
        <v>317</v>
      </c>
      <c r="F84" s="384" t="s">
        <v>318</v>
      </c>
      <c r="G84" s="384"/>
      <c r="H84" s="384" t="s">
        <v>187</v>
      </c>
      <c r="J84" s="393">
        <f>F85+F88+F95</f>
        <v>9.839102203269368</v>
      </c>
      <c r="K84" s="350">
        <f>K55</f>
        <v>0.15660200000000002</v>
      </c>
      <c r="L84" s="350">
        <f>L92*K84</f>
        <v>4.5259870135039098</v>
      </c>
      <c r="M84" s="350">
        <f>H85+H88+H95</f>
        <v>74.478972832154824</v>
      </c>
      <c r="N84" s="394" t="s">
        <v>141</v>
      </c>
      <c r="O84" s="422"/>
    </row>
    <row r="85" spans="1:15" ht="15" x14ac:dyDescent="0.2">
      <c r="A85" s="441">
        <v>1</v>
      </c>
      <c r="B85" s="389" t="s">
        <v>141</v>
      </c>
      <c r="C85" s="390">
        <v>5.0610000000000002E-2</v>
      </c>
      <c r="D85" s="391">
        <f>71.18+78.53</f>
        <v>149.71</v>
      </c>
      <c r="E85" s="391">
        <f>D85/3600</f>
        <v>4.1586111111111115E-2</v>
      </c>
      <c r="F85" s="392">
        <f>($B$77/$C$97)*C85</f>
        <v>3.1797611940298509</v>
      </c>
      <c r="G85" s="392"/>
      <c r="H85" s="350">
        <f t="shared" ref="H85:H96" si="11">D$76*E85*1000</f>
        <v>27.858206177893564</v>
      </c>
      <c r="J85" s="393">
        <f>F86+F96+F94</f>
        <v>10.793658848614072</v>
      </c>
      <c r="K85" s="350">
        <f t="shared" ref="K85:K89" si="12">K56</f>
        <v>0.17179499999999998</v>
      </c>
      <c r="L85" s="350">
        <f>L92*K85</f>
        <v>4.9650830703624722</v>
      </c>
      <c r="M85" s="350">
        <f>H86+H94+H96</f>
        <v>67.826572385560112</v>
      </c>
      <c r="N85" s="394" t="s">
        <v>5</v>
      </c>
      <c r="O85" s="422"/>
    </row>
    <row r="86" spans="1:15" ht="15" x14ac:dyDescent="0.2">
      <c r="A86" s="441">
        <v>2</v>
      </c>
      <c r="B86" s="389" t="s">
        <v>5</v>
      </c>
      <c r="C86" s="390">
        <v>5.9285999999999998E-2</v>
      </c>
      <c r="D86" s="391">
        <f>61.08+68.59</f>
        <v>129.67000000000002</v>
      </c>
      <c r="E86" s="391">
        <f t="shared" ref="E86:E96" si="13">D86/3600</f>
        <v>3.6019444444444451E-2</v>
      </c>
      <c r="F86" s="392">
        <f t="shared" ref="F86:F96" si="14">($B$77/$C$97)*C86</f>
        <v>3.7248631130063963</v>
      </c>
      <c r="G86" s="392"/>
      <c r="H86" s="350">
        <f t="shared" si="11"/>
        <v>24.12914030517306</v>
      </c>
      <c r="J86" s="393">
        <f>F518+F89+F91</f>
        <v>6.2038956645344712</v>
      </c>
      <c r="K86" s="350">
        <f t="shared" si="12"/>
        <v>0.14453299999999999</v>
      </c>
      <c r="L86" s="350">
        <f>K86*L92</f>
        <v>4.1771783312011372</v>
      </c>
      <c r="M86" s="350">
        <f>H87+H91+H89</f>
        <v>71.203944919985119</v>
      </c>
      <c r="N86" s="394" t="s">
        <v>70</v>
      </c>
      <c r="O86" s="422"/>
    </row>
    <row r="87" spans="1:15" ht="15" x14ac:dyDescent="0.2">
      <c r="A87" s="441">
        <v>3</v>
      </c>
      <c r="B87" s="389" t="s">
        <v>70</v>
      </c>
      <c r="C87" s="390">
        <v>4.5790000000000004E-2</v>
      </c>
      <c r="D87" s="391">
        <f>63.51+68.75</f>
        <v>132.26</v>
      </c>
      <c r="E87" s="391">
        <f>D87/3600</f>
        <v>3.6738888888888883E-2</v>
      </c>
      <c r="F87" s="392">
        <f t="shared" si="14"/>
        <v>2.8769267945984365</v>
      </c>
      <c r="G87" s="392"/>
      <c r="H87" s="350">
        <f t="shared" si="11"/>
        <v>24.611090435429844</v>
      </c>
      <c r="J87" s="340"/>
      <c r="K87" s="314">
        <f t="shared" si="12"/>
        <v>0</v>
      </c>
      <c r="L87" s="350">
        <f>SUM(L84:L86)</f>
        <v>13.66824841506752</v>
      </c>
      <c r="M87" s="350"/>
      <c r="N87" s="394"/>
      <c r="O87" s="422"/>
    </row>
    <row r="88" spans="1:15" ht="15" x14ac:dyDescent="0.2">
      <c r="A88" s="441">
        <v>4</v>
      </c>
      <c r="B88" s="389" t="s">
        <v>141</v>
      </c>
      <c r="C88" s="390">
        <v>5.7840000000000009E-2</v>
      </c>
      <c r="D88" s="391">
        <f>59.72+56.72</f>
        <v>116.44</v>
      </c>
      <c r="E88" s="391">
        <f t="shared" si="13"/>
        <v>3.2344444444444446E-2</v>
      </c>
      <c r="F88" s="392">
        <f t="shared" si="14"/>
        <v>3.6340127931769728</v>
      </c>
      <c r="G88" s="392"/>
      <c r="H88" s="350">
        <f t="shared" si="11"/>
        <v>21.667286937104578</v>
      </c>
      <c r="J88" s="340"/>
      <c r="K88" s="314">
        <f t="shared" si="12"/>
        <v>0</v>
      </c>
      <c r="L88" s="350"/>
      <c r="M88" s="350"/>
      <c r="N88" s="394"/>
      <c r="O88" s="422"/>
    </row>
    <row r="89" spans="1:15" ht="15" x14ac:dyDescent="0.2">
      <c r="A89" s="441">
        <v>5</v>
      </c>
      <c r="B89" s="389" t="s">
        <v>70</v>
      </c>
      <c r="C89" s="390">
        <v>5.0128000000000006E-2</v>
      </c>
      <c r="D89" s="391">
        <f>68.97+59.08</f>
        <v>128.05000000000001</v>
      </c>
      <c r="E89" s="391">
        <f t="shared" si="13"/>
        <v>3.5569444444444445E-2</v>
      </c>
      <c r="F89" s="392">
        <f t="shared" si="14"/>
        <v>3.1494777540867096</v>
      </c>
      <c r="G89" s="392"/>
      <c r="H89" s="350">
        <f t="shared" si="11"/>
        <v>23.827688872348343</v>
      </c>
      <c r="J89" s="393">
        <f>F90+F92+F93</f>
        <v>10.066416488983652</v>
      </c>
      <c r="K89" s="350">
        <f t="shared" si="12"/>
        <v>0.16022</v>
      </c>
      <c r="L89" s="350"/>
      <c r="M89" s="350">
        <f>H90+H92+H93</f>
        <v>69.378489021213255</v>
      </c>
      <c r="N89" s="394" t="s">
        <v>149</v>
      </c>
      <c r="O89" s="422"/>
    </row>
    <row r="90" spans="1:15" ht="15" x14ac:dyDescent="0.2">
      <c r="A90" s="441">
        <v>6</v>
      </c>
      <c r="B90" s="389" t="s">
        <v>149</v>
      </c>
      <c r="C90" s="390">
        <v>5.9285999999999998E-2</v>
      </c>
      <c r="D90" s="391">
        <f>68.31+59.18</f>
        <v>127.49000000000001</v>
      </c>
      <c r="E90" s="391">
        <f t="shared" si="13"/>
        <v>3.5413888888888891E-2</v>
      </c>
      <c r="F90" s="392">
        <f t="shared" si="14"/>
        <v>3.7248631130063963</v>
      </c>
      <c r="G90" s="392"/>
      <c r="H90" s="350">
        <f t="shared" si="11"/>
        <v>23.723483438779308</v>
      </c>
      <c r="J90" s="340"/>
      <c r="N90" s="359"/>
      <c r="O90" s="422"/>
    </row>
    <row r="91" spans="1:15" ht="15" x14ac:dyDescent="0.2">
      <c r="A91" s="441">
        <v>7</v>
      </c>
      <c r="B91" s="389" t="s">
        <v>70</v>
      </c>
      <c r="C91" s="390">
        <v>4.8614999999999998E-2</v>
      </c>
      <c r="D91" s="391">
        <f>63.21+59.13</f>
        <v>122.34</v>
      </c>
      <c r="E91" s="391">
        <f t="shared" si="13"/>
        <v>3.3983333333333338E-2</v>
      </c>
      <c r="F91" s="392">
        <f t="shared" si="14"/>
        <v>3.0544179104477611</v>
      </c>
      <c r="G91" s="392"/>
      <c r="H91" s="350">
        <f t="shared" si="11"/>
        <v>22.765165612206925</v>
      </c>
      <c r="J91" s="340"/>
      <c r="N91" s="359"/>
      <c r="O91" s="422"/>
    </row>
    <row r="92" spans="1:15" ht="15" x14ac:dyDescent="0.2">
      <c r="A92" s="441">
        <v>8</v>
      </c>
      <c r="B92" s="389" t="s">
        <v>149</v>
      </c>
      <c r="C92" s="390">
        <v>5.6949E-2</v>
      </c>
      <c r="D92" s="391">
        <f>53.75+63.56</f>
        <v>117.31</v>
      </c>
      <c r="E92" s="391">
        <f t="shared" si="13"/>
        <v>3.2586111111111114E-2</v>
      </c>
      <c r="F92" s="392">
        <f t="shared" si="14"/>
        <v>3.5780324093816631</v>
      </c>
      <c r="G92" s="392"/>
      <c r="H92" s="350">
        <f t="shared" si="11"/>
        <v>21.82917752139933</v>
      </c>
      <c r="J92" s="340"/>
      <c r="K92" s="329" t="s">
        <v>441</v>
      </c>
      <c r="L92" s="350">
        <f>F97*0.46/C26</f>
        <v>28.901208244491826</v>
      </c>
      <c r="N92" s="359"/>
      <c r="O92" s="422"/>
    </row>
    <row r="93" spans="1:15" ht="15" x14ac:dyDescent="0.2">
      <c r="A93" s="441">
        <v>9</v>
      </c>
      <c r="B93" s="389" t="s">
        <v>149</v>
      </c>
      <c r="C93" s="390">
        <v>4.3984999999999996E-2</v>
      </c>
      <c r="D93" s="391">
        <f>60.82+67.22</f>
        <v>128.04</v>
      </c>
      <c r="E93" s="391">
        <f t="shared" si="13"/>
        <v>3.5566666666666663E-2</v>
      </c>
      <c r="F93" s="392">
        <f t="shared" si="14"/>
        <v>2.7635209665955931</v>
      </c>
      <c r="G93" s="392"/>
      <c r="H93" s="350">
        <f t="shared" si="11"/>
        <v>23.82582806103461</v>
      </c>
      <c r="J93" s="363"/>
      <c r="K93" s="364"/>
      <c r="L93" s="364"/>
      <c r="M93" s="364"/>
      <c r="N93" s="365"/>
      <c r="O93" s="422"/>
    </row>
    <row r="94" spans="1:15" ht="15" x14ac:dyDescent="0.2">
      <c r="A94" s="441">
        <v>10</v>
      </c>
      <c r="B94" s="389" t="s">
        <v>5</v>
      </c>
      <c r="C94" s="390">
        <v>5.5559999999999991E-2</v>
      </c>
      <c r="D94" s="391">
        <f>61.31+55.01</f>
        <v>116.32</v>
      </c>
      <c r="E94" s="391">
        <f t="shared" si="13"/>
        <v>3.231111111111111E-2</v>
      </c>
      <c r="F94" s="392">
        <f t="shared" si="14"/>
        <v>3.4907633262260123</v>
      </c>
      <c r="G94" s="392"/>
      <c r="H94" s="350">
        <f t="shared" si="11"/>
        <v>21.644957201339786</v>
      </c>
      <c r="O94" s="422"/>
    </row>
    <row r="95" spans="1:15" ht="15" x14ac:dyDescent="0.2">
      <c r="A95" s="441">
        <v>11</v>
      </c>
      <c r="B95" s="389" t="s">
        <v>141</v>
      </c>
      <c r="C95" s="390">
        <v>4.8152E-2</v>
      </c>
      <c r="D95" s="391">
        <f>65.01+69.09</f>
        <v>134.10000000000002</v>
      </c>
      <c r="E95" s="391">
        <f t="shared" si="13"/>
        <v>3.7250000000000005E-2</v>
      </c>
      <c r="F95" s="392">
        <f t="shared" si="14"/>
        <v>3.0253282160625443</v>
      </c>
      <c r="G95" s="392"/>
      <c r="H95" s="350">
        <f t="shared" si="11"/>
        <v>24.953479717156682</v>
      </c>
      <c r="O95" s="422"/>
    </row>
    <row r="96" spans="1:15" ht="15" x14ac:dyDescent="0.2">
      <c r="A96" s="441">
        <v>12</v>
      </c>
      <c r="B96" s="389" t="s">
        <v>5</v>
      </c>
      <c r="C96" s="390">
        <v>5.6949E-2</v>
      </c>
      <c r="D96" s="391">
        <f>60.63+57.88</f>
        <v>118.51</v>
      </c>
      <c r="E96" s="391">
        <f t="shared" si="13"/>
        <v>3.2919444444444446E-2</v>
      </c>
      <c r="F96" s="392">
        <f t="shared" si="14"/>
        <v>3.5780324093816631</v>
      </c>
      <c r="G96" s="392"/>
      <c r="H96" s="350">
        <f t="shared" si="11"/>
        <v>22.052474879047264</v>
      </c>
      <c r="O96" s="422"/>
    </row>
    <row r="97" spans="1:15" ht="15" x14ac:dyDescent="0.2">
      <c r="A97" s="423"/>
      <c r="C97" s="437">
        <f>SUM(C85:C96)</f>
        <v>0.63314999999999999</v>
      </c>
      <c r="D97" s="442" t="s">
        <v>468</v>
      </c>
      <c r="E97" s="409"/>
      <c r="F97" s="410">
        <f>SUM(F85:F96)</f>
        <v>39.78</v>
      </c>
      <c r="G97" s="410"/>
      <c r="H97" s="449">
        <f t="shared" ref="H97" si="15">SUM(H85:H96)</f>
        <v>282.88797915891331</v>
      </c>
      <c r="O97" s="422"/>
    </row>
    <row r="98" spans="1:15" ht="15" x14ac:dyDescent="0.2">
      <c r="A98" s="423"/>
      <c r="D98" s="450" t="s">
        <v>407</v>
      </c>
      <c r="E98" s="409"/>
      <c r="F98" s="410">
        <f>B75-F97</f>
        <v>9.2199999999999989</v>
      </c>
      <c r="G98" s="410"/>
      <c r="H98" s="350">
        <f>B78-H97</f>
        <v>217.11202084108669</v>
      </c>
      <c r="O98" s="422"/>
    </row>
    <row r="99" spans="1:15" ht="15" x14ac:dyDescent="0.2">
      <c r="A99" s="425"/>
      <c r="B99" s="426"/>
      <c r="C99" s="426"/>
      <c r="D99" s="426"/>
      <c r="E99" s="426"/>
      <c r="F99" s="426"/>
      <c r="G99" s="426"/>
      <c r="H99" s="426"/>
      <c r="I99" s="426"/>
      <c r="J99" s="426"/>
      <c r="K99" s="426"/>
      <c r="L99" s="426"/>
      <c r="M99" s="426"/>
      <c r="N99" s="426"/>
      <c r="O99" s="427"/>
    </row>
    <row r="100" spans="1:15" ht="15" x14ac:dyDescent="0.2">
      <c r="E100" s="451"/>
    </row>
    <row r="101" spans="1:15" ht="15" x14ac:dyDescent="0.2">
      <c r="E101" s="444" t="s">
        <v>474</v>
      </c>
      <c r="F101" s="444">
        <f>F97/C97</f>
        <v>62.828713574982231</v>
      </c>
      <c r="G101" s="445">
        <f>F101*0.46</f>
        <v>28.901208244491826</v>
      </c>
    </row>
    <row r="103" spans="1:15" ht="15" x14ac:dyDescent="0.2">
      <c r="L103" s="437">
        <f>L92+L63+L27</f>
        <v>72.544262812919527</v>
      </c>
    </row>
    <row r="104" spans="1:15" ht="15" x14ac:dyDescent="0.2">
      <c r="E104" s="416" t="s">
        <v>470</v>
      </c>
      <c r="G104" s="417">
        <f>G101+G70+G29</f>
        <v>72.544262812919527</v>
      </c>
    </row>
    <row r="105" spans="1:15" ht="15" x14ac:dyDescent="0.2">
      <c r="E105" s="416" t="s">
        <v>475</v>
      </c>
      <c r="F105" s="314">
        <f>L46+L74</f>
        <v>46</v>
      </c>
      <c r="G105" s="314">
        <f>F105*0.46</f>
        <v>21.16</v>
      </c>
      <c r="H105" s="444">
        <f>G105/0.63</f>
        <v>33.587301587301589</v>
      </c>
      <c r="I105" s="416" t="s">
        <v>476</v>
      </c>
      <c r="L105" s="417">
        <f>H105+L103</f>
        <v>106.13156440022112</v>
      </c>
      <c r="M105" s="416" t="s">
        <v>477</v>
      </c>
    </row>
    <row r="106" spans="1:15" ht="15" x14ac:dyDescent="0.2">
      <c r="E106" s="452" t="s">
        <v>478</v>
      </c>
      <c r="F106" s="453"/>
      <c r="G106" s="417">
        <f>H105+G104</f>
        <v>106.13156440022112</v>
      </c>
    </row>
    <row r="107" spans="1:15" ht="15" x14ac:dyDescent="0.2"/>
    <row r="108" spans="1:15" ht="15" x14ac:dyDescent="0.2">
      <c r="C108" s="444"/>
    </row>
  </sheetData>
  <mergeCells count="16">
    <mergeCell ref="A83:A84"/>
    <mergeCell ref="B83:B84"/>
    <mergeCell ref="D83:E83"/>
    <mergeCell ref="K1:L1"/>
    <mergeCell ref="M1:O1"/>
    <mergeCell ref="D4:E4"/>
    <mergeCell ref="A54:A55"/>
    <mergeCell ref="B54:B55"/>
    <mergeCell ref="D54:E54"/>
    <mergeCell ref="D75:E75"/>
    <mergeCell ref="D81:E81"/>
    <mergeCell ref="R8:S8"/>
    <mergeCell ref="R9:S9"/>
    <mergeCell ref="A12:A13"/>
    <mergeCell ref="B12:B13"/>
    <mergeCell ref="D12:E12"/>
  </mergeCells>
  <conditionalFormatting sqref="E73 E43 E2">
    <cfRule type="notContainsBlanks" dxfId="0" priority="1">
      <formula>LEN(TRIM(E2))&gt;0</formula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L105"/>
  <sheetViews>
    <sheetView topLeftCell="A94" zoomScale="136" workbookViewId="0">
      <selection activeCell="E110" sqref="E110"/>
    </sheetView>
  </sheetViews>
  <sheetFormatPr defaultColWidth="17.28515625" defaultRowHeight="15" customHeight="1" x14ac:dyDescent="0.25"/>
  <cols>
    <col min="1" max="1" width="25.140625" style="314" customWidth="1"/>
    <col min="2" max="2" width="14.85546875" style="314" customWidth="1"/>
    <col min="3" max="3" width="12.42578125" style="314" customWidth="1"/>
    <col min="4" max="4" width="13.42578125" style="314" customWidth="1"/>
    <col min="5" max="5" width="22.28515625" style="314" customWidth="1"/>
    <col min="6" max="6" width="11" style="314" customWidth="1"/>
    <col min="7" max="7" width="13.140625" style="314" customWidth="1"/>
    <col min="8" max="8" width="17" style="314" customWidth="1"/>
    <col min="9" max="11" width="8.7109375" style="314" customWidth="1"/>
    <col min="12" max="12" width="13.28515625" style="314" customWidth="1"/>
    <col min="13" max="13" width="11.7109375" style="314" customWidth="1"/>
    <col min="14" max="14" width="14.7109375" style="314" customWidth="1"/>
    <col min="15" max="26" width="8.7109375" style="314" customWidth="1"/>
    <col min="27" max="16384" width="17.28515625" style="314"/>
  </cols>
  <sheetData>
    <row r="1" spans="1:12" ht="39.75" customHeight="1" x14ac:dyDescent="0.25">
      <c r="A1" s="454" t="s">
        <v>299</v>
      </c>
      <c r="B1" s="455"/>
      <c r="C1" s="455"/>
      <c r="D1" s="455"/>
      <c r="E1" s="456"/>
      <c r="F1" s="457"/>
      <c r="G1" s="458"/>
    </row>
    <row r="2" spans="1:12" x14ac:dyDescent="0.2">
      <c r="A2" s="459" t="s">
        <v>300</v>
      </c>
      <c r="B2" s="460">
        <v>42184</v>
      </c>
      <c r="C2" s="461" t="s">
        <v>301</v>
      </c>
      <c r="D2" s="462" t="s">
        <v>302</v>
      </c>
      <c r="E2" s="463">
        <v>42360</v>
      </c>
      <c r="F2" s="457"/>
      <c r="G2" s="464"/>
    </row>
    <row r="3" spans="1:12" x14ac:dyDescent="0.2">
      <c r="A3" s="459" t="s">
        <v>305</v>
      </c>
      <c r="B3" s="465" t="s">
        <v>306</v>
      </c>
      <c r="C3" s="461"/>
      <c r="D3" s="466"/>
      <c r="E3" s="467"/>
      <c r="F3" s="457"/>
      <c r="G3" s="457"/>
      <c r="H3" s="468"/>
      <c r="I3" s="469"/>
      <c r="J3" s="470" t="s">
        <v>303</v>
      </c>
      <c r="K3" s="471" t="s">
        <v>304</v>
      </c>
    </row>
    <row r="4" spans="1:12" x14ac:dyDescent="0.2">
      <c r="A4" s="472" t="s">
        <v>308</v>
      </c>
      <c r="B4" s="473">
        <f>F27</f>
        <v>158.18</v>
      </c>
      <c r="C4" s="461" t="s">
        <v>309</v>
      </c>
      <c r="D4" s="466"/>
      <c r="E4" s="467"/>
      <c r="F4" s="457"/>
      <c r="G4" s="457"/>
      <c r="H4" s="474" t="s">
        <v>307</v>
      </c>
      <c r="I4" s="475"/>
      <c r="J4" s="475">
        <f>30+35+35</f>
        <v>100</v>
      </c>
      <c r="K4" s="476">
        <f>J4*0.63</f>
        <v>63</v>
      </c>
    </row>
    <row r="5" spans="1:12" x14ac:dyDescent="0.2">
      <c r="A5" s="472" t="s">
        <v>311</v>
      </c>
      <c r="B5" s="477"/>
      <c r="C5" s="461"/>
      <c r="D5" s="466"/>
      <c r="E5" s="478"/>
      <c r="F5" s="457"/>
      <c r="G5" s="457"/>
      <c r="H5" s="474" t="s">
        <v>310</v>
      </c>
      <c r="I5" s="475"/>
      <c r="J5" s="475"/>
      <c r="K5" s="476">
        <f>(F27*0.14)+(0.46*B39)+(0.46*B74)</f>
        <v>91.593240000000009</v>
      </c>
    </row>
    <row r="6" spans="1:12" x14ac:dyDescent="0.2">
      <c r="A6" s="479" t="s">
        <v>312</v>
      </c>
      <c r="B6" s="465"/>
      <c r="C6" s="461"/>
      <c r="D6" s="462"/>
      <c r="E6" s="478"/>
      <c r="F6" s="457"/>
      <c r="G6" s="480"/>
      <c r="H6" s="481"/>
      <c r="I6" s="482"/>
      <c r="J6" s="482"/>
      <c r="K6" s="483"/>
    </row>
    <row r="7" spans="1:12" x14ac:dyDescent="0.2">
      <c r="A7" s="472" t="s">
        <v>313</v>
      </c>
      <c r="B7" s="484">
        <v>1</v>
      </c>
      <c r="C7" s="461"/>
      <c r="D7" s="462"/>
      <c r="E7" s="478"/>
      <c r="F7" s="457"/>
      <c r="G7" s="457"/>
    </row>
    <row r="8" spans="1:12" x14ac:dyDescent="0.2">
      <c r="A8" s="485"/>
      <c r="B8" s="484"/>
      <c r="C8" s="486"/>
      <c r="D8" s="462"/>
      <c r="E8" s="478"/>
      <c r="F8" s="457"/>
      <c r="G8" s="457"/>
    </row>
    <row r="9" spans="1:12" x14ac:dyDescent="0.2">
      <c r="A9" s="487"/>
      <c r="B9" s="488"/>
      <c r="C9" s="489"/>
      <c r="D9" s="490"/>
      <c r="E9" s="491"/>
      <c r="F9" s="457"/>
      <c r="G9" s="457"/>
    </row>
    <row r="10" spans="1:12" x14ac:dyDescent="0.2">
      <c r="A10" s="457"/>
      <c r="B10" s="457"/>
      <c r="C10" s="457"/>
      <c r="D10" s="457"/>
      <c r="E10" s="457"/>
      <c r="F10" s="457"/>
      <c r="G10" s="457"/>
    </row>
    <row r="11" spans="1:12" x14ac:dyDescent="0.2">
      <c r="A11" s="457"/>
      <c r="B11" s="457"/>
      <c r="C11" s="457"/>
      <c r="D11" s="457"/>
      <c r="E11" s="457"/>
      <c r="F11" s="457"/>
      <c r="G11" s="457"/>
    </row>
    <row r="12" spans="1:12" ht="30" x14ac:dyDescent="0.25">
      <c r="A12" s="553" t="s">
        <v>180</v>
      </c>
      <c r="B12" s="554" t="s">
        <v>181</v>
      </c>
      <c r="C12" s="492" t="s">
        <v>182</v>
      </c>
      <c r="D12" s="555" t="s">
        <v>314</v>
      </c>
      <c r="E12" s="539"/>
      <c r="F12" s="493" t="s">
        <v>315</v>
      </c>
      <c r="G12" s="493" t="s">
        <v>316</v>
      </c>
      <c r="H12" s="494" t="s">
        <v>313</v>
      </c>
    </row>
    <row r="13" spans="1:12" x14ac:dyDescent="0.25">
      <c r="A13" s="539"/>
      <c r="B13" s="539"/>
      <c r="C13" s="492" t="s">
        <v>186</v>
      </c>
      <c r="D13" s="492" t="s">
        <v>280</v>
      </c>
      <c r="E13" s="492" t="s">
        <v>317</v>
      </c>
      <c r="F13" s="492" t="s">
        <v>318</v>
      </c>
      <c r="G13" s="492" t="s">
        <v>198</v>
      </c>
      <c r="H13" s="494" t="s">
        <v>319</v>
      </c>
    </row>
    <row r="14" spans="1:12" x14ac:dyDescent="0.2">
      <c r="A14" s="495">
        <v>1</v>
      </c>
      <c r="B14" s="495" t="s">
        <v>141</v>
      </c>
      <c r="C14" s="496">
        <v>5.0610000000000002E-2</v>
      </c>
      <c r="D14" s="497">
        <f>7+58/60</f>
        <v>7.9666666666666668</v>
      </c>
      <c r="E14" s="498">
        <f t="shared" ref="E14:E25" si="0">D14/60</f>
        <v>0.13277777777777777</v>
      </c>
      <c r="F14" s="499">
        <v>12.7</v>
      </c>
      <c r="G14" s="500">
        <f>E14/C14</f>
        <v>2.6235482667017935</v>
      </c>
      <c r="H14" s="501">
        <f t="shared" ref="H14:H25" si="1">E14/(C14*8)</f>
        <v>0.32794353333772419</v>
      </c>
      <c r="L14" s="502"/>
    </row>
    <row r="15" spans="1:12" x14ac:dyDescent="0.2">
      <c r="A15" s="495">
        <v>2</v>
      </c>
      <c r="B15" s="495" t="s">
        <v>5</v>
      </c>
      <c r="C15" s="496">
        <v>5.9285999999999998E-2</v>
      </c>
      <c r="D15" s="497">
        <f>9+19/60</f>
        <v>9.3166666666666664</v>
      </c>
      <c r="E15" s="498">
        <f t="shared" si="0"/>
        <v>0.15527777777777776</v>
      </c>
      <c r="F15" s="499">
        <v>14.8</v>
      </c>
      <c r="G15" s="500">
        <f t="shared" ref="G15:G25" si="2">E15/C15</f>
        <v>2.6191306173089393</v>
      </c>
      <c r="H15" s="501">
        <f t="shared" si="1"/>
        <v>0.32739132716361741</v>
      </c>
      <c r="L15" s="502"/>
    </row>
    <row r="16" spans="1:12" x14ac:dyDescent="0.2">
      <c r="A16" s="495">
        <v>3</v>
      </c>
      <c r="B16" s="495" t="s">
        <v>70</v>
      </c>
      <c r="C16" s="496">
        <v>4.5790000000000004E-2</v>
      </c>
      <c r="D16" s="497">
        <f>7+47/60</f>
        <v>7.7833333333333332</v>
      </c>
      <c r="E16" s="498">
        <f t="shared" si="0"/>
        <v>0.12972222222222221</v>
      </c>
      <c r="F16" s="499">
        <v>11.4</v>
      </c>
      <c r="G16" s="500">
        <f t="shared" si="2"/>
        <v>2.8329814855257087</v>
      </c>
      <c r="H16" s="501">
        <f t="shared" si="1"/>
        <v>0.35412268569071359</v>
      </c>
      <c r="L16" s="502"/>
    </row>
    <row r="17" spans="1:12" x14ac:dyDescent="0.2">
      <c r="A17" s="495">
        <v>4</v>
      </c>
      <c r="B17" s="495" t="s">
        <v>141</v>
      </c>
      <c r="C17" s="496">
        <v>5.7840000000000009E-2</v>
      </c>
      <c r="D17" s="497">
        <f>8+51/60</f>
        <v>8.85</v>
      </c>
      <c r="E17" s="498">
        <f t="shared" si="0"/>
        <v>0.14749999999999999</v>
      </c>
      <c r="F17" s="499">
        <v>14.5</v>
      </c>
      <c r="G17" s="500">
        <f t="shared" si="2"/>
        <v>2.5501383125864447</v>
      </c>
      <c r="H17" s="501">
        <f t="shared" si="1"/>
        <v>0.31876728907330559</v>
      </c>
      <c r="L17" s="502"/>
    </row>
    <row r="18" spans="1:12" x14ac:dyDescent="0.2">
      <c r="A18" s="495">
        <v>5</v>
      </c>
      <c r="B18" s="495" t="s">
        <v>70</v>
      </c>
      <c r="C18" s="496">
        <v>5.0128000000000006E-2</v>
      </c>
      <c r="D18" s="497">
        <f>7+49/60</f>
        <v>7.8166666666666664</v>
      </c>
      <c r="E18" s="498">
        <f t="shared" si="0"/>
        <v>0.13027777777777777</v>
      </c>
      <c r="F18" s="499">
        <v>12.5</v>
      </c>
      <c r="G18" s="500">
        <f t="shared" si="2"/>
        <v>2.5989023654998755</v>
      </c>
      <c r="H18" s="501">
        <f t="shared" si="1"/>
        <v>0.32486279568748444</v>
      </c>
      <c r="L18" s="502"/>
    </row>
    <row r="19" spans="1:12" x14ac:dyDescent="0.2">
      <c r="A19" s="495">
        <v>6</v>
      </c>
      <c r="B19" s="495" t="s">
        <v>149</v>
      </c>
      <c r="C19" s="496">
        <v>5.9285999999999998E-2</v>
      </c>
      <c r="D19" s="497">
        <f>7+23/60</f>
        <v>7.3833333333333337</v>
      </c>
      <c r="E19" s="498">
        <f t="shared" si="0"/>
        <v>0.12305555555555556</v>
      </c>
      <c r="F19" s="499">
        <v>14.78</v>
      </c>
      <c r="G19" s="500">
        <f t="shared" si="2"/>
        <v>2.0756258738244369</v>
      </c>
      <c r="H19" s="501">
        <f t="shared" si="1"/>
        <v>0.25945323422805461</v>
      </c>
      <c r="L19" s="502"/>
    </row>
    <row r="20" spans="1:12" x14ac:dyDescent="0.2">
      <c r="A20" s="495">
        <v>7</v>
      </c>
      <c r="B20" s="495" t="s">
        <v>70</v>
      </c>
      <c r="C20" s="496">
        <v>4.8614999999999998E-2</v>
      </c>
      <c r="D20" s="497">
        <f>6+45/60</f>
        <v>6.75</v>
      </c>
      <c r="E20" s="498">
        <f t="shared" si="0"/>
        <v>0.1125</v>
      </c>
      <c r="F20" s="499">
        <v>12.2</v>
      </c>
      <c r="G20" s="500">
        <f t="shared" si="2"/>
        <v>2.3141005862388151</v>
      </c>
      <c r="H20" s="501">
        <f t="shared" si="1"/>
        <v>0.28926257327985189</v>
      </c>
      <c r="L20" s="502"/>
    </row>
    <row r="21" spans="1:12" x14ac:dyDescent="0.2">
      <c r="A21" s="495">
        <v>8</v>
      </c>
      <c r="B21" s="495" t="s">
        <v>149</v>
      </c>
      <c r="C21" s="496">
        <v>5.6949E-2</v>
      </c>
      <c r="D21" s="497">
        <f>8+7/60</f>
        <v>8.1166666666666671</v>
      </c>
      <c r="E21" s="498">
        <f t="shared" si="0"/>
        <v>0.13527777777777777</v>
      </c>
      <c r="F21" s="499">
        <v>14.2</v>
      </c>
      <c r="G21" s="500">
        <f t="shared" si="2"/>
        <v>2.3754197225197595</v>
      </c>
      <c r="H21" s="501">
        <f t="shared" si="1"/>
        <v>0.29692746531496994</v>
      </c>
      <c r="L21" s="502"/>
    </row>
    <row r="22" spans="1:12" x14ac:dyDescent="0.2">
      <c r="A22" s="495">
        <v>9</v>
      </c>
      <c r="B22" s="495" t="s">
        <v>149</v>
      </c>
      <c r="C22" s="496">
        <v>4.3984999999999996E-2</v>
      </c>
      <c r="D22" s="497">
        <f>7+2/60</f>
        <v>7.0333333333333332</v>
      </c>
      <c r="E22" s="498">
        <f t="shared" si="0"/>
        <v>0.11722222222222221</v>
      </c>
      <c r="F22" s="499">
        <v>11</v>
      </c>
      <c r="G22" s="500">
        <f t="shared" si="2"/>
        <v>2.6650499538984249</v>
      </c>
      <c r="H22" s="501">
        <f t="shared" si="1"/>
        <v>0.33313124423730311</v>
      </c>
      <c r="L22" s="502"/>
    </row>
    <row r="23" spans="1:12" x14ac:dyDescent="0.2">
      <c r="A23" s="495">
        <v>10</v>
      </c>
      <c r="B23" s="495" t="s">
        <v>5</v>
      </c>
      <c r="C23" s="496">
        <v>5.5559999999999991E-2</v>
      </c>
      <c r="D23" s="497">
        <f>8+50/60</f>
        <v>8.8333333333333339</v>
      </c>
      <c r="E23" s="498">
        <f t="shared" si="0"/>
        <v>0.14722222222222223</v>
      </c>
      <c r="F23" s="499">
        <v>13.9</v>
      </c>
      <c r="G23" s="500">
        <f t="shared" si="2"/>
        <v>2.6497880169586439</v>
      </c>
      <c r="H23" s="501">
        <f t="shared" si="1"/>
        <v>0.33122350211983048</v>
      </c>
      <c r="L23" s="502"/>
    </row>
    <row r="24" spans="1:12" x14ac:dyDescent="0.2">
      <c r="A24" s="495">
        <v>11</v>
      </c>
      <c r="B24" s="495" t="s">
        <v>141</v>
      </c>
      <c r="C24" s="496">
        <v>4.8152E-2</v>
      </c>
      <c r="D24" s="497">
        <f>7+1/60</f>
        <v>7.0166666666666666</v>
      </c>
      <c r="E24" s="498">
        <f t="shared" si="0"/>
        <v>0.11694444444444445</v>
      </c>
      <c r="F24" s="499">
        <v>12</v>
      </c>
      <c r="G24" s="500">
        <f t="shared" si="2"/>
        <v>2.4286518616972179</v>
      </c>
      <c r="H24" s="501">
        <f t="shared" si="1"/>
        <v>0.30358148271215224</v>
      </c>
      <c r="L24" s="502"/>
    </row>
    <row r="25" spans="1:12" x14ac:dyDescent="0.2">
      <c r="A25" s="495">
        <v>12</v>
      </c>
      <c r="B25" s="495" t="s">
        <v>5</v>
      </c>
      <c r="C25" s="496">
        <v>5.6949E-2</v>
      </c>
      <c r="D25" s="497">
        <f>8+1/60</f>
        <v>8.0166666666666675</v>
      </c>
      <c r="E25" s="498">
        <f t="shared" si="0"/>
        <v>0.13361111111111112</v>
      </c>
      <c r="F25" s="499">
        <v>14.2</v>
      </c>
      <c r="G25" s="500">
        <f t="shared" si="2"/>
        <v>2.3461537711129452</v>
      </c>
      <c r="H25" s="501">
        <f t="shared" si="1"/>
        <v>0.29326922138911815</v>
      </c>
      <c r="L25" s="502"/>
    </row>
    <row r="26" spans="1:12" x14ac:dyDescent="0.2">
      <c r="A26" s="457"/>
      <c r="B26" s="457"/>
      <c r="C26" s="503">
        <f>SUM(C14:C25)</f>
        <v>0.63314999999999999</v>
      </c>
      <c r="D26" s="457"/>
      <c r="E26" s="457"/>
      <c r="F26" s="457"/>
      <c r="G26" s="500"/>
    </row>
    <row r="27" spans="1:12" x14ac:dyDescent="0.2">
      <c r="A27" s="457"/>
      <c r="B27" s="457"/>
      <c r="C27" s="457"/>
      <c r="D27" s="504" t="s">
        <v>322</v>
      </c>
      <c r="E27" s="504"/>
      <c r="F27" s="505">
        <f>SUM(F14:F25)</f>
        <v>158.18</v>
      </c>
      <c r="G27" s="500"/>
      <c r="L27" s="506"/>
    </row>
    <row r="28" spans="1:12" x14ac:dyDescent="0.2">
      <c r="A28" s="457"/>
      <c r="B28" s="457"/>
      <c r="C28" s="457"/>
      <c r="D28" s="507"/>
      <c r="E28" s="504"/>
      <c r="F28" s="508"/>
      <c r="G28" s="457"/>
    </row>
    <row r="29" spans="1:12" x14ac:dyDescent="0.2">
      <c r="A29" s="457"/>
      <c r="B29" s="457"/>
      <c r="C29" s="457"/>
      <c r="D29" s="457"/>
      <c r="E29" s="509" t="s">
        <v>479</v>
      </c>
      <c r="F29" s="510">
        <f>F27/C26</f>
        <v>249.8302140093185</v>
      </c>
      <c r="G29" s="457" t="s">
        <v>0</v>
      </c>
      <c r="H29" s="511">
        <f>F29*0.14</f>
        <v>34.97622996130459</v>
      </c>
      <c r="I29" s="314" t="s">
        <v>480</v>
      </c>
    </row>
    <row r="31" spans="1:12" ht="15.95" x14ac:dyDescent="0.2">
      <c r="D31" s="494" t="s">
        <v>481</v>
      </c>
      <c r="E31" s="512">
        <f>SUM(E14:E25)</f>
        <v>1.5813888888888887</v>
      </c>
      <c r="F31" s="494" t="s">
        <v>482</v>
      </c>
    </row>
    <row r="35" spans="1:8" ht="15" customHeight="1" x14ac:dyDescent="0.25">
      <c r="A35" s="454" t="s">
        <v>326</v>
      </c>
      <c r="B35" s="455"/>
      <c r="C35" s="455"/>
      <c r="D35" s="455"/>
      <c r="E35" s="456"/>
      <c r="F35" s="457"/>
      <c r="G35" s="458"/>
    </row>
    <row r="36" spans="1:8" x14ac:dyDescent="0.2">
      <c r="A36" s="459" t="s">
        <v>300</v>
      </c>
      <c r="B36" s="460">
        <v>42389</v>
      </c>
      <c r="C36" s="461" t="s">
        <v>327</v>
      </c>
      <c r="D36" s="462" t="s">
        <v>302</v>
      </c>
      <c r="E36" s="463">
        <v>42360</v>
      </c>
      <c r="F36" s="457"/>
      <c r="G36" s="464"/>
    </row>
    <row r="37" spans="1:8" x14ac:dyDescent="0.2">
      <c r="A37" s="459" t="s">
        <v>305</v>
      </c>
      <c r="B37" s="465" t="s">
        <v>325</v>
      </c>
      <c r="C37" s="461"/>
      <c r="D37" s="466"/>
      <c r="E37" s="467"/>
      <c r="F37" s="457"/>
      <c r="G37" s="457"/>
    </row>
    <row r="38" spans="1:8" x14ac:dyDescent="0.2">
      <c r="A38" s="472" t="s">
        <v>328</v>
      </c>
      <c r="B38" s="477">
        <f>95-2.13-10.34</f>
        <v>82.53</v>
      </c>
      <c r="C38" s="461" t="s">
        <v>309</v>
      </c>
      <c r="D38" s="466"/>
      <c r="E38" s="467"/>
      <c r="F38" s="457"/>
      <c r="G38" s="457"/>
    </row>
    <row r="39" spans="1:8" x14ac:dyDescent="0.2">
      <c r="A39" s="461" t="s">
        <v>329</v>
      </c>
      <c r="B39" s="513">
        <f>B38*0.95</f>
        <v>78.403499999999994</v>
      </c>
      <c r="C39" s="461" t="s">
        <v>309</v>
      </c>
      <c r="D39" s="466"/>
      <c r="E39" s="478"/>
      <c r="F39" s="457"/>
      <c r="G39" s="457"/>
    </row>
    <row r="40" spans="1:8" x14ac:dyDescent="0.2">
      <c r="A40" s="479" t="s">
        <v>330</v>
      </c>
      <c r="B40" s="514">
        <f>B38*0.05</f>
        <v>4.1265000000000001</v>
      </c>
      <c r="C40" s="461" t="s">
        <v>309</v>
      </c>
      <c r="D40" s="462"/>
      <c r="E40" s="478"/>
      <c r="F40" s="457"/>
      <c r="G40" s="480"/>
    </row>
    <row r="41" spans="1:8" x14ac:dyDescent="0.2">
      <c r="A41" s="485" t="s">
        <v>183</v>
      </c>
      <c r="B41" s="484">
        <v>3.5</v>
      </c>
      <c r="C41" s="486" t="s">
        <v>331</v>
      </c>
      <c r="D41" s="462"/>
      <c r="E41" s="478"/>
      <c r="F41" s="457"/>
      <c r="G41" s="457"/>
    </row>
    <row r="42" spans="1:8" x14ac:dyDescent="0.2">
      <c r="A42" s="485" t="s">
        <v>483</v>
      </c>
      <c r="B42" s="484"/>
      <c r="C42" s="486"/>
      <c r="D42" s="462"/>
      <c r="E42" s="478"/>
      <c r="F42" s="457"/>
      <c r="G42" s="457"/>
    </row>
    <row r="43" spans="1:8" x14ac:dyDescent="0.2">
      <c r="A43" s="487"/>
      <c r="B43" s="488"/>
      <c r="C43" s="489"/>
      <c r="D43" s="490"/>
      <c r="E43" s="491"/>
      <c r="F43" s="457"/>
      <c r="G43" s="457"/>
    </row>
    <row r="44" spans="1:8" x14ac:dyDescent="0.2">
      <c r="A44" s="457"/>
      <c r="B44" s="457"/>
      <c r="C44" s="457"/>
      <c r="D44" s="457"/>
      <c r="E44" s="457"/>
      <c r="F44" s="457"/>
      <c r="G44" s="457"/>
    </row>
    <row r="45" spans="1:8" x14ac:dyDescent="0.2">
      <c r="A45" s="457"/>
      <c r="B45" s="457"/>
      <c r="C45" s="457"/>
      <c r="D45" s="457"/>
      <c r="E45" s="457"/>
      <c r="F45" s="457"/>
      <c r="G45" s="457"/>
    </row>
    <row r="46" spans="1:8" ht="30" x14ac:dyDescent="0.25">
      <c r="A46" s="553" t="s">
        <v>180</v>
      </c>
      <c r="B46" s="554" t="s">
        <v>181</v>
      </c>
      <c r="C46" s="492" t="s">
        <v>182</v>
      </c>
      <c r="D46" s="555" t="s">
        <v>314</v>
      </c>
      <c r="E46" s="539"/>
      <c r="F46" s="493" t="s">
        <v>315</v>
      </c>
      <c r="G46" s="493" t="s">
        <v>316</v>
      </c>
      <c r="H46" s="515" t="s">
        <v>332</v>
      </c>
    </row>
    <row r="47" spans="1:8" x14ac:dyDescent="0.25">
      <c r="A47" s="539"/>
      <c r="B47" s="539"/>
      <c r="C47" s="492" t="s">
        <v>186</v>
      </c>
      <c r="D47" s="492" t="s">
        <v>280</v>
      </c>
      <c r="E47" s="492" t="s">
        <v>317</v>
      </c>
      <c r="F47" s="492" t="s">
        <v>318</v>
      </c>
      <c r="G47" s="492" t="s">
        <v>198</v>
      </c>
      <c r="H47" s="516" t="s">
        <v>188</v>
      </c>
    </row>
    <row r="48" spans="1:8" x14ac:dyDescent="0.2">
      <c r="A48" s="495">
        <v>1</v>
      </c>
      <c r="B48" s="495" t="s">
        <v>141</v>
      </c>
      <c r="C48" s="496">
        <v>5.0610000000000002E-2</v>
      </c>
      <c r="D48" s="497">
        <f>5+(59+53+49+7)/60</f>
        <v>7.8</v>
      </c>
      <c r="E48" s="498">
        <f t="shared" ref="E48:E59" si="3">D48/60</f>
        <v>0.13</v>
      </c>
      <c r="F48" s="499">
        <f>(B$39/C$60)*C48</f>
        <v>6.2670791044776113</v>
      </c>
      <c r="G48" s="500">
        <f t="shared" ref="G48:G59" si="4">E48/C48</f>
        <v>2.5686623196996639</v>
      </c>
      <c r="H48" s="501">
        <f t="shared" ref="H48:H59" si="5">B$41/C$60</f>
        <v>5.5279159756771694</v>
      </c>
    </row>
    <row r="49" spans="1:8" x14ac:dyDescent="0.2">
      <c r="A49" s="495">
        <v>2</v>
      </c>
      <c r="B49" s="495" t="s">
        <v>5</v>
      </c>
      <c r="C49" s="496">
        <v>5.9285999999999998E-2</v>
      </c>
      <c r="D49" s="497">
        <f>4+(47+53)/60</f>
        <v>5.666666666666667</v>
      </c>
      <c r="E49" s="498">
        <f t="shared" si="3"/>
        <v>9.4444444444444456E-2</v>
      </c>
      <c r="F49" s="499">
        <f>(B$39/C$60)*C49</f>
        <v>7.3414355223880587</v>
      </c>
      <c r="G49" s="500">
        <f t="shared" si="4"/>
        <v>1.5930311446959562</v>
      </c>
      <c r="H49" s="501">
        <f t="shared" si="5"/>
        <v>5.5279159756771694</v>
      </c>
    </row>
    <row r="50" spans="1:8" x14ac:dyDescent="0.2">
      <c r="A50" s="495">
        <v>3</v>
      </c>
      <c r="B50" s="495" t="s">
        <v>70</v>
      </c>
      <c r="C50" s="496">
        <v>4.5790000000000004E-2</v>
      </c>
      <c r="D50" s="497">
        <f>3+(56+49+47)/60</f>
        <v>5.5333333333333332</v>
      </c>
      <c r="E50" s="498">
        <f t="shared" si="3"/>
        <v>9.2222222222222219E-2</v>
      </c>
      <c r="F50" s="499">
        <f t="shared" ref="F50:F59" si="6">(B$39/C$60)*C50</f>
        <v>5.6702144278606967</v>
      </c>
      <c r="G50" s="500">
        <f t="shared" si="4"/>
        <v>2.0140253815728806</v>
      </c>
      <c r="H50" s="501">
        <f t="shared" si="5"/>
        <v>5.5279159756771694</v>
      </c>
    </row>
    <row r="51" spans="1:8" x14ac:dyDescent="0.2">
      <c r="A51" s="495">
        <v>4</v>
      </c>
      <c r="B51" s="495" t="s">
        <v>141</v>
      </c>
      <c r="C51" s="496">
        <v>5.7840000000000009E-2</v>
      </c>
      <c r="D51" s="497">
        <f>3+(58+44+47)/60</f>
        <v>5.4833333333333334</v>
      </c>
      <c r="E51" s="498">
        <f t="shared" si="3"/>
        <v>9.1388888888888895E-2</v>
      </c>
      <c r="F51" s="499">
        <f t="shared" si="6"/>
        <v>7.1623761194029854</v>
      </c>
      <c r="G51" s="500">
        <f t="shared" si="4"/>
        <v>1.5800291993238049</v>
      </c>
      <c r="H51" s="501">
        <f t="shared" si="5"/>
        <v>5.5279159756771694</v>
      </c>
    </row>
    <row r="52" spans="1:8" x14ac:dyDescent="0.2">
      <c r="A52" s="495">
        <v>5</v>
      </c>
      <c r="B52" s="495" t="s">
        <v>70</v>
      </c>
      <c r="C52" s="496">
        <v>5.0128000000000006E-2</v>
      </c>
      <c r="D52" s="497">
        <f>3+(55+49+43)/60</f>
        <v>5.45</v>
      </c>
      <c r="E52" s="498">
        <f t="shared" si="3"/>
        <v>9.0833333333333335E-2</v>
      </c>
      <c r="F52" s="499">
        <f t="shared" si="6"/>
        <v>6.2073926368159205</v>
      </c>
      <c r="G52" s="500">
        <f t="shared" si="4"/>
        <v>1.8120278753058834</v>
      </c>
      <c r="H52" s="501">
        <f t="shared" si="5"/>
        <v>5.5279159756771694</v>
      </c>
    </row>
    <row r="53" spans="1:8" x14ac:dyDescent="0.2">
      <c r="A53" s="495">
        <v>6</v>
      </c>
      <c r="B53" s="495" t="s">
        <v>149</v>
      </c>
      <c r="C53" s="496">
        <v>5.9285999999999998E-2</v>
      </c>
      <c r="D53" s="497">
        <f>3+(59+54+42)/60</f>
        <v>5.5833333333333339</v>
      </c>
      <c r="E53" s="498">
        <f t="shared" si="3"/>
        <v>9.3055555555555572E-2</v>
      </c>
      <c r="F53" s="499">
        <f t="shared" si="6"/>
        <v>7.3414355223880587</v>
      </c>
      <c r="G53" s="500">
        <f t="shared" si="4"/>
        <v>1.5696042160974863</v>
      </c>
      <c r="H53" s="501">
        <f t="shared" si="5"/>
        <v>5.5279159756771694</v>
      </c>
    </row>
    <row r="54" spans="1:8" x14ac:dyDescent="0.2">
      <c r="A54" s="495">
        <v>7</v>
      </c>
      <c r="B54" s="495" t="s">
        <v>70</v>
      </c>
      <c r="C54" s="496">
        <v>4.8614999999999998E-2</v>
      </c>
      <c r="D54" s="497">
        <f>4+(57+57+50+52)/60</f>
        <v>7.6</v>
      </c>
      <c r="E54" s="498">
        <f t="shared" si="3"/>
        <v>0.12666666666666665</v>
      </c>
      <c r="F54" s="499">
        <f t="shared" si="6"/>
        <v>6.020036567164178</v>
      </c>
      <c r="G54" s="500">
        <f t="shared" si="4"/>
        <v>2.6055058452466655</v>
      </c>
      <c r="H54" s="501">
        <f t="shared" si="5"/>
        <v>5.5279159756771694</v>
      </c>
    </row>
    <row r="55" spans="1:8" x14ac:dyDescent="0.2">
      <c r="A55" s="495">
        <v>8</v>
      </c>
      <c r="B55" s="495" t="s">
        <v>149</v>
      </c>
      <c r="C55" s="496">
        <v>5.6949E-2</v>
      </c>
      <c r="D55" s="497">
        <f>4+(7+57+51)/60</f>
        <v>5.916666666666667</v>
      </c>
      <c r="E55" s="498">
        <f t="shared" si="3"/>
        <v>9.8611111111111122E-2</v>
      </c>
      <c r="F55" s="499">
        <f t="shared" si="6"/>
        <v>7.0520428358208953</v>
      </c>
      <c r="G55" s="500">
        <f t="shared" si="4"/>
        <v>1.7315687915698454</v>
      </c>
      <c r="H55" s="501">
        <f t="shared" si="5"/>
        <v>5.5279159756771694</v>
      </c>
    </row>
    <row r="56" spans="1:8" x14ac:dyDescent="0.2">
      <c r="A56" s="495">
        <v>9</v>
      </c>
      <c r="B56" s="495" t="s">
        <v>149</v>
      </c>
      <c r="C56" s="496">
        <v>4.3984999999999996E-2</v>
      </c>
      <c r="D56" s="497">
        <f>3+(53+52+43)/60</f>
        <v>5.4666666666666668</v>
      </c>
      <c r="E56" s="498">
        <f t="shared" si="3"/>
        <v>9.1111111111111115E-2</v>
      </c>
      <c r="F56" s="499">
        <f t="shared" si="6"/>
        <v>5.4466997512437798</v>
      </c>
      <c r="G56" s="500">
        <f t="shared" si="4"/>
        <v>2.0714132343096767</v>
      </c>
      <c r="H56" s="501">
        <f t="shared" si="5"/>
        <v>5.5279159756771694</v>
      </c>
    </row>
    <row r="57" spans="1:8" x14ac:dyDescent="0.2">
      <c r="A57" s="495">
        <v>10</v>
      </c>
      <c r="B57" s="495" t="s">
        <v>5</v>
      </c>
      <c r="C57" s="496">
        <v>5.5559999999999991E-2</v>
      </c>
      <c r="D57" s="497">
        <f>3+(48+50+52)/60</f>
        <v>5.5</v>
      </c>
      <c r="E57" s="498">
        <f t="shared" si="3"/>
        <v>9.166666666666666E-2</v>
      </c>
      <c r="F57" s="499">
        <f t="shared" si="6"/>
        <v>6.8800417910447749</v>
      </c>
      <c r="G57" s="500">
        <f t="shared" si="4"/>
        <v>1.6498680105591554</v>
      </c>
      <c r="H57" s="501">
        <f t="shared" si="5"/>
        <v>5.5279159756771694</v>
      </c>
    </row>
    <row r="58" spans="1:8" x14ac:dyDescent="0.2">
      <c r="A58" s="495">
        <v>11</v>
      </c>
      <c r="B58" s="495" t="s">
        <v>141</v>
      </c>
      <c r="C58" s="496">
        <v>4.8152E-2</v>
      </c>
      <c r="D58" s="497">
        <f>3+(44+42+44)/60</f>
        <v>5.1666666666666661</v>
      </c>
      <c r="E58" s="498">
        <f t="shared" si="3"/>
        <v>8.6111111111111097E-2</v>
      </c>
      <c r="F58" s="499">
        <f t="shared" si="6"/>
        <v>5.9627028855721385</v>
      </c>
      <c r="G58" s="500">
        <f t="shared" si="4"/>
        <v>1.7883184729836994</v>
      </c>
      <c r="H58" s="501">
        <f t="shared" si="5"/>
        <v>5.5279159756771694</v>
      </c>
    </row>
    <row r="59" spans="1:8" x14ac:dyDescent="0.2">
      <c r="A59" s="495">
        <v>12</v>
      </c>
      <c r="B59" s="495" t="s">
        <v>5</v>
      </c>
      <c r="C59" s="496">
        <v>5.6949E-2</v>
      </c>
      <c r="D59" s="497">
        <f>3+(54+54+52)/60</f>
        <v>5.6666666666666661</v>
      </c>
      <c r="E59" s="498">
        <f t="shared" si="3"/>
        <v>9.4444444444444428E-2</v>
      </c>
      <c r="F59" s="499">
        <f t="shared" si="6"/>
        <v>7.0520428358208953</v>
      </c>
      <c r="G59" s="500">
        <f t="shared" si="4"/>
        <v>1.6584039130528092</v>
      </c>
      <c r="H59" s="501">
        <f t="shared" si="5"/>
        <v>5.5279159756771694</v>
      </c>
    </row>
    <row r="60" spans="1:8" x14ac:dyDescent="0.2">
      <c r="A60" s="457"/>
      <c r="B60" s="457"/>
      <c r="C60" s="500">
        <f>SUM(C48:C59)</f>
        <v>0.63314999999999999</v>
      </c>
      <c r="D60" s="457"/>
      <c r="E60" s="457"/>
      <c r="F60" s="457"/>
      <c r="G60" s="500"/>
      <c r="H60" s="517">
        <f>AVERAGE(H48:H59)</f>
        <v>5.5279159756771685</v>
      </c>
    </row>
    <row r="61" spans="1:8" x14ac:dyDescent="0.2">
      <c r="A61" s="457"/>
      <c r="B61" s="457"/>
      <c r="C61" s="457"/>
      <c r="D61" s="504" t="s">
        <v>322</v>
      </c>
      <c r="E61" s="504"/>
      <c r="F61" s="505">
        <f>SUM(F48:F59)</f>
        <v>78.403500000000008</v>
      </c>
      <c r="G61" s="500">
        <f>F61*0.46</f>
        <v>36.065610000000007</v>
      </c>
    </row>
    <row r="62" spans="1:8" x14ac:dyDescent="0.2">
      <c r="A62" s="457"/>
      <c r="B62" s="457"/>
      <c r="C62" s="457"/>
      <c r="D62" s="507"/>
      <c r="E62" s="504"/>
      <c r="F62" s="508"/>
      <c r="G62" s="457"/>
    </row>
    <row r="63" spans="1:8" x14ac:dyDescent="0.2">
      <c r="A63" s="457"/>
      <c r="B63" s="457"/>
      <c r="C63" s="457"/>
      <c r="D63" s="457"/>
      <c r="E63" s="509" t="s">
        <v>479</v>
      </c>
      <c r="F63" s="518">
        <f>F61/C60</f>
        <v>123.8308457711443</v>
      </c>
      <c r="G63" s="519">
        <f>F63*0.46</f>
        <v>56.96218905472638</v>
      </c>
      <c r="H63" s="314" t="s">
        <v>484</v>
      </c>
    </row>
    <row r="65" spans="1:7" ht="15.95" x14ac:dyDescent="0.2">
      <c r="E65" s="512">
        <f>SUM(E48:E59)</f>
        <v>1.1805555555555554</v>
      </c>
    </row>
    <row r="70" spans="1:7" ht="15" customHeight="1" x14ac:dyDescent="0.25">
      <c r="A70" s="454" t="s">
        <v>335</v>
      </c>
      <c r="B70" s="455"/>
      <c r="C70" s="455"/>
      <c r="D70" s="455"/>
      <c r="E70" s="456"/>
      <c r="F70" s="457"/>
      <c r="G70" s="458"/>
    </row>
    <row r="71" spans="1:7" x14ac:dyDescent="0.2">
      <c r="A71" s="459" t="s">
        <v>300</v>
      </c>
      <c r="B71" s="460">
        <v>42402</v>
      </c>
      <c r="C71" s="461" t="s">
        <v>327</v>
      </c>
      <c r="D71" s="462" t="s">
        <v>302</v>
      </c>
      <c r="E71" s="463">
        <v>42360</v>
      </c>
      <c r="F71" s="457"/>
      <c r="G71" s="464"/>
    </row>
    <row r="72" spans="1:7" x14ac:dyDescent="0.2">
      <c r="A72" s="459" t="s">
        <v>305</v>
      </c>
      <c r="B72" s="465" t="s">
        <v>325</v>
      </c>
      <c r="C72" s="461"/>
      <c r="D72" s="466"/>
      <c r="E72" s="467"/>
      <c r="F72" s="457"/>
      <c r="G72" s="457"/>
    </row>
    <row r="73" spans="1:7" x14ac:dyDescent="0.2">
      <c r="A73" s="472" t="s">
        <v>328</v>
      </c>
      <c r="B73" s="477">
        <f>100-23.61</f>
        <v>76.39</v>
      </c>
      <c r="C73" s="461" t="s">
        <v>309</v>
      </c>
      <c r="D73" s="466"/>
      <c r="E73" s="467"/>
      <c r="F73" s="457"/>
      <c r="G73" s="457"/>
    </row>
    <row r="74" spans="1:7" x14ac:dyDescent="0.2">
      <c r="A74" s="461" t="s">
        <v>329</v>
      </c>
      <c r="B74" s="513">
        <f>B73*0.95</f>
        <v>72.570499999999996</v>
      </c>
      <c r="C74" s="461" t="s">
        <v>309</v>
      </c>
      <c r="D74" s="466"/>
      <c r="E74" s="478"/>
      <c r="F74" s="457"/>
      <c r="G74" s="457"/>
    </row>
    <row r="75" spans="1:7" x14ac:dyDescent="0.2">
      <c r="A75" s="479" t="s">
        <v>330</v>
      </c>
      <c r="B75" s="514">
        <f>B73*0.05</f>
        <v>3.8195000000000001</v>
      </c>
      <c r="C75" s="461" t="s">
        <v>309</v>
      </c>
      <c r="D75" s="462"/>
      <c r="E75" s="478"/>
      <c r="F75" s="457"/>
      <c r="G75" s="480"/>
    </row>
    <row r="76" spans="1:7" x14ac:dyDescent="0.2">
      <c r="A76" s="485" t="s">
        <v>183</v>
      </c>
      <c r="B76" s="484">
        <v>2.15</v>
      </c>
      <c r="C76" s="486" t="s">
        <v>331</v>
      </c>
      <c r="D76" s="462"/>
      <c r="E76" s="478"/>
      <c r="F76" s="457"/>
      <c r="G76" s="457"/>
    </row>
    <row r="77" spans="1:7" x14ac:dyDescent="0.2">
      <c r="A77" s="485"/>
      <c r="B77" s="484"/>
      <c r="C77" s="486"/>
      <c r="D77" s="462"/>
      <c r="E77" s="478"/>
      <c r="F77" s="457"/>
      <c r="G77" s="457"/>
    </row>
    <row r="78" spans="1:7" x14ac:dyDescent="0.2">
      <c r="A78" s="487"/>
      <c r="B78" s="488"/>
      <c r="C78" s="489"/>
      <c r="D78" s="490"/>
      <c r="E78" s="491"/>
      <c r="F78" s="457"/>
      <c r="G78" s="457"/>
    </row>
    <row r="79" spans="1:7" x14ac:dyDescent="0.2">
      <c r="A79" s="457"/>
      <c r="B79" s="457"/>
      <c r="C79" s="457"/>
      <c r="D79" s="457"/>
      <c r="E79" s="457"/>
      <c r="F79" s="457"/>
      <c r="G79" s="457"/>
    </row>
    <row r="80" spans="1:7" x14ac:dyDescent="0.2">
      <c r="A80" s="457"/>
      <c r="B80" s="457"/>
      <c r="C80" s="457"/>
      <c r="D80" s="457"/>
      <c r="E80" s="457"/>
      <c r="F80" s="457"/>
      <c r="G80" s="457"/>
    </row>
    <row r="81" spans="1:9" ht="30" x14ac:dyDescent="0.25">
      <c r="A81" s="553" t="s">
        <v>180</v>
      </c>
      <c r="B81" s="554" t="s">
        <v>181</v>
      </c>
      <c r="C81" s="492" t="s">
        <v>182</v>
      </c>
      <c r="D81" s="555" t="s">
        <v>314</v>
      </c>
      <c r="E81" s="539"/>
      <c r="F81" s="493" t="s">
        <v>315</v>
      </c>
      <c r="G81" s="493" t="s">
        <v>316</v>
      </c>
      <c r="H81" s="515" t="s">
        <v>332</v>
      </c>
      <c r="I81" s="494"/>
    </row>
    <row r="82" spans="1:9" x14ac:dyDescent="0.25">
      <c r="A82" s="539"/>
      <c r="B82" s="539"/>
      <c r="C82" s="492" t="s">
        <v>186</v>
      </c>
      <c r="D82" s="492" t="s">
        <v>280</v>
      </c>
      <c r="E82" s="492" t="s">
        <v>317</v>
      </c>
      <c r="F82" s="492" t="s">
        <v>318</v>
      </c>
      <c r="G82" s="492" t="s">
        <v>198</v>
      </c>
      <c r="H82" s="516" t="s">
        <v>188</v>
      </c>
      <c r="I82" s="494"/>
    </row>
    <row r="83" spans="1:9" x14ac:dyDescent="0.2">
      <c r="A83" s="495">
        <v>1</v>
      </c>
      <c r="B83" s="495" t="s">
        <v>141</v>
      </c>
      <c r="C83" s="496">
        <v>5.0610000000000002E-2</v>
      </c>
      <c r="D83" s="497">
        <f>1+57/60</f>
        <v>1.95</v>
      </c>
      <c r="E83" s="498">
        <f t="shared" ref="E83:E94" si="7">D83/60</f>
        <v>3.2500000000000001E-2</v>
      </c>
      <c r="F83" s="499">
        <f>(B$74/C$95)*C83</f>
        <v>5.8008260364842457</v>
      </c>
      <c r="G83" s="500">
        <f t="shared" ref="G83:G94" si="8">E83/C83</f>
        <v>0.64216557992491596</v>
      </c>
      <c r="H83" s="517">
        <f t="shared" ref="H83:H94" si="9">B$76/C$95</f>
        <v>3.3957198136302611</v>
      </c>
      <c r="I83" s="501"/>
    </row>
    <row r="84" spans="1:9" x14ac:dyDescent="0.2">
      <c r="A84" s="495">
        <v>2</v>
      </c>
      <c r="B84" s="495" t="s">
        <v>5</v>
      </c>
      <c r="C84" s="496">
        <v>5.9285999999999998E-2</v>
      </c>
      <c r="D84" s="497">
        <f>2</f>
        <v>2</v>
      </c>
      <c r="E84" s="498">
        <f t="shared" si="7"/>
        <v>3.3333333333333333E-2</v>
      </c>
      <c r="F84" s="499">
        <f t="shared" ref="F84:F94" si="10">(B$74/C$95)*C84</f>
        <v>6.7952533570244018</v>
      </c>
      <c r="G84" s="500">
        <f t="shared" si="8"/>
        <v>0.56224628636327856</v>
      </c>
      <c r="H84" s="501">
        <f t="shared" si="9"/>
        <v>3.3957198136302611</v>
      </c>
      <c r="I84" s="501"/>
    </row>
    <row r="85" spans="1:9" x14ac:dyDescent="0.2">
      <c r="A85" s="495">
        <v>3</v>
      </c>
      <c r="B85" s="495" t="s">
        <v>70</v>
      </c>
      <c r="C85" s="496">
        <v>4.5790000000000004E-2</v>
      </c>
      <c r="D85" s="497">
        <f>1+46/60</f>
        <v>1.7666666666666666</v>
      </c>
      <c r="E85" s="498">
        <f t="shared" si="7"/>
        <v>2.9444444444444443E-2</v>
      </c>
      <c r="F85" s="499">
        <f t="shared" si="10"/>
        <v>5.2483664139619366</v>
      </c>
      <c r="G85" s="500">
        <f t="shared" si="8"/>
        <v>0.64303220014073903</v>
      </c>
      <c r="H85" s="501">
        <f t="shared" si="9"/>
        <v>3.3957198136302611</v>
      </c>
      <c r="I85" s="501"/>
    </row>
    <row r="86" spans="1:9" x14ac:dyDescent="0.2">
      <c r="A86" s="495">
        <v>4</v>
      </c>
      <c r="B86" s="495" t="s">
        <v>141</v>
      </c>
      <c r="C86" s="496">
        <v>5.7840000000000009E-2</v>
      </c>
      <c r="D86" s="497">
        <f>1+51/60</f>
        <v>1.85</v>
      </c>
      <c r="E86" s="498">
        <f t="shared" si="7"/>
        <v>3.0833333333333334E-2</v>
      </c>
      <c r="F86" s="499">
        <f t="shared" si="10"/>
        <v>6.6295154702677106</v>
      </c>
      <c r="G86" s="500">
        <f t="shared" si="8"/>
        <v>0.53307976025818338</v>
      </c>
      <c r="H86" s="501">
        <f t="shared" si="9"/>
        <v>3.3957198136302611</v>
      </c>
      <c r="I86" s="501"/>
    </row>
    <row r="87" spans="1:9" x14ac:dyDescent="0.2">
      <c r="A87" s="495">
        <v>5</v>
      </c>
      <c r="B87" s="495" t="s">
        <v>70</v>
      </c>
      <c r="C87" s="496">
        <v>5.0128000000000006E-2</v>
      </c>
      <c r="D87" s="497">
        <f>2+3/60</f>
        <v>2.0499999999999998</v>
      </c>
      <c r="E87" s="498">
        <f t="shared" si="7"/>
        <v>3.4166666666666665E-2</v>
      </c>
      <c r="F87" s="499">
        <f t="shared" si="10"/>
        <v>5.7455800742320156</v>
      </c>
      <c r="G87" s="500">
        <f t="shared" si="8"/>
        <v>0.68158846685817631</v>
      </c>
      <c r="H87" s="501">
        <f t="shared" si="9"/>
        <v>3.3957198136302611</v>
      </c>
      <c r="I87" s="501"/>
    </row>
    <row r="88" spans="1:9" x14ac:dyDescent="0.2">
      <c r="A88" s="495">
        <v>6</v>
      </c>
      <c r="B88" s="495" t="s">
        <v>149</v>
      </c>
      <c r="C88" s="496">
        <v>5.9285999999999998E-2</v>
      </c>
      <c r="D88" s="497">
        <f>2+16/60</f>
        <v>2.2666666666666666</v>
      </c>
      <c r="E88" s="498">
        <f t="shared" si="7"/>
        <v>3.7777777777777778E-2</v>
      </c>
      <c r="F88" s="499">
        <f t="shared" si="10"/>
        <v>6.7952533570244018</v>
      </c>
      <c r="G88" s="500">
        <f t="shared" si="8"/>
        <v>0.63721245787838243</v>
      </c>
      <c r="H88" s="501">
        <f t="shared" si="9"/>
        <v>3.3957198136302611</v>
      </c>
      <c r="I88" s="501"/>
    </row>
    <row r="89" spans="1:9" x14ac:dyDescent="0.2">
      <c r="A89" s="495">
        <v>7</v>
      </c>
      <c r="B89" s="495" t="s">
        <v>70</v>
      </c>
      <c r="C89" s="496">
        <v>4.8614999999999998E-2</v>
      </c>
      <c r="D89" s="497">
        <f>1+55/60</f>
        <v>1.9166666666666665</v>
      </c>
      <c r="E89" s="498">
        <f t="shared" si="7"/>
        <v>3.1944444444444442E-2</v>
      </c>
      <c r="F89" s="499">
        <f t="shared" si="10"/>
        <v>5.5721627694859039</v>
      </c>
      <c r="G89" s="500">
        <f t="shared" si="8"/>
        <v>0.65709028991966356</v>
      </c>
      <c r="H89" s="501">
        <f t="shared" si="9"/>
        <v>3.3957198136302611</v>
      </c>
      <c r="I89" s="501"/>
    </row>
    <row r="90" spans="1:9" x14ac:dyDescent="0.2">
      <c r="A90" s="495">
        <v>8</v>
      </c>
      <c r="B90" s="495" t="s">
        <v>149</v>
      </c>
      <c r="C90" s="496">
        <v>5.6949E-2</v>
      </c>
      <c r="D90" s="497">
        <f>1+57/60</f>
        <v>1.95</v>
      </c>
      <c r="E90" s="498">
        <f t="shared" si="7"/>
        <v>3.2500000000000001E-2</v>
      </c>
      <c r="F90" s="499">
        <f t="shared" si="10"/>
        <v>6.5273906728263444</v>
      </c>
      <c r="G90" s="500">
        <f t="shared" si="8"/>
        <v>0.57068605243287851</v>
      </c>
      <c r="H90" s="501">
        <f t="shared" si="9"/>
        <v>3.3957198136302611</v>
      </c>
      <c r="I90" s="501"/>
    </row>
    <row r="91" spans="1:9" x14ac:dyDescent="0.2">
      <c r="A91" s="495">
        <v>9</v>
      </c>
      <c r="B91" s="495" t="s">
        <v>149</v>
      </c>
      <c r="C91" s="496">
        <v>4.3984999999999996E-2</v>
      </c>
      <c r="D91" s="497">
        <f>2+3/60</f>
        <v>2.0499999999999998</v>
      </c>
      <c r="E91" s="498">
        <f t="shared" si="7"/>
        <v>3.4166666666666665E-2</v>
      </c>
      <c r="F91" s="499">
        <f t="shared" si="10"/>
        <v>5.0414806009634363</v>
      </c>
      <c r="G91" s="500">
        <f t="shared" si="8"/>
        <v>0.7767799628661286</v>
      </c>
      <c r="H91" s="501">
        <f t="shared" si="9"/>
        <v>3.3957198136302611</v>
      </c>
      <c r="I91" s="501"/>
    </row>
    <row r="92" spans="1:9" x14ac:dyDescent="0.2">
      <c r="A92" s="495">
        <v>10</v>
      </c>
      <c r="B92" s="495" t="s">
        <v>5</v>
      </c>
      <c r="C92" s="496">
        <v>5.5559999999999991E-2</v>
      </c>
      <c r="D92" s="497">
        <f>1+54/60</f>
        <v>1.9</v>
      </c>
      <c r="E92" s="498">
        <f t="shared" si="7"/>
        <v>3.1666666666666662E-2</v>
      </c>
      <c r="F92" s="499">
        <f t="shared" si="10"/>
        <v>6.3681860222696036</v>
      </c>
      <c r="G92" s="500">
        <f t="shared" si="8"/>
        <v>0.56995440364770822</v>
      </c>
      <c r="H92" s="501">
        <f t="shared" si="9"/>
        <v>3.3957198136302611</v>
      </c>
      <c r="I92" s="501"/>
    </row>
    <row r="93" spans="1:9" x14ac:dyDescent="0.2">
      <c r="A93" s="495">
        <v>11</v>
      </c>
      <c r="B93" s="495" t="s">
        <v>141</v>
      </c>
      <c r="C93" s="496">
        <v>4.8152E-2</v>
      </c>
      <c r="D93" s="497">
        <f>2+7/60</f>
        <v>2.1166666666666667</v>
      </c>
      <c r="E93" s="498">
        <f t="shared" si="7"/>
        <v>3.5277777777777776E-2</v>
      </c>
      <c r="F93" s="499">
        <f>(B$74/C$95)*C93</f>
        <v>5.519094552633657</v>
      </c>
      <c r="G93" s="500">
        <f t="shared" si="8"/>
        <v>0.7326336969965479</v>
      </c>
      <c r="H93" s="501">
        <f t="shared" si="9"/>
        <v>3.3957198136302611</v>
      </c>
      <c r="I93" s="501"/>
    </row>
    <row r="94" spans="1:9" x14ac:dyDescent="0.2">
      <c r="A94" s="495">
        <v>12</v>
      </c>
      <c r="B94" s="495" t="s">
        <v>5</v>
      </c>
      <c r="C94" s="496">
        <v>5.6949E-2</v>
      </c>
      <c r="D94" s="497">
        <f>2+5/60</f>
        <v>2.0833333333333335</v>
      </c>
      <c r="E94" s="498">
        <f t="shared" si="7"/>
        <v>3.4722222222222224E-2</v>
      </c>
      <c r="F94" s="499">
        <f t="shared" si="10"/>
        <v>6.5273906728263444</v>
      </c>
      <c r="G94" s="500">
        <f t="shared" si="8"/>
        <v>0.60970732097529756</v>
      </c>
      <c r="H94" s="501">
        <f t="shared" si="9"/>
        <v>3.3957198136302611</v>
      </c>
      <c r="I94" s="501"/>
    </row>
    <row r="95" spans="1:9" x14ac:dyDescent="0.2">
      <c r="A95" s="457"/>
      <c r="B95" s="457"/>
      <c r="C95" s="500">
        <f>SUM(C83:C94)</f>
        <v>0.63314999999999999</v>
      </c>
      <c r="D95" s="457"/>
      <c r="E95" s="457"/>
      <c r="F95" s="457"/>
      <c r="G95" s="500"/>
    </row>
    <row r="96" spans="1:9" x14ac:dyDescent="0.2">
      <c r="A96" s="457"/>
      <c r="B96" s="457"/>
      <c r="C96" s="457"/>
      <c r="D96" s="504" t="s">
        <v>322</v>
      </c>
      <c r="E96" s="504"/>
      <c r="F96" s="505">
        <f>SUM(F83:F94)</f>
        <v>72.57050000000001</v>
      </c>
      <c r="G96" s="500">
        <f>F96*0.46</f>
        <v>33.382430000000006</v>
      </c>
    </row>
    <row r="97" spans="1:8" x14ac:dyDescent="0.2">
      <c r="A97" s="457"/>
      <c r="B97" s="457"/>
      <c r="C97" s="457"/>
      <c r="D97" s="507"/>
      <c r="E97" s="504"/>
      <c r="F97" s="508"/>
      <c r="G97" s="457"/>
    </row>
    <row r="98" spans="1:8" x14ac:dyDescent="0.2">
      <c r="A98" s="457"/>
      <c r="B98" s="457"/>
      <c r="C98" s="457"/>
      <c r="D98" s="457"/>
      <c r="E98" s="509"/>
      <c r="F98" s="518">
        <f>F96/C95</f>
        <v>114.61817894653717</v>
      </c>
      <c r="G98" s="457" t="s">
        <v>485</v>
      </c>
      <c r="H98" s="520">
        <f>F98*0.46</f>
        <v>52.724362315407099</v>
      </c>
    </row>
    <row r="100" spans="1:8" ht="15" customHeight="1" x14ac:dyDescent="0.2">
      <c r="H100" s="521">
        <f>G96+G61+H29</f>
        <v>104.42426996130462</v>
      </c>
    </row>
    <row r="101" spans="1:8" ht="15.95" x14ac:dyDescent="0.2">
      <c r="E101" s="512"/>
    </row>
    <row r="103" spans="1:8" ht="15" customHeight="1" x14ac:dyDescent="0.25">
      <c r="E103" s="522" t="s">
        <v>486</v>
      </c>
      <c r="H103" s="523">
        <f>H98+G63+H29</f>
        <v>144.66278133143808</v>
      </c>
    </row>
    <row r="104" spans="1:8" ht="15" customHeight="1" x14ac:dyDescent="0.2">
      <c r="E104" s="524" t="s">
        <v>487</v>
      </c>
      <c r="H104" s="525">
        <f>H29</f>
        <v>34.97622996130459</v>
      </c>
    </row>
    <row r="105" spans="1:8" ht="15" customHeight="1" x14ac:dyDescent="0.2">
      <c r="E105" s="524" t="s">
        <v>488</v>
      </c>
      <c r="H105" s="525">
        <f>H29</f>
        <v>34.97622996130459</v>
      </c>
    </row>
  </sheetData>
  <mergeCells count="9">
    <mergeCell ref="A81:A82"/>
    <mergeCell ref="B81:B82"/>
    <mergeCell ref="D81:E81"/>
    <mergeCell ref="A12:A13"/>
    <mergeCell ref="B12:B13"/>
    <mergeCell ref="D12:E12"/>
    <mergeCell ref="A46:A47"/>
    <mergeCell ref="B46:B47"/>
    <mergeCell ref="D46:E46"/>
  </mergeCells>
  <pageMargins left="0.7" right="0.7" top="0.75" bottom="0.75" header="0.3" footer="0.3"/>
  <pageSetup paperSize="9"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opLeftCell="A49" workbookViewId="0">
      <selection activeCell="L63" sqref="L63"/>
    </sheetView>
  </sheetViews>
  <sheetFormatPr defaultColWidth="15.140625" defaultRowHeight="15" customHeight="1" x14ac:dyDescent="0.25"/>
  <cols>
    <col min="1" max="1" width="22" style="94" customWidth="1"/>
    <col min="2" max="2" width="13" style="94" customWidth="1"/>
    <col min="3" max="3" width="11" style="94" customWidth="1"/>
    <col min="4" max="4" width="11.7109375" style="94" customWidth="1"/>
    <col min="5" max="5" width="16.28515625" style="94" customWidth="1"/>
    <col min="6" max="6" width="9.42578125" style="94" customWidth="1"/>
    <col min="7" max="7" width="11.42578125" style="94" customWidth="1"/>
    <col min="8" max="8" width="12.140625" style="94" customWidth="1"/>
    <col min="9" max="11" width="7.42578125" style="94" customWidth="1"/>
    <col min="12" max="12" width="11.42578125" style="94" customWidth="1"/>
    <col min="13" max="13" width="10.28515625" style="94" customWidth="1"/>
    <col min="14" max="14" width="12.85546875" style="94" customWidth="1"/>
    <col min="15" max="26" width="7.42578125" style="94" customWidth="1"/>
    <col min="27" max="16384" width="15.140625" style="94"/>
  </cols>
  <sheetData>
    <row r="1" spans="1:14" ht="15" customHeight="1" x14ac:dyDescent="0.25">
      <c r="A1" s="107" t="s">
        <v>299</v>
      </c>
      <c r="B1" s="108"/>
      <c r="C1" s="108"/>
      <c r="D1" s="108"/>
      <c r="E1" s="109"/>
      <c r="F1" s="55"/>
      <c r="G1" s="110"/>
    </row>
    <row r="2" spans="1:14" x14ac:dyDescent="0.2">
      <c r="A2" s="111" t="s">
        <v>300</v>
      </c>
      <c r="B2" s="112">
        <v>42184</v>
      </c>
      <c r="C2" s="113" t="s">
        <v>301</v>
      </c>
      <c r="D2" s="114" t="s">
        <v>302</v>
      </c>
      <c r="E2" s="115">
        <v>42360</v>
      </c>
      <c r="F2" s="55"/>
      <c r="G2" s="96"/>
      <c r="K2" s="116"/>
      <c r="L2" s="117"/>
      <c r="M2" s="118" t="s">
        <v>303</v>
      </c>
      <c r="N2" s="119" t="s">
        <v>304</v>
      </c>
    </row>
    <row r="3" spans="1:14" x14ac:dyDescent="0.2">
      <c r="A3" s="111" t="s">
        <v>305</v>
      </c>
      <c r="B3" s="120" t="s">
        <v>306</v>
      </c>
      <c r="C3" s="113"/>
      <c r="D3" s="121"/>
      <c r="E3" s="122"/>
      <c r="F3" s="55"/>
      <c r="G3" s="55"/>
      <c r="K3" s="123" t="s">
        <v>307</v>
      </c>
      <c r="L3" s="124"/>
      <c r="M3" s="124">
        <f>30+35+35</f>
        <v>100</v>
      </c>
      <c r="N3" s="125">
        <f>M3*0.63</f>
        <v>63</v>
      </c>
    </row>
    <row r="4" spans="1:14" x14ac:dyDescent="0.2">
      <c r="A4" s="126" t="s">
        <v>308</v>
      </c>
      <c r="B4" s="127">
        <f>F27</f>
        <v>158.18</v>
      </c>
      <c r="C4" s="113" t="s">
        <v>309</v>
      </c>
      <c r="D4" s="121"/>
      <c r="E4" s="122"/>
      <c r="F4" s="128"/>
      <c r="G4" s="55"/>
      <c r="K4" s="123" t="s">
        <v>310</v>
      </c>
      <c r="L4" s="124"/>
      <c r="M4" s="124"/>
      <c r="N4" s="125">
        <f>(F27*0.14)+(0.46*B39)+(0.46*B74)</f>
        <v>91.593240000000009</v>
      </c>
    </row>
    <row r="5" spans="1:14" x14ac:dyDescent="0.2">
      <c r="A5" s="126" t="s">
        <v>311</v>
      </c>
      <c r="B5" s="129"/>
      <c r="C5" s="113"/>
      <c r="D5" s="121"/>
      <c r="E5" s="130"/>
      <c r="F5" s="55"/>
      <c r="G5" s="55"/>
      <c r="K5" s="131"/>
      <c r="L5" s="132"/>
      <c r="M5" s="132"/>
      <c r="N5" s="133"/>
    </row>
    <row r="6" spans="1:14" x14ac:dyDescent="0.2">
      <c r="A6" s="134" t="s">
        <v>312</v>
      </c>
      <c r="B6" s="120"/>
      <c r="C6" s="113"/>
      <c r="D6" s="114"/>
      <c r="E6" s="130"/>
      <c r="F6" s="55"/>
      <c r="G6" s="135"/>
    </row>
    <row r="7" spans="1:14" x14ac:dyDescent="0.2">
      <c r="A7" s="126" t="s">
        <v>313</v>
      </c>
      <c r="B7" s="136">
        <v>1</v>
      </c>
      <c r="C7" s="113"/>
      <c r="D7" s="114"/>
      <c r="E7" s="130"/>
      <c r="F7" s="55"/>
      <c r="G7" s="55"/>
    </row>
    <row r="8" spans="1:14" x14ac:dyDescent="0.2">
      <c r="A8" s="137"/>
      <c r="B8" s="136"/>
      <c r="C8" s="138"/>
      <c r="D8" s="114"/>
      <c r="E8" s="130"/>
      <c r="F8" s="55"/>
      <c r="G8" s="55"/>
    </row>
    <row r="9" spans="1:14" x14ac:dyDescent="0.2">
      <c r="A9" s="139"/>
      <c r="B9" s="140"/>
      <c r="C9" s="141"/>
      <c r="D9" s="142"/>
      <c r="E9" s="143"/>
      <c r="F9" s="55"/>
      <c r="G9" s="55"/>
    </row>
    <row r="10" spans="1:14" x14ac:dyDescent="0.2">
      <c r="A10" s="55"/>
      <c r="B10" s="55"/>
      <c r="C10" s="55"/>
      <c r="D10" s="55"/>
      <c r="E10" s="55"/>
      <c r="F10" s="55"/>
      <c r="G10" s="55"/>
    </row>
    <row r="11" spans="1:14" x14ac:dyDescent="0.2">
      <c r="A11" s="55"/>
      <c r="B11" s="55"/>
      <c r="C11" s="55"/>
      <c r="D11" s="55"/>
      <c r="E11" s="55"/>
      <c r="F11" s="55"/>
      <c r="G11" s="55"/>
    </row>
    <row r="12" spans="1:14" ht="45" x14ac:dyDescent="0.25">
      <c r="A12" s="535" t="s">
        <v>180</v>
      </c>
      <c r="B12" s="536" t="s">
        <v>181</v>
      </c>
      <c r="C12" s="95" t="s">
        <v>182</v>
      </c>
      <c r="D12" s="537" t="s">
        <v>314</v>
      </c>
      <c r="E12" s="527"/>
      <c r="F12" s="50" t="s">
        <v>315</v>
      </c>
      <c r="G12" s="50" t="s">
        <v>316</v>
      </c>
      <c r="H12" s="85" t="s">
        <v>313</v>
      </c>
    </row>
    <row r="13" spans="1:14" x14ac:dyDescent="0.25">
      <c r="A13" s="527"/>
      <c r="B13" s="527"/>
      <c r="C13" s="95" t="s">
        <v>186</v>
      </c>
      <c r="D13" s="95" t="s">
        <v>280</v>
      </c>
      <c r="E13" s="95" t="s">
        <v>317</v>
      </c>
      <c r="F13" s="95" t="s">
        <v>318</v>
      </c>
      <c r="G13" s="95" t="s">
        <v>198</v>
      </c>
      <c r="H13" s="85" t="s">
        <v>319</v>
      </c>
      <c r="K13" s="54" t="s">
        <v>320</v>
      </c>
      <c r="L13" s="79">
        <f>AVERAGE(G14:G25)</f>
        <v>2.506624236156084</v>
      </c>
    </row>
    <row r="14" spans="1:14" x14ac:dyDescent="0.2">
      <c r="A14" s="97">
        <v>1</v>
      </c>
      <c r="B14" s="97" t="s">
        <v>141</v>
      </c>
      <c r="C14" s="98">
        <v>5.0610000000000002E-2</v>
      </c>
      <c r="D14" s="144">
        <f>7+58/60</f>
        <v>7.9666666666666668</v>
      </c>
      <c r="E14" s="145">
        <f t="shared" ref="E14:E25" si="0">D14/60</f>
        <v>0.13277777777777777</v>
      </c>
      <c r="F14" s="100">
        <v>12.7</v>
      </c>
      <c r="G14" s="146">
        <f t="shared" ref="G14:G25" si="1">E14/C14</f>
        <v>2.6235482667017935</v>
      </c>
      <c r="H14" s="147">
        <f t="shared" ref="H14:H25" si="2">E14/(C14*8)</f>
        <v>0.32794353333772419</v>
      </c>
      <c r="K14" s="54" t="s">
        <v>321</v>
      </c>
      <c r="L14" s="94">
        <f>STDEV(G14:G25)</f>
        <v>0.20465298855121861</v>
      </c>
    </row>
    <row r="15" spans="1:14" x14ac:dyDescent="0.2">
      <c r="A15" s="97">
        <v>2</v>
      </c>
      <c r="B15" s="97" t="s">
        <v>5</v>
      </c>
      <c r="C15" s="98">
        <v>5.9285999999999998E-2</v>
      </c>
      <c r="D15" s="144">
        <f>9+19/60</f>
        <v>9.3166666666666664</v>
      </c>
      <c r="E15" s="145">
        <f t="shared" si="0"/>
        <v>0.15527777777777776</v>
      </c>
      <c r="F15" s="100">
        <v>14.8</v>
      </c>
      <c r="G15" s="146">
        <f t="shared" si="1"/>
        <v>2.6191306173089393</v>
      </c>
      <c r="H15" s="147">
        <f t="shared" si="2"/>
        <v>0.32739132716361741</v>
      </c>
    </row>
    <row r="16" spans="1:14" x14ac:dyDescent="0.2">
      <c r="A16" s="97">
        <v>3</v>
      </c>
      <c r="B16" s="97" t="s">
        <v>70</v>
      </c>
      <c r="C16" s="98">
        <v>4.5790000000000004E-2</v>
      </c>
      <c r="D16" s="144">
        <f>7+47/60</f>
        <v>7.7833333333333332</v>
      </c>
      <c r="E16" s="145">
        <f t="shared" si="0"/>
        <v>0.12972222222222221</v>
      </c>
      <c r="F16" s="100">
        <v>11.4</v>
      </c>
      <c r="G16" s="146">
        <f t="shared" si="1"/>
        <v>2.8329814855257087</v>
      </c>
      <c r="H16" s="147">
        <f t="shared" si="2"/>
        <v>0.35412268569071359</v>
      </c>
    </row>
    <row r="17" spans="1:14" x14ac:dyDescent="0.2">
      <c r="A17" s="97">
        <v>4</v>
      </c>
      <c r="B17" s="97" t="s">
        <v>141</v>
      </c>
      <c r="C17" s="98">
        <v>5.7840000000000009E-2</v>
      </c>
      <c r="D17" s="144">
        <f>8+51/60</f>
        <v>8.85</v>
      </c>
      <c r="E17" s="145">
        <f t="shared" si="0"/>
        <v>0.14749999999999999</v>
      </c>
      <c r="F17" s="100">
        <v>14.5</v>
      </c>
      <c r="G17" s="146">
        <f t="shared" si="1"/>
        <v>2.5501383125864447</v>
      </c>
      <c r="H17" s="147">
        <f t="shared" si="2"/>
        <v>0.31876728907330559</v>
      </c>
    </row>
    <row r="18" spans="1:14" x14ac:dyDescent="0.2">
      <c r="A18" s="97">
        <v>5</v>
      </c>
      <c r="B18" s="97" t="s">
        <v>70</v>
      </c>
      <c r="C18" s="98">
        <v>5.0128000000000006E-2</v>
      </c>
      <c r="D18" s="144">
        <f>7+49/60</f>
        <v>7.8166666666666664</v>
      </c>
      <c r="E18" s="145">
        <f t="shared" si="0"/>
        <v>0.13027777777777777</v>
      </c>
      <c r="F18" s="100">
        <v>12.5</v>
      </c>
      <c r="G18" s="146">
        <f t="shared" si="1"/>
        <v>2.5989023654998755</v>
      </c>
      <c r="H18" s="147">
        <f t="shared" si="2"/>
        <v>0.32486279568748444</v>
      </c>
    </row>
    <row r="19" spans="1:14" x14ac:dyDescent="0.2">
      <c r="A19" s="97">
        <v>6</v>
      </c>
      <c r="B19" s="97" t="s">
        <v>149</v>
      </c>
      <c r="C19" s="98">
        <v>5.9285999999999998E-2</v>
      </c>
      <c r="D19" s="144">
        <f>7+23/60</f>
        <v>7.3833333333333337</v>
      </c>
      <c r="E19" s="145">
        <f t="shared" si="0"/>
        <v>0.12305555555555556</v>
      </c>
      <c r="F19" s="100">
        <v>14.78</v>
      </c>
      <c r="G19" s="146">
        <f t="shared" si="1"/>
        <v>2.0756258738244369</v>
      </c>
      <c r="H19" s="147">
        <f t="shared" si="2"/>
        <v>0.25945323422805461</v>
      </c>
    </row>
    <row r="20" spans="1:14" x14ac:dyDescent="0.2">
      <c r="A20" s="97">
        <v>7</v>
      </c>
      <c r="B20" s="97" t="s">
        <v>70</v>
      </c>
      <c r="C20" s="98">
        <v>4.8614999999999998E-2</v>
      </c>
      <c r="D20" s="144">
        <f>6+45/60</f>
        <v>6.75</v>
      </c>
      <c r="E20" s="145">
        <f t="shared" si="0"/>
        <v>0.1125</v>
      </c>
      <c r="F20" s="100">
        <v>12.2</v>
      </c>
      <c r="G20" s="146">
        <f t="shared" si="1"/>
        <v>2.3141005862388151</v>
      </c>
      <c r="H20" s="147">
        <f t="shared" si="2"/>
        <v>0.28926257327985189</v>
      </c>
    </row>
    <row r="21" spans="1:14" x14ac:dyDescent="0.2">
      <c r="A21" s="97">
        <v>8</v>
      </c>
      <c r="B21" s="97" t="s">
        <v>149</v>
      </c>
      <c r="C21" s="98">
        <v>5.6949E-2</v>
      </c>
      <c r="D21" s="144">
        <f>8+7/60</f>
        <v>8.1166666666666671</v>
      </c>
      <c r="E21" s="145">
        <f t="shared" si="0"/>
        <v>0.13527777777777777</v>
      </c>
      <c r="F21" s="100">
        <v>14.2</v>
      </c>
      <c r="G21" s="146">
        <f t="shared" si="1"/>
        <v>2.3754197225197595</v>
      </c>
      <c r="H21" s="147">
        <f t="shared" si="2"/>
        <v>0.29692746531496994</v>
      </c>
    </row>
    <row r="22" spans="1:14" x14ac:dyDescent="0.2">
      <c r="A22" s="97">
        <v>9</v>
      </c>
      <c r="B22" s="97" t="s">
        <v>149</v>
      </c>
      <c r="C22" s="98">
        <v>4.3984999999999996E-2</v>
      </c>
      <c r="D22" s="144">
        <f>7+2/60</f>
        <v>7.0333333333333332</v>
      </c>
      <c r="E22" s="145">
        <f t="shared" si="0"/>
        <v>0.11722222222222221</v>
      </c>
      <c r="F22" s="100">
        <v>11</v>
      </c>
      <c r="G22" s="146">
        <f t="shared" si="1"/>
        <v>2.6650499538984249</v>
      </c>
      <c r="H22" s="147">
        <f t="shared" si="2"/>
        <v>0.33313124423730311</v>
      </c>
    </row>
    <row r="23" spans="1:14" x14ac:dyDescent="0.2">
      <c r="A23" s="97">
        <v>10</v>
      </c>
      <c r="B23" s="97" t="s">
        <v>5</v>
      </c>
      <c r="C23" s="98">
        <v>5.5559999999999991E-2</v>
      </c>
      <c r="D23" s="144">
        <f>8+50/60</f>
        <v>8.8333333333333339</v>
      </c>
      <c r="E23" s="145">
        <f t="shared" si="0"/>
        <v>0.14722222222222223</v>
      </c>
      <c r="F23" s="100">
        <v>13.9</v>
      </c>
      <c r="G23" s="146">
        <f t="shared" si="1"/>
        <v>2.6497880169586439</v>
      </c>
      <c r="H23" s="147">
        <f t="shared" si="2"/>
        <v>0.33122350211983048</v>
      </c>
    </row>
    <row r="24" spans="1:14" x14ac:dyDescent="0.2">
      <c r="A24" s="97">
        <v>11</v>
      </c>
      <c r="B24" s="97" t="s">
        <v>141</v>
      </c>
      <c r="C24" s="98">
        <v>4.8152E-2</v>
      </c>
      <c r="D24" s="144">
        <f>7+1/60</f>
        <v>7.0166666666666666</v>
      </c>
      <c r="E24" s="145">
        <f t="shared" si="0"/>
        <v>0.11694444444444445</v>
      </c>
      <c r="F24" s="100">
        <v>12</v>
      </c>
      <c r="G24" s="146">
        <f t="shared" si="1"/>
        <v>2.4286518616972179</v>
      </c>
      <c r="H24" s="147">
        <f t="shared" si="2"/>
        <v>0.30358148271215224</v>
      </c>
    </row>
    <row r="25" spans="1:14" x14ac:dyDescent="0.2">
      <c r="A25" s="97">
        <v>12</v>
      </c>
      <c r="B25" s="97" t="s">
        <v>5</v>
      </c>
      <c r="C25" s="98">
        <v>5.6949E-2</v>
      </c>
      <c r="D25" s="144">
        <f>8+1/60</f>
        <v>8.0166666666666675</v>
      </c>
      <c r="E25" s="145">
        <f t="shared" si="0"/>
        <v>0.13361111111111112</v>
      </c>
      <c r="F25" s="100">
        <v>14.2</v>
      </c>
      <c r="G25" s="146">
        <f t="shared" si="1"/>
        <v>2.3461537711129452</v>
      </c>
      <c r="H25" s="147">
        <f t="shared" si="2"/>
        <v>0.29326922138911815</v>
      </c>
    </row>
    <row r="26" spans="1:14" x14ac:dyDescent="0.2">
      <c r="A26" s="55"/>
      <c r="B26" s="128"/>
      <c r="C26" s="146">
        <f>SUM(C14:C25)</f>
        <v>0.63314999999999999</v>
      </c>
      <c r="D26" s="128"/>
      <c r="E26" s="128"/>
      <c r="F26" s="128"/>
      <c r="G26" s="146"/>
    </row>
    <row r="27" spans="1:14" x14ac:dyDescent="0.2">
      <c r="A27" s="55"/>
      <c r="B27" s="128"/>
      <c r="C27" s="128"/>
      <c r="D27" s="148" t="s">
        <v>322</v>
      </c>
      <c r="E27" s="148"/>
      <c r="F27" s="149">
        <f>SUM(F14:F25)</f>
        <v>158.18</v>
      </c>
      <c r="G27" s="146"/>
      <c r="N27" s="54" t="s">
        <v>0</v>
      </c>
    </row>
    <row r="28" spans="1:14" x14ac:dyDescent="0.2">
      <c r="A28" s="55"/>
      <c r="B28" s="128"/>
      <c r="C28" s="128"/>
      <c r="D28" s="150"/>
      <c r="E28" s="148"/>
      <c r="F28" s="151"/>
      <c r="G28" s="128"/>
      <c r="M28" s="54" t="s">
        <v>323</v>
      </c>
      <c r="N28" s="152">
        <f>F29</f>
        <v>249.8302140093185</v>
      </c>
    </row>
    <row r="29" spans="1:14" x14ac:dyDescent="0.2">
      <c r="A29" s="55"/>
      <c r="B29" s="128"/>
      <c r="C29" s="128"/>
      <c r="D29" s="128"/>
      <c r="E29" s="153" t="s">
        <v>324</v>
      </c>
      <c r="F29" s="154">
        <f>F27/C26</f>
        <v>249.8302140093185</v>
      </c>
      <c r="G29" s="55" t="s">
        <v>0</v>
      </c>
      <c r="M29" s="54" t="s">
        <v>325</v>
      </c>
      <c r="N29" s="152">
        <f>F63+F98</f>
        <v>238.44902471768148</v>
      </c>
    </row>
    <row r="35" spans="1:12" ht="23.1" x14ac:dyDescent="0.25">
      <c r="A35" s="107" t="s">
        <v>326</v>
      </c>
      <c r="B35" s="108"/>
      <c r="C35" s="108"/>
      <c r="D35" s="108"/>
      <c r="E35" s="109"/>
      <c r="F35" s="55"/>
      <c r="G35" s="110"/>
    </row>
    <row r="36" spans="1:12" x14ac:dyDescent="0.2">
      <c r="A36" s="111" t="s">
        <v>300</v>
      </c>
      <c r="B36" s="112">
        <v>42389</v>
      </c>
      <c r="C36" s="113" t="s">
        <v>327</v>
      </c>
      <c r="D36" s="114" t="s">
        <v>302</v>
      </c>
      <c r="E36" s="115">
        <v>42360</v>
      </c>
      <c r="F36" s="55"/>
      <c r="G36" s="96"/>
    </row>
    <row r="37" spans="1:12" x14ac:dyDescent="0.2">
      <c r="A37" s="111" t="s">
        <v>305</v>
      </c>
      <c r="B37" s="120" t="s">
        <v>325</v>
      </c>
      <c r="C37" s="113"/>
      <c r="D37" s="121"/>
      <c r="E37" s="122"/>
      <c r="F37" s="55"/>
      <c r="G37" s="55"/>
    </row>
    <row r="38" spans="1:12" x14ac:dyDescent="0.2">
      <c r="A38" s="126" t="s">
        <v>328</v>
      </c>
      <c r="B38" s="129">
        <f>95-2.13-10.34</f>
        <v>82.53</v>
      </c>
      <c r="C38" s="113" t="s">
        <v>309</v>
      </c>
      <c r="D38" s="121"/>
      <c r="E38" s="122"/>
      <c r="F38" s="55"/>
      <c r="G38" s="55"/>
    </row>
    <row r="39" spans="1:12" x14ac:dyDescent="0.2">
      <c r="A39" s="113" t="s">
        <v>329</v>
      </c>
      <c r="B39" s="155">
        <f>B38*0.95</f>
        <v>78.403499999999994</v>
      </c>
      <c r="C39" s="113" t="s">
        <v>309</v>
      </c>
      <c r="D39" s="121"/>
      <c r="E39" s="130"/>
      <c r="F39" s="55"/>
      <c r="G39" s="55"/>
    </row>
    <row r="40" spans="1:12" x14ac:dyDescent="0.2">
      <c r="A40" s="134" t="s">
        <v>330</v>
      </c>
      <c r="B40" s="156">
        <f>B38*0.05</f>
        <v>4.1265000000000001</v>
      </c>
      <c r="C40" s="113" t="s">
        <v>309</v>
      </c>
      <c r="D40" s="114"/>
      <c r="E40" s="130"/>
      <c r="F40" s="55"/>
      <c r="G40" s="135"/>
    </row>
    <row r="41" spans="1:12" x14ac:dyDescent="0.2">
      <c r="A41" s="137" t="s">
        <v>183</v>
      </c>
      <c r="B41" s="136">
        <v>3.5</v>
      </c>
      <c r="C41" s="138" t="s">
        <v>331</v>
      </c>
      <c r="D41" s="114"/>
      <c r="E41" s="130"/>
      <c r="F41" s="55"/>
      <c r="G41" s="55"/>
    </row>
    <row r="42" spans="1:12" x14ac:dyDescent="0.2">
      <c r="A42" s="137"/>
      <c r="B42" s="136"/>
      <c r="C42" s="138"/>
      <c r="D42" s="114"/>
      <c r="E42" s="130"/>
      <c r="F42" s="55"/>
      <c r="G42" s="55"/>
    </row>
    <row r="43" spans="1:12" x14ac:dyDescent="0.2">
      <c r="A43" s="139"/>
      <c r="B43" s="140"/>
      <c r="C43" s="141"/>
      <c r="D43" s="142"/>
      <c r="E43" s="143"/>
      <c r="F43" s="55"/>
      <c r="G43" s="55"/>
    </row>
    <row r="44" spans="1:12" x14ac:dyDescent="0.2">
      <c r="A44" s="55"/>
      <c r="B44" s="55"/>
      <c r="C44" s="55"/>
      <c r="D44" s="55"/>
      <c r="E44" s="55"/>
      <c r="F44" s="55"/>
      <c r="G44" s="55"/>
    </row>
    <row r="45" spans="1:12" x14ac:dyDescent="0.2">
      <c r="A45" s="55"/>
      <c r="B45" s="55"/>
      <c r="C45" s="55"/>
      <c r="D45" s="55"/>
      <c r="E45" s="55"/>
      <c r="F45" s="55"/>
      <c r="G45" s="55"/>
    </row>
    <row r="46" spans="1:12" ht="45" x14ac:dyDescent="0.25">
      <c r="A46" s="535" t="s">
        <v>180</v>
      </c>
      <c r="B46" s="536" t="s">
        <v>181</v>
      </c>
      <c r="C46" s="95" t="s">
        <v>182</v>
      </c>
      <c r="D46" s="537" t="s">
        <v>314</v>
      </c>
      <c r="E46" s="527"/>
      <c r="F46" s="50" t="s">
        <v>315</v>
      </c>
      <c r="G46" s="50" t="s">
        <v>316</v>
      </c>
      <c r="H46" s="157" t="s">
        <v>332</v>
      </c>
    </row>
    <row r="47" spans="1:12" x14ac:dyDescent="0.25">
      <c r="A47" s="527"/>
      <c r="B47" s="527"/>
      <c r="C47" s="95" t="s">
        <v>186</v>
      </c>
      <c r="D47" s="95" t="s">
        <v>280</v>
      </c>
      <c r="E47" s="95" t="s">
        <v>317</v>
      </c>
      <c r="F47" s="95" t="s">
        <v>318</v>
      </c>
      <c r="G47" s="95" t="s">
        <v>198</v>
      </c>
      <c r="H47" s="158" t="s">
        <v>188</v>
      </c>
      <c r="K47" s="54" t="s">
        <v>320</v>
      </c>
      <c r="L47" s="79">
        <f>AVERAGE(G48:G59)</f>
        <v>1.8868715337014608</v>
      </c>
    </row>
    <row r="48" spans="1:12" x14ac:dyDescent="0.2">
      <c r="A48" s="97">
        <v>1</v>
      </c>
      <c r="B48" s="97" t="s">
        <v>141</v>
      </c>
      <c r="C48" s="98">
        <v>5.0610000000000002E-2</v>
      </c>
      <c r="D48" s="144">
        <f>5+(59+53+49+7)/60</f>
        <v>7.8</v>
      </c>
      <c r="E48" s="145">
        <f t="shared" ref="E48:E59" si="3">D48/60</f>
        <v>0.13</v>
      </c>
      <c r="F48" s="100">
        <f t="shared" ref="F48:F59" si="4">(B$39/C$60)*C48</f>
        <v>6.2670791044776113</v>
      </c>
      <c r="G48" s="146">
        <f t="shared" ref="G48:G59" si="5">E48/C48</f>
        <v>2.5686623196996639</v>
      </c>
      <c r="H48" s="147">
        <f t="shared" ref="H48:H59" si="6">B$41/C$60</f>
        <v>5.5279159756771694</v>
      </c>
      <c r="K48" s="54" t="s">
        <v>321</v>
      </c>
      <c r="L48" s="94">
        <f>STDEV(G48:G59)</f>
        <v>0.36437393099172927</v>
      </c>
    </row>
    <row r="49" spans="1:8" x14ac:dyDescent="0.2">
      <c r="A49" s="97">
        <v>2</v>
      </c>
      <c r="B49" s="97" t="s">
        <v>5</v>
      </c>
      <c r="C49" s="98">
        <v>5.9285999999999998E-2</v>
      </c>
      <c r="D49" s="144">
        <f>4+(47+53)/60</f>
        <v>5.666666666666667</v>
      </c>
      <c r="E49" s="145">
        <f t="shared" si="3"/>
        <v>9.4444444444444456E-2</v>
      </c>
      <c r="F49" s="100">
        <f t="shared" si="4"/>
        <v>7.3414355223880587</v>
      </c>
      <c r="G49" s="146">
        <f t="shared" si="5"/>
        <v>1.5930311446959562</v>
      </c>
      <c r="H49" s="147">
        <f t="shared" si="6"/>
        <v>5.5279159756771694</v>
      </c>
    </row>
    <row r="50" spans="1:8" x14ac:dyDescent="0.2">
      <c r="A50" s="97">
        <v>3</v>
      </c>
      <c r="B50" s="97" t="s">
        <v>70</v>
      </c>
      <c r="C50" s="98">
        <v>4.5790000000000004E-2</v>
      </c>
      <c r="D50" s="144">
        <f>3+(56+49+47)/60</f>
        <v>5.5333333333333332</v>
      </c>
      <c r="E50" s="145">
        <f t="shared" si="3"/>
        <v>9.2222222222222219E-2</v>
      </c>
      <c r="F50" s="100">
        <f t="shared" si="4"/>
        <v>5.6702144278606967</v>
      </c>
      <c r="G50" s="146">
        <f t="shared" si="5"/>
        <v>2.0140253815728806</v>
      </c>
      <c r="H50" s="147">
        <f t="shared" si="6"/>
        <v>5.5279159756771694</v>
      </c>
    </row>
    <row r="51" spans="1:8" x14ac:dyDescent="0.2">
      <c r="A51" s="97">
        <v>4</v>
      </c>
      <c r="B51" s="97" t="s">
        <v>141</v>
      </c>
      <c r="C51" s="98">
        <v>5.7840000000000009E-2</v>
      </c>
      <c r="D51" s="144">
        <f>3+(58+44+47)/60</f>
        <v>5.4833333333333334</v>
      </c>
      <c r="E51" s="145">
        <f t="shared" si="3"/>
        <v>9.1388888888888895E-2</v>
      </c>
      <c r="F51" s="100">
        <f t="shared" si="4"/>
        <v>7.1623761194029854</v>
      </c>
      <c r="G51" s="146">
        <f t="shared" si="5"/>
        <v>1.5800291993238049</v>
      </c>
      <c r="H51" s="147">
        <f t="shared" si="6"/>
        <v>5.5279159756771694</v>
      </c>
    </row>
    <row r="52" spans="1:8" x14ac:dyDescent="0.2">
      <c r="A52" s="97">
        <v>5</v>
      </c>
      <c r="B52" s="97" t="s">
        <v>70</v>
      </c>
      <c r="C52" s="98">
        <v>5.0128000000000006E-2</v>
      </c>
      <c r="D52" s="144">
        <f>3+(55+49+43)/60</f>
        <v>5.45</v>
      </c>
      <c r="E52" s="145">
        <f t="shared" si="3"/>
        <v>9.0833333333333335E-2</v>
      </c>
      <c r="F52" s="100">
        <f t="shared" si="4"/>
        <v>6.2073926368159205</v>
      </c>
      <c r="G52" s="146">
        <f t="shared" si="5"/>
        <v>1.8120278753058834</v>
      </c>
      <c r="H52" s="147">
        <f t="shared" si="6"/>
        <v>5.5279159756771694</v>
      </c>
    </row>
    <row r="53" spans="1:8" x14ac:dyDescent="0.2">
      <c r="A53" s="97">
        <v>6</v>
      </c>
      <c r="B53" s="97" t="s">
        <v>149</v>
      </c>
      <c r="C53" s="98">
        <v>5.9285999999999998E-2</v>
      </c>
      <c r="D53" s="144">
        <f>3+(59+54+42)/60</f>
        <v>5.5833333333333339</v>
      </c>
      <c r="E53" s="145">
        <f t="shared" si="3"/>
        <v>9.3055555555555572E-2</v>
      </c>
      <c r="F53" s="100">
        <f t="shared" si="4"/>
        <v>7.3414355223880587</v>
      </c>
      <c r="G53" s="146">
        <f t="shared" si="5"/>
        <v>1.5696042160974863</v>
      </c>
      <c r="H53" s="147">
        <f t="shared" si="6"/>
        <v>5.5279159756771694</v>
      </c>
    </row>
    <row r="54" spans="1:8" x14ac:dyDescent="0.2">
      <c r="A54" s="97">
        <v>7</v>
      </c>
      <c r="B54" s="97" t="s">
        <v>70</v>
      </c>
      <c r="C54" s="98">
        <v>4.8614999999999998E-2</v>
      </c>
      <c r="D54" s="144">
        <f>4+(57+57+50+52)/60</f>
        <v>7.6</v>
      </c>
      <c r="E54" s="145">
        <f t="shared" si="3"/>
        <v>0.12666666666666665</v>
      </c>
      <c r="F54" s="100">
        <f t="shared" si="4"/>
        <v>6.020036567164178</v>
      </c>
      <c r="G54" s="146">
        <f t="shared" si="5"/>
        <v>2.6055058452466655</v>
      </c>
      <c r="H54" s="147">
        <f t="shared" si="6"/>
        <v>5.5279159756771694</v>
      </c>
    </row>
    <row r="55" spans="1:8" x14ac:dyDescent="0.2">
      <c r="A55" s="97">
        <v>8</v>
      </c>
      <c r="B55" s="97" t="s">
        <v>149</v>
      </c>
      <c r="C55" s="98">
        <v>5.6949E-2</v>
      </c>
      <c r="D55" s="144">
        <f>4+(7+57+51)/60</f>
        <v>5.916666666666667</v>
      </c>
      <c r="E55" s="145">
        <f t="shared" si="3"/>
        <v>9.8611111111111122E-2</v>
      </c>
      <c r="F55" s="100">
        <f t="shared" si="4"/>
        <v>7.0520428358208953</v>
      </c>
      <c r="G55" s="146">
        <f t="shared" si="5"/>
        <v>1.7315687915698454</v>
      </c>
      <c r="H55" s="147">
        <f t="shared" si="6"/>
        <v>5.5279159756771694</v>
      </c>
    </row>
    <row r="56" spans="1:8" x14ac:dyDescent="0.2">
      <c r="A56" s="97">
        <v>9</v>
      </c>
      <c r="B56" s="97" t="s">
        <v>149</v>
      </c>
      <c r="C56" s="98">
        <v>4.3984999999999996E-2</v>
      </c>
      <c r="D56" s="144">
        <f>3+(53+52+43)/60</f>
        <v>5.4666666666666668</v>
      </c>
      <c r="E56" s="145">
        <f t="shared" si="3"/>
        <v>9.1111111111111115E-2</v>
      </c>
      <c r="F56" s="100">
        <f t="shared" si="4"/>
        <v>5.4466997512437798</v>
      </c>
      <c r="G56" s="146">
        <f t="shared" si="5"/>
        <v>2.0714132343096767</v>
      </c>
      <c r="H56" s="147">
        <f t="shared" si="6"/>
        <v>5.5279159756771694</v>
      </c>
    </row>
    <row r="57" spans="1:8" x14ac:dyDescent="0.2">
      <c r="A57" s="97">
        <v>10</v>
      </c>
      <c r="B57" s="97" t="s">
        <v>5</v>
      </c>
      <c r="C57" s="98">
        <v>5.5559999999999991E-2</v>
      </c>
      <c r="D57" s="144">
        <f>3+(48+50+52)/60</f>
        <v>5.5</v>
      </c>
      <c r="E57" s="145">
        <f t="shared" si="3"/>
        <v>9.166666666666666E-2</v>
      </c>
      <c r="F57" s="100">
        <f t="shared" si="4"/>
        <v>6.8800417910447749</v>
      </c>
      <c r="G57" s="146">
        <f t="shared" si="5"/>
        <v>1.6498680105591554</v>
      </c>
      <c r="H57" s="147">
        <f t="shared" si="6"/>
        <v>5.5279159756771694</v>
      </c>
    </row>
    <row r="58" spans="1:8" x14ac:dyDescent="0.2">
      <c r="A58" s="97">
        <v>11</v>
      </c>
      <c r="B58" s="97" t="s">
        <v>141</v>
      </c>
      <c r="C58" s="98">
        <v>4.8152E-2</v>
      </c>
      <c r="D58" s="144">
        <f>3+(44+42+44)/60</f>
        <v>5.1666666666666661</v>
      </c>
      <c r="E58" s="145">
        <f t="shared" si="3"/>
        <v>8.6111111111111097E-2</v>
      </c>
      <c r="F58" s="100">
        <f t="shared" si="4"/>
        <v>5.9627028855721385</v>
      </c>
      <c r="G58" s="146">
        <f t="shared" si="5"/>
        <v>1.7883184729836994</v>
      </c>
      <c r="H58" s="147">
        <f t="shared" si="6"/>
        <v>5.5279159756771694</v>
      </c>
    </row>
    <row r="59" spans="1:8" x14ac:dyDescent="0.2">
      <c r="A59" s="97">
        <v>12</v>
      </c>
      <c r="B59" s="97" t="s">
        <v>5</v>
      </c>
      <c r="C59" s="98">
        <v>5.6949E-2</v>
      </c>
      <c r="D59" s="144">
        <f>3+(54+54+52)/60</f>
        <v>5.6666666666666661</v>
      </c>
      <c r="E59" s="145">
        <f t="shared" si="3"/>
        <v>9.4444444444444428E-2</v>
      </c>
      <c r="F59" s="100">
        <f t="shared" si="4"/>
        <v>7.0520428358208953</v>
      </c>
      <c r="G59" s="146">
        <f t="shared" si="5"/>
        <v>1.6584039130528092</v>
      </c>
      <c r="H59" s="147">
        <f t="shared" si="6"/>
        <v>5.5279159756771694</v>
      </c>
    </row>
    <row r="60" spans="1:8" x14ac:dyDescent="0.2">
      <c r="A60" s="55"/>
      <c r="B60" s="128"/>
      <c r="C60" s="146">
        <f>SUM(C48:C59)</f>
        <v>0.63314999999999999</v>
      </c>
      <c r="D60" s="128"/>
      <c r="E60" s="128"/>
      <c r="F60" s="128"/>
      <c r="G60" s="146"/>
    </row>
    <row r="61" spans="1:8" x14ac:dyDescent="0.2">
      <c r="A61" s="55"/>
      <c r="B61" s="128"/>
      <c r="C61" s="128"/>
      <c r="D61" s="148" t="s">
        <v>322</v>
      </c>
      <c r="E61" s="148"/>
      <c r="F61" s="149">
        <f>SUM(F48:F59)</f>
        <v>78.403500000000008</v>
      </c>
      <c r="G61" s="146">
        <f>F61*0.46</f>
        <v>36.065610000000007</v>
      </c>
    </row>
    <row r="62" spans="1:8" x14ac:dyDescent="0.2">
      <c r="A62" s="55"/>
      <c r="B62" s="128"/>
      <c r="C62" s="128"/>
      <c r="D62" s="150"/>
      <c r="E62" s="148"/>
      <c r="F62" s="151"/>
      <c r="G62" s="128"/>
    </row>
    <row r="63" spans="1:8" x14ac:dyDescent="0.2">
      <c r="A63" s="55"/>
      <c r="B63" s="128"/>
      <c r="C63" s="128"/>
      <c r="D63" s="128"/>
      <c r="E63" s="153" t="s">
        <v>324</v>
      </c>
      <c r="F63" s="154">
        <f>F61/C60</f>
        <v>123.8308457711443</v>
      </c>
      <c r="G63" s="55" t="s">
        <v>0</v>
      </c>
    </row>
    <row r="65" spans="1:18" ht="15" customHeight="1" x14ac:dyDescent="0.2">
      <c r="Q65" s="94">
        <v>3500</v>
      </c>
      <c r="R65" s="54" t="s">
        <v>333</v>
      </c>
    </row>
    <row r="66" spans="1:18" ht="15" customHeight="1" x14ac:dyDescent="0.2">
      <c r="Q66" s="94">
        <f>Q65/1000</f>
        <v>3.5</v>
      </c>
      <c r="R66" s="54" t="s">
        <v>334</v>
      </c>
    </row>
    <row r="70" spans="1:18" ht="23.1" x14ac:dyDescent="0.25">
      <c r="A70" s="107" t="s">
        <v>335</v>
      </c>
      <c r="B70" s="108"/>
      <c r="C70" s="108"/>
      <c r="D70" s="108"/>
      <c r="E70" s="109"/>
      <c r="F70" s="55"/>
      <c r="G70" s="110"/>
    </row>
    <row r="71" spans="1:18" x14ac:dyDescent="0.2">
      <c r="A71" s="111" t="s">
        <v>300</v>
      </c>
      <c r="B71" s="112">
        <v>42402</v>
      </c>
      <c r="C71" s="113" t="s">
        <v>327</v>
      </c>
      <c r="D71" s="114" t="s">
        <v>302</v>
      </c>
      <c r="E71" s="115">
        <v>42360</v>
      </c>
      <c r="F71" s="55"/>
      <c r="G71" s="96"/>
    </row>
    <row r="72" spans="1:18" x14ac:dyDescent="0.2">
      <c r="A72" s="111" t="s">
        <v>305</v>
      </c>
      <c r="B72" s="120" t="s">
        <v>325</v>
      </c>
      <c r="C72" s="113"/>
      <c r="D72" s="121"/>
      <c r="E72" s="122"/>
      <c r="F72" s="55"/>
      <c r="G72" s="55"/>
    </row>
    <row r="73" spans="1:18" x14ac:dyDescent="0.2">
      <c r="A73" s="126" t="s">
        <v>328</v>
      </c>
      <c r="B73" s="129">
        <f>100-23.61</f>
        <v>76.39</v>
      </c>
      <c r="C73" s="113" t="s">
        <v>309</v>
      </c>
      <c r="D73" s="121"/>
      <c r="E73" s="122"/>
      <c r="F73" s="128"/>
      <c r="G73" s="55"/>
    </row>
    <row r="74" spans="1:18" x14ac:dyDescent="0.2">
      <c r="A74" s="113" t="s">
        <v>329</v>
      </c>
      <c r="B74" s="155">
        <f>B73*0.95</f>
        <v>72.570499999999996</v>
      </c>
      <c r="C74" s="113" t="s">
        <v>309</v>
      </c>
      <c r="D74" s="121"/>
      <c r="E74" s="130"/>
      <c r="F74" s="55"/>
      <c r="G74" s="55"/>
    </row>
    <row r="75" spans="1:18" x14ac:dyDescent="0.2">
      <c r="A75" s="134" t="s">
        <v>330</v>
      </c>
      <c r="B75" s="156">
        <f>B73*0.05</f>
        <v>3.8195000000000001</v>
      </c>
      <c r="C75" s="113" t="s">
        <v>309</v>
      </c>
      <c r="D75" s="114"/>
      <c r="E75" s="130"/>
      <c r="F75" s="55"/>
      <c r="G75" s="135"/>
    </row>
    <row r="76" spans="1:18" x14ac:dyDescent="0.2">
      <c r="A76" s="137" t="s">
        <v>183</v>
      </c>
      <c r="B76" s="136">
        <v>2.15</v>
      </c>
      <c r="C76" s="138" t="s">
        <v>331</v>
      </c>
      <c r="D76" s="114"/>
      <c r="E76" s="130"/>
      <c r="F76" s="55"/>
      <c r="G76" s="55"/>
    </row>
    <row r="77" spans="1:18" x14ac:dyDescent="0.2">
      <c r="A77" s="137"/>
      <c r="B77" s="136"/>
      <c r="C77" s="138"/>
      <c r="D77" s="114"/>
      <c r="E77" s="130"/>
      <c r="F77" s="55"/>
      <c r="G77" s="55"/>
    </row>
    <row r="78" spans="1:18" x14ac:dyDescent="0.2">
      <c r="A78" s="139"/>
      <c r="B78" s="140"/>
      <c r="C78" s="141"/>
      <c r="D78" s="142"/>
      <c r="E78" s="143"/>
      <c r="F78" s="55"/>
      <c r="G78" s="55"/>
    </row>
    <row r="79" spans="1:18" x14ac:dyDescent="0.2">
      <c r="A79" s="55"/>
      <c r="B79" s="55"/>
      <c r="C79" s="55"/>
      <c r="D79" s="55"/>
      <c r="E79" s="55"/>
      <c r="F79" s="55"/>
      <c r="G79" s="55"/>
    </row>
    <row r="80" spans="1:18" x14ac:dyDescent="0.2">
      <c r="A80" s="55"/>
      <c r="B80" s="55"/>
      <c r="C80" s="55"/>
      <c r="D80" s="55"/>
      <c r="E80" s="55"/>
      <c r="F80" s="55"/>
      <c r="G80" s="55"/>
    </row>
    <row r="81" spans="1:12" ht="45" x14ac:dyDescent="0.25">
      <c r="A81" s="535" t="s">
        <v>180</v>
      </c>
      <c r="B81" s="536" t="s">
        <v>181</v>
      </c>
      <c r="C81" s="95" t="s">
        <v>182</v>
      </c>
      <c r="D81" s="537" t="s">
        <v>314</v>
      </c>
      <c r="E81" s="527"/>
      <c r="F81" s="50" t="s">
        <v>315</v>
      </c>
      <c r="G81" s="50" t="s">
        <v>316</v>
      </c>
      <c r="H81" s="157" t="s">
        <v>332</v>
      </c>
      <c r="I81" s="85"/>
    </row>
    <row r="82" spans="1:12" x14ac:dyDescent="0.25">
      <c r="A82" s="527"/>
      <c r="B82" s="527"/>
      <c r="C82" s="95" t="s">
        <v>186</v>
      </c>
      <c r="D82" s="95" t="s">
        <v>280</v>
      </c>
      <c r="E82" s="95" t="s">
        <v>317</v>
      </c>
      <c r="F82" s="95" t="s">
        <v>318</v>
      </c>
      <c r="G82" s="95" t="s">
        <v>198</v>
      </c>
      <c r="H82" s="158" t="s">
        <v>188</v>
      </c>
      <c r="I82" s="85"/>
      <c r="K82" s="54" t="s">
        <v>320</v>
      </c>
      <c r="L82" s="79">
        <f>AVERAGE(G83:G94)</f>
        <v>0.6346813731884916</v>
      </c>
    </row>
    <row r="83" spans="1:12" x14ac:dyDescent="0.2">
      <c r="A83" s="97">
        <v>1</v>
      </c>
      <c r="B83" s="97" t="s">
        <v>141</v>
      </c>
      <c r="C83" s="98">
        <v>5.0610000000000002E-2</v>
      </c>
      <c r="D83" s="144">
        <f>1+57/60</f>
        <v>1.95</v>
      </c>
      <c r="E83" s="145">
        <f t="shared" ref="E83:E94" si="7">D83/60</f>
        <v>3.2500000000000001E-2</v>
      </c>
      <c r="F83" s="100">
        <f t="shared" ref="F83:F94" si="8">(B$74/C$95)*C83</f>
        <v>5.8008260364842457</v>
      </c>
      <c r="G83" s="146">
        <f t="shared" ref="G83:G94" si="9">E83/C83</f>
        <v>0.64216557992491596</v>
      </c>
      <c r="H83" s="147">
        <f t="shared" ref="H83:H94" si="10">B$76/C$95</f>
        <v>3.3957198136302611</v>
      </c>
      <c r="I83" s="147"/>
      <c r="K83" s="54" t="s">
        <v>321</v>
      </c>
      <c r="L83" s="94">
        <f>STDEV(G83:G94)</f>
        <v>7.2047757183091962E-2</v>
      </c>
    </row>
    <row r="84" spans="1:12" x14ac:dyDescent="0.2">
      <c r="A84" s="97">
        <v>2</v>
      </c>
      <c r="B84" s="97" t="s">
        <v>5</v>
      </c>
      <c r="C84" s="98">
        <v>5.9285999999999998E-2</v>
      </c>
      <c r="D84" s="144">
        <f>2</f>
        <v>2</v>
      </c>
      <c r="E84" s="145">
        <f t="shared" si="7"/>
        <v>3.3333333333333333E-2</v>
      </c>
      <c r="F84" s="100">
        <f t="shared" si="8"/>
        <v>6.7952533570244018</v>
      </c>
      <c r="G84" s="146">
        <f t="shared" si="9"/>
        <v>0.56224628636327856</v>
      </c>
      <c r="H84" s="147">
        <f t="shared" si="10"/>
        <v>3.3957198136302611</v>
      </c>
      <c r="I84" s="147"/>
    </row>
    <row r="85" spans="1:12" x14ac:dyDescent="0.2">
      <c r="A85" s="97">
        <v>3</v>
      </c>
      <c r="B85" s="97" t="s">
        <v>70</v>
      </c>
      <c r="C85" s="98">
        <v>4.5790000000000004E-2</v>
      </c>
      <c r="D85" s="144">
        <f>1+46/60</f>
        <v>1.7666666666666666</v>
      </c>
      <c r="E85" s="145">
        <f t="shared" si="7"/>
        <v>2.9444444444444443E-2</v>
      </c>
      <c r="F85" s="100">
        <f t="shared" si="8"/>
        <v>5.2483664139619366</v>
      </c>
      <c r="G85" s="146">
        <f t="shared" si="9"/>
        <v>0.64303220014073903</v>
      </c>
      <c r="H85" s="147">
        <f t="shared" si="10"/>
        <v>3.3957198136302611</v>
      </c>
      <c r="I85" s="147"/>
    </row>
    <row r="86" spans="1:12" x14ac:dyDescent="0.2">
      <c r="A86" s="97">
        <v>4</v>
      </c>
      <c r="B86" s="97" t="s">
        <v>141</v>
      </c>
      <c r="C86" s="98">
        <v>5.7840000000000009E-2</v>
      </c>
      <c r="D86" s="144">
        <f>1+51/60</f>
        <v>1.85</v>
      </c>
      <c r="E86" s="145">
        <f t="shared" si="7"/>
        <v>3.0833333333333334E-2</v>
      </c>
      <c r="F86" s="100">
        <f t="shared" si="8"/>
        <v>6.6295154702677106</v>
      </c>
      <c r="G86" s="146">
        <f t="shared" si="9"/>
        <v>0.53307976025818338</v>
      </c>
      <c r="H86" s="147">
        <f t="shared" si="10"/>
        <v>3.3957198136302611</v>
      </c>
      <c r="I86" s="147"/>
    </row>
    <row r="87" spans="1:12" x14ac:dyDescent="0.2">
      <c r="A87" s="97">
        <v>5</v>
      </c>
      <c r="B87" s="97" t="s">
        <v>70</v>
      </c>
      <c r="C87" s="98">
        <v>5.0128000000000006E-2</v>
      </c>
      <c r="D87" s="144">
        <f>2+3/60</f>
        <v>2.0499999999999998</v>
      </c>
      <c r="E87" s="145">
        <f t="shared" si="7"/>
        <v>3.4166666666666665E-2</v>
      </c>
      <c r="F87" s="100">
        <f t="shared" si="8"/>
        <v>5.7455800742320156</v>
      </c>
      <c r="G87" s="146">
        <f t="shared" si="9"/>
        <v>0.68158846685817631</v>
      </c>
      <c r="H87" s="147">
        <f t="shared" si="10"/>
        <v>3.3957198136302611</v>
      </c>
      <c r="I87" s="147"/>
    </row>
    <row r="88" spans="1:12" x14ac:dyDescent="0.2">
      <c r="A88" s="97">
        <v>6</v>
      </c>
      <c r="B88" s="97" t="s">
        <v>149</v>
      </c>
      <c r="C88" s="98">
        <v>5.9285999999999998E-2</v>
      </c>
      <c r="D88" s="144">
        <f>2+16/60</f>
        <v>2.2666666666666666</v>
      </c>
      <c r="E88" s="145">
        <f t="shared" si="7"/>
        <v>3.7777777777777778E-2</v>
      </c>
      <c r="F88" s="100">
        <f t="shared" si="8"/>
        <v>6.7952533570244018</v>
      </c>
      <c r="G88" s="146">
        <f t="shared" si="9"/>
        <v>0.63721245787838243</v>
      </c>
      <c r="H88" s="147">
        <f t="shared" si="10"/>
        <v>3.3957198136302611</v>
      </c>
      <c r="I88" s="147"/>
    </row>
    <row r="89" spans="1:12" x14ac:dyDescent="0.2">
      <c r="A89" s="97">
        <v>7</v>
      </c>
      <c r="B89" s="97" t="s">
        <v>70</v>
      </c>
      <c r="C89" s="98">
        <v>4.8614999999999998E-2</v>
      </c>
      <c r="D89" s="144">
        <f>1+55/60</f>
        <v>1.9166666666666665</v>
      </c>
      <c r="E89" s="145">
        <f t="shared" si="7"/>
        <v>3.1944444444444442E-2</v>
      </c>
      <c r="F89" s="100">
        <f t="shared" si="8"/>
        <v>5.5721627694859039</v>
      </c>
      <c r="G89" s="146">
        <f t="shared" si="9"/>
        <v>0.65709028991966356</v>
      </c>
      <c r="H89" s="147">
        <f t="shared" si="10"/>
        <v>3.3957198136302611</v>
      </c>
      <c r="I89" s="147"/>
    </row>
    <row r="90" spans="1:12" x14ac:dyDescent="0.2">
      <c r="A90" s="97">
        <v>8</v>
      </c>
      <c r="B90" s="97" t="s">
        <v>149</v>
      </c>
      <c r="C90" s="98">
        <v>5.6949E-2</v>
      </c>
      <c r="D90" s="144">
        <f>1+57/60</f>
        <v>1.95</v>
      </c>
      <c r="E90" s="145">
        <f t="shared" si="7"/>
        <v>3.2500000000000001E-2</v>
      </c>
      <c r="F90" s="100">
        <f t="shared" si="8"/>
        <v>6.5273906728263444</v>
      </c>
      <c r="G90" s="146">
        <f t="shared" si="9"/>
        <v>0.57068605243287851</v>
      </c>
      <c r="H90" s="147">
        <f t="shared" si="10"/>
        <v>3.3957198136302611</v>
      </c>
      <c r="I90" s="147"/>
    </row>
    <row r="91" spans="1:12" x14ac:dyDescent="0.2">
      <c r="A91" s="97">
        <v>9</v>
      </c>
      <c r="B91" s="97" t="s">
        <v>149</v>
      </c>
      <c r="C91" s="98">
        <v>4.3984999999999996E-2</v>
      </c>
      <c r="D91" s="144">
        <f>2+3/60</f>
        <v>2.0499999999999998</v>
      </c>
      <c r="E91" s="145">
        <f t="shared" si="7"/>
        <v>3.4166666666666665E-2</v>
      </c>
      <c r="F91" s="100">
        <f t="shared" si="8"/>
        <v>5.0414806009634363</v>
      </c>
      <c r="G91" s="146">
        <f t="shared" si="9"/>
        <v>0.7767799628661286</v>
      </c>
      <c r="H91" s="147">
        <f t="shared" si="10"/>
        <v>3.3957198136302611</v>
      </c>
      <c r="I91" s="147"/>
    </row>
    <row r="92" spans="1:12" x14ac:dyDescent="0.2">
      <c r="A92" s="97">
        <v>10</v>
      </c>
      <c r="B92" s="97" t="s">
        <v>5</v>
      </c>
      <c r="C92" s="98">
        <v>5.5559999999999991E-2</v>
      </c>
      <c r="D92" s="144">
        <f>1+54/60</f>
        <v>1.9</v>
      </c>
      <c r="E92" s="145">
        <f t="shared" si="7"/>
        <v>3.1666666666666662E-2</v>
      </c>
      <c r="F92" s="100">
        <f t="shared" si="8"/>
        <v>6.3681860222696036</v>
      </c>
      <c r="G92" s="146">
        <f t="shared" si="9"/>
        <v>0.56995440364770822</v>
      </c>
      <c r="H92" s="147">
        <f t="shared" si="10"/>
        <v>3.3957198136302611</v>
      </c>
      <c r="I92" s="147"/>
    </row>
    <row r="93" spans="1:12" x14ac:dyDescent="0.2">
      <c r="A93" s="97">
        <v>11</v>
      </c>
      <c r="B93" s="97" t="s">
        <v>141</v>
      </c>
      <c r="C93" s="98">
        <v>4.8152E-2</v>
      </c>
      <c r="D93" s="144">
        <f>2+7/60</f>
        <v>2.1166666666666667</v>
      </c>
      <c r="E93" s="145">
        <f t="shared" si="7"/>
        <v>3.5277777777777776E-2</v>
      </c>
      <c r="F93" s="100">
        <f t="shared" si="8"/>
        <v>5.519094552633657</v>
      </c>
      <c r="G93" s="146">
        <f t="shared" si="9"/>
        <v>0.7326336969965479</v>
      </c>
      <c r="H93" s="147">
        <f t="shared" si="10"/>
        <v>3.3957198136302611</v>
      </c>
      <c r="I93" s="147"/>
    </row>
    <row r="94" spans="1:12" x14ac:dyDescent="0.2">
      <c r="A94" s="97">
        <v>12</v>
      </c>
      <c r="B94" s="97" t="s">
        <v>5</v>
      </c>
      <c r="C94" s="98">
        <v>5.6949E-2</v>
      </c>
      <c r="D94" s="144">
        <f>2+5/60</f>
        <v>2.0833333333333335</v>
      </c>
      <c r="E94" s="145">
        <f t="shared" si="7"/>
        <v>3.4722222222222224E-2</v>
      </c>
      <c r="F94" s="100">
        <f t="shared" si="8"/>
        <v>6.5273906728263444</v>
      </c>
      <c r="G94" s="146">
        <f t="shared" si="9"/>
        <v>0.60970732097529756</v>
      </c>
      <c r="H94" s="147">
        <f t="shared" si="10"/>
        <v>3.3957198136302611</v>
      </c>
      <c r="I94" s="147"/>
    </row>
    <row r="95" spans="1:12" x14ac:dyDescent="0.2">
      <c r="A95" s="55"/>
      <c r="B95" s="128"/>
      <c r="C95" s="146">
        <f>SUM(C83:C94)</f>
        <v>0.63314999999999999</v>
      </c>
      <c r="D95" s="128"/>
      <c r="E95" s="128"/>
      <c r="F95" s="128"/>
      <c r="G95" s="146"/>
    </row>
    <row r="96" spans="1:12" x14ac:dyDescent="0.2">
      <c r="A96" s="55"/>
      <c r="B96" s="128"/>
      <c r="C96" s="128"/>
      <c r="D96" s="148" t="s">
        <v>322</v>
      </c>
      <c r="E96" s="148"/>
      <c r="F96" s="149">
        <f>SUM(F83:F94)</f>
        <v>72.57050000000001</v>
      </c>
      <c r="G96" s="146">
        <f>F96*0.46</f>
        <v>33.382430000000006</v>
      </c>
    </row>
    <row r="97" spans="1:7" x14ac:dyDescent="0.2">
      <c r="A97" s="55"/>
      <c r="B97" s="128"/>
      <c r="C97" s="128"/>
      <c r="D97" s="150"/>
      <c r="E97" s="148"/>
      <c r="F97" s="151"/>
      <c r="G97" s="128"/>
    </row>
    <row r="98" spans="1:7" x14ac:dyDescent="0.2">
      <c r="A98" s="55"/>
      <c r="B98" s="128"/>
      <c r="C98" s="128"/>
      <c r="D98" s="128"/>
      <c r="E98" s="153" t="s">
        <v>324</v>
      </c>
      <c r="F98" s="154">
        <f>F96/C95</f>
        <v>114.61817894653717</v>
      </c>
      <c r="G98" s="55" t="s">
        <v>0</v>
      </c>
    </row>
  </sheetData>
  <customSheetViews>
    <customSheetView guid="{B6B32F45-A9D9-479B-AD0E-29A61458D679}" topLeftCell="A49">
      <selection activeCell="B92" sqref="B92"/>
      <pageMargins left="0.7" right="0.7" top="0.75" bottom="0.75" header="0.3" footer="0.3"/>
    </customSheetView>
  </customSheetViews>
  <mergeCells count="9">
    <mergeCell ref="A81:A82"/>
    <mergeCell ref="B81:B82"/>
    <mergeCell ref="D81:E81"/>
    <mergeCell ref="A12:A13"/>
    <mergeCell ref="B12:B13"/>
    <mergeCell ref="D12:E12"/>
    <mergeCell ref="A46:A47"/>
    <mergeCell ref="B46:B47"/>
    <mergeCell ref="D46:E4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9"/>
  <sheetViews>
    <sheetView topLeftCell="O34" zoomScale="130" zoomScaleNormal="130" workbookViewId="0">
      <selection activeCell="AE56" sqref="AE56"/>
    </sheetView>
  </sheetViews>
  <sheetFormatPr defaultColWidth="9.140625" defaultRowHeight="15" x14ac:dyDescent="0.25"/>
  <cols>
    <col min="1" max="1" width="9.140625" style="2"/>
    <col min="2" max="2" width="12.7109375" style="2" customWidth="1"/>
    <col min="3" max="5" width="12.42578125" style="2" bestFit="1" customWidth="1"/>
    <col min="6" max="9" width="9.140625" style="2"/>
    <col min="10" max="10" width="14.28515625" style="2" customWidth="1"/>
    <col min="11" max="14" width="9.140625" style="2"/>
    <col min="15" max="22" width="9.140625" style="174"/>
    <col min="23" max="24" width="5" style="179" customWidth="1"/>
    <col min="25" max="25" width="12.42578125" style="2" customWidth="1"/>
    <col min="26" max="27" width="9.140625" style="2"/>
    <col min="28" max="28" width="6.28515625" style="2" customWidth="1"/>
    <col min="29" max="29" width="8.42578125" style="2" customWidth="1"/>
    <col min="30" max="30" width="9.140625" style="2"/>
    <col min="31" max="31" width="9.140625" style="174"/>
    <col min="32" max="32" width="9.140625" style="2"/>
    <col min="33" max="43" width="9.140625" style="2" hidden="1" customWidth="1"/>
    <col min="44" max="16384" width="9.140625" style="2"/>
  </cols>
  <sheetData>
    <row r="1" spans="1:43" ht="15.95" thickBot="1" x14ac:dyDescent="0.25">
      <c r="A1" s="178" t="s">
        <v>352</v>
      </c>
      <c r="B1" s="178"/>
      <c r="N1" s="171"/>
      <c r="O1" s="171"/>
      <c r="P1" s="171"/>
      <c r="Q1" s="171"/>
      <c r="R1" s="171"/>
      <c r="S1" s="171"/>
      <c r="T1" s="171"/>
      <c r="U1" s="171"/>
      <c r="V1" s="171"/>
      <c r="Y1" s="170" t="s">
        <v>356</v>
      </c>
      <c r="Z1" s="160"/>
      <c r="AA1" s="160"/>
      <c r="AB1" s="160"/>
      <c r="AC1" s="160"/>
      <c r="AD1" s="160"/>
      <c r="AE1" s="160"/>
      <c r="AF1" s="161"/>
    </row>
    <row r="2" spans="1:43" x14ac:dyDescent="0.2">
      <c r="A2" s="170" t="s">
        <v>353</v>
      </c>
      <c r="B2" s="160"/>
      <c r="C2" s="160"/>
      <c r="D2" s="160"/>
      <c r="E2" s="160"/>
      <c r="F2" s="160"/>
      <c r="G2" s="160"/>
      <c r="H2" s="159"/>
      <c r="I2" s="160" t="s">
        <v>360</v>
      </c>
      <c r="J2" s="160"/>
      <c r="K2" s="160"/>
      <c r="L2" s="160"/>
      <c r="M2" s="160"/>
      <c r="N2" s="161"/>
      <c r="P2" s="159" t="s">
        <v>355</v>
      </c>
      <c r="Q2" s="160"/>
      <c r="R2" s="160"/>
      <c r="S2" s="160"/>
      <c r="T2" s="160"/>
      <c r="U2" s="161"/>
      <c r="V2" s="163"/>
      <c r="Y2" s="173"/>
      <c r="Z2" s="193" t="s">
        <v>357</v>
      </c>
      <c r="AA2" s="163"/>
      <c r="AB2" s="177"/>
      <c r="AC2" s="163"/>
      <c r="AD2" s="210" t="s">
        <v>361</v>
      </c>
      <c r="AE2" s="163"/>
      <c r="AF2" s="164"/>
      <c r="AH2" s="2" t="s">
        <v>4</v>
      </c>
      <c r="AM2" s="2" t="s">
        <v>13</v>
      </c>
      <c r="AN2" s="2" t="s">
        <v>14</v>
      </c>
    </row>
    <row r="3" spans="1:43" x14ac:dyDescent="0.2">
      <c r="A3" s="162"/>
      <c r="B3" s="163" t="s">
        <v>2</v>
      </c>
      <c r="C3" s="163" t="s">
        <v>1</v>
      </c>
      <c r="D3" s="163" t="str">
        <f>'[4]Grain and ricestraw-WS'!J2</f>
        <v>SB</v>
      </c>
      <c r="E3" s="163" t="s">
        <v>71</v>
      </c>
      <c r="F3" s="163"/>
      <c r="G3" s="163"/>
      <c r="H3" s="162"/>
      <c r="I3" s="163" t="str">
        <f>B3</f>
        <v>CSRm</v>
      </c>
      <c r="J3" s="163" t="str">
        <f t="shared" ref="J3:L3" si="0">C3</f>
        <v>PSRm</v>
      </c>
      <c r="K3" s="163" t="str">
        <f t="shared" si="0"/>
        <v>SB</v>
      </c>
      <c r="L3" s="163" t="str">
        <f t="shared" si="0"/>
        <v>SRt</v>
      </c>
      <c r="M3" s="163"/>
      <c r="N3" s="164"/>
      <c r="P3" s="162"/>
      <c r="Q3" s="163" t="str">
        <f>I3</f>
        <v>CSRm</v>
      </c>
      <c r="R3" s="163" t="str">
        <f t="shared" ref="R3:T3" si="1">J3</f>
        <v>PSRm</v>
      </c>
      <c r="S3" s="163" t="str">
        <f t="shared" si="1"/>
        <v>SB</v>
      </c>
      <c r="T3" s="163" t="str">
        <f t="shared" si="1"/>
        <v>SRt</v>
      </c>
      <c r="U3" s="164"/>
      <c r="V3" s="163"/>
      <c r="Y3" s="173" t="s">
        <v>79</v>
      </c>
      <c r="Z3" s="163" t="s">
        <v>359</v>
      </c>
      <c r="AA3" s="163"/>
      <c r="AB3" s="163"/>
      <c r="AC3" s="163"/>
      <c r="AD3" s="163" t="s">
        <v>359</v>
      </c>
      <c r="AE3" s="163"/>
      <c r="AF3" s="164"/>
      <c r="AH3" s="2" t="str">
        <f>Q3</f>
        <v>CSRm</v>
      </c>
      <c r="AJ3" s="2" t="s">
        <v>5</v>
      </c>
      <c r="AN3" s="2" t="str">
        <f>Q3</f>
        <v>CSRm</v>
      </c>
      <c r="AO3" s="2" t="str">
        <f>R3</f>
        <v>PSRm</v>
      </c>
      <c r="AP3" s="2" t="str">
        <f>S3</f>
        <v>SB</v>
      </c>
      <c r="AQ3" s="2" t="str">
        <f>T3</f>
        <v>SRt</v>
      </c>
    </row>
    <row r="4" spans="1:43" x14ac:dyDescent="0.2">
      <c r="A4" s="162"/>
      <c r="B4" s="165">
        <f>'[4]Grain and ricestraw-WS'!H3</f>
        <v>5.8501230721630204</v>
      </c>
      <c r="C4" s="165">
        <f>'[4]Grain and ricestraw-WS'!I3</f>
        <v>5.7287372183767191</v>
      </c>
      <c r="D4" s="165">
        <f>'[4]Grain and ricestraw-WS'!J3</f>
        <v>6.1419591630818813</v>
      </c>
      <c r="E4" s="165">
        <f>'[4]Grain and ricestraw-WS'!K3</f>
        <v>6.3927054079637262</v>
      </c>
      <c r="F4" s="163"/>
      <c r="G4" s="163"/>
      <c r="H4" s="162"/>
      <c r="I4" s="165">
        <f>B4*(100-14)/100</f>
        <v>5.0311058420601977</v>
      </c>
      <c r="J4" s="165">
        <f t="shared" ref="J4:L4" si="2">C4*(100-14)/100</f>
        <v>4.9267140078039784</v>
      </c>
      <c r="K4" s="165">
        <f t="shared" si="2"/>
        <v>5.2820848802504177</v>
      </c>
      <c r="L4" s="165">
        <f t="shared" si="2"/>
        <v>5.4977266508488052</v>
      </c>
      <c r="M4" s="163"/>
      <c r="N4" s="164"/>
      <c r="P4" s="162"/>
      <c r="Q4" s="163">
        <f>'[4]Grain and ricestraw-WS'!O3</f>
        <v>64.679999999999993</v>
      </c>
      <c r="R4" s="163">
        <f>'[4]Grain and ricestraw-WS'!P3</f>
        <v>61.772000000000006</v>
      </c>
      <c r="S4" s="163">
        <f>'[4]Grain and ricestraw-WS'!Q3</f>
        <v>61.920000000000009</v>
      </c>
      <c r="T4" s="163">
        <f>'[4]Grain and ricestraw-WS'!R3</f>
        <v>65.279999999999987</v>
      </c>
      <c r="U4" s="164"/>
      <c r="V4" s="163"/>
      <c r="Y4" s="162"/>
      <c r="Z4" s="163"/>
      <c r="AA4" s="163" t="s">
        <v>146</v>
      </c>
      <c r="AB4" s="163" t="s">
        <v>6</v>
      </c>
      <c r="AC4" s="163"/>
      <c r="AD4" s="163" t="s">
        <v>362</v>
      </c>
      <c r="AE4" s="163" t="s">
        <v>9</v>
      </c>
      <c r="AF4" s="164" t="s">
        <v>363</v>
      </c>
      <c r="AG4" s="2" t="s">
        <v>6</v>
      </c>
      <c r="AH4" s="3">
        <v>0.22900000000000001</v>
      </c>
      <c r="AI4" s="3">
        <v>0.29799999999999999</v>
      </c>
      <c r="AJ4" s="3">
        <v>0.57499999999999996</v>
      </c>
      <c r="AK4" s="3">
        <v>1.036</v>
      </c>
      <c r="AN4" s="2">
        <v>3.19</v>
      </c>
      <c r="AO4" s="2">
        <v>10.36</v>
      </c>
      <c r="AP4" s="2">
        <v>5.33</v>
      </c>
      <c r="AQ4" s="2">
        <v>9.9</v>
      </c>
    </row>
    <row r="5" spans="1:43" ht="15.95" x14ac:dyDescent="0.2">
      <c r="A5" s="162"/>
      <c r="B5" s="165">
        <f>'[4]Grain and ricestraw-WS'!H4</f>
        <v>5.780679840315079</v>
      </c>
      <c r="C5" s="165">
        <f>'[4]Grain and ricestraw-WS'!I4</f>
        <v>5.610489532930389</v>
      </c>
      <c r="D5" s="165">
        <f>'[4]Grain and ricestraw-WS'!J4</f>
        <v>5.6665479009394852</v>
      </c>
      <c r="E5" s="165">
        <f>'[4]Grain and ricestraw-WS'!K4</f>
        <v>5.0901180316238346</v>
      </c>
      <c r="F5" s="163"/>
      <c r="G5" s="163"/>
      <c r="H5" s="162"/>
      <c r="I5" s="165">
        <f t="shared" ref="I5:I6" si="3">B5*(100-14)/100</f>
        <v>4.9713846626709683</v>
      </c>
      <c r="J5" s="165">
        <f t="shared" ref="J5:J6" si="4">C5*(100-14)/100</f>
        <v>4.8250209983201344</v>
      </c>
      <c r="K5" s="165">
        <f t="shared" ref="K5:K6" si="5">D5*(100-14)/100</f>
        <v>4.8732311948079579</v>
      </c>
      <c r="L5" s="165">
        <f t="shared" ref="L5:L6" si="6">E5*(100-14)/100</f>
        <v>4.3775015071964978</v>
      </c>
      <c r="M5" s="163"/>
      <c r="N5" s="164"/>
      <c r="P5" s="162"/>
      <c r="Q5" s="163">
        <f>'[4]Grain and ricestraw-WS'!O4</f>
        <v>62.908000000000008</v>
      </c>
      <c r="R5" s="163">
        <f>'[4]Grain and ricestraw-WS'!P4</f>
        <v>65.727999999999994</v>
      </c>
      <c r="S5" s="163">
        <f>'[4]Grain and ricestraw-WS'!Q4</f>
        <v>59.984000000000002</v>
      </c>
      <c r="T5" s="163">
        <f>'[4]Grain and ricestraw-WS'!R4</f>
        <v>64.236000000000004</v>
      </c>
      <c r="U5" s="164"/>
      <c r="V5" s="163"/>
      <c r="Y5" s="195" t="str">
        <f t="shared" ref="Y5:Y16" si="7">Y38</f>
        <v>CSRm</v>
      </c>
      <c r="Z5" s="194">
        <v>2.2000000000000002</v>
      </c>
      <c r="AA5" s="197">
        <f>AVERAGE(Z5:Z7)</f>
        <v>2.6033333333333335</v>
      </c>
      <c r="AB5" s="197">
        <f>STDEV(Z5:Z7)</f>
        <v>0.37819747927945441</v>
      </c>
      <c r="AC5" s="163"/>
      <c r="AD5" s="163"/>
      <c r="AE5" s="163"/>
      <c r="AF5" s="164">
        <f>-AE11</f>
        <v>-2.21</v>
      </c>
      <c r="AG5" s="2" t="s">
        <v>7</v>
      </c>
      <c r="AH5" s="3">
        <f>AH4/SQRT(3)</f>
        <v>0.13221321164442432</v>
      </c>
      <c r="AI5" s="3">
        <f t="shared" ref="AI5:AK5" si="8">AI4/SQRT(3)</f>
        <v>0.17205038021850849</v>
      </c>
      <c r="AJ5" s="3">
        <f t="shared" si="8"/>
        <v>0.33197640478403478</v>
      </c>
      <c r="AK5" s="3">
        <f t="shared" si="8"/>
        <v>0.59813487888045236</v>
      </c>
      <c r="AN5" s="2">
        <v>0.69</v>
      </c>
      <c r="AO5" s="2">
        <v>0.81</v>
      </c>
    </row>
    <row r="6" spans="1:43" ht="15.95" x14ac:dyDescent="0.2">
      <c r="A6" s="162"/>
      <c r="B6" s="165">
        <f>'[4]Grain and ricestraw-WS'!H5</f>
        <v>6.1743969248113091</v>
      </c>
      <c r="C6" s="165">
        <f>'[4]Grain and ricestraw-WS'!I5</f>
        <v>6.846145218195363</v>
      </c>
      <c r="D6" s="165">
        <f>'[4]Grain and ricestraw-WS'!J5</f>
        <v>5.4572325243880817</v>
      </c>
      <c r="E6" s="165">
        <f>'[4]Grain and ricestraw-WS'!K5</f>
        <v>5.7159138407238324</v>
      </c>
      <c r="F6" s="163"/>
      <c r="G6" s="163"/>
      <c r="H6" s="162"/>
      <c r="I6" s="165">
        <f t="shared" si="3"/>
        <v>5.309981355337726</v>
      </c>
      <c r="J6" s="165">
        <f t="shared" si="4"/>
        <v>5.8876848876480121</v>
      </c>
      <c r="K6" s="165">
        <f t="shared" si="5"/>
        <v>4.6932199709737503</v>
      </c>
      <c r="L6" s="165">
        <f t="shared" si="6"/>
        <v>4.9156859030224958</v>
      </c>
      <c r="M6" s="163"/>
      <c r="N6" s="164"/>
      <c r="P6" s="162"/>
      <c r="Q6" s="163">
        <f>'[4]Grain and ricestraw-WS'!O5</f>
        <v>62.339999999999996</v>
      </c>
      <c r="R6" s="163">
        <f>'[4]Grain and ricestraw-WS'!P5</f>
        <v>64.696000000000012</v>
      </c>
      <c r="S6" s="163">
        <f>'[4]Grain and ricestraw-WS'!Q5</f>
        <v>65.707999999999998</v>
      </c>
      <c r="T6" s="163">
        <f>'[4]Grain and ricestraw-WS'!R5</f>
        <v>63.396000000000008</v>
      </c>
      <c r="U6" s="164"/>
      <c r="V6" s="163"/>
      <c r="Y6" s="195" t="str">
        <f t="shared" si="7"/>
        <v>CSRm</v>
      </c>
      <c r="Z6" s="194">
        <v>2.95</v>
      </c>
      <c r="AA6" s="197"/>
      <c r="AB6" s="197"/>
      <c r="AC6" s="163"/>
      <c r="AD6" s="163"/>
      <c r="AE6" s="163"/>
      <c r="AF6" s="164"/>
      <c r="AH6" s="2" t="str">
        <f>Q3</f>
        <v>CSRm</v>
      </c>
      <c r="AI6" s="2" t="str">
        <f>R3</f>
        <v>PSRm</v>
      </c>
      <c r="AJ6" s="2" t="str">
        <f>S3</f>
        <v>SB</v>
      </c>
      <c r="AK6" s="2" t="str">
        <f>T3</f>
        <v>SRt</v>
      </c>
      <c r="AO6" s="2">
        <v>0.12</v>
      </c>
      <c r="AP6" s="2">
        <v>0.04</v>
      </c>
      <c r="AQ6" s="2">
        <v>0.14000000000000001</v>
      </c>
    </row>
    <row r="7" spans="1:43" ht="15.95" x14ac:dyDescent="0.2">
      <c r="A7" s="162" t="s">
        <v>146</v>
      </c>
      <c r="B7" s="166">
        <f>AVERAGE(B4:B6)</f>
        <v>5.9350666124298028</v>
      </c>
      <c r="C7" s="166">
        <f t="shared" ref="C7:E7" si="9">AVERAGE(C4:C6)</f>
        <v>6.0617906565008246</v>
      </c>
      <c r="D7" s="166">
        <f t="shared" si="9"/>
        <v>5.7552465294698161</v>
      </c>
      <c r="E7" s="166">
        <f t="shared" si="9"/>
        <v>5.7329124267704641</v>
      </c>
      <c r="F7" s="163"/>
      <c r="G7" s="163"/>
      <c r="H7" s="162" t="s">
        <v>146</v>
      </c>
      <c r="I7" s="166">
        <f>AVERAGE(I4:I6)</f>
        <v>5.104157286689631</v>
      </c>
      <c r="J7" s="166">
        <f t="shared" ref="J7:L7" si="10">AVERAGE(J4:J6)</f>
        <v>5.2131399645907086</v>
      </c>
      <c r="K7" s="166">
        <f t="shared" si="10"/>
        <v>4.9495120153440419</v>
      </c>
      <c r="L7" s="166">
        <f t="shared" si="10"/>
        <v>4.9303046870225993</v>
      </c>
      <c r="M7" s="163"/>
      <c r="N7" s="164"/>
      <c r="P7" s="162" t="s">
        <v>146</v>
      </c>
      <c r="Q7" s="166">
        <f>AVERAGE(Q4:Q6)</f>
        <v>63.309333333333335</v>
      </c>
      <c r="R7" s="166">
        <f>AVERAGE(R4:R6)</f>
        <v>64.065333333333342</v>
      </c>
      <c r="S7" s="166">
        <f>AVERAGE(S4:S6)</f>
        <v>62.537333333333343</v>
      </c>
      <c r="T7" s="166">
        <f>AVERAGE(T4:T6)</f>
        <v>64.304000000000002</v>
      </c>
      <c r="U7" s="164"/>
      <c r="V7" s="163"/>
      <c r="Y7" s="195" t="str">
        <f t="shared" si="7"/>
        <v>CSRm</v>
      </c>
      <c r="Z7" s="194">
        <v>2.66</v>
      </c>
      <c r="AA7" s="197"/>
      <c r="AB7" s="197"/>
      <c r="AC7" s="163"/>
      <c r="AD7" s="163"/>
      <c r="AE7" s="163"/>
      <c r="AF7" s="164"/>
      <c r="AG7" s="2" t="s">
        <v>11</v>
      </c>
      <c r="AH7" s="2">
        <v>2.21</v>
      </c>
      <c r="AI7" s="2">
        <v>1.3</v>
      </c>
      <c r="AJ7" s="2">
        <v>2.21</v>
      </c>
      <c r="AK7" s="2">
        <v>2.21</v>
      </c>
    </row>
    <row r="8" spans="1:43" ht="15.95" x14ac:dyDescent="0.2">
      <c r="A8" s="162" t="s">
        <v>6</v>
      </c>
      <c r="B8" s="166">
        <f>STDEV(B4:B6)</f>
        <v>0.21015432289354355</v>
      </c>
      <c r="C8" s="166">
        <f t="shared" ref="C8:E8" si="11">STDEV(C4:C6)</f>
        <v>0.6818391948374839</v>
      </c>
      <c r="D8" s="166">
        <f t="shared" si="11"/>
        <v>0.35087494561680876</v>
      </c>
      <c r="E8" s="166">
        <f t="shared" si="11"/>
        <v>0.65146003883254355</v>
      </c>
      <c r="F8" s="163"/>
      <c r="G8" s="163"/>
      <c r="H8" s="162" t="s">
        <v>6</v>
      </c>
      <c r="I8" s="166">
        <f>STDEV(I4:I6)</f>
        <v>0.18073271768844734</v>
      </c>
      <c r="J8" s="166">
        <f t="shared" ref="J8:L8" si="12">STDEV(J4:J6)</f>
        <v>0.58638170756023611</v>
      </c>
      <c r="K8" s="166">
        <f t="shared" si="12"/>
        <v>0.3017524532304553</v>
      </c>
      <c r="L8" s="166">
        <f t="shared" si="12"/>
        <v>0.56025563339598772</v>
      </c>
      <c r="M8" s="163"/>
      <c r="N8" s="164"/>
      <c r="P8" s="162" t="s">
        <v>6</v>
      </c>
      <c r="Q8" s="165">
        <f>STDEV(Q4:Q6)</f>
        <v>1.2205332168086713</v>
      </c>
      <c r="R8" s="165">
        <f>STDEV(R4:R6)</f>
        <v>2.0520207926171992</v>
      </c>
      <c r="S8" s="165">
        <f>STDEV(S4:S6)</f>
        <v>2.9115063684170983</v>
      </c>
      <c r="T8" s="165">
        <f>STDEV(T4:T6)</f>
        <v>0.94383896931625988</v>
      </c>
      <c r="U8" s="164"/>
      <c r="V8" s="163"/>
      <c r="Y8" s="195" t="str">
        <f t="shared" si="7"/>
        <v>PSRm</v>
      </c>
      <c r="Z8" s="194">
        <v>2.69</v>
      </c>
      <c r="AA8" s="197">
        <f>AVERAGE(Z8:Z10)</f>
        <v>2.4133333333333336</v>
      </c>
      <c r="AB8" s="197">
        <f>STDEV(Z8:Z10)</f>
        <v>0.40377386410382349</v>
      </c>
      <c r="AC8" s="163"/>
      <c r="AD8" s="163"/>
      <c r="AE8" s="163">
        <v>1.3</v>
      </c>
      <c r="AF8" s="164">
        <f>AD17-AE8</f>
        <v>0.90999999999999992</v>
      </c>
      <c r="AI8" s="2">
        <v>0.91</v>
      </c>
      <c r="AM8" s="2" t="s">
        <v>15</v>
      </c>
      <c r="AN8" s="2">
        <f>SUM(AN4:AN6)</f>
        <v>3.88</v>
      </c>
      <c r="AO8" s="2">
        <f t="shared" ref="AO8:AQ8" si="13">SUM(AO4:AO6)</f>
        <v>11.29</v>
      </c>
      <c r="AP8" s="2">
        <f t="shared" si="13"/>
        <v>5.37</v>
      </c>
      <c r="AQ8" s="2">
        <f t="shared" si="13"/>
        <v>10.040000000000001</v>
      </c>
    </row>
    <row r="9" spans="1:43" ht="17.100000000000001" thickBot="1" x14ac:dyDescent="0.25">
      <c r="A9" s="162"/>
      <c r="B9" s="163"/>
      <c r="C9" s="163"/>
      <c r="D9" s="163"/>
      <c r="E9" s="163"/>
      <c r="F9" s="163"/>
      <c r="G9" s="163"/>
      <c r="H9" s="162"/>
      <c r="I9" s="163"/>
      <c r="J9" s="163"/>
      <c r="K9" s="163"/>
      <c r="L9" s="163"/>
      <c r="M9" s="163"/>
      <c r="N9" s="164"/>
      <c r="P9" s="162"/>
      <c r="Q9" s="172"/>
      <c r="R9" s="172"/>
      <c r="S9" s="172"/>
      <c r="T9" s="172"/>
      <c r="U9" s="164"/>
      <c r="V9" s="163"/>
      <c r="Y9" s="195" t="str">
        <f t="shared" si="7"/>
        <v>PSRm</v>
      </c>
      <c r="Z9" s="194">
        <v>2.6</v>
      </c>
      <c r="AA9" s="197"/>
      <c r="AB9" s="197"/>
      <c r="AC9" s="163"/>
      <c r="AD9" s="163"/>
      <c r="AE9" s="163"/>
      <c r="AF9" s="164"/>
      <c r="AG9" s="2" t="s">
        <v>10</v>
      </c>
      <c r="AH9" s="2">
        <v>0.23</v>
      </c>
      <c r="AI9" s="2">
        <v>0.27</v>
      </c>
      <c r="AM9" s="2" t="s">
        <v>16</v>
      </c>
      <c r="AN9" s="2">
        <v>0.19</v>
      </c>
      <c r="AO9" s="2">
        <v>0.19</v>
      </c>
      <c r="AP9" s="2">
        <v>0.2</v>
      </c>
      <c r="AQ9" s="2">
        <v>0.25</v>
      </c>
    </row>
    <row r="10" spans="1:43" ht="15.95" x14ac:dyDescent="0.2">
      <c r="A10" s="162"/>
      <c r="B10" s="163"/>
      <c r="C10" s="163"/>
      <c r="D10" s="163"/>
      <c r="E10" s="163"/>
      <c r="F10" s="163"/>
      <c r="G10" s="163"/>
      <c r="H10" s="162"/>
      <c r="I10" s="163"/>
      <c r="J10" s="163"/>
      <c r="K10" s="163"/>
      <c r="L10" s="163"/>
      <c r="M10" s="163"/>
      <c r="N10" s="164"/>
      <c r="P10" s="159" t="str">
        <f>'[4]Grain and ricestraw-WS'!P9</f>
        <v>Anova: Single Factor</v>
      </c>
      <c r="Q10" s="160"/>
      <c r="R10" s="160"/>
      <c r="S10" s="160"/>
      <c r="T10" s="160"/>
      <c r="U10" s="161"/>
      <c r="V10" s="163"/>
      <c r="Y10" s="195" t="str">
        <f t="shared" si="7"/>
        <v>PSRm</v>
      </c>
      <c r="Z10" s="194">
        <v>1.95</v>
      </c>
      <c r="AA10" s="197"/>
      <c r="AB10" s="197"/>
      <c r="AC10" s="163"/>
      <c r="AD10" s="163"/>
      <c r="AE10" s="163"/>
      <c r="AF10" s="164"/>
      <c r="AH10" s="4">
        <f>AH9*3</f>
        <v>0.69000000000000006</v>
      </c>
      <c r="AI10" s="4">
        <f t="shared" ref="AI10:AK10" si="14">AI9*3</f>
        <v>0.81</v>
      </c>
      <c r="AJ10" s="4">
        <f t="shared" si="14"/>
        <v>0</v>
      </c>
      <c r="AK10" s="4">
        <f t="shared" si="14"/>
        <v>0</v>
      </c>
    </row>
    <row r="11" spans="1:43" ht="15.95" x14ac:dyDescent="0.2">
      <c r="A11" s="173"/>
      <c r="B11" s="172"/>
      <c r="C11" s="172"/>
      <c r="D11" s="172"/>
      <c r="E11" s="172"/>
      <c r="F11" s="163"/>
      <c r="G11" s="163"/>
      <c r="H11" s="162"/>
      <c r="I11" s="163"/>
      <c r="J11" s="163"/>
      <c r="K11" s="163"/>
      <c r="L11" s="163"/>
      <c r="M11" s="163"/>
      <c r="N11" s="164"/>
      <c r="P11" s="162"/>
      <c r="Q11" s="163"/>
      <c r="R11" s="163"/>
      <c r="S11" s="163"/>
      <c r="T11" s="163"/>
      <c r="U11" s="164"/>
      <c r="V11" s="163"/>
      <c r="Y11" s="195" t="str">
        <f t="shared" si="7"/>
        <v>SB</v>
      </c>
      <c r="Z11" s="194">
        <v>2.580349</v>
      </c>
      <c r="AA11" s="197">
        <f>AVERAGE(Z11:Z13)</f>
        <v>2.4812290000000004</v>
      </c>
      <c r="AB11" s="197">
        <f>STDEV(Z11:Z13)</f>
        <v>0.2817860593588688</v>
      </c>
      <c r="AC11" s="163"/>
      <c r="AD11" s="163"/>
      <c r="AE11" s="163">
        <f>AD17</f>
        <v>2.21</v>
      </c>
      <c r="AF11" s="164"/>
      <c r="AG11" s="2" t="s">
        <v>9</v>
      </c>
      <c r="AI11" s="2">
        <v>0.2</v>
      </c>
      <c r="AJ11" s="2">
        <v>0.23</v>
      </c>
      <c r="AK11" s="2">
        <v>0.23</v>
      </c>
      <c r="AM11" s="2" t="s">
        <v>17</v>
      </c>
      <c r="AN11" s="2">
        <f>SUM(AN8:AN9)</f>
        <v>4.07</v>
      </c>
      <c r="AO11" s="2">
        <f t="shared" ref="AO11:AQ11" si="15">SUM(AO8:AO9)</f>
        <v>11.479999999999999</v>
      </c>
      <c r="AP11" s="2">
        <f t="shared" si="15"/>
        <v>5.57</v>
      </c>
      <c r="AQ11" s="2">
        <f t="shared" si="15"/>
        <v>10.290000000000001</v>
      </c>
    </row>
    <row r="12" spans="1:43" ht="17.100000000000001" thickBot="1" x14ac:dyDescent="0.25">
      <c r="A12" s="162"/>
      <c r="B12" s="163"/>
      <c r="C12" s="163"/>
      <c r="D12" s="163"/>
      <c r="E12" s="163"/>
      <c r="F12" s="163"/>
      <c r="G12" s="163"/>
      <c r="H12" s="162"/>
      <c r="I12" s="163"/>
      <c r="J12" s="163"/>
      <c r="K12" s="163"/>
      <c r="L12" s="163"/>
      <c r="M12" s="163"/>
      <c r="N12" s="164"/>
      <c r="P12" s="162" t="str">
        <f>'[4]Grain and ricestraw-WS'!P11</f>
        <v>SUMMARY</v>
      </c>
      <c r="Q12" s="163"/>
      <c r="R12" s="163"/>
      <c r="S12" s="163"/>
      <c r="T12" s="163"/>
      <c r="U12" s="164"/>
      <c r="V12" s="163"/>
      <c r="Y12" s="195" t="str">
        <f t="shared" si="7"/>
        <v>SB</v>
      </c>
      <c r="Z12" s="194">
        <v>2.700062</v>
      </c>
      <c r="AA12" s="197"/>
      <c r="AB12" s="197"/>
      <c r="AC12" s="163"/>
      <c r="AD12" s="163"/>
      <c r="AE12" s="163"/>
      <c r="AF12" s="164"/>
      <c r="AG12" s="2" t="s">
        <v>8</v>
      </c>
      <c r="AI12" s="2">
        <v>0.81</v>
      </c>
      <c r="AJ12" s="2">
        <v>0.34</v>
      </c>
      <c r="AK12" s="2">
        <v>1.33</v>
      </c>
    </row>
    <row r="13" spans="1:43" ht="15.95" x14ac:dyDescent="0.2">
      <c r="A13" s="159" t="str">
        <f>'[4]Grain and ricestraw-WS'!H10</f>
        <v>Anova: Single Factor</v>
      </c>
      <c r="B13" s="160"/>
      <c r="C13" s="160"/>
      <c r="D13" s="160"/>
      <c r="E13" s="160"/>
      <c r="F13" s="160"/>
      <c r="G13" s="160"/>
      <c r="H13" s="184" t="s">
        <v>336</v>
      </c>
      <c r="I13" s="185"/>
      <c r="J13" s="185"/>
      <c r="K13" s="185"/>
      <c r="L13" s="185"/>
      <c r="M13" s="185"/>
      <c r="N13" s="186"/>
      <c r="O13"/>
      <c r="P13" s="162" t="str">
        <f>'[4]Grain and ricestraw-WS'!P12</f>
        <v>Groups</v>
      </c>
      <c r="Q13" s="163" t="str">
        <f>'[4]Grain and ricestraw-WS'!Q12</f>
        <v>Count</v>
      </c>
      <c r="R13" s="163" t="str">
        <f>'[4]Grain and ricestraw-WS'!R12</f>
        <v>Sum</v>
      </c>
      <c r="S13" s="163" t="str">
        <f>'[4]Grain and ricestraw-WS'!S12</f>
        <v>Average</v>
      </c>
      <c r="T13" s="163" t="str">
        <f>'[4]Grain and ricestraw-WS'!T12</f>
        <v>Variance</v>
      </c>
      <c r="U13" s="164"/>
      <c r="V13" s="163"/>
      <c r="Y13" s="195" t="str">
        <f t="shared" si="7"/>
        <v>SB</v>
      </c>
      <c r="Z13" s="194">
        <v>2.1632760000000002</v>
      </c>
      <c r="AA13" s="197"/>
      <c r="AB13" s="197"/>
      <c r="AC13" s="163"/>
      <c r="AD13" s="163"/>
      <c r="AE13" s="163"/>
      <c r="AF13" s="164"/>
      <c r="AH13" s="4">
        <f>AH11*3</f>
        <v>0</v>
      </c>
      <c r="AI13" s="4">
        <f>AI12*AI11/AI7</f>
        <v>0.12461538461538464</v>
      </c>
      <c r="AJ13" s="4">
        <f t="shared" ref="AJ13:AK13" si="16">AJ12*AJ11/AJ7</f>
        <v>3.5384615384615389E-2</v>
      </c>
      <c r="AK13" s="4">
        <f t="shared" si="16"/>
        <v>0.13841628959276017</v>
      </c>
    </row>
    <row r="14" spans="1:43" ht="15.95" x14ac:dyDescent="0.2">
      <c r="A14" s="162"/>
      <c r="B14" s="163"/>
      <c r="C14" s="163"/>
      <c r="D14" s="163"/>
      <c r="E14" s="163"/>
      <c r="F14" s="163"/>
      <c r="G14" s="163"/>
      <c r="H14" s="184"/>
      <c r="I14" s="185"/>
      <c r="J14" s="185"/>
      <c r="K14" s="185"/>
      <c r="L14" s="185"/>
      <c r="M14" s="185"/>
      <c r="N14" s="186"/>
      <c r="O14"/>
      <c r="P14" s="162" t="str">
        <f>'[4]Grain and ricestraw-WS'!P13</f>
        <v>CSR</v>
      </c>
      <c r="Q14" s="163">
        <f>'[4]Grain and ricestraw-WS'!Q13</f>
        <v>3</v>
      </c>
      <c r="R14" s="163">
        <f>'[4]Grain and ricestraw-WS'!R13</f>
        <v>189.928</v>
      </c>
      <c r="S14" s="163">
        <f>'[4]Grain and ricestraw-WS'!S13</f>
        <v>63.309333333333335</v>
      </c>
      <c r="T14" s="163">
        <f>'[4]Grain and ricestraw-WS'!T13</f>
        <v>1.4897013333329596</v>
      </c>
      <c r="U14" s="164"/>
      <c r="V14" s="163"/>
      <c r="Y14" s="195" t="str">
        <f t="shared" si="7"/>
        <v>SRt</v>
      </c>
      <c r="Z14" s="194">
        <v>2.6461039999999998</v>
      </c>
      <c r="AA14" s="197">
        <f>AVERAGE(Z14:Z16)</f>
        <v>2.6729896666666662</v>
      </c>
      <c r="AB14" s="197">
        <f>STDEV(Z14:Z16)</f>
        <v>0.21680042196991517</v>
      </c>
      <c r="AC14" s="163"/>
      <c r="AD14" s="163"/>
      <c r="AE14" s="163">
        <f>AD17</f>
        <v>2.21</v>
      </c>
      <c r="AF14" s="164"/>
    </row>
    <row r="15" spans="1:43" ht="17.100000000000001" thickBot="1" x14ac:dyDescent="0.25">
      <c r="A15" s="162" t="str">
        <f>'[4]Grain and ricestraw-WS'!H12</f>
        <v>SUMMARY</v>
      </c>
      <c r="B15" s="163"/>
      <c r="C15" s="163"/>
      <c r="D15" s="163"/>
      <c r="E15" s="163"/>
      <c r="F15" s="163"/>
      <c r="G15" s="163"/>
      <c r="H15" s="184" t="s">
        <v>337</v>
      </c>
      <c r="I15" s="185"/>
      <c r="J15" s="185"/>
      <c r="K15" s="185"/>
      <c r="L15" s="185"/>
      <c r="M15" s="185"/>
      <c r="N15" s="186"/>
      <c r="O15"/>
      <c r="P15" s="162" t="str">
        <f>'[4]Grain and ricestraw-WS'!P14</f>
        <v>PSR</v>
      </c>
      <c r="Q15" s="163">
        <f>'[4]Grain and ricestraw-WS'!Q14</f>
        <v>3</v>
      </c>
      <c r="R15" s="163">
        <f>'[4]Grain and ricestraw-WS'!R14</f>
        <v>192.19600000000003</v>
      </c>
      <c r="S15" s="163">
        <f>'[4]Grain and ricestraw-WS'!S14</f>
        <v>64.065333333333342</v>
      </c>
      <c r="T15" s="163">
        <f>'[4]Grain and ricestraw-WS'!T14</f>
        <v>4.2107893333322863</v>
      </c>
      <c r="U15" s="164"/>
      <c r="V15" s="163"/>
      <c r="Y15" s="195" t="str">
        <f t="shared" si="7"/>
        <v>SRt</v>
      </c>
      <c r="Z15" s="194">
        <v>2.4708860000000001</v>
      </c>
      <c r="AA15" s="163"/>
      <c r="AB15" s="163"/>
      <c r="AC15" s="163"/>
      <c r="AD15" s="163"/>
      <c r="AE15" s="163"/>
      <c r="AF15" s="164"/>
    </row>
    <row r="16" spans="1:43" ht="15.95" x14ac:dyDescent="0.2">
      <c r="A16" s="162" t="str">
        <f>'[4]Grain and ricestraw-WS'!H13</f>
        <v>Groups</v>
      </c>
      <c r="B16" s="163" t="str">
        <f>'[4]Grain and ricestraw-WS'!I13</f>
        <v>Count</v>
      </c>
      <c r="C16" s="163" t="str">
        <f>'[4]Grain and ricestraw-WS'!J13</f>
        <v>Sum</v>
      </c>
      <c r="D16" s="163" t="str">
        <f>'[4]Grain and ricestraw-WS'!K13</f>
        <v>Average</v>
      </c>
      <c r="E16" s="163" t="str">
        <f>'[4]Grain and ricestraw-WS'!L13</f>
        <v>Variance</v>
      </c>
      <c r="F16" s="163"/>
      <c r="G16" s="163"/>
      <c r="H16" s="187" t="s">
        <v>338</v>
      </c>
      <c r="I16" s="182" t="s">
        <v>339</v>
      </c>
      <c r="J16" s="182" t="s">
        <v>340</v>
      </c>
      <c r="K16" s="182" t="s">
        <v>146</v>
      </c>
      <c r="L16" s="182" t="s">
        <v>341</v>
      </c>
      <c r="M16" s="185"/>
      <c r="N16" s="186"/>
      <c r="O16"/>
      <c r="P16" s="162" t="str">
        <f>'[4]Grain and ricestraw-WS'!P15</f>
        <v>SB</v>
      </c>
      <c r="Q16" s="163">
        <f>'[4]Grain and ricestraw-WS'!Q15</f>
        <v>3</v>
      </c>
      <c r="R16" s="163">
        <f>'[4]Grain and ricestraw-WS'!R15</f>
        <v>187.61200000000002</v>
      </c>
      <c r="S16" s="163">
        <f>'[4]Grain and ricestraw-WS'!S15</f>
        <v>62.537333333333343</v>
      </c>
      <c r="T16" s="163">
        <f>'[4]Grain and ricestraw-WS'!T15</f>
        <v>8.476869333331706</v>
      </c>
      <c r="U16" s="164"/>
      <c r="V16" s="163"/>
      <c r="Y16" s="195" t="str">
        <f t="shared" si="7"/>
        <v>SRt</v>
      </c>
      <c r="Z16" s="194">
        <v>2.9019789999999999</v>
      </c>
      <c r="AA16" s="163"/>
      <c r="AB16" s="163"/>
      <c r="AC16" s="163"/>
      <c r="AD16" s="163"/>
      <c r="AE16" s="163"/>
      <c r="AF16" s="164" t="s">
        <v>364</v>
      </c>
    </row>
    <row r="17" spans="1:32" x14ac:dyDescent="0.2">
      <c r="A17" s="162" t="str">
        <f>'[4]Grain and ricestraw-WS'!H14</f>
        <v>CSR</v>
      </c>
      <c r="B17" s="163">
        <f>'[4]Grain and ricestraw-WS'!I14</f>
        <v>3</v>
      </c>
      <c r="C17" s="163">
        <f>'[4]Grain and ricestraw-WS'!J14</f>
        <v>17.805199837289408</v>
      </c>
      <c r="D17" s="163">
        <f>'[4]Grain and ricestraw-WS'!K14</f>
        <v>5.9350666124298028</v>
      </c>
      <c r="E17" s="163">
        <f>'[4]Grain and ricestraw-WS'!L14</f>
        <v>4.4164839430848701E-2</v>
      </c>
      <c r="F17" s="163"/>
      <c r="G17" s="163"/>
      <c r="H17" s="188" t="s">
        <v>141</v>
      </c>
      <c r="I17" s="180">
        <v>3</v>
      </c>
      <c r="J17" s="180">
        <v>15.312471860068893</v>
      </c>
      <c r="K17" s="180">
        <v>5.104157286689631</v>
      </c>
      <c r="L17" s="180">
        <v>3.2664315243052008E-2</v>
      </c>
      <c r="M17" s="185"/>
      <c r="N17" s="186"/>
      <c r="O17"/>
      <c r="P17" s="162" t="str">
        <f>'[4]Grain and ricestraw-WS'!P16</f>
        <v>SRT</v>
      </c>
      <c r="Q17" s="163">
        <f>'[4]Grain and ricestraw-WS'!Q16</f>
        <v>3</v>
      </c>
      <c r="R17" s="163">
        <f>'[4]Grain and ricestraw-WS'!R16</f>
        <v>192.91200000000001</v>
      </c>
      <c r="S17" s="163">
        <f>'[4]Grain and ricestraw-WS'!S16</f>
        <v>64.304000000000002</v>
      </c>
      <c r="T17" s="163">
        <f>'[4]Grain and ricestraw-WS'!T16</f>
        <v>0.89083199999913631</v>
      </c>
      <c r="U17" s="164"/>
      <c r="V17" s="163"/>
      <c r="Y17" s="162" t="s">
        <v>146</v>
      </c>
      <c r="Z17" s="194">
        <f>AVERAGE(Z5:Z16)</f>
        <v>2.5427213333333332</v>
      </c>
      <c r="AA17" s="163"/>
      <c r="AB17" s="163"/>
      <c r="AC17" s="163"/>
      <c r="AD17" s="163">
        <v>2.21</v>
      </c>
      <c r="AE17" s="163"/>
      <c r="AF17" s="211">
        <f>100*(Z17-AD17)/Z17</f>
        <v>13.085245676417022</v>
      </c>
    </row>
    <row r="18" spans="1:32" ht="15.95" thickBot="1" x14ac:dyDescent="0.25">
      <c r="A18" s="162" t="str">
        <f>'[4]Grain and ricestraw-WS'!H15</f>
        <v>PSR</v>
      </c>
      <c r="B18" s="163">
        <f>'[4]Grain and ricestraw-WS'!I15</f>
        <v>3</v>
      </c>
      <c r="C18" s="163">
        <f>'[4]Grain and ricestraw-WS'!J15</f>
        <v>18.185371969502473</v>
      </c>
      <c r="D18" s="163">
        <f>'[4]Grain and ricestraw-WS'!K15</f>
        <v>6.0617906565008246</v>
      </c>
      <c r="E18" s="163">
        <f>'[4]Grain and ricestraw-WS'!L15</f>
        <v>0.46490468761661674</v>
      </c>
      <c r="F18" s="163"/>
      <c r="G18" s="163"/>
      <c r="H18" s="188" t="s">
        <v>5</v>
      </c>
      <c r="I18" s="180">
        <v>3</v>
      </c>
      <c r="J18" s="180">
        <v>15.639419893772125</v>
      </c>
      <c r="K18" s="180">
        <v>5.2131399645907086</v>
      </c>
      <c r="L18" s="180">
        <v>0.34384350696125821</v>
      </c>
      <c r="M18" s="185"/>
      <c r="N18" s="186"/>
      <c r="O18"/>
      <c r="P18" s="162"/>
      <c r="Q18" s="163"/>
      <c r="R18" s="163"/>
      <c r="S18" s="163"/>
      <c r="T18" s="163"/>
      <c r="U18" s="164"/>
      <c r="V18" s="163"/>
      <c r="Y18" s="167" t="s">
        <v>6</v>
      </c>
      <c r="Z18" s="202">
        <f>STDEV(Z5:Z16)</f>
        <v>0.29976408757746759</v>
      </c>
      <c r="AA18" s="203"/>
      <c r="AB18" s="203"/>
      <c r="AC18" s="168"/>
      <c r="AD18" s="168">
        <v>0.23</v>
      </c>
      <c r="AE18" s="168"/>
      <c r="AF18" s="169"/>
    </row>
    <row r="19" spans="1:32" x14ac:dyDescent="0.2">
      <c r="A19" s="162" t="str">
        <f>'[4]Grain and ricestraw-WS'!H16</f>
        <v>SB</v>
      </c>
      <c r="B19" s="163">
        <f>'[4]Grain and ricestraw-WS'!I16</f>
        <v>3</v>
      </c>
      <c r="C19" s="163">
        <f>'[4]Grain and ricestraw-WS'!J16</f>
        <v>17.265739588409449</v>
      </c>
      <c r="D19" s="163">
        <f>'[4]Grain and ricestraw-WS'!K16</f>
        <v>5.7552465294698161</v>
      </c>
      <c r="E19" s="163">
        <f>'[4]Grain and ricestraw-WS'!L16</f>
        <v>0.12311322746159448</v>
      </c>
      <c r="F19" s="163"/>
      <c r="G19" s="163"/>
      <c r="H19" s="188" t="s">
        <v>70</v>
      </c>
      <c r="I19" s="180">
        <v>3</v>
      </c>
      <c r="J19" s="180">
        <v>14.848536046032127</v>
      </c>
      <c r="K19" s="180">
        <v>4.9495120153440419</v>
      </c>
      <c r="L19" s="180">
        <v>9.1054543030598123E-2</v>
      </c>
      <c r="M19" s="185"/>
      <c r="N19" s="186"/>
      <c r="O19"/>
      <c r="P19" s="162" t="str">
        <f>'[4]Grain and ricestraw-WS'!P19</f>
        <v>ANOVA</v>
      </c>
      <c r="Q19" s="163"/>
      <c r="R19" s="163"/>
      <c r="S19" s="163"/>
      <c r="T19" s="163"/>
      <c r="U19" s="164"/>
      <c r="V19" s="163"/>
    </row>
    <row r="20" spans="1:32" ht="15.95" thickBot="1" x14ac:dyDescent="0.25">
      <c r="A20" s="162" t="str">
        <f>'[4]Grain and ricestraw-WS'!H17</f>
        <v>SRT</v>
      </c>
      <c r="B20" s="163">
        <f>'[4]Grain and ricestraw-WS'!I17</f>
        <v>3</v>
      </c>
      <c r="C20" s="163">
        <f>'[4]Grain and ricestraw-WS'!J17</f>
        <v>17.198737280311391</v>
      </c>
      <c r="D20" s="163">
        <f>'[4]Grain and ricestraw-WS'!K17</f>
        <v>5.7329124267704641</v>
      </c>
      <c r="E20" s="163">
        <f>'[4]Grain and ricestraw-WS'!L17</f>
        <v>0.42440018219570419</v>
      </c>
      <c r="F20" s="163"/>
      <c r="G20" s="163"/>
      <c r="H20" s="189" t="s">
        <v>149</v>
      </c>
      <c r="I20" s="181">
        <v>3</v>
      </c>
      <c r="J20" s="181">
        <v>14.790914061067799</v>
      </c>
      <c r="K20" s="181">
        <v>4.9303046870225993</v>
      </c>
      <c r="L20" s="181">
        <v>0.31388637475193942</v>
      </c>
      <c r="M20" s="185"/>
      <c r="N20" s="186"/>
      <c r="O20"/>
      <c r="P20" s="162" t="str">
        <f>'[4]Grain and ricestraw-WS'!P20</f>
        <v>Source of Variation</v>
      </c>
      <c r="Q20" s="163" t="str">
        <f>'[4]Grain and ricestraw-WS'!Q20</f>
        <v>SS</v>
      </c>
      <c r="R20" s="163" t="str">
        <f>'[4]Grain and ricestraw-WS'!R20</f>
        <v>df</v>
      </c>
      <c r="S20" s="163" t="str">
        <f>'[4]Grain and ricestraw-WS'!S20</f>
        <v>MS</v>
      </c>
      <c r="T20" s="163" t="str">
        <f>'[4]Grain and ricestraw-WS'!T20</f>
        <v>F</v>
      </c>
      <c r="U20" s="164" t="str">
        <f>'[4]Grain and ricestraw-WS'!U20</f>
        <v>P-value</v>
      </c>
      <c r="V20" s="163"/>
    </row>
    <row r="21" spans="1:32" x14ac:dyDescent="0.2">
      <c r="A21" s="162"/>
      <c r="B21" s="163"/>
      <c r="C21" s="163"/>
      <c r="D21" s="163"/>
      <c r="E21" s="163"/>
      <c r="F21" s="163"/>
      <c r="G21" s="163"/>
      <c r="H21" s="184"/>
      <c r="I21" s="185"/>
      <c r="J21" s="185"/>
      <c r="K21" s="185"/>
      <c r="L21" s="185"/>
      <c r="M21" s="185"/>
      <c r="N21" s="186"/>
      <c r="O21"/>
      <c r="P21" s="162" t="str">
        <f>'[4]Grain and ricestraw-WS'!P21</f>
        <v>Between Groups</v>
      </c>
      <c r="Q21" s="163">
        <f>'[4]Grain and ricestraw-WS'!Q21</f>
        <v>5.7523039999999988</v>
      </c>
      <c r="R21" s="163">
        <f>'[4]Grain and ricestraw-WS'!R21</f>
        <v>3</v>
      </c>
      <c r="S21" s="163">
        <f>'[4]Grain and ricestraw-WS'!S21</f>
        <v>1.9174346666666662</v>
      </c>
      <c r="T21" s="163">
        <f>'[4]Grain and ricestraw-WS'!T21</f>
        <v>0.50900192051353566</v>
      </c>
      <c r="U21" s="164">
        <f>'[4]Grain and ricestraw-WS'!U21</f>
        <v>0.6870517928998735</v>
      </c>
      <c r="V21" s="163"/>
      <c r="Y21" s="2" t="s">
        <v>374</v>
      </c>
      <c r="Z21" s="2">
        <f>AVERAGE(I7:L7)/(AVERAGE(I7:L7)+Z17)</f>
        <v>0.66507884707130172</v>
      </c>
    </row>
    <row r="22" spans="1:32" x14ac:dyDescent="0.2">
      <c r="A22" s="162" t="str">
        <f>'[4]Grain and ricestraw-WS'!H20</f>
        <v>ANOVA</v>
      </c>
      <c r="B22" s="163"/>
      <c r="C22" s="163"/>
      <c r="D22" s="163"/>
      <c r="E22" s="163"/>
      <c r="F22" s="163"/>
      <c r="G22" s="163"/>
      <c r="H22" s="184"/>
      <c r="I22" s="185"/>
      <c r="J22" s="185"/>
      <c r="K22" s="185"/>
      <c r="L22" s="185"/>
      <c r="M22" s="185"/>
      <c r="N22" s="186"/>
      <c r="O22"/>
      <c r="P22" s="162" t="str">
        <f>'[4]Grain and ricestraw-WS'!P22</f>
        <v>Within Groups</v>
      </c>
      <c r="Q22" s="163">
        <f>'[4]Grain and ricestraw-WS'!Q22</f>
        <v>30.136383999999882</v>
      </c>
      <c r="R22" s="163">
        <f>'[4]Grain and ricestraw-WS'!R22</f>
        <v>8</v>
      </c>
      <c r="S22" s="163">
        <f>'[4]Grain and ricestraw-WS'!S22</f>
        <v>3.7670479999999853</v>
      </c>
      <c r="T22" s="163"/>
      <c r="U22" s="164"/>
      <c r="V22" s="163"/>
    </row>
    <row r="23" spans="1:32" ht="15.95" thickBot="1" x14ac:dyDescent="0.25">
      <c r="A23" s="162" t="str">
        <f>'[4]Grain and ricestraw-WS'!H21</f>
        <v>Source of Variation</v>
      </c>
      <c r="B23" s="163" t="str">
        <f>'[4]Grain and ricestraw-WS'!I21</f>
        <v>SS</v>
      </c>
      <c r="C23" s="163" t="str">
        <f>'[4]Grain and ricestraw-WS'!J21</f>
        <v>df</v>
      </c>
      <c r="D23" s="163" t="str">
        <f>'[4]Grain and ricestraw-WS'!K21</f>
        <v>MS</v>
      </c>
      <c r="E23" s="163" t="str">
        <f>'[4]Grain and ricestraw-WS'!L21</f>
        <v>F</v>
      </c>
      <c r="F23" s="163" t="str">
        <f>'[4]Grain and ricestraw-WS'!M21</f>
        <v>P-value</v>
      </c>
      <c r="G23" s="163" t="str">
        <f>'[4]Grain and ricestraw-WS'!N21</f>
        <v>F crit</v>
      </c>
      <c r="H23" s="184" t="s">
        <v>342</v>
      </c>
      <c r="I23" s="185"/>
      <c r="J23" s="185"/>
      <c r="K23" s="185"/>
      <c r="L23" s="185"/>
      <c r="M23" s="185"/>
      <c r="N23" s="186"/>
      <c r="O23"/>
      <c r="P23" s="162"/>
      <c r="Q23" s="163"/>
      <c r="R23" s="163"/>
      <c r="S23" s="163"/>
      <c r="T23" s="163"/>
      <c r="U23" s="164"/>
      <c r="V23" s="163"/>
    </row>
    <row r="24" spans="1:32" ht="15.95" thickBot="1" x14ac:dyDescent="0.25">
      <c r="A24" s="162" t="str">
        <f>'[4]Grain and ricestraw-WS'!H22</f>
        <v>Between Groups</v>
      </c>
      <c r="B24" s="163">
        <f>'[4]Grain and ricestraw-WS'!I22</f>
        <v>0.21891717323415216</v>
      </c>
      <c r="C24" s="163">
        <f>'[4]Grain and ricestraw-WS'!J22</f>
        <v>3</v>
      </c>
      <c r="D24" s="163">
        <f>'[4]Grain and ricestraw-WS'!K22</f>
        <v>7.2972391078050716E-2</v>
      </c>
      <c r="E24" s="163">
        <f>'[4]Grain and ricestraw-WS'!L22</f>
        <v>0.27625807134699415</v>
      </c>
      <c r="F24" s="163">
        <f>'[4]Grain and ricestraw-WS'!M22</f>
        <v>0.84106166051780296</v>
      </c>
      <c r="G24" s="163">
        <f>'[4]Grain and ricestraw-WS'!N22</f>
        <v>4.0661805566468345</v>
      </c>
      <c r="H24" s="187" t="s">
        <v>343</v>
      </c>
      <c r="I24" s="182" t="s">
        <v>344</v>
      </c>
      <c r="J24" s="182" t="s">
        <v>345</v>
      </c>
      <c r="K24" s="182" t="s">
        <v>346</v>
      </c>
      <c r="L24" s="182" t="s">
        <v>347</v>
      </c>
      <c r="M24" s="182" t="s">
        <v>348</v>
      </c>
      <c r="N24" s="192" t="s">
        <v>349</v>
      </c>
      <c r="O24" s="183"/>
      <c r="P24" s="167" t="str">
        <f>'[4]Grain and ricestraw-WS'!P24</f>
        <v>Total</v>
      </c>
      <c r="Q24" s="168">
        <f>'[4]Grain and ricestraw-WS'!Q24</f>
        <v>35.888687999999881</v>
      </c>
      <c r="R24" s="168">
        <f>'[4]Grain and ricestraw-WS'!R24</f>
        <v>11</v>
      </c>
      <c r="S24" s="168"/>
      <c r="T24" s="168"/>
      <c r="U24" s="169"/>
      <c r="V24" s="163"/>
    </row>
    <row r="25" spans="1:32" x14ac:dyDescent="0.2">
      <c r="A25" s="162" t="str">
        <f>'[4]Grain and ricestraw-WS'!H23</f>
        <v>Within Groups</v>
      </c>
      <c r="B25" s="163">
        <f>'[4]Grain and ricestraw-WS'!I23</f>
        <v>2.1131658734095393</v>
      </c>
      <c r="C25" s="163">
        <f>'[4]Grain and ricestraw-WS'!J23</f>
        <v>8</v>
      </c>
      <c r="D25" s="163">
        <f>'[4]Grain and ricestraw-WS'!K23</f>
        <v>0.26414573417619241</v>
      </c>
      <c r="E25" s="163"/>
      <c r="F25" s="163"/>
      <c r="G25" s="163"/>
      <c r="H25" s="188" t="s">
        <v>350</v>
      </c>
      <c r="I25" s="180">
        <v>0.16191114132397932</v>
      </c>
      <c r="J25" s="180">
        <v>3</v>
      </c>
      <c r="K25" s="180">
        <v>5.3970380441326439E-2</v>
      </c>
      <c r="L25" s="180">
        <v>0.27625807134699482</v>
      </c>
      <c r="M25" s="180">
        <v>0.84106166052382791</v>
      </c>
      <c r="N25" s="190">
        <v>4.0661805513511613</v>
      </c>
      <c r="O25" s="180"/>
    </row>
    <row r="26" spans="1:32" x14ac:dyDescent="0.2">
      <c r="A26" s="162"/>
      <c r="B26" s="163"/>
      <c r="C26" s="163"/>
      <c r="D26" s="163"/>
      <c r="E26" s="163"/>
      <c r="F26" s="163"/>
      <c r="G26" s="163"/>
      <c r="H26" s="188" t="s">
        <v>351</v>
      </c>
      <c r="I26" s="180">
        <v>1.5628974799736954</v>
      </c>
      <c r="J26" s="180">
        <v>8</v>
      </c>
      <c r="K26" s="180">
        <v>0.19536218499671193</v>
      </c>
      <c r="L26" s="180"/>
      <c r="M26" s="180"/>
      <c r="N26" s="190"/>
      <c r="O26" s="180"/>
    </row>
    <row r="27" spans="1:32" ht="15.95" thickBot="1" x14ac:dyDescent="0.25">
      <c r="A27" s="167" t="str">
        <f>'[4]Grain and ricestraw-WS'!H25</f>
        <v>Total</v>
      </c>
      <c r="B27" s="168">
        <f>'[4]Grain and ricestraw-WS'!I25</f>
        <v>2.3320830466436915</v>
      </c>
      <c r="C27" s="168">
        <f>'[4]Grain and ricestraw-WS'!J25</f>
        <v>11</v>
      </c>
      <c r="D27" s="168"/>
      <c r="E27" s="168"/>
      <c r="F27" s="168"/>
      <c r="G27" s="168"/>
      <c r="H27" s="188"/>
      <c r="I27" s="180"/>
      <c r="J27" s="180"/>
      <c r="K27" s="180"/>
      <c r="L27" s="180"/>
      <c r="M27" s="180"/>
      <c r="N27" s="190"/>
      <c r="O27" s="180"/>
    </row>
    <row r="28" spans="1:32" ht="15.95" thickBot="1" x14ac:dyDescent="0.25">
      <c r="H28" s="189" t="s">
        <v>3</v>
      </c>
      <c r="I28" s="181">
        <v>1.7248086212976748</v>
      </c>
      <c r="J28" s="181">
        <v>11</v>
      </c>
      <c r="K28" s="181"/>
      <c r="L28" s="181"/>
      <c r="M28" s="181"/>
      <c r="N28" s="191"/>
      <c r="O28" s="180"/>
    </row>
    <row r="29" spans="1:32" s="174" customFormat="1" x14ac:dyDescent="0.2">
      <c r="W29" s="179"/>
      <c r="X29" s="179"/>
    </row>
    <row r="30" spans="1:32" s="179" customFormat="1" x14ac:dyDescent="0.2"/>
    <row r="31" spans="1:32" s="174" customFormat="1" x14ac:dyDescent="0.2">
      <c r="W31" s="179"/>
      <c r="X31" s="179"/>
    </row>
    <row r="32" spans="1:32" s="174" customFormat="1" x14ac:dyDescent="0.2">
      <c r="W32" s="179"/>
      <c r="X32" s="179"/>
    </row>
    <row r="33" spans="1:45" ht="15.95" thickBot="1" x14ac:dyDescent="0.25">
      <c r="A33" s="178" t="s">
        <v>354</v>
      </c>
      <c r="B33" s="176"/>
    </row>
    <row r="34" spans="1:45" x14ac:dyDescent="0.2">
      <c r="A34" s="159" t="s">
        <v>353</v>
      </c>
      <c r="B34" s="160"/>
      <c r="C34" s="160"/>
      <c r="D34" s="160"/>
      <c r="E34" s="160"/>
      <c r="F34" s="160"/>
      <c r="G34" s="161"/>
      <c r="H34" s="159"/>
      <c r="I34" s="160" t="s">
        <v>360</v>
      </c>
      <c r="J34" s="160"/>
      <c r="K34" s="160"/>
      <c r="L34" s="160"/>
      <c r="M34" s="160"/>
      <c r="N34" s="161"/>
      <c r="O34" s="159"/>
      <c r="P34" s="206" t="s">
        <v>355</v>
      </c>
      <c r="Q34" s="160"/>
      <c r="R34" s="160"/>
      <c r="S34" s="160"/>
      <c r="T34" s="160"/>
      <c r="U34" s="160"/>
      <c r="V34" s="161"/>
      <c r="W34" s="2"/>
      <c r="Y34" s="170" t="s">
        <v>356</v>
      </c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61"/>
    </row>
    <row r="35" spans="1:45" x14ac:dyDescent="0.2">
      <c r="A35" s="162"/>
      <c r="B35" s="163" t="str">
        <f>B3</f>
        <v>CSRm</v>
      </c>
      <c r="C35" s="163" t="str">
        <f t="shared" ref="C35:E35" si="17">C3</f>
        <v>PSRm</v>
      </c>
      <c r="D35" s="163" t="str">
        <f t="shared" si="17"/>
        <v>SB</v>
      </c>
      <c r="E35" s="163" t="str">
        <f t="shared" si="17"/>
        <v>SRt</v>
      </c>
      <c r="F35" s="163"/>
      <c r="G35" s="164"/>
      <c r="H35" s="162"/>
      <c r="I35" s="163" t="str">
        <f>B35</f>
        <v>CSRm</v>
      </c>
      <c r="J35" s="163" t="str">
        <f t="shared" ref="J35" si="18">C35</f>
        <v>PSRm</v>
      </c>
      <c r="K35" s="163" t="str">
        <f t="shared" ref="K35" si="19">D35</f>
        <v>SB</v>
      </c>
      <c r="L35" s="163" t="str">
        <f t="shared" ref="L35" si="20">E35</f>
        <v>SRt</v>
      </c>
      <c r="M35" s="163"/>
      <c r="N35" s="164"/>
      <c r="O35" s="162"/>
      <c r="P35" s="163" t="str">
        <f>I35</f>
        <v>CSRm</v>
      </c>
      <c r="Q35" s="163" t="str">
        <f t="shared" ref="Q35:S35" si="21">J35</f>
        <v>PSRm</v>
      </c>
      <c r="R35" s="163" t="str">
        <f t="shared" si="21"/>
        <v>SB</v>
      </c>
      <c r="S35" s="163" t="str">
        <f t="shared" si="21"/>
        <v>SRt</v>
      </c>
      <c r="T35" s="163"/>
      <c r="U35" s="163"/>
      <c r="V35" s="164"/>
      <c r="W35" s="2"/>
      <c r="Y35" s="173"/>
      <c r="Z35" s="193" t="s">
        <v>357</v>
      </c>
      <c r="AA35" s="163"/>
      <c r="AB35" s="177"/>
      <c r="AC35" s="163"/>
      <c r="AD35" s="163"/>
      <c r="AE35" s="163"/>
      <c r="AF35" s="163" t="s">
        <v>361</v>
      </c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4"/>
    </row>
    <row r="36" spans="1:45" ht="15.95" x14ac:dyDescent="0.2">
      <c r="A36" s="162"/>
      <c r="B36" s="198">
        <f>[4]HARVESTING_Grain_straw!I33</f>
        <v>3.4559536446055792</v>
      </c>
      <c r="C36" s="198">
        <f>[4]HARVESTING_Grain_straw!J33</f>
        <v>3.5430975196151882</v>
      </c>
      <c r="D36" s="198">
        <f>[4]HARVESTING_Grain_straw!K33</f>
        <v>4.2663084421465705</v>
      </c>
      <c r="E36" s="198">
        <f>[4]HARVESTING_Grain_straw!L33</f>
        <v>4.3750269663890942</v>
      </c>
      <c r="F36" s="163"/>
      <c r="G36" s="164"/>
      <c r="H36" s="162"/>
      <c r="I36" s="165">
        <f>B36*(100-14)/100</f>
        <v>2.9721201343607984</v>
      </c>
      <c r="J36" s="165">
        <f t="shared" ref="J36:J38" si="22">C36*(100-14)/100</f>
        <v>3.0470638668690615</v>
      </c>
      <c r="K36" s="165">
        <f t="shared" ref="K36:K38" si="23">D36*(100-14)/100</f>
        <v>3.6690252602460505</v>
      </c>
      <c r="L36" s="165">
        <f t="shared" ref="L36:L38" si="24">E36*(100-14)/100</f>
        <v>3.7625231910946213</v>
      </c>
      <c r="M36" s="163"/>
      <c r="N36" s="164"/>
      <c r="O36" s="162"/>
      <c r="P36" s="165">
        <f>'[4]GRAIN QUALITY'!N20</f>
        <v>47.525213895498801</v>
      </c>
      <c r="Q36" s="165">
        <f>'[4]GRAIN QUALITY'!O20</f>
        <v>44.71796144132319</v>
      </c>
      <c r="R36" s="165">
        <f>'[4]GRAIN QUALITY'!P20</f>
        <v>48.369782882101667</v>
      </c>
      <c r="S36" s="165">
        <f>'[4]GRAIN QUALITY'!Q20</f>
        <v>50.551776838583493</v>
      </c>
      <c r="T36" s="163"/>
      <c r="U36" s="163"/>
      <c r="V36" s="164"/>
      <c r="W36" s="2"/>
      <c r="Y36" s="173" t="s">
        <v>79</v>
      </c>
      <c r="Z36" s="194" t="s">
        <v>174</v>
      </c>
      <c r="AA36" s="177" t="s">
        <v>358</v>
      </c>
      <c r="AB36" s="194"/>
      <c r="AC36" s="163" t="s">
        <v>359</v>
      </c>
      <c r="AD36" s="163"/>
      <c r="AE36" s="163"/>
      <c r="AF36" s="163" t="s">
        <v>359</v>
      </c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4"/>
    </row>
    <row r="37" spans="1:45" x14ac:dyDescent="0.2">
      <c r="A37" s="162"/>
      <c r="B37" s="198">
        <f>[4]HARVESTING_Grain_straw!I34</f>
        <v>4.6145139760043756</v>
      </c>
      <c r="C37" s="198">
        <f>[4]HARVESTING_Grain_straw!J34</f>
        <v>4.5480418044961715</v>
      </c>
      <c r="D37" s="198">
        <f>[4]HARVESTING_Grain_straw!K34</f>
        <v>4.3605656301368381</v>
      </c>
      <c r="E37" s="198">
        <f>[4]HARVESTING_Grain_straw!L34</f>
        <v>4.3234987851440465</v>
      </c>
      <c r="F37" s="163"/>
      <c r="G37" s="164"/>
      <c r="H37" s="162"/>
      <c r="I37" s="165">
        <f t="shared" ref="I37:I38" si="25">B37*(100-14)/100</f>
        <v>3.9684820193637633</v>
      </c>
      <c r="J37" s="165">
        <f t="shared" si="22"/>
        <v>3.9113159518667073</v>
      </c>
      <c r="K37" s="165">
        <f t="shared" si="23"/>
        <v>3.7500864419176811</v>
      </c>
      <c r="L37" s="165">
        <f t="shared" si="24"/>
        <v>3.7182089552238802</v>
      </c>
      <c r="M37" s="163"/>
      <c r="N37" s="164"/>
      <c r="O37" s="162"/>
      <c r="P37" s="165">
        <f>'[4]GRAIN QUALITY'!N21</f>
        <v>51.29889228718443</v>
      </c>
      <c r="Q37" s="165">
        <f>'[4]GRAIN QUALITY'!O21</f>
        <v>43.853505206751059</v>
      </c>
      <c r="R37" s="165">
        <f>'[4]GRAIN QUALITY'!P21</f>
        <v>52.75512795883688</v>
      </c>
      <c r="S37" s="165">
        <f>'[4]GRAIN QUALITY'!Q21</f>
        <v>50.532474444449811</v>
      </c>
      <c r="T37" s="163"/>
      <c r="U37" s="163"/>
      <c r="V37" s="164"/>
      <c r="W37" s="2"/>
      <c r="Y37" s="162"/>
      <c r="Z37" s="163"/>
      <c r="AA37" s="163"/>
      <c r="AB37" s="163"/>
      <c r="AC37" s="163"/>
      <c r="AD37" s="163" t="s">
        <v>146</v>
      </c>
      <c r="AE37" s="163" t="s">
        <v>6</v>
      </c>
      <c r="AF37" s="163" t="s">
        <v>362</v>
      </c>
      <c r="AG37" s="163" t="s">
        <v>9</v>
      </c>
      <c r="AH37" s="164" t="s">
        <v>363</v>
      </c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4"/>
    </row>
    <row r="38" spans="1:45" ht="15.95" x14ac:dyDescent="0.2">
      <c r="A38" s="162"/>
      <c r="B38" s="198">
        <f>[4]HARVESTING_Grain_straw!I35</f>
        <v>4.6494136885356179</v>
      </c>
      <c r="C38" s="198">
        <f>[4]HARVESTING_Grain_straw!J35</f>
        <v>4.337202496409879</v>
      </c>
      <c r="D38" s="198">
        <f>[4]HARVESTING_Grain_straw!K35</f>
        <v>3.5934824409516612</v>
      </c>
      <c r="E38" s="198">
        <f>[4]HARVESTING_Grain_straw!L35</f>
        <v>4.533537837175821</v>
      </c>
      <c r="F38" s="163"/>
      <c r="G38" s="164"/>
      <c r="H38" s="162"/>
      <c r="I38" s="165">
        <f t="shared" si="25"/>
        <v>3.9984957721406311</v>
      </c>
      <c r="J38" s="165">
        <f t="shared" si="22"/>
        <v>3.7299941469124955</v>
      </c>
      <c r="K38" s="165">
        <f t="shared" si="23"/>
        <v>3.0903948992184285</v>
      </c>
      <c r="L38" s="165">
        <f t="shared" si="24"/>
        <v>3.8988425399712061</v>
      </c>
      <c r="M38" s="163"/>
      <c r="N38" s="164"/>
      <c r="O38" s="162"/>
      <c r="P38" s="165">
        <f>'[4]GRAIN QUALITY'!N22</f>
        <v>48.29914482285821</v>
      </c>
      <c r="Q38" s="165">
        <f>'[4]GRAIN QUALITY'!O22</f>
        <v>51.467517465211166</v>
      </c>
      <c r="R38" s="165">
        <f>'[4]GRAIN QUALITY'!P22</f>
        <v>52.579534501447576</v>
      </c>
      <c r="S38" s="165">
        <f>'[4]GRAIN QUALITY'!Q22</f>
        <v>53.35173462494712</v>
      </c>
      <c r="T38" s="163"/>
      <c r="U38" s="163"/>
      <c r="V38" s="164"/>
      <c r="W38" s="2"/>
      <c r="Y38" s="195" t="str">
        <f>Q3</f>
        <v>CSRm</v>
      </c>
      <c r="Z38" s="194">
        <v>5.8798656392017401</v>
      </c>
      <c r="AA38" s="196">
        <v>46.370284155738922</v>
      </c>
      <c r="AB38" s="194"/>
      <c r="AC38" s="197">
        <f>Z38*(100-AA38)/100</f>
        <v>3.1533552343282385</v>
      </c>
      <c r="AD38" s="197">
        <f>AVERAGE(AC38:AC40)</f>
        <v>3.4436213583103239</v>
      </c>
      <c r="AE38" s="197">
        <f>STDEV(AC38:AC40)</f>
        <v>0.25606198349965875</v>
      </c>
      <c r="AF38" s="163"/>
      <c r="AG38" s="163"/>
      <c r="AH38" s="164">
        <v>2.23</v>
      </c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4">
        <v>2.23</v>
      </c>
    </row>
    <row r="39" spans="1:45" ht="15.95" x14ac:dyDescent="0.2">
      <c r="A39" s="162" t="s">
        <v>146</v>
      </c>
      <c r="B39" s="204">
        <f>AVERAGE(B36:B38)</f>
        <v>4.2399604363818577</v>
      </c>
      <c r="C39" s="204">
        <f t="shared" ref="C39:E39" si="26">AVERAGE(C36:C38)</f>
        <v>4.1427806068404136</v>
      </c>
      <c r="D39" s="204">
        <f t="shared" si="26"/>
        <v>4.0734521710783564</v>
      </c>
      <c r="E39" s="204">
        <f t="shared" si="26"/>
        <v>4.4106878629029866</v>
      </c>
      <c r="F39" s="163"/>
      <c r="G39" s="164"/>
      <c r="H39" s="162" t="s">
        <v>146</v>
      </c>
      <c r="I39" s="166">
        <f>AVERAGE(I36:I38)</f>
        <v>3.6463659752883975</v>
      </c>
      <c r="J39" s="166">
        <f t="shared" ref="J39:L39" si="27">AVERAGE(J36:J38)</f>
        <v>3.5627913218827545</v>
      </c>
      <c r="K39" s="166">
        <f t="shared" si="27"/>
        <v>3.5031688671273868</v>
      </c>
      <c r="L39" s="166">
        <f t="shared" si="27"/>
        <v>3.793191562096569</v>
      </c>
      <c r="M39" s="163"/>
      <c r="N39" s="164"/>
      <c r="O39" s="162" t="str">
        <f>H39</f>
        <v>Average</v>
      </c>
      <c r="P39" s="165">
        <f>AVERAGE(P36:P38)</f>
        <v>49.041083668513814</v>
      </c>
      <c r="Q39" s="165">
        <f t="shared" ref="Q39:S39" si="28">AVERAGE(Q36:Q38)</f>
        <v>46.679661371095136</v>
      </c>
      <c r="R39" s="165">
        <f t="shared" si="28"/>
        <v>51.234815114128708</v>
      </c>
      <c r="S39" s="165">
        <f t="shared" si="28"/>
        <v>51.478661969326801</v>
      </c>
      <c r="T39" s="163"/>
      <c r="U39" s="163"/>
      <c r="V39" s="164"/>
      <c r="W39" s="2"/>
      <c r="Y39" s="195" t="str">
        <f>Y38</f>
        <v>CSRm</v>
      </c>
      <c r="Z39" s="194">
        <v>6.7254495159059484</v>
      </c>
      <c r="AA39" s="196">
        <v>47.364102260377827</v>
      </c>
      <c r="AB39" s="194"/>
      <c r="AC39" s="199">
        <f t="shared" ref="AC39:AC49" si="29">Z39*(100-AA39)/100</f>
        <v>3.5400007297221698</v>
      </c>
      <c r="AD39" s="197"/>
      <c r="AE39" s="197"/>
      <c r="AF39" s="163"/>
      <c r="AG39" s="163"/>
      <c r="AH39" s="164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4"/>
    </row>
    <row r="40" spans="1:45" ht="15.95" x14ac:dyDescent="0.2">
      <c r="A40" s="162" t="s">
        <v>6</v>
      </c>
      <c r="B40" s="204">
        <f>STDEV(B36:B38)</f>
        <v>0.67919399632739907</v>
      </c>
      <c r="C40" s="204">
        <f t="shared" ref="C40:E40" si="30">STDEV(C36:C38)</f>
        <v>0.52993221952109082</v>
      </c>
      <c r="D40" s="204">
        <f t="shared" si="30"/>
        <v>0.41832918945535907</v>
      </c>
      <c r="E40" s="204">
        <f t="shared" si="30"/>
        <v>0.10946632130355238</v>
      </c>
      <c r="F40" s="163"/>
      <c r="G40" s="164"/>
      <c r="H40" s="162" t="s">
        <v>6</v>
      </c>
      <c r="I40" s="166">
        <f>STDEV(I36:I38)</f>
        <v>0.58410683684156828</v>
      </c>
      <c r="J40" s="166">
        <f t="shared" ref="J40:L40" si="31">STDEV(J36:J38)</f>
        <v>0.45574170878814613</v>
      </c>
      <c r="K40" s="166">
        <f t="shared" si="31"/>
        <v>0.35976310293160907</v>
      </c>
      <c r="L40" s="166">
        <f t="shared" si="31"/>
        <v>9.4141036321054944E-2</v>
      </c>
      <c r="M40" s="163"/>
      <c r="N40" s="164"/>
      <c r="O40" s="162" t="str">
        <f>H40</f>
        <v>SD</v>
      </c>
      <c r="P40" s="165">
        <f>STDEV(P36:P38)</f>
        <v>1.9932428575034038</v>
      </c>
      <c r="Q40" s="165">
        <f t="shared" ref="Q40:S40" si="32">STDEV(Q36:Q38)</f>
        <v>4.1688722250562735</v>
      </c>
      <c r="R40" s="165">
        <f t="shared" si="32"/>
        <v>2.4827435496814538</v>
      </c>
      <c r="S40" s="165">
        <f t="shared" si="32"/>
        <v>1.6221572135675444</v>
      </c>
      <c r="T40" s="163"/>
      <c r="U40" s="163"/>
      <c r="V40" s="164"/>
      <c r="W40" s="2"/>
      <c r="Y40" s="195" t="str">
        <f>Y39</f>
        <v>CSRm</v>
      </c>
      <c r="Z40" s="194">
        <v>7.1339563862928355</v>
      </c>
      <c r="AA40" s="196">
        <v>49.011349188093419</v>
      </c>
      <c r="AB40" s="194"/>
      <c r="AC40" s="200">
        <f t="shared" si="29"/>
        <v>3.6375081108805629</v>
      </c>
      <c r="AD40" s="197"/>
      <c r="AE40" s="197"/>
      <c r="AF40" s="163"/>
      <c r="AG40" s="163"/>
      <c r="AH40" s="164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4"/>
    </row>
    <row r="41" spans="1:45" ht="15.95" x14ac:dyDescent="0.2">
      <c r="A41" s="173"/>
      <c r="B41" s="172"/>
      <c r="C41" s="172"/>
      <c r="D41" s="172"/>
      <c r="E41" s="172"/>
      <c r="F41" s="163"/>
      <c r="G41" s="164"/>
      <c r="H41" s="162"/>
      <c r="I41" s="163"/>
      <c r="J41" s="163"/>
      <c r="K41" s="163"/>
      <c r="L41" s="163"/>
      <c r="M41" s="163"/>
      <c r="N41" s="164"/>
      <c r="O41" s="162"/>
      <c r="P41" s="165"/>
      <c r="Q41" s="165"/>
      <c r="R41" s="165"/>
      <c r="S41" s="165"/>
      <c r="T41" s="163"/>
      <c r="U41" s="163"/>
      <c r="V41" s="164"/>
      <c r="W41" s="2"/>
      <c r="Y41" s="195" t="str">
        <f>R3</f>
        <v>PSRm</v>
      </c>
      <c r="Z41" s="194">
        <v>6.5862708719851586</v>
      </c>
      <c r="AA41" s="196">
        <v>53.0728529902579</v>
      </c>
      <c r="AB41" s="194"/>
      <c r="AC41" s="197">
        <f t="shared" si="29"/>
        <v>3.0907490145562986</v>
      </c>
      <c r="AD41" s="197">
        <f>AVERAGE(AC41:AC43)</f>
        <v>3.5378368949853729</v>
      </c>
      <c r="AE41" s="197">
        <f>STDEV(AC41:AC43)</f>
        <v>0.8910173992173267</v>
      </c>
      <c r="AF41" s="163"/>
      <c r="AG41" s="163">
        <v>1.37</v>
      </c>
      <c r="AH41" s="164">
        <v>0.86</v>
      </c>
      <c r="AI41" s="163"/>
      <c r="AJ41" s="163"/>
      <c r="AK41" s="163"/>
      <c r="AL41" s="163"/>
      <c r="AM41" s="163"/>
      <c r="AN41" s="163"/>
      <c r="AO41" s="163"/>
      <c r="AP41" s="163"/>
      <c r="AQ41" s="163"/>
      <c r="AR41" s="163">
        <v>1.37</v>
      </c>
      <c r="AS41" s="164">
        <v>0.86</v>
      </c>
    </row>
    <row r="42" spans="1:45" ht="15.95" x14ac:dyDescent="0.2">
      <c r="A42" s="205" t="str">
        <f>[4]HARVESTING_Grain_straw!M31</f>
        <v>Anova: Single Factor</v>
      </c>
      <c r="B42" s="163"/>
      <c r="C42" s="163"/>
      <c r="D42" s="163"/>
      <c r="E42" s="163"/>
      <c r="F42" s="163"/>
      <c r="G42" s="164"/>
      <c r="H42" s="184" t="s">
        <v>336</v>
      </c>
      <c r="I42" s="185"/>
      <c r="J42" s="185"/>
      <c r="K42" s="185"/>
      <c r="L42" s="185"/>
      <c r="M42" s="185"/>
      <c r="N42" s="186"/>
      <c r="O42" s="162"/>
      <c r="P42" s="163"/>
      <c r="Q42" s="163"/>
      <c r="R42" s="163"/>
      <c r="S42" s="163"/>
      <c r="T42" s="163"/>
      <c r="U42" s="163"/>
      <c r="V42" s="164"/>
      <c r="W42" s="2"/>
      <c r="Y42" s="195" t="str">
        <f>Y41</f>
        <v>PSRm</v>
      </c>
      <c r="Z42" s="194">
        <v>6.1105111591072712</v>
      </c>
      <c r="AA42" s="196">
        <v>51.577094922142322</v>
      </c>
      <c r="AB42" s="194"/>
      <c r="AC42" s="200">
        <f t="shared" si="29"/>
        <v>2.9588870183464149</v>
      </c>
      <c r="AD42" s="197"/>
      <c r="AE42" s="197"/>
      <c r="AF42" s="163"/>
      <c r="AG42" s="163"/>
      <c r="AH42" s="164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4"/>
    </row>
    <row r="43" spans="1:45" ht="15.95" x14ac:dyDescent="0.2">
      <c r="A43" s="162"/>
      <c r="B43" s="163"/>
      <c r="C43" s="163"/>
      <c r="D43" s="163"/>
      <c r="E43" s="163"/>
      <c r="F43" s="163"/>
      <c r="G43" s="164"/>
      <c r="H43" s="184"/>
      <c r="I43" s="185"/>
      <c r="J43" s="185"/>
      <c r="K43" s="185"/>
      <c r="L43" s="185"/>
      <c r="M43" s="185"/>
      <c r="N43" s="186"/>
      <c r="O43" s="162"/>
      <c r="P43" s="163" t="str">
        <f>'[4]GRAIN QUALITY'!N27</f>
        <v>SUMMARY</v>
      </c>
      <c r="Q43" s="163"/>
      <c r="R43" s="163"/>
      <c r="S43" s="163"/>
      <c r="T43" s="163"/>
      <c r="U43" s="163"/>
      <c r="V43" s="164"/>
      <c r="W43" s="2"/>
      <c r="Y43" s="195" t="str">
        <f>Y42</f>
        <v>PSRm</v>
      </c>
      <c r="Z43" s="194">
        <v>8.1562774363476738</v>
      </c>
      <c r="AA43" s="196">
        <v>44.04463693553469</v>
      </c>
      <c r="AB43" s="194"/>
      <c r="AC43" s="197">
        <f t="shared" si="29"/>
        <v>4.5638746520534044</v>
      </c>
      <c r="AD43" s="197"/>
      <c r="AE43" s="197"/>
      <c r="AF43" s="163"/>
      <c r="AG43" s="163"/>
      <c r="AH43" s="164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4"/>
    </row>
    <row r="44" spans="1:45" ht="17.100000000000001" thickBot="1" x14ac:dyDescent="0.25">
      <c r="A44" s="162" t="str">
        <f>[4]HARVESTING_Grain_straw!M33</f>
        <v>SUMMARY</v>
      </c>
      <c r="B44" s="163"/>
      <c r="C44" s="163"/>
      <c r="D44" s="163"/>
      <c r="E44" s="163"/>
      <c r="F44" s="163"/>
      <c r="G44" s="164"/>
      <c r="H44" s="184" t="s">
        <v>337</v>
      </c>
      <c r="I44" s="185"/>
      <c r="J44" s="185"/>
      <c r="K44" s="185"/>
      <c r="L44" s="185"/>
      <c r="M44" s="185"/>
      <c r="N44" s="186"/>
      <c r="O44" s="162"/>
      <c r="P44" s="163" t="str">
        <f>'[4]GRAIN QUALITY'!N28</f>
        <v>Groups</v>
      </c>
      <c r="Q44" s="163" t="str">
        <f>'[4]GRAIN QUALITY'!O28</f>
        <v>Count</v>
      </c>
      <c r="R44" s="163" t="str">
        <f>'[4]GRAIN QUALITY'!P28</f>
        <v>Sum</v>
      </c>
      <c r="S44" s="163" t="str">
        <f>'[4]GRAIN QUALITY'!Q28</f>
        <v>Average</v>
      </c>
      <c r="T44" s="163" t="str">
        <f>'[4]GRAIN QUALITY'!R28</f>
        <v>Variance</v>
      </c>
      <c r="U44" s="163"/>
      <c r="V44" s="164"/>
      <c r="W44" s="2"/>
      <c r="Y44" s="195" t="s">
        <v>70</v>
      </c>
      <c r="Z44" s="194">
        <v>7.7309456213146976</v>
      </c>
      <c r="AA44" s="196">
        <v>52.594478960739899</v>
      </c>
      <c r="AB44" s="194"/>
      <c r="AC44" s="201">
        <f t="shared" si="29"/>
        <v>3.6648950530460969</v>
      </c>
      <c r="AD44" s="197">
        <f>AVERAGE(AC44:AC46)</f>
        <v>3.0216202517521382</v>
      </c>
      <c r="AE44" s="197">
        <f>STDEV(AC44:AC46)</f>
        <v>0.56807149912710564</v>
      </c>
      <c r="AF44" s="163"/>
      <c r="AG44" s="163">
        <v>2.23</v>
      </c>
      <c r="AH44" s="164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>
        <v>2.23</v>
      </c>
      <c r="AS44" s="164"/>
    </row>
    <row r="45" spans="1:45" ht="15.95" x14ac:dyDescent="0.2">
      <c r="A45" s="162" t="str">
        <f>[4]HARVESTING_Grain_straw!M34</f>
        <v>Groups</v>
      </c>
      <c r="B45" s="163" t="str">
        <f>[4]HARVESTING_Grain_straw!N34</f>
        <v>Count</v>
      </c>
      <c r="C45" s="163" t="str">
        <f>[4]HARVESTING_Grain_straw!O34</f>
        <v>Sum</v>
      </c>
      <c r="D45" s="163" t="str">
        <f>[4]HARVESTING_Grain_straw!P34</f>
        <v>Average</v>
      </c>
      <c r="E45" s="163" t="str">
        <f>[4]HARVESTING_Grain_straw!Q34</f>
        <v>Variance</v>
      </c>
      <c r="F45" s="163"/>
      <c r="G45" s="164"/>
      <c r="H45" s="187" t="s">
        <v>338</v>
      </c>
      <c r="I45" s="182" t="s">
        <v>339</v>
      </c>
      <c r="J45" s="182" t="s">
        <v>340</v>
      </c>
      <c r="K45" s="182" t="s">
        <v>146</v>
      </c>
      <c r="L45" s="182" t="s">
        <v>341</v>
      </c>
      <c r="M45" s="185"/>
      <c r="N45" s="186"/>
      <c r="O45" s="162"/>
      <c r="P45" s="163" t="str">
        <f>'[4]GRAIN QUALITY'!N29</f>
        <v>CSR</v>
      </c>
      <c r="Q45" s="163">
        <f>'[4]GRAIN QUALITY'!O29</f>
        <v>3</v>
      </c>
      <c r="R45" s="163">
        <f>'[4]GRAIN QUALITY'!P29</f>
        <v>147.12325100554145</v>
      </c>
      <c r="S45" s="163">
        <f>'[4]GRAIN QUALITY'!Q29</f>
        <v>49.041083668513814</v>
      </c>
      <c r="T45" s="163">
        <f>'[4]GRAIN QUALITY'!R29</f>
        <v>3.9730170889874898</v>
      </c>
      <c r="U45" s="163"/>
      <c r="V45" s="164"/>
      <c r="W45" s="2"/>
      <c r="Y45" s="195" t="s">
        <v>70</v>
      </c>
      <c r="Z45" s="194">
        <v>5.7051665669259917</v>
      </c>
      <c r="AA45" s="196">
        <v>50.726616678966671</v>
      </c>
      <c r="AB45" s="194"/>
      <c r="AC45" s="200">
        <f t="shared" si="29"/>
        <v>2.8111285916248812</v>
      </c>
      <c r="AD45" s="197"/>
      <c r="AE45" s="197"/>
      <c r="AF45" s="163"/>
      <c r="AG45" s="163"/>
      <c r="AH45" s="164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4"/>
    </row>
    <row r="46" spans="1:45" ht="15.95" x14ac:dyDescent="0.2">
      <c r="A46" s="162" t="str">
        <f>[4]HARVESTING_Grain_straw!M35</f>
        <v>CSR</v>
      </c>
      <c r="B46" s="163">
        <f>[4]HARVESTING_Grain_straw!N35</f>
        <v>3</v>
      </c>
      <c r="C46" s="163">
        <f>[4]HARVESTING_Grain_straw!O35</f>
        <v>12.719881309145574</v>
      </c>
      <c r="D46" s="163">
        <f>[4]HARVESTING_Grain_straw!P35</f>
        <v>4.2399604363818577</v>
      </c>
      <c r="E46" s="163">
        <f>[4]HARVESTING_Grain_straw!Q35</f>
        <v>0.46130448464718299</v>
      </c>
      <c r="F46" s="163"/>
      <c r="G46" s="164"/>
      <c r="H46" s="188" t="s">
        <v>2</v>
      </c>
      <c r="I46" s="180">
        <v>3</v>
      </c>
      <c r="J46" s="180">
        <v>10.939097925865193</v>
      </c>
      <c r="K46" s="180">
        <v>3.6463659752883975</v>
      </c>
      <c r="L46" s="180">
        <v>0.34118079684506242</v>
      </c>
      <c r="M46" s="185"/>
      <c r="N46" s="186"/>
      <c r="O46" s="162"/>
      <c r="P46" s="163" t="str">
        <f>'[4]GRAIN QUALITY'!N30</f>
        <v>PSR</v>
      </c>
      <c r="Q46" s="163">
        <f>'[4]GRAIN QUALITY'!O30</f>
        <v>3</v>
      </c>
      <c r="R46" s="163">
        <f>'[4]GRAIN QUALITY'!P30</f>
        <v>140.03898411328541</v>
      </c>
      <c r="S46" s="163">
        <f>'[4]GRAIN QUALITY'!Q30</f>
        <v>46.679661371095136</v>
      </c>
      <c r="T46" s="163">
        <f>'[4]GRAIN QUALITY'!R30</f>
        <v>17.379495628846144</v>
      </c>
      <c r="U46" s="163"/>
      <c r="V46" s="164"/>
      <c r="W46" s="2"/>
      <c r="Y46" s="195" t="s">
        <v>70</v>
      </c>
      <c r="Z46" s="194">
        <v>5.2550390785684904</v>
      </c>
      <c r="AA46" s="196">
        <v>50.736101637313503</v>
      </c>
      <c r="AB46" s="194"/>
      <c r="AC46" s="197">
        <f t="shared" si="29"/>
        <v>2.5888371105854384</v>
      </c>
      <c r="AD46" s="197"/>
      <c r="AE46" s="197"/>
      <c r="AF46" s="163"/>
      <c r="AG46" s="163"/>
      <c r="AH46" s="164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4"/>
    </row>
    <row r="47" spans="1:45" ht="15.95" x14ac:dyDescent="0.2">
      <c r="A47" s="162" t="str">
        <f>[4]HARVESTING_Grain_straw!M36</f>
        <v>PSR</v>
      </c>
      <c r="B47" s="163">
        <f>[4]HARVESTING_Grain_straw!N36</f>
        <v>3</v>
      </c>
      <c r="C47" s="163">
        <f>[4]HARVESTING_Grain_straw!O36</f>
        <v>12.42834182052124</v>
      </c>
      <c r="D47" s="163">
        <f>[4]HARVESTING_Grain_straw!P36</f>
        <v>4.1427806068404136</v>
      </c>
      <c r="E47" s="163">
        <f>[4]HARVESTING_Grain_straw!Q36</f>
        <v>0.28082815728654964</v>
      </c>
      <c r="F47" s="163"/>
      <c r="G47" s="164"/>
      <c r="H47" s="188" t="s">
        <v>1</v>
      </c>
      <c r="I47" s="180">
        <v>3</v>
      </c>
      <c r="J47" s="180">
        <v>10.688373965648264</v>
      </c>
      <c r="K47" s="180">
        <v>3.5627913218827545</v>
      </c>
      <c r="L47" s="180">
        <v>0.2077005051291394</v>
      </c>
      <c r="M47" s="185"/>
      <c r="N47" s="186"/>
      <c r="O47" s="162"/>
      <c r="P47" s="163" t="str">
        <f>'[4]GRAIN QUALITY'!N31</f>
        <v>SB</v>
      </c>
      <c r="Q47" s="163">
        <f>'[4]GRAIN QUALITY'!O31</f>
        <v>3</v>
      </c>
      <c r="R47" s="163">
        <f>'[4]GRAIN QUALITY'!P31</f>
        <v>153.70444534238612</v>
      </c>
      <c r="S47" s="163">
        <f>'[4]GRAIN QUALITY'!Q31</f>
        <v>51.234815114128708</v>
      </c>
      <c r="T47" s="163">
        <f>'[4]GRAIN QUALITY'!R31</f>
        <v>6.1640155334848714</v>
      </c>
      <c r="U47" s="163"/>
      <c r="V47" s="164"/>
      <c r="W47" s="2"/>
      <c r="Y47" s="195" t="str">
        <f>T3</f>
        <v>SRt</v>
      </c>
      <c r="Z47" s="194">
        <v>6.17304773148929</v>
      </c>
      <c r="AA47" s="196">
        <v>54.581692704852429</v>
      </c>
      <c r="AB47" s="194"/>
      <c r="AC47" s="200">
        <f t="shared" si="29"/>
        <v>2.8036937881639421</v>
      </c>
      <c r="AD47" s="197">
        <f>AVERAGE(AC47:AC49)</f>
        <v>3.2407165678308325</v>
      </c>
      <c r="AE47" s="197">
        <f>STDEV(AC47:AC49)</f>
        <v>0.37993928813788752</v>
      </c>
      <c r="AF47" s="163"/>
      <c r="AG47" s="163">
        <v>2.23</v>
      </c>
      <c r="AH47" s="164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>
        <v>2.23</v>
      </c>
      <c r="AS47" s="164"/>
    </row>
    <row r="48" spans="1:45" ht="15.95" x14ac:dyDescent="0.2">
      <c r="A48" s="162" t="str">
        <f>[4]HARVESTING_Grain_straw!M37</f>
        <v>SB</v>
      </c>
      <c r="B48" s="163">
        <f>[4]HARVESTING_Grain_straw!N37</f>
        <v>3</v>
      </c>
      <c r="C48" s="163">
        <f>[4]HARVESTING_Grain_straw!O37</f>
        <v>12.220356513235069</v>
      </c>
      <c r="D48" s="163">
        <f>[4]HARVESTING_Grain_straw!P37</f>
        <v>4.0734521710783564</v>
      </c>
      <c r="E48" s="163">
        <f>[4]HARVESTING_Grain_straw!Q37</f>
        <v>0.17499931075038333</v>
      </c>
      <c r="F48" s="163"/>
      <c r="G48" s="164"/>
      <c r="H48" s="188" t="s">
        <v>70</v>
      </c>
      <c r="I48" s="180">
        <v>3</v>
      </c>
      <c r="J48" s="180">
        <v>10.50950660138216</v>
      </c>
      <c r="K48" s="180">
        <v>3.5031688671273868</v>
      </c>
      <c r="L48" s="180">
        <v>0.12942949023097955</v>
      </c>
      <c r="M48" s="185"/>
      <c r="N48" s="186"/>
      <c r="O48" s="162"/>
      <c r="P48" s="163" t="str">
        <f>'[4]GRAIN QUALITY'!N32</f>
        <v>SRT</v>
      </c>
      <c r="Q48" s="163">
        <f>'[4]GRAIN QUALITY'!O32</f>
        <v>3</v>
      </c>
      <c r="R48" s="163">
        <f>'[4]GRAIN QUALITY'!P32</f>
        <v>154.43598590798041</v>
      </c>
      <c r="S48" s="163">
        <f>'[4]GRAIN QUALITY'!Q32</f>
        <v>51.478661969326801</v>
      </c>
      <c r="T48" s="163">
        <f>'[4]GRAIN QUALITY'!R32</f>
        <v>2.6313940255299713</v>
      </c>
      <c r="U48" s="163"/>
      <c r="V48" s="164"/>
      <c r="W48" s="2"/>
      <c r="Y48" s="195" t="str">
        <f>T3</f>
        <v>SRt</v>
      </c>
      <c r="Z48" s="194">
        <v>7.4539069359086918</v>
      </c>
      <c r="AA48" s="196">
        <v>53.144339557039388</v>
      </c>
      <c r="AB48" s="194"/>
      <c r="AC48" s="197">
        <f t="shared" si="29"/>
        <v>3.4925773236236664</v>
      </c>
      <c r="AD48" s="163"/>
      <c r="AE48" s="163"/>
      <c r="AF48" s="163"/>
      <c r="AG48" s="163"/>
      <c r="AH48" s="164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4"/>
    </row>
    <row r="49" spans="1:45" ht="17.100000000000001" thickBot="1" x14ac:dyDescent="0.25">
      <c r="A49" s="162" t="str">
        <f>[4]HARVESTING_Grain_straw!M38</f>
        <v>SRT</v>
      </c>
      <c r="B49" s="163">
        <f>[4]HARVESTING_Grain_straw!N38</f>
        <v>3</v>
      </c>
      <c r="C49" s="163">
        <f>[4]HARVESTING_Grain_straw!O38</f>
        <v>13.232063588708961</v>
      </c>
      <c r="D49" s="163">
        <f>[4]HARVESTING_Grain_straw!P38</f>
        <v>4.4106878629029866</v>
      </c>
      <c r="E49" s="163">
        <f>[4]HARVESTING_Grain_straw!Q38</f>
        <v>1.1982875499739976E-2</v>
      </c>
      <c r="F49" s="163"/>
      <c r="G49" s="164"/>
      <c r="H49" s="189" t="s">
        <v>71</v>
      </c>
      <c r="I49" s="181">
        <v>3</v>
      </c>
      <c r="J49" s="181">
        <v>11.379574686289708</v>
      </c>
      <c r="K49" s="181">
        <v>3.793191562096569</v>
      </c>
      <c r="L49" s="181">
        <v>8.8625347196021852E-3</v>
      </c>
      <c r="M49" s="185"/>
      <c r="N49" s="186"/>
      <c r="O49" s="162"/>
      <c r="P49" s="163"/>
      <c r="Q49" s="163"/>
      <c r="R49" s="163"/>
      <c r="S49" s="163"/>
      <c r="T49" s="163"/>
      <c r="U49" s="163"/>
      <c r="V49" s="164"/>
      <c r="W49" s="2"/>
      <c r="Y49" s="195" t="str">
        <f>Y48</f>
        <v>SRt</v>
      </c>
      <c r="Z49" s="194">
        <v>7.5471698113207557</v>
      </c>
      <c r="AA49" s="196">
        <v>54.607108659910232</v>
      </c>
      <c r="AB49" s="194"/>
      <c r="AC49" s="199">
        <f t="shared" si="29"/>
        <v>3.4258785917048886</v>
      </c>
      <c r="AD49" s="163"/>
      <c r="AE49" s="163"/>
      <c r="AF49" s="163"/>
      <c r="AG49" s="163"/>
      <c r="AH49" s="164" t="s">
        <v>364</v>
      </c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4" t="s">
        <v>364</v>
      </c>
    </row>
    <row r="50" spans="1:45" x14ac:dyDescent="0.2">
      <c r="A50" s="162"/>
      <c r="B50" s="163"/>
      <c r="C50" s="163"/>
      <c r="D50" s="163"/>
      <c r="E50" s="163"/>
      <c r="F50" s="163"/>
      <c r="G50" s="164"/>
      <c r="H50" s="184"/>
      <c r="I50" s="185"/>
      <c r="J50" s="185"/>
      <c r="K50" s="185"/>
      <c r="L50" s="185"/>
      <c r="M50" s="185"/>
      <c r="N50" s="186"/>
      <c r="O50" s="162"/>
      <c r="P50" s="163"/>
      <c r="Q50" s="163"/>
      <c r="R50" s="163"/>
      <c r="S50" s="163"/>
      <c r="T50" s="163"/>
      <c r="U50" s="163"/>
      <c r="V50" s="164"/>
      <c r="W50" s="2"/>
      <c r="Y50" s="162"/>
      <c r="Z50" s="163"/>
      <c r="AA50" s="163"/>
      <c r="AB50" s="163" t="s">
        <v>146</v>
      </c>
      <c r="AC50" s="194">
        <f>AVERAGE(AC38:AC49)</f>
        <v>3.3109487682196668</v>
      </c>
      <c r="AD50" s="163"/>
      <c r="AE50" s="163"/>
      <c r="AF50" s="163">
        <v>2.23</v>
      </c>
      <c r="AG50" s="163"/>
      <c r="AH50" s="211">
        <f>100*(AC50-AF50)/AC50</f>
        <v>32.647704446387571</v>
      </c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211">
        <f>100*(AC50-AF50)/AC50</f>
        <v>32.647704446387571</v>
      </c>
    </row>
    <row r="51" spans="1:45" ht="15.95" thickBot="1" x14ac:dyDescent="0.25">
      <c r="A51" s="162"/>
      <c r="B51" s="163"/>
      <c r="C51" s="163"/>
      <c r="D51" s="163"/>
      <c r="E51" s="163"/>
      <c r="F51" s="163"/>
      <c r="G51" s="164"/>
      <c r="H51" s="184"/>
      <c r="I51" s="185"/>
      <c r="J51" s="185"/>
      <c r="K51" s="185"/>
      <c r="L51" s="185"/>
      <c r="M51" s="185"/>
      <c r="N51" s="186"/>
      <c r="O51" s="162"/>
      <c r="P51" s="163" t="str">
        <f>'[4]GRAIN QUALITY'!N35</f>
        <v>ANOVA</v>
      </c>
      <c r="Q51" s="163"/>
      <c r="R51" s="163"/>
      <c r="S51" s="163"/>
      <c r="T51" s="163"/>
      <c r="U51" s="163"/>
      <c r="V51" s="164"/>
      <c r="W51" s="2"/>
      <c r="Y51" s="167"/>
      <c r="Z51" s="168"/>
      <c r="AA51" s="168"/>
      <c r="AB51" s="168" t="s">
        <v>6</v>
      </c>
      <c r="AC51" s="202">
        <f>STDEV(AC38:AC49)</f>
        <v>0.533108299052931</v>
      </c>
      <c r="AD51" s="203"/>
      <c r="AE51" s="203"/>
      <c r="AF51" s="168">
        <v>0.23</v>
      </c>
      <c r="AG51" s="168"/>
      <c r="AH51" s="169"/>
      <c r="AI51" s="168"/>
      <c r="AJ51" s="168"/>
      <c r="AK51" s="168"/>
      <c r="AL51" s="168"/>
      <c r="AM51" s="168"/>
      <c r="AN51" s="168"/>
      <c r="AO51" s="168"/>
      <c r="AP51" s="168"/>
      <c r="AQ51" s="168"/>
      <c r="AR51" s="168"/>
      <c r="AS51" s="169"/>
    </row>
    <row r="52" spans="1:45" ht="15.95" thickBot="1" x14ac:dyDescent="0.25">
      <c r="A52" s="162" t="str">
        <f>[4]HARVESTING_Grain_straw!M41</f>
        <v>ANOVA</v>
      </c>
      <c r="B52" s="163"/>
      <c r="C52" s="163"/>
      <c r="D52" s="163"/>
      <c r="E52" s="163"/>
      <c r="F52" s="163"/>
      <c r="G52" s="164"/>
      <c r="H52" s="184" t="s">
        <v>342</v>
      </c>
      <c r="I52" s="185"/>
      <c r="J52" s="185"/>
      <c r="K52" s="185"/>
      <c r="L52" s="185"/>
      <c r="M52" s="185"/>
      <c r="N52" s="186"/>
      <c r="O52" s="162"/>
      <c r="P52" s="163" t="str">
        <f>'[4]GRAIN QUALITY'!N36</f>
        <v>Source of Variation</v>
      </c>
      <c r="Q52" s="163" t="str">
        <f>'[4]GRAIN QUALITY'!O36</f>
        <v>SS</v>
      </c>
      <c r="R52" s="163" t="str">
        <f>'[4]GRAIN QUALITY'!P36</f>
        <v>df</v>
      </c>
      <c r="S52" s="163" t="str">
        <f>'[4]GRAIN QUALITY'!Q36</f>
        <v>MS</v>
      </c>
      <c r="T52" s="163" t="str">
        <f>'[4]GRAIN QUALITY'!R36</f>
        <v>F</v>
      </c>
      <c r="U52" s="163" t="str">
        <f>'[4]GRAIN QUALITY'!S36</f>
        <v>P-value</v>
      </c>
      <c r="V52" s="164" t="str">
        <f>'[4]GRAIN QUALITY'!T36</f>
        <v>F crit</v>
      </c>
      <c r="W52" s="2"/>
    </row>
    <row r="53" spans="1:45" x14ac:dyDescent="0.2">
      <c r="A53" s="162" t="str">
        <f>[4]HARVESTING_Grain_straw!M42</f>
        <v>Source of Variation</v>
      </c>
      <c r="B53" s="163" t="str">
        <f>[4]HARVESTING_Grain_straw!N42</f>
        <v>SS</v>
      </c>
      <c r="C53" s="163" t="str">
        <f>[4]HARVESTING_Grain_straw!O42</f>
        <v>df</v>
      </c>
      <c r="D53" s="163" t="str">
        <f>[4]HARVESTING_Grain_straw!P42</f>
        <v>MS</v>
      </c>
      <c r="E53" s="163" t="str">
        <f>[4]HARVESTING_Grain_straw!Q42</f>
        <v>F</v>
      </c>
      <c r="F53" s="163" t="str">
        <f>[4]HARVESTING_Grain_straw!R42</f>
        <v>P-value</v>
      </c>
      <c r="G53" s="164" t="str">
        <f>[4]HARVESTING_Grain_straw!S42</f>
        <v>F crit</v>
      </c>
      <c r="H53" s="187" t="s">
        <v>343</v>
      </c>
      <c r="I53" s="182" t="s">
        <v>344</v>
      </c>
      <c r="J53" s="182" t="s">
        <v>345</v>
      </c>
      <c r="K53" s="182" t="s">
        <v>346</v>
      </c>
      <c r="L53" s="182" t="s">
        <v>347</v>
      </c>
      <c r="M53" s="182" t="s">
        <v>348</v>
      </c>
      <c r="N53" s="192" t="s">
        <v>349</v>
      </c>
      <c r="O53" s="162"/>
      <c r="P53" s="163" t="str">
        <f>'[4]GRAIN QUALITY'!N37</f>
        <v>Between Groups</v>
      </c>
      <c r="Q53" s="163">
        <f>'[4]GRAIN QUALITY'!O37</f>
        <v>45.127390911083054</v>
      </c>
      <c r="R53" s="163">
        <f>'[4]GRAIN QUALITY'!P37</f>
        <v>3</v>
      </c>
      <c r="S53" s="163">
        <f>'[4]GRAIN QUALITY'!Q37</f>
        <v>15.042463637027685</v>
      </c>
      <c r="T53" s="163">
        <f>'[4]GRAIN QUALITY'!R37</f>
        <v>1.9958209390209904</v>
      </c>
      <c r="U53" s="163">
        <f>'[4]GRAIN QUALITY'!S37</f>
        <v>0.19327393123412862</v>
      </c>
      <c r="V53" s="164">
        <f>'[4]GRAIN QUALITY'!T37</f>
        <v>4.0661805566468345</v>
      </c>
      <c r="W53" s="2"/>
      <c r="Y53" s="174" t="s">
        <v>374</v>
      </c>
      <c r="Z53" s="174">
        <f>AVERAGE(I39:L39)/(AVERAGE(I39:L39)+AC50)</f>
        <v>0.52273430449689295</v>
      </c>
    </row>
    <row r="54" spans="1:45" x14ac:dyDescent="0.2">
      <c r="A54" s="162" t="str">
        <f>[4]HARVESTING_Grain_straw!M43</f>
        <v>Between Groups</v>
      </c>
      <c r="B54" s="163">
        <f>[4]HARVESTING_Grain_straw!N43</f>
        <v>0.19246906316043133</v>
      </c>
      <c r="C54" s="163">
        <f>[4]HARVESTING_Grain_straw!O43</f>
        <v>3</v>
      </c>
      <c r="D54" s="163">
        <f>[4]HARVESTING_Grain_straw!P43</f>
        <v>6.4156354386810444E-2</v>
      </c>
      <c r="E54" s="163">
        <f>[4]HARVESTING_Grain_straw!Q43</f>
        <v>0.27620419969926363</v>
      </c>
      <c r="F54" s="163">
        <f>[4]HARVESTING_Grain_straw!R43</f>
        <v>0.84109887985065557</v>
      </c>
      <c r="G54" s="164">
        <f>[4]HARVESTING_Grain_straw!S43</f>
        <v>4.0661805566468345</v>
      </c>
      <c r="H54" s="188" t="s">
        <v>350</v>
      </c>
      <c r="I54" s="180">
        <v>0.14235011911345508</v>
      </c>
      <c r="J54" s="180">
        <v>3</v>
      </c>
      <c r="K54" s="180">
        <v>4.7450039704485025E-2</v>
      </c>
      <c r="L54" s="180">
        <v>0.27620419969926369</v>
      </c>
      <c r="M54" s="180">
        <v>0.84109887985667964</v>
      </c>
      <c r="N54" s="190">
        <v>4.0661805513511613</v>
      </c>
      <c r="O54" s="162"/>
      <c r="P54" s="163" t="str">
        <f>'[4]GRAIN QUALITY'!N38</f>
        <v>Within Groups</v>
      </c>
      <c r="Q54" s="163">
        <f>'[4]GRAIN QUALITY'!O38</f>
        <v>60.295844553696128</v>
      </c>
      <c r="R54" s="163">
        <f>'[4]GRAIN QUALITY'!P38</f>
        <v>8</v>
      </c>
      <c r="S54" s="163">
        <f>'[4]GRAIN QUALITY'!Q38</f>
        <v>7.536980569212016</v>
      </c>
      <c r="T54" s="163"/>
      <c r="U54" s="163"/>
      <c r="V54" s="164"/>
      <c r="W54" s="2"/>
      <c r="Y54" s="174"/>
      <c r="Z54" s="174"/>
    </row>
    <row r="55" spans="1:45" x14ac:dyDescent="0.2">
      <c r="A55" s="162" t="str">
        <f>[4]HARVESTING_Grain_straw!M44</f>
        <v>Within Groups</v>
      </c>
      <c r="B55" s="163">
        <f>[4]HARVESTING_Grain_straw!N44</f>
        <v>1.8582296563677192</v>
      </c>
      <c r="C55" s="163">
        <f>[4]HARVESTING_Grain_straw!O44</f>
        <v>8</v>
      </c>
      <c r="D55" s="163">
        <f>[4]HARVESTING_Grain_straw!P44</f>
        <v>0.2322787070459649</v>
      </c>
      <c r="E55" s="163"/>
      <c r="F55" s="163"/>
      <c r="G55" s="164"/>
      <c r="H55" s="188" t="s">
        <v>351</v>
      </c>
      <c r="I55" s="180">
        <v>1.3743466538495654</v>
      </c>
      <c r="J55" s="180">
        <v>8</v>
      </c>
      <c r="K55" s="180">
        <v>0.17179333173119568</v>
      </c>
      <c r="L55" s="180"/>
      <c r="M55" s="180"/>
      <c r="N55" s="190"/>
      <c r="O55" s="162"/>
      <c r="P55" s="163"/>
      <c r="Q55" s="163"/>
      <c r="R55" s="163"/>
      <c r="S55" s="163"/>
      <c r="T55" s="163"/>
      <c r="U55" s="163"/>
      <c r="V55" s="164"/>
      <c r="W55" s="2"/>
    </row>
    <row r="56" spans="1:45" x14ac:dyDescent="0.2">
      <c r="A56" s="162"/>
      <c r="B56" s="163"/>
      <c r="C56" s="163"/>
      <c r="D56" s="163"/>
      <c r="E56" s="163"/>
      <c r="F56" s="163"/>
      <c r="G56" s="164"/>
      <c r="H56" s="188"/>
      <c r="I56" s="180"/>
      <c r="J56" s="180"/>
      <c r="K56" s="180"/>
      <c r="L56" s="180"/>
      <c r="M56" s="180"/>
      <c r="N56" s="190"/>
      <c r="O56" s="162"/>
      <c r="P56" s="163" t="str">
        <f>'[4]GRAIN QUALITY'!N40</f>
        <v>Total</v>
      </c>
      <c r="Q56" s="163">
        <f>'[4]GRAIN QUALITY'!O40</f>
        <v>105.42323546477918</v>
      </c>
      <c r="R56" s="163">
        <f>'[4]GRAIN QUALITY'!P40</f>
        <v>11</v>
      </c>
      <c r="S56" s="163"/>
      <c r="T56" s="163"/>
      <c r="U56" s="163"/>
      <c r="V56" s="164"/>
      <c r="W56" s="2"/>
      <c r="AA56" s="207"/>
      <c r="AB56" s="207"/>
      <c r="AC56" s="207"/>
    </row>
    <row r="57" spans="1:45" ht="15.95" thickBot="1" x14ac:dyDescent="0.25">
      <c r="A57" s="167" t="str">
        <f>[4]HARVESTING_Grain_straw!M46</f>
        <v>Total</v>
      </c>
      <c r="B57" s="168">
        <f>[4]HARVESTING_Grain_straw!N46</f>
        <v>2.0506987195281505</v>
      </c>
      <c r="C57" s="168">
        <f>[4]HARVESTING_Grain_straw!O46</f>
        <v>11</v>
      </c>
      <c r="D57" s="168"/>
      <c r="E57" s="168"/>
      <c r="F57" s="168"/>
      <c r="G57" s="169"/>
      <c r="H57" s="189" t="s">
        <v>3</v>
      </c>
      <c r="I57" s="181">
        <v>1.5166967729630205</v>
      </c>
      <c r="J57" s="181">
        <v>11</v>
      </c>
      <c r="K57" s="181"/>
      <c r="L57" s="181"/>
      <c r="M57" s="181"/>
      <c r="N57" s="191"/>
      <c r="O57" s="167"/>
      <c r="P57" s="168"/>
      <c r="Q57" s="168"/>
      <c r="R57" s="168"/>
      <c r="S57" s="168"/>
      <c r="T57" s="168"/>
      <c r="U57" s="168"/>
      <c r="V57" s="169"/>
      <c r="AA57" s="208"/>
      <c r="AB57" s="208"/>
      <c r="AC57" s="208"/>
    </row>
    <row r="58" spans="1:45" x14ac:dyDescent="0.2">
      <c r="AA58" s="209"/>
      <c r="AB58" s="209"/>
      <c r="AC58" s="207"/>
      <c r="AD58" s="175"/>
      <c r="AF58" s="175"/>
    </row>
    <row r="59" spans="1:45" x14ac:dyDescent="0.2">
      <c r="AA59" s="209"/>
      <c r="AB59" s="207"/>
      <c r="AC59" s="207"/>
      <c r="AD59" s="175"/>
    </row>
    <row r="60" spans="1:45" x14ac:dyDescent="0.2">
      <c r="AA60" s="209"/>
      <c r="AB60" s="207"/>
      <c r="AC60" s="207"/>
      <c r="AD60" s="175"/>
    </row>
    <row r="61" spans="1:45" x14ac:dyDescent="0.2">
      <c r="AA61" s="209"/>
      <c r="AB61" s="207"/>
      <c r="AC61" s="207"/>
      <c r="AD61" s="175"/>
      <c r="AF61" s="175"/>
    </row>
    <row r="62" spans="1:45" x14ac:dyDescent="0.2">
      <c r="AA62" s="209"/>
      <c r="AB62" s="207"/>
      <c r="AC62" s="207"/>
      <c r="AD62" s="175"/>
    </row>
    <row r="63" spans="1:45" x14ac:dyDescent="0.2">
      <c r="AA63" s="209"/>
      <c r="AB63" s="207"/>
      <c r="AC63" s="207"/>
      <c r="AD63" s="175"/>
    </row>
    <row r="65" spans="27:30" x14ac:dyDescent="0.2">
      <c r="AA65" s="174"/>
      <c r="AD65" s="174"/>
    </row>
    <row r="66" spans="27:30" x14ac:dyDescent="0.2">
      <c r="AA66" s="174"/>
      <c r="AD66" s="174"/>
    </row>
    <row r="68" spans="27:30" x14ac:dyDescent="0.2">
      <c r="AD68" s="174"/>
    </row>
    <row r="69" spans="27:30" x14ac:dyDescent="0.25">
      <c r="AD69" s="174"/>
    </row>
  </sheetData>
  <customSheetViews>
    <customSheetView guid="{B6B32F45-A9D9-479B-AD0E-29A61458D679}" hiddenColumns="1">
      <selection activeCell="A7" sqref="A7:E8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26" zoomScale="145" zoomScaleNormal="145" workbookViewId="0">
      <selection activeCell="G49" sqref="G49"/>
    </sheetView>
  </sheetViews>
  <sheetFormatPr defaultColWidth="9.140625" defaultRowHeight="12.75" x14ac:dyDescent="0.2"/>
  <cols>
    <col min="1" max="1" width="9.140625" style="5"/>
    <col min="2" max="2" width="45" style="5" customWidth="1"/>
    <col min="3" max="6" width="9.140625" style="5"/>
    <col min="7" max="7" width="15.140625" style="5" customWidth="1"/>
    <col min="8" max="16384" width="9.140625" style="5"/>
  </cols>
  <sheetData>
    <row r="1" spans="1:12" ht="12.95" x14ac:dyDescent="0.15">
      <c r="A1" s="5" t="s">
        <v>18</v>
      </c>
      <c r="B1" s="5" t="s">
        <v>19</v>
      </c>
      <c r="C1" s="5" t="s">
        <v>20</v>
      </c>
      <c r="D1" s="6">
        <v>43157</v>
      </c>
      <c r="E1" s="5" t="s">
        <v>21</v>
      </c>
      <c r="F1" s="7">
        <v>0.386232824074074</v>
      </c>
    </row>
    <row r="2" spans="1:12" ht="12.95" x14ac:dyDescent="0.15">
      <c r="A2" s="5" t="s">
        <v>22</v>
      </c>
      <c r="B2" s="5" t="s">
        <v>23</v>
      </c>
    </row>
    <row r="3" spans="1:12" ht="12.95" x14ac:dyDescent="0.15">
      <c r="H3" s="5" t="s">
        <v>366</v>
      </c>
      <c r="J3" s="5" t="s">
        <v>8</v>
      </c>
    </row>
    <row r="4" spans="1:12" ht="12.95" x14ac:dyDescent="0.15">
      <c r="I4" s="5" t="str">
        <f>'Grain and ricestraw'!B3</f>
        <v>CSRm</v>
      </c>
      <c r="J4" s="227" t="str">
        <f>'Grain and ricestraw'!C3</f>
        <v>PSRm</v>
      </c>
      <c r="K4" s="227" t="str">
        <f>'Grain and ricestraw'!D3</f>
        <v>SB</v>
      </c>
      <c r="L4" s="227" t="str">
        <f>'Grain and ricestraw'!E3</f>
        <v>SRt</v>
      </c>
    </row>
    <row r="5" spans="1:12" ht="12.95" x14ac:dyDescent="0.15">
      <c r="A5" s="5" t="s">
        <v>24</v>
      </c>
      <c r="B5" s="5" t="s">
        <v>25</v>
      </c>
      <c r="I5" s="5">
        <f>'Grain and ricestraw'!I4*15.2</f>
        <v>76.472808799315004</v>
      </c>
      <c r="J5" s="227">
        <f>'Grain and ricestraw'!J4*15.2</f>
        <v>74.886052918620464</v>
      </c>
      <c r="K5" s="227">
        <f>'Grain and ricestraw'!K4*15.2</f>
        <v>80.287690179806347</v>
      </c>
      <c r="L5" s="227">
        <f>'Grain and ricestraw'!L4*15.2</f>
        <v>83.56544509290184</v>
      </c>
    </row>
    <row r="6" spans="1:12" ht="12.95" x14ac:dyDescent="0.15">
      <c r="A6" s="5" t="s">
        <v>26</v>
      </c>
      <c r="B6" s="5" t="s">
        <v>19</v>
      </c>
      <c r="I6" s="227">
        <f>'Grain and ricestraw'!I5*15.2</f>
        <v>75.565046872598714</v>
      </c>
      <c r="J6" s="227">
        <f>'Grain and ricestraw'!J5*15.2</f>
        <v>73.340319174466046</v>
      </c>
      <c r="K6" s="227">
        <f>'Grain and ricestraw'!K5*15.2</f>
        <v>74.073114161080952</v>
      </c>
      <c r="L6" s="227">
        <f>'Grain and ricestraw'!L5*15.2</f>
        <v>66.538022909386768</v>
      </c>
    </row>
    <row r="7" spans="1:12" ht="12.95" x14ac:dyDescent="0.15">
      <c r="A7" s="5" t="s">
        <v>27</v>
      </c>
      <c r="B7" s="5" t="s">
        <v>28</v>
      </c>
      <c r="I7" s="227">
        <f>'Grain and ricestraw'!I6*15.2</f>
        <v>80.711716601133432</v>
      </c>
      <c r="J7" s="227">
        <f>'Grain and ricestraw'!J6*15.2</f>
        <v>89.492810292249786</v>
      </c>
      <c r="K7" s="227">
        <f>'Grain and ricestraw'!K6*15.2</f>
        <v>71.336943558800996</v>
      </c>
      <c r="L7" s="227">
        <f>'Grain and ricestraw'!L6*15.2</f>
        <v>74.718425725941927</v>
      </c>
    </row>
    <row r="8" spans="1:12" ht="15" x14ac:dyDescent="0.2">
      <c r="A8" s="5" t="s">
        <v>29</v>
      </c>
      <c r="B8" s="5" t="s">
        <v>30</v>
      </c>
      <c r="H8" s="162" t="s">
        <v>146</v>
      </c>
      <c r="I8" s="166">
        <f>AVERAGE(I5:I7)</f>
        <v>77.583190757682374</v>
      </c>
      <c r="J8" s="166">
        <f t="shared" ref="J8:L8" si="0">AVERAGE(J5:J7)</f>
        <v>79.23972746177877</v>
      </c>
      <c r="K8" s="166">
        <f t="shared" si="0"/>
        <v>75.232582633229427</v>
      </c>
      <c r="L8" s="166">
        <f t="shared" si="0"/>
        <v>74.940631242743507</v>
      </c>
    </row>
    <row r="9" spans="1:12" ht="15" x14ac:dyDescent="0.2">
      <c r="A9" s="5" t="s">
        <v>31</v>
      </c>
      <c r="B9" s="5" t="s">
        <v>32</v>
      </c>
      <c r="H9" s="162" t="s">
        <v>6</v>
      </c>
      <c r="I9" s="166">
        <f>STDEV(I5:I7)</f>
        <v>2.7471373088644002</v>
      </c>
      <c r="J9" s="166">
        <f t="shared" ref="J9:L9" si="1">STDEV(J5:J7)</f>
        <v>8.9130019549155897</v>
      </c>
      <c r="K9" s="166">
        <f t="shared" si="1"/>
        <v>4.5866372891029252</v>
      </c>
      <c r="L9" s="166">
        <f t="shared" si="1"/>
        <v>8.5158856276190136</v>
      </c>
    </row>
    <row r="10" spans="1:12" ht="12.95" x14ac:dyDescent="0.15">
      <c r="A10" s="5" t="s">
        <v>33</v>
      </c>
      <c r="B10" s="5" t="s">
        <v>34</v>
      </c>
    </row>
    <row r="11" spans="1:12" ht="12.95" x14ac:dyDescent="0.15">
      <c r="A11" s="5" t="s">
        <v>35</v>
      </c>
      <c r="B11" s="5" t="s">
        <v>36</v>
      </c>
    </row>
    <row r="12" spans="1:12" ht="12.95" x14ac:dyDescent="0.15">
      <c r="A12" s="5" t="s">
        <v>37</v>
      </c>
      <c r="B12" s="5" t="s">
        <v>36</v>
      </c>
    </row>
    <row r="13" spans="1:12" ht="12.95" x14ac:dyDescent="0.15">
      <c r="A13" s="5" t="s">
        <v>38</v>
      </c>
      <c r="B13" s="5" t="s">
        <v>36</v>
      </c>
    </row>
    <row r="14" spans="1:12" ht="12.95" x14ac:dyDescent="0.15">
      <c r="A14" s="5" t="s">
        <v>39</v>
      </c>
      <c r="B14" s="5" t="s">
        <v>40</v>
      </c>
    </row>
    <row r="15" spans="1:12" ht="12.95" x14ac:dyDescent="0.15">
      <c r="A15" s="5" t="s">
        <v>41</v>
      </c>
      <c r="B15" s="5" t="s">
        <v>42</v>
      </c>
    </row>
    <row r="17" spans="1:16" ht="15" x14ac:dyDescent="0.2">
      <c r="A17" t="str">
        <f>F17</f>
        <v>CSR_WS-18</v>
      </c>
      <c r="B17" t="s">
        <v>40</v>
      </c>
      <c r="C17" t="s">
        <v>22</v>
      </c>
      <c r="D17" t="s">
        <v>43</v>
      </c>
      <c r="E17" t="s">
        <v>3</v>
      </c>
      <c r="F17" t="s">
        <v>44</v>
      </c>
      <c r="G17" t="s">
        <v>45</v>
      </c>
      <c r="H17" t="s">
        <v>46</v>
      </c>
      <c r="I17" t="s">
        <v>47</v>
      </c>
      <c r="J17" t="s">
        <v>48</v>
      </c>
      <c r="K17" t="s">
        <v>49</v>
      </c>
      <c r="L17" t="s">
        <v>50</v>
      </c>
      <c r="M17" t="s">
        <v>51</v>
      </c>
    </row>
    <row r="18" spans="1:16" ht="15" x14ac:dyDescent="0.2">
      <c r="A18" t="s">
        <v>52</v>
      </c>
      <c r="B18" t="s">
        <v>53</v>
      </c>
      <c r="C18" t="s">
        <v>52</v>
      </c>
      <c r="D18" t="s">
        <v>54</v>
      </c>
      <c r="E18">
        <v>-68.588180379561095</v>
      </c>
      <c r="F18">
        <v>0</v>
      </c>
      <c r="G18">
        <v>5.4569446144261402</v>
      </c>
      <c r="H18">
        <v>0.53379805108549805</v>
      </c>
      <c r="I18">
        <v>0.36099999999999999</v>
      </c>
      <c r="J18">
        <v>7.05</v>
      </c>
      <c r="K18">
        <v>0.50799334573263899</v>
      </c>
      <c r="L18">
        <v>-77.647679999999994</v>
      </c>
      <c r="M18">
        <v>-6.6180000000000003</v>
      </c>
    </row>
    <row r="20" spans="1:16" ht="15" x14ac:dyDescent="0.2">
      <c r="A20" s="5" t="str">
        <f>F20</f>
        <v>PSR_WS-1</v>
      </c>
      <c r="B20" t="s">
        <v>40</v>
      </c>
      <c r="C20" t="s">
        <v>22</v>
      </c>
      <c r="D20" t="s">
        <v>43</v>
      </c>
      <c r="E20" t="s">
        <v>3</v>
      </c>
      <c r="F20" t="s">
        <v>55</v>
      </c>
      <c r="G20" t="s">
        <v>45</v>
      </c>
      <c r="H20" t="s">
        <v>46</v>
      </c>
      <c r="I20" t="s">
        <v>47</v>
      </c>
      <c r="J20" t="s">
        <v>48</v>
      </c>
      <c r="K20" t="s">
        <v>49</v>
      </c>
      <c r="L20" t="s">
        <v>50</v>
      </c>
      <c r="M20" t="s">
        <v>51</v>
      </c>
      <c r="N20" t="s">
        <v>56</v>
      </c>
    </row>
    <row r="21" spans="1:16" ht="15" x14ac:dyDescent="0.2">
      <c r="A21" s="5" t="s">
        <v>52</v>
      </c>
      <c r="B21" t="s">
        <v>53</v>
      </c>
      <c r="C21" t="s">
        <v>52</v>
      </c>
      <c r="D21" t="s">
        <v>54</v>
      </c>
      <c r="E21">
        <v>-67.256656135574801</v>
      </c>
      <c r="F21">
        <v>0</v>
      </c>
      <c r="G21">
        <v>5.36619719844344</v>
      </c>
      <c r="H21">
        <v>0.53379805108549805</v>
      </c>
      <c r="I21">
        <v>0.26300000000000001</v>
      </c>
      <c r="J21" s="226">
        <v>7.05</v>
      </c>
      <c r="K21">
        <v>0.50799334573263899</v>
      </c>
      <c r="L21">
        <v>-79.216319999999996</v>
      </c>
      <c r="M21">
        <v>-2.7210000000000001</v>
      </c>
      <c r="N21">
        <v>-0.80808834003110097</v>
      </c>
    </row>
    <row r="23" spans="1:16" ht="15" x14ac:dyDescent="0.2">
      <c r="A23" s="5" t="str">
        <f>F23</f>
        <v>SB_WS-1</v>
      </c>
      <c r="B23" t="s">
        <v>40</v>
      </c>
      <c r="C23" t="s">
        <v>22</v>
      </c>
      <c r="D23" t="s">
        <v>43</v>
      </c>
      <c r="E23" t="s">
        <v>3</v>
      </c>
      <c r="F23" t="s">
        <v>57</v>
      </c>
      <c r="G23" t="s">
        <v>45</v>
      </c>
      <c r="H23" t="s">
        <v>46</v>
      </c>
      <c r="I23" t="s">
        <v>47</v>
      </c>
      <c r="J23" t="s">
        <v>48</v>
      </c>
      <c r="K23" t="s">
        <v>49</v>
      </c>
      <c r="L23" t="s">
        <v>50</v>
      </c>
      <c r="M23" t="s">
        <v>58</v>
      </c>
    </row>
    <row r="24" spans="1:16" ht="15" x14ac:dyDescent="0.2">
      <c r="A24" s="5" t="s">
        <v>52</v>
      </c>
      <c r="B24" t="s">
        <v>53</v>
      </c>
      <c r="C24" t="s">
        <v>52</v>
      </c>
      <c r="D24" t="s">
        <v>54</v>
      </c>
      <c r="E24">
        <v>-59.895982710342103</v>
      </c>
      <c r="F24">
        <v>0</v>
      </c>
      <c r="G24">
        <v>5.6323896186593503</v>
      </c>
      <c r="H24">
        <v>0.53379805108549805</v>
      </c>
      <c r="I24">
        <v>0.24440000000000001</v>
      </c>
      <c r="J24">
        <f>J21</f>
        <v>7.05</v>
      </c>
      <c r="K24">
        <v>0.50799334573263899</v>
      </c>
      <c r="L24">
        <v>-75.294719999999998</v>
      </c>
      <c r="M24">
        <v>-0.33760733501423701</v>
      </c>
    </row>
    <row r="26" spans="1:16" ht="15" x14ac:dyDescent="0.2">
      <c r="A26" s="5" t="str">
        <f>F26</f>
        <v>STR_WS-1</v>
      </c>
      <c r="B26" t="s">
        <v>40</v>
      </c>
      <c r="C26" t="s">
        <v>22</v>
      </c>
      <c r="D26" t="s">
        <v>43</v>
      </c>
      <c r="E26" t="s">
        <v>3</v>
      </c>
      <c r="F26" t="s">
        <v>59</v>
      </c>
      <c r="G26" t="s">
        <v>45</v>
      </c>
      <c r="H26" t="s">
        <v>46</v>
      </c>
      <c r="I26" t="s">
        <v>47</v>
      </c>
      <c r="J26" t="s">
        <v>48</v>
      </c>
      <c r="K26" t="s">
        <v>49</v>
      </c>
      <c r="L26" t="s">
        <v>50</v>
      </c>
      <c r="M26" t="s">
        <v>56</v>
      </c>
    </row>
    <row r="27" spans="1:16" ht="15" x14ac:dyDescent="0.2">
      <c r="A27" s="5" t="s">
        <v>52</v>
      </c>
      <c r="B27" t="s">
        <v>53</v>
      </c>
      <c r="C27" t="s">
        <v>52</v>
      </c>
      <c r="D27" t="s">
        <v>54</v>
      </c>
      <c r="E27">
        <v>-60.476506646014002</v>
      </c>
      <c r="F27">
        <v>0</v>
      </c>
      <c r="G27">
        <v>5.6565889295880698</v>
      </c>
      <c r="H27">
        <v>0.53379805108549805</v>
      </c>
      <c r="I27">
        <v>0.24440000000000001</v>
      </c>
      <c r="J27">
        <f>J24</f>
        <v>7.05</v>
      </c>
      <c r="K27">
        <v>0.50799334573263899</v>
      </c>
      <c r="L27">
        <v>-74.902559999999994</v>
      </c>
      <c r="M27">
        <v>-1.33449058161486</v>
      </c>
    </row>
    <row r="29" spans="1:16" ht="12.95" x14ac:dyDescent="0.15">
      <c r="C29" s="5" t="s">
        <v>12</v>
      </c>
    </row>
    <row r="30" spans="1:16" ht="12.95" x14ac:dyDescent="0.15">
      <c r="C30" s="8" t="str">
        <f>A17</f>
        <v>CSR_WS-18</v>
      </c>
      <c r="D30" s="8" t="str">
        <f>A20</f>
        <v>PSR_WS-1</v>
      </c>
      <c r="E30" s="8" t="str">
        <f>A23</f>
        <v>SB_WS-1</v>
      </c>
      <c r="F30" s="8" t="str">
        <f>A26</f>
        <v>STR_WS-1</v>
      </c>
    </row>
    <row r="31" spans="1:16" ht="12.95" x14ac:dyDescent="0.15">
      <c r="B31" s="5" t="str">
        <f>G17</f>
        <v>Energy based diesel consumption</v>
      </c>
      <c r="C31" s="9">
        <f>G18</f>
        <v>5.4569446144261402</v>
      </c>
      <c r="D31" s="9">
        <f>G21</f>
        <v>5.36619719844344</v>
      </c>
      <c r="E31" s="9">
        <f>G24</f>
        <v>5.6323896186593503</v>
      </c>
      <c r="F31" s="9">
        <f>G27</f>
        <v>5.6565889295880698</v>
      </c>
      <c r="N31" s="9"/>
      <c r="O31" s="9"/>
      <c r="P31" s="9"/>
    </row>
    <row r="32" spans="1:16" ht="12.95" x14ac:dyDescent="0.15">
      <c r="B32" s="5" t="str">
        <f>H17</f>
        <v>Rice seed, for sowing {GLO}| market for | Alloc Rec, S</v>
      </c>
      <c r="C32" s="9">
        <f>H18</f>
        <v>0.53379805108549805</v>
      </c>
      <c r="D32" s="9">
        <f>H21</f>
        <v>0.53379805108549805</v>
      </c>
      <c r="E32" s="9">
        <f>H24</f>
        <v>0.53379805108549805</v>
      </c>
      <c r="F32" s="9">
        <f>H27</f>
        <v>0.53379805108549805</v>
      </c>
    </row>
    <row r="33" spans="2:14" ht="15.95" x14ac:dyDescent="0.15">
      <c r="B33" s="5" t="str">
        <f>I17</f>
        <v>Labor</v>
      </c>
      <c r="C33" s="9">
        <f>I18</f>
        <v>0.36099999999999999</v>
      </c>
      <c r="D33" s="9">
        <f>I21</f>
        <v>0.26300000000000001</v>
      </c>
      <c r="E33" s="9">
        <f>I24</f>
        <v>0.24440000000000001</v>
      </c>
      <c r="F33" s="9">
        <f>I27</f>
        <v>0.24440000000000001</v>
      </c>
      <c r="K33" s="281" t="s">
        <v>379</v>
      </c>
      <c r="L33" s="5" t="s">
        <v>0</v>
      </c>
      <c r="N33" s="5" t="s">
        <v>8</v>
      </c>
    </row>
    <row r="34" spans="2:14" ht="27.95" x14ac:dyDescent="0.15">
      <c r="B34" s="5" t="str">
        <f>J17</f>
        <v>Fertilizer WS2015_1</v>
      </c>
      <c r="C34" s="9">
        <f>J18</f>
        <v>7.05</v>
      </c>
      <c r="D34" s="9">
        <f>J21</f>
        <v>7.05</v>
      </c>
      <c r="E34" s="9">
        <f>J24</f>
        <v>7.05</v>
      </c>
      <c r="F34" s="9">
        <f>J27</f>
        <v>7.05</v>
      </c>
      <c r="J34" s="281" t="s">
        <v>378</v>
      </c>
      <c r="K34" s="281">
        <v>58.7</v>
      </c>
      <c r="L34" s="5">
        <v>106</v>
      </c>
      <c r="N34" s="9">
        <f>K34*L34/1000</f>
        <v>6.2222000000000008</v>
      </c>
    </row>
    <row r="35" spans="2:14" ht="18" x14ac:dyDescent="0.15">
      <c r="B35" s="5" t="str">
        <f>K17</f>
        <v>Herbicide</v>
      </c>
      <c r="C35" s="9">
        <f>K18</f>
        <v>0.50799334573263899</v>
      </c>
      <c r="D35" s="9">
        <f>K21</f>
        <v>0.50799334573263899</v>
      </c>
      <c r="E35" s="9">
        <f>K24</f>
        <v>0.50799334573263899</v>
      </c>
      <c r="F35" s="9">
        <f>K27</f>
        <v>0.50799334573263899</v>
      </c>
      <c r="J35" s="281" t="s">
        <v>380</v>
      </c>
      <c r="K35" s="281">
        <v>17.100000000000001</v>
      </c>
      <c r="L35" s="282">
        <v>32</v>
      </c>
      <c r="N35" s="260">
        <f>K35*L35/1000</f>
        <v>0.54720000000000002</v>
      </c>
    </row>
    <row r="36" spans="2:14" ht="18" x14ac:dyDescent="0.15">
      <c r="B36" s="5" t="str">
        <f>L17</f>
        <v>Paddy</v>
      </c>
      <c r="C36" s="9">
        <f>L18</f>
        <v>-77.647679999999994</v>
      </c>
      <c r="D36" s="9">
        <f>L21</f>
        <v>-79.216319999999996</v>
      </c>
      <c r="E36" s="9">
        <f>L24</f>
        <v>-75.294719999999998</v>
      </c>
      <c r="F36" s="9">
        <f>L27</f>
        <v>-74.902559999999994</v>
      </c>
      <c r="J36" s="281" t="s">
        <v>381</v>
      </c>
      <c r="K36" s="281">
        <v>8.83</v>
      </c>
      <c r="L36" s="282">
        <v>32</v>
      </c>
      <c r="N36" s="260">
        <f>K36*L36/1000</f>
        <v>0.28255999999999998</v>
      </c>
    </row>
    <row r="37" spans="2:14" ht="12.95" x14ac:dyDescent="0.15">
      <c r="B37" s="5" t="str">
        <f>M17</f>
        <v>Rice straw - mushrrom_E</v>
      </c>
      <c r="C37" s="9">
        <f>M18</f>
        <v>-6.6180000000000003</v>
      </c>
      <c r="D37" s="9">
        <f>M21</f>
        <v>-2.7210000000000001</v>
      </c>
      <c r="E37" s="9"/>
      <c r="F37" s="9"/>
      <c r="M37" s="5" t="s">
        <v>17</v>
      </c>
      <c r="N37" s="260">
        <f>SUM(N34:N36)</f>
        <v>7.0519600000000011</v>
      </c>
    </row>
    <row r="38" spans="2:14" ht="12.95" x14ac:dyDescent="0.15">
      <c r="B38" s="5" t="s">
        <v>60</v>
      </c>
      <c r="C38" s="9"/>
      <c r="D38" s="9">
        <f>N21</f>
        <v>-0.80808834003110097</v>
      </c>
      <c r="E38" s="9">
        <f>M24</f>
        <v>-0.33760733501423701</v>
      </c>
      <c r="F38" s="9">
        <f>M27</f>
        <v>-1.33449058161486</v>
      </c>
    </row>
    <row r="39" spans="2:14" ht="12.95" x14ac:dyDescent="0.15">
      <c r="B39" s="8" t="s">
        <v>3</v>
      </c>
      <c r="C39" s="10">
        <f>SUM(C31:C38)</f>
        <v>-70.355943988755712</v>
      </c>
      <c r="D39" s="10">
        <f>SUM(D31:D38)</f>
        <v>-69.024419744769531</v>
      </c>
      <c r="E39" s="10">
        <f>SUM(E31:E38)</f>
        <v>-61.663746319536742</v>
      </c>
      <c r="F39" s="10">
        <f>SUM(F31:F38)</f>
        <v>-62.244270255208647</v>
      </c>
      <c r="G39" s="8"/>
      <c r="H39" s="8"/>
      <c r="I39" s="8"/>
      <c r="J39" s="8"/>
      <c r="K39" s="8"/>
      <c r="L39" s="8"/>
      <c r="M39" s="8"/>
      <c r="N39" s="8"/>
    </row>
    <row r="40" spans="2:14" ht="12.95" x14ac:dyDescent="0.15">
      <c r="B40" s="228" t="s">
        <v>6</v>
      </c>
      <c r="C40" s="229">
        <v>4.07</v>
      </c>
      <c r="D40" s="229">
        <v>11.48</v>
      </c>
      <c r="E40" s="229">
        <v>5.57</v>
      </c>
      <c r="F40" s="229">
        <v>10.29</v>
      </c>
    </row>
    <row r="43" spans="2:14" ht="12.95" x14ac:dyDescent="0.15">
      <c r="B43" s="5" t="s">
        <v>391</v>
      </c>
    </row>
    <row r="44" spans="2:14" ht="12.95" x14ac:dyDescent="0.15">
      <c r="C44" s="260">
        <f>SUM(C31:C35)</f>
        <v>13.909736011244277</v>
      </c>
      <c r="D44" s="260">
        <f t="shared" ref="D44:F44" si="2">SUM(D31:D35)</f>
        <v>13.720988595261577</v>
      </c>
      <c r="E44" s="260">
        <f t="shared" si="2"/>
        <v>13.968581015477488</v>
      </c>
      <c r="F44" s="260">
        <f t="shared" si="2"/>
        <v>13.992780326406207</v>
      </c>
    </row>
  </sheetData>
  <customSheetViews>
    <customSheetView guid="{B6B32F45-A9D9-479B-AD0E-29A61458D679}" scale="145" topLeftCell="A13">
      <selection activeCell="H41" sqref="H41"/>
      <pageMargins left="0.7" right="0.7" top="0.75" bottom="0.75" header="0.3" footer="0.3"/>
      <pageSetup orientation="portrait" horizontalDpi="300" verticalDpi="300" r:id="rId1"/>
    </customSheetView>
  </customSheetViews>
  <pageMargins left="0.7" right="0.7" top="0.75" bottom="0.75" header="0.3" footer="0.3"/>
  <pageSetup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A14" zoomScale="115" zoomScaleNormal="115" workbookViewId="0">
      <selection activeCell="C43" sqref="C43:F43"/>
    </sheetView>
  </sheetViews>
  <sheetFormatPr defaultColWidth="9.140625" defaultRowHeight="12.75" x14ac:dyDescent="0.2"/>
  <cols>
    <col min="1" max="1" width="9.140625" style="5"/>
    <col min="2" max="2" width="45" style="5" customWidth="1"/>
    <col min="3" max="3" width="9.140625" style="5"/>
    <col min="4" max="4" width="11.7109375" style="5" customWidth="1"/>
    <col min="5" max="6" width="9.140625" style="5"/>
    <col min="7" max="7" width="15.140625" style="5" customWidth="1"/>
    <col min="8" max="16384" width="9.140625" style="5"/>
  </cols>
  <sheetData>
    <row r="1" spans="1:6" ht="12.95" x14ac:dyDescent="0.15">
      <c r="A1" s="5" t="s">
        <v>18</v>
      </c>
      <c r="B1" s="5" t="s">
        <v>19</v>
      </c>
      <c r="C1" s="5" t="s">
        <v>20</v>
      </c>
      <c r="D1" s="6">
        <v>43157</v>
      </c>
      <c r="E1" s="5" t="s">
        <v>21</v>
      </c>
      <c r="F1" s="7">
        <v>0.386232824074074</v>
      </c>
    </row>
    <row r="2" spans="1:6" ht="12.95" x14ac:dyDescent="0.15">
      <c r="A2" s="5" t="s">
        <v>22</v>
      </c>
      <c r="B2" s="5" t="s">
        <v>23</v>
      </c>
    </row>
    <row r="5" spans="1:6" ht="12.95" x14ac:dyDescent="0.15">
      <c r="A5" s="5" t="s">
        <v>24</v>
      </c>
      <c r="B5" s="5" t="s">
        <v>25</v>
      </c>
    </row>
    <row r="6" spans="1:6" ht="12.95" x14ac:dyDescent="0.15">
      <c r="A6" s="5" t="s">
        <v>26</v>
      </c>
      <c r="B6" s="5" t="s">
        <v>19</v>
      </c>
    </row>
    <row r="7" spans="1:6" ht="12.95" x14ac:dyDescent="0.15">
      <c r="A7" s="5" t="s">
        <v>27</v>
      </c>
      <c r="B7" s="5" t="s">
        <v>28</v>
      </c>
    </row>
    <row r="8" spans="1:6" ht="12.95" x14ac:dyDescent="0.15">
      <c r="A8" s="5" t="s">
        <v>29</v>
      </c>
      <c r="B8" s="5" t="s">
        <v>30</v>
      </c>
    </row>
    <row r="9" spans="1:6" ht="12.95" x14ac:dyDescent="0.15">
      <c r="A9" s="5" t="s">
        <v>31</v>
      </c>
      <c r="B9" s="5" t="s">
        <v>32</v>
      </c>
    </row>
    <row r="10" spans="1:6" ht="12.95" x14ac:dyDescent="0.15">
      <c r="A10" s="5" t="s">
        <v>33</v>
      </c>
      <c r="B10" s="5" t="s">
        <v>34</v>
      </c>
    </row>
    <row r="11" spans="1:6" ht="12.95" x14ac:dyDescent="0.15">
      <c r="A11" s="5" t="s">
        <v>35</v>
      </c>
      <c r="B11" s="5" t="s">
        <v>36</v>
      </c>
    </row>
    <row r="12" spans="1:6" ht="12.95" x14ac:dyDescent="0.15">
      <c r="A12" s="5" t="s">
        <v>37</v>
      </c>
      <c r="B12" s="5" t="s">
        <v>36</v>
      </c>
    </row>
    <row r="13" spans="1:6" ht="12.95" x14ac:dyDescent="0.15">
      <c r="A13" s="5" t="s">
        <v>38</v>
      </c>
      <c r="B13" s="5" t="s">
        <v>36</v>
      </c>
    </row>
    <row r="14" spans="1:6" ht="12.95" x14ac:dyDescent="0.15">
      <c r="A14" s="5" t="s">
        <v>39</v>
      </c>
      <c r="B14" s="5" t="s">
        <v>40</v>
      </c>
    </row>
    <row r="15" spans="1:6" ht="12.95" x14ac:dyDescent="0.15">
      <c r="A15" s="5" t="s">
        <v>41</v>
      </c>
      <c r="B15" s="5" t="s">
        <v>42</v>
      </c>
    </row>
    <row r="17" spans="1:16" ht="12.95" x14ac:dyDescent="0.15">
      <c r="A17" s="5" t="s">
        <v>61</v>
      </c>
      <c r="B17" s="5" t="s">
        <v>40</v>
      </c>
      <c r="C17" s="5" t="s">
        <v>22</v>
      </c>
      <c r="D17" s="5" t="s">
        <v>43</v>
      </c>
      <c r="E17" s="5" t="s">
        <v>3</v>
      </c>
      <c r="F17" s="5" t="s">
        <v>62</v>
      </c>
      <c r="G17" s="5" t="s">
        <v>45</v>
      </c>
      <c r="H17" s="5" t="s">
        <v>46</v>
      </c>
      <c r="I17" s="5" t="s">
        <v>47</v>
      </c>
      <c r="J17" s="5" t="s">
        <v>63</v>
      </c>
      <c r="K17" s="5" t="s">
        <v>49</v>
      </c>
      <c r="L17" s="5" t="s">
        <v>50</v>
      </c>
      <c r="M17" s="5" t="s">
        <v>51</v>
      </c>
    </row>
    <row r="18" spans="1:16" ht="12.95" x14ac:dyDescent="0.15">
      <c r="A18" s="5" t="s">
        <v>52</v>
      </c>
      <c r="B18" s="5" t="s">
        <v>53</v>
      </c>
      <c r="C18" s="5" t="s">
        <v>52</v>
      </c>
      <c r="D18" s="5" t="s">
        <v>54</v>
      </c>
      <c r="E18" s="5">
        <v>-48.8228180682271</v>
      </c>
      <c r="F18" s="5">
        <v>0</v>
      </c>
      <c r="G18" s="5">
        <v>5.36619719844344</v>
      </c>
      <c r="H18" s="5">
        <v>0.53379805108549805</v>
      </c>
      <c r="I18" s="5">
        <v>0.24340000000000001</v>
      </c>
      <c r="J18" s="260">
        <f>M34</f>
        <v>9.4190499999999986</v>
      </c>
      <c r="K18" s="5">
        <v>0.50799334573263899</v>
      </c>
      <c r="L18" s="5">
        <v>-55.425280000000001</v>
      </c>
      <c r="M18" s="5">
        <v>-6.702</v>
      </c>
    </row>
    <row r="20" spans="1:16" ht="12.95" x14ac:dyDescent="0.15">
      <c r="A20" s="5" t="str">
        <f>F20</f>
        <v>PSR_DS-1</v>
      </c>
      <c r="B20" s="5" t="s">
        <v>40</v>
      </c>
      <c r="C20" s="5" t="s">
        <v>22</v>
      </c>
      <c r="D20" s="5" t="s">
        <v>43</v>
      </c>
      <c r="E20" s="5" t="s">
        <v>3</v>
      </c>
      <c r="F20" s="5" t="s">
        <v>64</v>
      </c>
      <c r="G20" s="5" t="s">
        <v>45</v>
      </c>
      <c r="H20" s="5" t="s">
        <v>46</v>
      </c>
      <c r="I20" s="5" t="s">
        <v>47</v>
      </c>
      <c r="J20" s="5" t="s">
        <v>63</v>
      </c>
      <c r="K20" s="5" t="s">
        <v>49</v>
      </c>
      <c r="L20" s="5" t="s">
        <v>50</v>
      </c>
      <c r="M20" s="5" t="s">
        <v>51</v>
      </c>
      <c r="N20" s="5" t="s">
        <v>56</v>
      </c>
    </row>
    <row r="21" spans="1:16" ht="12.95" x14ac:dyDescent="0.15">
      <c r="A21" s="5" t="s">
        <v>52</v>
      </c>
      <c r="B21" s="5" t="s">
        <v>53</v>
      </c>
      <c r="C21" s="5" t="s">
        <v>52</v>
      </c>
      <c r="D21" s="5" t="s">
        <v>54</v>
      </c>
      <c r="E21" s="5">
        <v>-44.452193767817803</v>
      </c>
      <c r="F21" s="5">
        <v>0</v>
      </c>
      <c r="G21" s="5">
        <v>5.2693999547285602</v>
      </c>
      <c r="H21" s="5">
        <v>0.53379805108549805</v>
      </c>
      <c r="I21" s="5">
        <v>0.14349999999999999</v>
      </c>
      <c r="J21" s="260">
        <f>M34</f>
        <v>9.4190499999999986</v>
      </c>
      <c r="K21" s="5">
        <v>0.50799334573263899</v>
      </c>
      <c r="L21" s="5">
        <v>-54.118079999999999</v>
      </c>
      <c r="M21" s="5">
        <v>-2.589</v>
      </c>
      <c r="N21" s="5">
        <v>-0.85287845587578104</v>
      </c>
    </row>
    <row r="23" spans="1:16" ht="12.95" x14ac:dyDescent="0.15">
      <c r="A23" s="5" t="str">
        <f>F23</f>
        <v>SB_DS-1</v>
      </c>
      <c r="B23" s="5" t="s">
        <v>40</v>
      </c>
      <c r="C23" s="5" t="s">
        <v>22</v>
      </c>
      <c r="D23" s="5" t="s">
        <v>43</v>
      </c>
      <c r="E23" s="5" t="s">
        <v>3</v>
      </c>
      <c r="F23" s="5" t="s">
        <v>65</v>
      </c>
      <c r="G23" s="5" t="s">
        <v>45</v>
      </c>
      <c r="H23" s="5" t="s">
        <v>46</v>
      </c>
      <c r="I23" s="5" t="s">
        <v>47</v>
      </c>
      <c r="J23" s="5" t="s">
        <v>63</v>
      </c>
      <c r="K23" s="5" t="s">
        <v>49</v>
      </c>
      <c r="L23" s="5" t="s">
        <v>50</v>
      </c>
      <c r="M23" s="5" t="s">
        <v>58</v>
      </c>
    </row>
    <row r="24" spans="1:16" ht="12.95" x14ac:dyDescent="0.15">
      <c r="A24" s="5" t="s">
        <v>52</v>
      </c>
      <c r="B24" s="5" t="s">
        <v>53</v>
      </c>
      <c r="C24" s="5" t="s">
        <v>52</v>
      </c>
      <c r="D24" s="5" t="s">
        <v>54</v>
      </c>
      <c r="E24" s="5">
        <v>-40.384719331265302</v>
      </c>
      <c r="F24" s="5">
        <v>0</v>
      </c>
      <c r="G24" s="5">
        <v>5.3238484043181797</v>
      </c>
      <c r="H24" s="5">
        <v>0.53379805108549805</v>
      </c>
      <c r="I24" s="5">
        <v>0.14149999999999999</v>
      </c>
      <c r="J24" s="260">
        <f>M34</f>
        <v>9.4190499999999986</v>
      </c>
      <c r="K24" s="5">
        <v>0.50799334573263899</v>
      </c>
      <c r="L24" s="5">
        <v>-53.203040000000001</v>
      </c>
      <c r="M24" s="5">
        <v>-0.341892468912877</v>
      </c>
    </row>
    <row r="26" spans="1:16" ht="12.95" x14ac:dyDescent="0.15">
      <c r="A26" s="5" t="str">
        <f>F26</f>
        <v>STR_DS-1</v>
      </c>
      <c r="B26" s="5" t="s">
        <v>40</v>
      </c>
      <c r="C26" s="5" t="s">
        <v>22</v>
      </c>
      <c r="D26" s="5" t="s">
        <v>43</v>
      </c>
      <c r="E26" s="5" t="s">
        <v>3</v>
      </c>
      <c r="F26" s="5" t="s">
        <v>66</v>
      </c>
      <c r="G26" s="5" t="s">
        <v>45</v>
      </c>
      <c r="H26" s="5" t="s">
        <v>46</v>
      </c>
      <c r="I26" s="5" t="s">
        <v>47</v>
      </c>
      <c r="J26" s="5" t="s">
        <v>63</v>
      </c>
      <c r="K26" s="5" t="s">
        <v>49</v>
      </c>
      <c r="L26" s="5" t="s">
        <v>50</v>
      </c>
      <c r="M26" s="5" t="s">
        <v>56</v>
      </c>
    </row>
    <row r="27" spans="1:16" ht="12.95" x14ac:dyDescent="0.15">
      <c r="A27" s="5" t="s">
        <v>52</v>
      </c>
      <c r="B27" s="5" t="s">
        <v>53</v>
      </c>
      <c r="C27" s="5" t="s">
        <v>52</v>
      </c>
      <c r="D27" s="5" t="s">
        <v>54</v>
      </c>
      <c r="E27" s="5">
        <v>-45.814536363448902</v>
      </c>
      <c r="F27" s="5">
        <v>0</v>
      </c>
      <c r="G27" s="5">
        <v>5.3480477152469001</v>
      </c>
      <c r="H27" s="5">
        <v>0.53379805108549805</v>
      </c>
      <c r="I27" s="5">
        <v>0.14149999999999999</v>
      </c>
      <c r="J27" s="260">
        <f>M34</f>
        <v>9.4190499999999986</v>
      </c>
      <c r="K27" s="5">
        <v>0.50799334573263899</v>
      </c>
      <c r="L27" s="5">
        <v>-57.64752</v>
      </c>
      <c r="M27" s="5">
        <v>-1.35142881202521</v>
      </c>
    </row>
    <row r="30" spans="1:16" ht="15.95" x14ac:dyDescent="0.15">
      <c r="C30" s="8" t="s">
        <v>61</v>
      </c>
      <c r="D30" s="8" t="str">
        <f>A20</f>
        <v>PSR_DS-1</v>
      </c>
      <c r="E30" s="8" t="str">
        <f>A23</f>
        <v>SB_DS-1</v>
      </c>
      <c r="F30" s="8" t="str">
        <f>A26</f>
        <v>STR_DS-1</v>
      </c>
      <c r="I30" s="259"/>
      <c r="J30" s="281" t="s">
        <v>379</v>
      </c>
      <c r="K30" s="259" t="s">
        <v>0</v>
      </c>
      <c r="L30" s="259"/>
      <c r="M30" s="259" t="s">
        <v>8</v>
      </c>
    </row>
    <row r="31" spans="1:16" ht="27.95" x14ac:dyDescent="0.15">
      <c r="B31" s="5" t="str">
        <f>G17</f>
        <v>Energy based diesel consumption</v>
      </c>
      <c r="C31" s="5">
        <f>G18</f>
        <v>5.36619719844344</v>
      </c>
      <c r="D31" s="5">
        <f>G21</f>
        <v>5.2693999547285602</v>
      </c>
      <c r="E31" s="5">
        <f>G24</f>
        <v>5.3238484043181797</v>
      </c>
      <c r="F31" s="5">
        <f>G27</f>
        <v>5.3480477152469001</v>
      </c>
      <c r="I31" s="281" t="s">
        <v>378</v>
      </c>
      <c r="J31" s="281">
        <v>58.7</v>
      </c>
      <c r="K31" s="259">
        <v>145</v>
      </c>
      <c r="L31" s="259"/>
      <c r="M31" s="260">
        <f>J31*K31/1000</f>
        <v>8.5114999999999998</v>
      </c>
      <c r="P31" s="9"/>
    </row>
    <row r="32" spans="1:16" ht="18" x14ac:dyDescent="0.15">
      <c r="B32" s="5" t="str">
        <f>H17</f>
        <v>Rice seed, for sowing {GLO}| market for | Alloc Rec, S</v>
      </c>
      <c r="C32" s="5">
        <f>H18</f>
        <v>0.53379805108549805</v>
      </c>
      <c r="D32" s="5">
        <f>H21</f>
        <v>0.53379805108549805</v>
      </c>
      <c r="E32" s="5">
        <f>H24</f>
        <v>0.53379805108549805</v>
      </c>
      <c r="F32" s="5">
        <f>H27</f>
        <v>0.53379805108549805</v>
      </c>
      <c r="I32" s="281" t="s">
        <v>380</v>
      </c>
      <c r="J32" s="281">
        <v>17.100000000000001</v>
      </c>
      <c r="K32" s="282">
        <v>35</v>
      </c>
      <c r="L32" s="259"/>
      <c r="M32" s="260">
        <f>J32*K32/1000</f>
        <v>0.59850000000000003</v>
      </c>
    </row>
    <row r="33" spans="2:14" ht="18" x14ac:dyDescent="0.15">
      <c r="B33" s="5" t="str">
        <f>I17</f>
        <v>Labor</v>
      </c>
      <c r="C33" s="5">
        <f>I18</f>
        <v>0.24340000000000001</v>
      </c>
      <c r="D33" s="5">
        <f>I21</f>
        <v>0.14349999999999999</v>
      </c>
      <c r="E33" s="5">
        <f>I24</f>
        <v>0.14149999999999999</v>
      </c>
      <c r="F33" s="5">
        <f>I27</f>
        <v>0.14149999999999999</v>
      </c>
      <c r="I33" s="281" t="s">
        <v>381</v>
      </c>
      <c r="J33" s="281">
        <v>8.83</v>
      </c>
      <c r="K33" s="282">
        <v>35</v>
      </c>
      <c r="L33" s="259"/>
      <c r="M33" s="260">
        <f>J33*K33/1000</f>
        <v>0.30904999999999999</v>
      </c>
    </row>
    <row r="34" spans="2:14" ht="12.95" x14ac:dyDescent="0.15">
      <c r="B34" s="5" t="str">
        <f>J17</f>
        <v>Fertilizer DS2016_1</v>
      </c>
      <c r="C34" s="5">
        <f>J18</f>
        <v>9.4190499999999986</v>
      </c>
      <c r="D34" s="5">
        <f>J21</f>
        <v>9.4190499999999986</v>
      </c>
      <c r="E34" s="5">
        <f>J24</f>
        <v>9.4190499999999986</v>
      </c>
      <c r="F34" s="5">
        <f>J27</f>
        <v>9.4190499999999986</v>
      </c>
      <c r="I34" s="259"/>
      <c r="J34" s="259"/>
      <c r="K34" s="259"/>
      <c r="L34" s="259" t="s">
        <v>17</v>
      </c>
      <c r="M34" s="260">
        <f>SUM(M31:M33)</f>
        <v>9.4190499999999986</v>
      </c>
    </row>
    <row r="35" spans="2:14" ht="12.95" x14ac:dyDescent="0.15">
      <c r="B35" s="5" t="str">
        <f>K17</f>
        <v>Herbicide</v>
      </c>
      <c r="C35" s="5">
        <f>K18</f>
        <v>0.50799334573263899</v>
      </c>
      <c r="D35" s="5">
        <f>K21</f>
        <v>0.50799334573263899</v>
      </c>
      <c r="E35" s="5">
        <f>K24</f>
        <v>0.50799334573263899</v>
      </c>
      <c r="F35" s="5">
        <f>K27</f>
        <v>0.50799334573263899</v>
      </c>
    </row>
    <row r="36" spans="2:14" ht="12.95" x14ac:dyDescent="0.15">
      <c r="B36" s="5" t="str">
        <f>L17</f>
        <v>Paddy</v>
      </c>
      <c r="C36" s="5">
        <f>L18</f>
        <v>-55.425280000000001</v>
      </c>
      <c r="D36" s="5">
        <f>L21</f>
        <v>-54.118079999999999</v>
      </c>
      <c r="E36" s="5">
        <f>L24</f>
        <v>-53.203040000000001</v>
      </c>
      <c r="F36" s="5">
        <f>L27</f>
        <v>-57.64752</v>
      </c>
    </row>
    <row r="37" spans="2:14" ht="12.95" x14ac:dyDescent="0.15">
      <c r="B37" s="5" t="str">
        <f>M17</f>
        <v>Rice straw - mushrrom_E</v>
      </c>
      <c r="C37" s="5">
        <f>M18</f>
        <v>-6.702</v>
      </c>
      <c r="D37" s="5">
        <f>M21</f>
        <v>-2.589</v>
      </c>
    </row>
    <row r="38" spans="2:14" ht="12.95" x14ac:dyDescent="0.15">
      <c r="B38" s="5" t="s">
        <v>60</v>
      </c>
      <c r="D38" s="5">
        <f>N21</f>
        <v>-0.85287845587578104</v>
      </c>
      <c r="E38" s="5">
        <f>M24</f>
        <v>-0.341892468912877</v>
      </c>
      <c r="F38" s="5">
        <f>M27</f>
        <v>-1.35142881202521</v>
      </c>
    </row>
    <row r="39" spans="2:14" ht="12.95" x14ac:dyDescent="0.15">
      <c r="B39" s="8" t="s">
        <v>3</v>
      </c>
      <c r="C39" s="8">
        <f>SUM(C31:C38)</f>
        <v>-46.056841404738421</v>
      </c>
      <c r="D39" s="8">
        <f>SUM(D31:D38)</f>
        <v>-41.686217104329081</v>
      </c>
      <c r="E39" s="8">
        <f>SUM(E31:E38)</f>
        <v>-37.618742667776559</v>
      </c>
      <c r="F39" s="8">
        <f>SUM(F31:F38)</f>
        <v>-43.048559699960173</v>
      </c>
      <c r="G39" s="8"/>
      <c r="H39" s="8"/>
      <c r="I39" s="8"/>
      <c r="J39" s="8"/>
      <c r="K39" s="8"/>
      <c r="L39" s="8"/>
      <c r="M39" s="8"/>
      <c r="N39" s="8"/>
    </row>
    <row r="40" spans="2:14" ht="12.95" x14ac:dyDescent="0.15">
      <c r="B40" s="5" t="s">
        <v>6</v>
      </c>
      <c r="C40" s="5">
        <v>11.14</v>
      </c>
      <c r="D40" s="5">
        <v>8.6</v>
      </c>
      <c r="E40" s="5">
        <v>6.58</v>
      </c>
      <c r="F40" s="5">
        <v>1.93</v>
      </c>
    </row>
    <row r="43" spans="2:14" ht="12.95" x14ac:dyDescent="0.15">
      <c r="B43" s="260" t="s">
        <v>391</v>
      </c>
      <c r="C43" s="260">
        <f>SUM(C31:C35)</f>
        <v>16.070438595261578</v>
      </c>
      <c r="D43" s="260">
        <f t="shared" ref="D43:F43" si="0">SUM(D31:D35)</f>
        <v>15.873741351546698</v>
      </c>
      <c r="E43" s="260">
        <f t="shared" si="0"/>
        <v>15.926189801136317</v>
      </c>
      <c r="F43" s="260">
        <f t="shared" si="0"/>
        <v>15.950389112065036</v>
      </c>
    </row>
  </sheetData>
  <customSheetViews>
    <customSheetView guid="{B6B32F45-A9D9-479B-AD0E-29A61458D679}" scale="115" topLeftCell="A16">
      <selection activeCell="F48" sqref="F48"/>
      <pageMargins left="0.7" right="0.7" top="0.75" bottom="0.75" header="0.3" footer="0.3"/>
      <pageSetup orientation="portrait" horizontalDpi="300" verticalDpi="300" r:id="rId1"/>
    </customSheetView>
  </customSheetViews>
  <pageMargins left="0.7" right="0.7" top="0.75" bottom="0.75" header="0.3" footer="0.3"/>
  <pageSetup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1"/>
  <sheetViews>
    <sheetView topLeftCell="A10" zoomScale="168" zoomScaleNormal="130" workbookViewId="0">
      <selection activeCell="U24" sqref="U24"/>
    </sheetView>
  </sheetViews>
  <sheetFormatPr defaultColWidth="8.85546875" defaultRowHeight="15" x14ac:dyDescent="0.25"/>
  <cols>
    <col min="1" max="1" width="19.28515625" customWidth="1"/>
    <col min="6" max="6" width="9.42578125" hidden="1" customWidth="1"/>
    <col min="7" max="18" width="9.140625" hidden="1" customWidth="1"/>
    <col min="20" max="23" width="8.85546875" style="226"/>
    <col min="25" max="27" width="0" style="226" hidden="1" customWidth="1"/>
    <col min="28" max="28" width="20.28515625" style="226" hidden="1" customWidth="1"/>
    <col min="29" max="31" width="10" style="226" hidden="1" customWidth="1"/>
    <col min="32" max="32" width="10" style="284" customWidth="1"/>
    <col min="33" max="33" width="8.85546875" style="226"/>
  </cols>
  <sheetData>
    <row r="1" spans="1:41" ht="18" thickBot="1" x14ac:dyDescent="0.3">
      <c r="A1" s="213" t="s">
        <v>101</v>
      </c>
      <c r="B1" s="214"/>
      <c r="C1" s="214"/>
      <c r="D1" s="214"/>
      <c r="E1" s="214"/>
      <c r="F1" s="214" t="s">
        <v>72</v>
      </c>
      <c r="G1" s="214"/>
      <c r="H1" s="214"/>
      <c r="I1" s="215"/>
      <c r="N1" t="s">
        <v>68</v>
      </c>
      <c r="AH1" s="264" t="s">
        <v>118</v>
      </c>
      <c r="AI1" s="221" t="s">
        <v>365</v>
      </c>
      <c r="AJ1" s="265"/>
      <c r="AK1" s="265"/>
      <c r="AL1" s="266"/>
    </row>
    <row r="2" spans="1:41" ht="39.75" thickBot="1" x14ac:dyDescent="0.3">
      <c r="A2" s="295" t="s">
        <v>69</v>
      </c>
      <c r="B2" s="296" t="s">
        <v>2</v>
      </c>
      <c r="C2" s="296" t="s">
        <v>1</v>
      </c>
      <c r="D2" s="296" t="s">
        <v>70</v>
      </c>
      <c r="E2" s="296" t="s">
        <v>71</v>
      </c>
      <c r="F2" s="216"/>
      <c r="G2" s="216"/>
      <c r="H2" s="216"/>
      <c r="I2" s="217"/>
      <c r="J2" s="11" t="s">
        <v>1</v>
      </c>
      <c r="K2" s="11" t="s">
        <v>70</v>
      </c>
      <c r="L2" s="11" t="s">
        <v>71</v>
      </c>
      <c r="M2" s="12"/>
      <c r="N2" s="11" t="s">
        <v>2</v>
      </c>
      <c r="O2" s="11" t="s">
        <v>1</v>
      </c>
      <c r="P2" s="11" t="s">
        <v>70</v>
      </c>
      <c r="Q2" s="11" t="s">
        <v>71</v>
      </c>
      <c r="T2" s="288"/>
      <c r="U2" s="288"/>
      <c r="V2" s="288"/>
      <c r="W2" s="288"/>
      <c r="X2" s="281"/>
      <c r="Y2" s="556" t="s">
        <v>385</v>
      </c>
      <c r="Z2" s="292" t="s">
        <v>386</v>
      </c>
      <c r="AA2" s="281"/>
      <c r="AB2" s="289" t="s">
        <v>384</v>
      </c>
      <c r="AC2" s="289" t="str">
        <f>V3</f>
        <v>kg/ha</v>
      </c>
      <c r="AD2" s="288"/>
      <c r="AE2" s="288"/>
      <c r="AH2" s="267"/>
      <c r="AI2" s="268" t="str">
        <f>B2</f>
        <v>CSRm</v>
      </c>
      <c r="AJ2" s="268" t="str">
        <f>C2</f>
        <v>PSRm</v>
      </c>
      <c r="AK2" s="268" t="str">
        <f>D2</f>
        <v>SB</v>
      </c>
      <c r="AL2" s="268" t="str">
        <f>E2</f>
        <v>SRt</v>
      </c>
    </row>
    <row r="3" spans="1:41" ht="30.75" thickBot="1" x14ac:dyDescent="0.3">
      <c r="A3" s="295" t="s">
        <v>73</v>
      </c>
      <c r="B3" s="297">
        <v>67</v>
      </c>
      <c r="C3" s="297">
        <v>67</v>
      </c>
      <c r="D3" s="297">
        <v>67</v>
      </c>
      <c r="E3" s="297">
        <v>67</v>
      </c>
      <c r="F3" s="212">
        <f t="shared" ref="F3:I9" si="0">100*B3/B$13</f>
        <v>0.98160587791460041</v>
      </c>
      <c r="G3" s="212">
        <f t="shared" si="0"/>
        <v>0.88024121236804598</v>
      </c>
      <c r="H3" s="212">
        <f t="shared" si="0"/>
        <v>0.90497126378561643</v>
      </c>
      <c r="I3" s="218">
        <f t="shared" si="0"/>
        <v>0.59733162157704467</v>
      </c>
      <c r="J3" s="14">
        <f>'[5]Energy WS 2015'!S15</f>
        <v>-76.508347224630072</v>
      </c>
      <c r="K3" s="14">
        <f>'[5]Energy WS 2015'!T15</f>
        <v>-60.279358326086758</v>
      </c>
      <c r="L3" s="14">
        <f>'[5]Energy WS 2015'!U15</f>
        <v>-63.047465332078275</v>
      </c>
      <c r="M3" s="15"/>
      <c r="N3" s="16">
        <f>'[5]Energy DS2016)'!R15</f>
        <v>-62.786618068227142</v>
      </c>
      <c r="O3" s="16">
        <f>'[5]Energy DS2016)'!S15</f>
        <v>-53.700588208373354</v>
      </c>
      <c r="P3" s="16">
        <f>'[5]Energy DS2016)'!T15</f>
        <v>-40.833932812431726</v>
      </c>
      <c r="Q3" s="16">
        <f>'[5]Energy DS2016)'!U15</f>
        <v>-48.748401884863434</v>
      </c>
      <c r="T3" s="288"/>
      <c r="U3" s="289" t="s">
        <v>382</v>
      </c>
      <c r="V3" s="288" t="s">
        <v>0</v>
      </c>
      <c r="W3" s="288" t="s">
        <v>383</v>
      </c>
      <c r="X3" s="281"/>
      <c r="Y3" s="556"/>
      <c r="Z3" s="292" t="s">
        <v>387</v>
      </c>
      <c r="AA3" s="281"/>
      <c r="AB3" s="288" t="str">
        <f>B2</f>
        <v>CSRm</v>
      </c>
      <c r="AC3" s="288" t="str">
        <f>C2</f>
        <v>PSRm</v>
      </c>
      <c r="AD3" s="288" t="str">
        <f>D2</f>
        <v>SB</v>
      </c>
      <c r="AE3" s="288" t="str">
        <f>E2</f>
        <v>SRt</v>
      </c>
      <c r="AH3" s="269" t="s">
        <v>367</v>
      </c>
      <c r="AI3" s="270">
        <v>0</v>
      </c>
      <c r="AJ3" s="270">
        <v>0</v>
      </c>
      <c r="AK3" s="270">
        <v>0</v>
      </c>
      <c r="AL3" s="271">
        <v>0</v>
      </c>
    </row>
    <row r="4" spans="1:41" ht="29.1" thickBot="1" x14ac:dyDescent="0.25">
      <c r="A4" s="298" t="s">
        <v>74</v>
      </c>
      <c r="B4" s="299">
        <f>W7</f>
        <v>1533.5499999999997</v>
      </c>
      <c r="C4" s="299">
        <f>B4</f>
        <v>1533.5499999999997</v>
      </c>
      <c r="D4" s="299">
        <f t="shared" ref="D4:E4" si="1">C4</f>
        <v>1533.5499999999997</v>
      </c>
      <c r="E4" s="299">
        <f t="shared" si="1"/>
        <v>1533.5499999999997</v>
      </c>
      <c r="F4" s="212">
        <f t="shared" si="0"/>
        <v>22.4677864787453</v>
      </c>
      <c r="G4" s="212">
        <f t="shared" si="0"/>
        <v>20.147670316821145</v>
      </c>
      <c r="H4" s="212">
        <f t="shared" si="0"/>
        <v>20.713711665349727</v>
      </c>
      <c r="I4" s="218">
        <f t="shared" si="0"/>
        <v>13.672207586111591</v>
      </c>
      <c r="T4" s="289" t="s">
        <v>378</v>
      </c>
      <c r="U4" s="290">
        <v>5.68</v>
      </c>
      <c r="V4" s="289">
        <f>'Energy - WS2015'!L34+'Energy - DS2016'!K31</f>
        <v>251</v>
      </c>
      <c r="W4" s="288">
        <f>U4*V4</f>
        <v>1425.6799999999998</v>
      </c>
      <c r="X4" s="281"/>
      <c r="Y4" s="293" t="s">
        <v>388</v>
      </c>
      <c r="Z4" s="292">
        <v>0.8</v>
      </c>
      <c r="AA4" s="281"/>
      <c r="AB4" s="294">
        <f>10*('Grain and ricestraw'!AA$5+'Grain and ricestraw'!AD$38)*'GHFE and Human Toxicity'!Z4</f>
        <v>48.375637533149259</v>
      </c>
      <c r="AC4" s="294">
        <f>10*('Grain and ricestraw'!AA$8+'Grain and ricestraw'!AD$41)*'GHFE and Human Toxicity'!Z4</f>
        <v>47.609361826549652</v>
      </c>
      <c r="AD4" s="294">
        <f>10*('Grain and ricestraw'!AA$11+'Grain and ricestraw'!AD$44)*'GHFE and Human Toxicity'!Z4</f>
        <v>44.022794014017109</v>
      </c>
      <c r="AE4" s="294">
        <f>10*('Grain and ricestraw'!AD$47+'Grain and ricestraw'!AA$14)*'GHFE and Human Toxicity'!Z4</f>
        <v>47.309649875979986</v>
      </c>
      <c r="AF4" s="285"/>
      <c r="AH4" s="269" t="s">
        <v>78</v>
      </c>
      <c r="AI4" s="270">
        <v>0</v>
      </c>
      <c r="AJ4" s="270">
        <v>0</v>
      </c>
      <c r="AK4" s="270">
        <v>191.1000324</v>
      </c>
      <c r="AL4" s="271">
        <v>0</v>
      </c>
    </row>
    <row r="5" spans="1:41" ht="18.95" thickBot="1" x14ac:dyDescent="0.3">
      <c r="A5" s="295" t="s">
        <v>49</v>
      </c>
      <c r="B5" s="297">
        <v>66</v>
      </c>
      <c r="C5" s="297">
        <v>66</v>
      </c>
      <c r="D5" s="297">
        <v>66</v>
      </c>
      <c r="E5" s="297">
        <v>66</v>
      </c>
      <c r="F5" s="212">
        <f t="shared" si="0"/>
        <v>0.96695504391587506</v>
      </c>
      <c r="G5" s="212">
        <f t="shared" si="0"/>
        <v>0.86710328382523938</v>
      </c>
      <c r="H5" s="212">
        <f t="shared" si="0"/>
        <v>0.89146422999777142</v>
      </c>
      <c r="I5" s="218">
        <f t="shared" si="0"/>
        <v>0.58841622424007389</v>
      </c>
      <c r="J5">
        <f>(J3-L3)/J3</f>
        <v>0.1759400428953245</v>
      </c>
      <c r="N5">
        <f>(N3-P3)/N3</f>
        <v>0.34963955586747014</v>
      </c>
      <c r="O5">
        <f>(O3-Q3)/O3</f>
        <v>9.2218474484749541E-2</v>
      </c>
      <c r="T5" s="289" t="s">
        <v>380</v>
      </c>
      <c r="U5" s="290">
        <v>1.0900000000000001</v>
      </c>
      <c r="V5" s="289">
        <f>'Energy - WS2015'!L35+'Energy - DS2016'!K32</f>
        <v>67</v>
      </c>
      <c r="W5" s="288">
        <f t="shared" ref="W5:W6" si="2">U5*V5</f>
        <v>73.03</v>
      </c>
      <c r="Y5" s="293" t="s">
        <v>380</v>
      </c>
      <c r="Z5" s="292">
        <v>0.05</v>
      </c>
      <c r="AB5" s="294">
        <f>10*('Grain and ricestraw'!AA$5+'Grain and ricestraw'!AD$38)*'GHFE and Human Toxicity'!Z5</f>
        <v>3.0234773458218287</v>
      </c>
      <c r="AC5" s="294">
        <f>10*('Grain and ricestraw'!AA$8+'Grain and ricestraw'!AD$41)*'GHFE and Human Toxicity'!Z5</f>
        <v>2.9755851141593532</v>
      </c>
      <c r="AD5" s="294">
        <f>10*('Grain and ricestraw'!AA$11+'Grain and ricestraw'!AD$44)*'GHFE and Human Toxicity'!Z5</f>
        <v>2.7514246258760693</v>
      </c>
      <c r="AE5" s="294">
        <f>10*('Grain and ricestraw'!AD$47+'Grain and ricestraw'!AA$14)*'GHFE and Human Toxicity'!Z5</f>
        <v>2.9568531172487491</v>
      </c>
      <c r="AF5" s="285"/>
      <c r="AH5" s="269" t="s">
        <v>332</v>
      </c>
      <c r="AI5" s="270">
        <v>29.150832460192099</v>
      </c>
      <c r="AJ5" s="270">
        <v>28.645703446069099</v>
      </c>
      <c r="AK5" s="270">
        <v>29.5093111153761</v>
      </c>
      <c r="AL5" s="271">
        <v>29.639666989988498</v>
      </c>
    </row>
    <row r="6" spans="1:41" ht="18.95" thickBot="1" x14ac:dyDescent="0.3">
      <c r="A6" s="295" t="s">
        <v>75</v>
      </c>
      <c r="B6" s="297">
        <v>864</v>
      </c>
      <c r="C6" s="297">
        <v>849</v>
      </c>
      <c r="D6" s="297">
        <v>875</v>
      </c>
      <c r="E6" s="297">
        <v>879</v>
      </c>
      <c r="F6" s="212">
        <f t="shared" si="0"/>
        <v>12.658320574898728</v>
      </c>
      <c r="G6" s="212">
        <f t="shared" si="0"/>
        <v>11.154101332842851</v>
      </c>
      <c r="H6" s="212">
        <f t="shared" si="0"/>
        <v>11.818654564364394</v>
      </c>
      <c r="I6" s="218">
        <f t="shared" si="0"/>
        <v>7.8366342591973472</v>
      </c>
      <c r="J6" t="e">
        <f>(#REF!-K3)/#REF!</f>
        <v>#REF!</v>
      </c>
      <c r="K6" t="e">
        <f>(#REF!-L3)/#REF!</f>
        <v>#REF!</v>
      </c>
      <c r="N6">
        <f>($N3-O3)/$N3</f>
        <v>0.14471284071998344</v>
      </c>
      <c r="O6">
        <f t="shared" ref="O6:P6" si="3">($N3-P3)/$N3</f>
        <v>0.34963955586747014</v>
      </c>
      <c r="P6">
        <f t="shared" si="3"/>
        <v>0.22358611779518156</v>
      </c>
      <c r="T6" s="289" t="s">
        <v>381</v>
      </c>
      <c r="U6" s="290">
        <v>0.52</v>
      </c>
      <c r="V6" s="289">
        <f>'Energy - WS2015'!L36+'Energy - DS2016'!K33</f>
        <v>67</v>
      </c>
      <c r="W6" s="288">
        <f t="shared" si="2"/>
        <v>34.840000000000003</v>
      </c>
      <c r="Y6" s="293" t="s">
        <v>381</v>
      </c>
      <c r="Z6" s="292">
        <v>1.42</v>
      </c>
      <c r="AB6" s="294">
        <f>10*('Grain and ricestraw'!AA$5+'Grain and ricestraw'!AD$38)*'GHFE and Human Toxicity'!Z6</f>
        <v>85.866756621339931</v>
      </c>
      <c r="AC6" s="294">
        <f>10*('Grain and ricestraw'!AA$8+'Grain and ricestraw'!AD$41)*'GHFE and Human Toxicity'!Z6</f>
        <v>84.506617242125628</v>
      </c>
      <c r="AD6" s="294">
        <f>10*('Grain and ricestraw'!AA$11+'Grain and ricestraw'!AD$44)*'GHFE and Human Toxicity'!Z6</f>
        <v>78.140459374880365</v>
      </c>
      <c r="AE6" s="294">
        <f>10*('Grain and ricestraw'!AD$47+'Grain and ricestraw'!AA$14)*'GHFE and Human Toxicity'!Z6</f>
        <v>83.974628529864461</v>
      </c>
      <c r="AF6" s="285"/>
      <c r="AH6" s="269" t="s">
        <v>73</v>
      </c>
      <c r="AI6" s="270">
        <v>10.1800202746366</v>
      </c>
      <c r="AJ6" s="270">
        <v>10.1800202746366</v>
      </c>
      <c r="AK6" s="270">
        <v>10.1800202746366</v>
      </c>
      <c r="AL6" s="271">
        <v>10.1800202746366</v>
      </c>
      <c r="AN6">
        <f>AI7/AI10</f>
        <v>0.82357161886260088</v>
      </c>
      <c r="AO6">
        <f>AK7/AK10</f>
        <v>0.70633502643919222</v>
      </c>
    </row>
    <row r="7" spans="1:41" ht="15.95" thickBot="1" x14ac:dyDescent="0.25">
      <c r="A7" s="295" t="s">
        <v>76</v>
      </c>
      <c r="B7" s="300">
        <v>3739</v>
      </c>
      <c r="C7" s="300">
        <v>4875</v>
      </c>
      <c r="D7" s="300">
        <v>4168</v>
      </c>
      <c r="E7" s="300">
        <v>8671</v>
      </c>
      <c r="F7" s="212">
        <f t="shared" si="0"/>
        <v>54.779468321234191</v>
      </c>
      <c r="G7" s="212">
        <f t="shared" si="0"/>
        <v>64.04740164618245</v>
      </c>
      <c r="H7" s="212">
        <f t="shared" si="0"/>
        <v>56.297316827738051</v>
      </c>
      <c r="I7" s="218">
        <f t="shared" si="0"/>
        <v>77.305410308873945</v>
      </c>
      <c r="K7" s="17" t="s">
        <v>77</v>
      </c>
      <c r="L7" s="18"/>
      <c r="M7" s="1"/>
      <c r="N7" s="1"/>
      <c r="T7" s="288"/>
      <c r="U7" s="288"/>
      <c r="V7" s="288" t="s">
        <v>3</v>
      </c>
      <c r="W7" s="291">
        <f>SUM(W4:W6)</f>
        <v>1533.5499999999997</v>
      </c>
      <c r="AB7" s="283"/>
      <c r="AC7" s="283"/>
      <c r="AD7" s="283"/>
      <c r="AE7" s="283"/>
      <c r="AF7" s="286"/>
      <c r="AH7" s="269" t="s">
        <v>74</v>
      </c>
      <c r="AI7" s="270">
        <v>950</v>
      </c>
      <c r="AJ7" s="270">
        <f>AI7</f>
        <v>950</v>
      </c>
      <c r="AK7" s="270">
        <f t="shared" ref="AK7:AL7" si="4">AJ7</f>
        <v>950</v>
      </c>
      <c r="AL7" s="270">
        <f t="shared" si="4"/>
        <v>950</v>
      </c>
    </row>
    <row r="8" spans="1:41" ht="29.1" thickBot="1" x14ac:dyDescent="0.25">
      <c r="A8" s="295" t="s">
        <v>78</v>
      </c>
      <c r="B8" s="297">
        <v>0</v>
      </c>
      <c r="C8" s="297">
        <v>0</v>
      </c>
      <c r="D8" s="297">
        <v>694</v>
      </c>
      <c r="E8" s="297">
        <v>0</v>
      </c>
      <c r="F8" s="212">
        <f t="shared" si="0"/>
        <v>0</v>
      </c>
      <c r="G8" s="212">
        <f t="shared" si="0"/>
        <v>0</v>
      </c>
      <c r="H8" s="212">
        <f t="shared" si="0"/>
        <v>9.3738814487644451</v>
      </c>
      <c r="I8" s="218">
        <f t="shared" si="0"/>
        <v>0</v>
      </c>
      <c r="K8" s="19" t="s">
        <v>79</v>
      </c>
      <c r="L8" s="20" t="s">
        <v>80</v>
      </c>
      <c r="M8" s="21" t="s">
        <v>81</v>
      </c>
      <c r="N8" s="21" t="s">
        <v>82</v>
      </c>
      <c r="P8" t="s">
        <v>83</v>
      </c>
      <c r="R8" t="s">
        <v>4</v>
      </c>
      <c r="Y8" s="308" t="s">
        <v>74</v>
      </c>
      <c r="Z8" s="288"/>
      <c r="AA8" s="288"/>
      <c r="AB8" s="288"/>
      <c r="AC8" s="309"/>
      <c r="AH8" s="269" t="s">
        <v>49</v>
      </c>
      <c r="AI8" s="270">
        <v>164.181456628143</v>
      </c>
      <c r="AJ8" s="270">
        <v>164.181456628143</v>
      </c>
      <c r="AK8" s="270">
        <v>164.181456628143</v>
      </c>
      <c r="AL8" s="271">
        <v>164.181456628143</v>
      </c>
      <c r="AN8">
        <f>AI8/AI10</f>
        <v>0.14233177686574697</v>
      </c>
      <c r="AO8">
        <f>AK8/AK10</f>
        <v>0.12207064579817313</v>
      </c>
    </row>
    <row r="9" spans="1:41" ht="69.95" x14ac:dyDescent="0.2">
      <c r="A9" s="301" t="s">
        <v>375</v>
      </c>
      <c r="B9" s="302">
        <v>500</v>
      </c>
      <c r="C9" s="302">
        <v>199</v>
      </c>
      <c r="D9" s="303"/>
      <c r="E9" s="303"/>
      <c r="F9" s="212">
        <f t="shared" si="0"/>
        <v>7.3254169993626892</v>
      </c>
      <c r="G9" s="212">
        <f t="shared" si="0"/>
        <v>2.6144477800185246</v>
      </c>
      <c r="H9" s="212">
        <f t="shared" si="0"/>
        <v>0</v>
      </c>
      <c r="I9" s="218">
        <f t="shared" si="0"/>
        <v>0</v>
      </c>
      <c r="K9" s="22" t="s">
        <v>2</v>
      </c>
      <c r="L9" s="23" t="s">
        <v>84</v>
      </c>
      <c r="M9" s="24" t="s">
        <v>85</v>
      </c>
      <c r="N9" s="24">
        <v>7.24</v>
      </c>
      <c r="P9" s="23">
        <v>5.94</v>
      </c>
      <c r="R9" s="24">
        <v>7.24</v>
      </c>
      <c r="Y9" s="288"/>
      <c r="Z9" s="289" t="s">
        <v>384</v>
      </c>
      <c r="AA9" s="289" t="str">
        <f>W3</f>
        <v>kgCO2-eq/ha</v>
      </c>
      <c r="AB9" s="288"/>
      <c r="AC9" s="288"/>
      <c r="AF9" s="287"/>
      <c r="AG9" s="232"/>
      <c r="AH9" s="269"/>
      <c r="AI9" s="270"/>
      <c r="AJ9" s="270"/>
      <c r="AK9" s="270"/>
      <c r="AL9" s="271"/>
    </row>
    <row r="10" spans="1:41" ht="18" thickBot="1" x14ac:dyDescent="0.25">
      <c r="A10" s="301" t="s">
        <v>376</v>
      </c>
      <c r="B10" s="302">
        <v>26</v>
      </c>
      <c r="C10" s="302">
        <v>10</v>
      </c>
      <c r="D10" s="304"/>
      <c r="E10" s="304"/>
      <c r="F10" s="216"/>
      <c r="G10" s="216"/>
      <c r="H10" s="216"/>
      <c r="I10" s="217"/>
      <c r="K10" s="22" t="s">
        <v>1</v>
      </c>
      <c r="L10" s="23" t="s">
        <v>86</v>
      </c>
      <c r="M10" s="24" t="s">
        <v>87</v>
      </c>
      <c r="N10" s="24">
        <v>4.34</v>
      </c>
      <c r="P10" s="23">
        <v>6.06</v>
      </c>
      <c r="R10" s="24">
        <v>4.34</v>
      </c>
      <c r="Y10" s="288"/>
      <c r="Z10" s="309" t="str">
        <f>AB3</f>
        <v>CSRm</v>
      </c>
      <c r="AA10" s="309" t="str">
        <f>AC3</f>
        <v>PSRm</v>
      </c>
      <c r="AB10" s="309" t="str">
        <f>AD3</f>
        <v>SB</v>
      </c>
      <c r="AC10" s="309" t="str">
        <f>AE3</f>
        <v>SRt</v>
      </c>
      <c r="AH10" s="272" t="s">
        <v>3</v>
      </c>
      <c r="AI10" s="273">
        <f>SUM(AI3:AI8)</f>
        <v>1153.5123093629718</v>
      </c>
      <c r="AJ10" s="273">
        <f>SUM(AJ3:AJ8)</f>
        <v>1153.0071803488486</v>
      </c>
      <c r="AK10" s="273">
        <f>SUM(AK3:AK8)</f>
        <v>1344.9708204181557</v>
      </c>
      <c r="AL10" s="274">
        <f>SUM(AL3:AL8)</f>
        <v>1154.0011438927681</v>
      </c>
    </row>
    <row r="11" spans="1:41" s="226" customFormat="1" ht="27.95" x14ac:dyDescent="0.2">
      <c r="A11" s="301" t="s">
        <v>377</v>
      </c>
      <c r="B11" s="302">
        <v>30</v>
      </c>
      <c r="C11" s="302">
        <v>12</v>
      </c>
      <c r="D11" s="304"/>
      <c r="E11" s="304"/>
      <c r="F11" s="216"/>
      <c r="G11" s="216"/>
      <c r="H11" s="216"/>
      <c r="I11" s="217"/>
      <c r="K11" s="230"/>
      <c r="L11" s="231"/>
      <c r="M11" s="232"/>
      <c r="N11" s="232"/>
      <c r="P11" s="231"/>
      <c r="R11" s="232"/>
      <c r="Y11" s="289" t="s">
        <v>378</v>
      </c>
      <c r="Z11" s="310">
        <f t="shared" ref="Z11:AC13" si="5">$U4*($V4-AB4)</f>
        <v>1150.9063788117123</v>
      </c>
      <c r="AA11" s="310">
        <f t="shared" si="5"/>
        <v>1155.258824825198</v>
      </c>
      <c r="AB11" s="310">
        <f t="shared" si="5"/>
        <v>1175.6305300003828</v>
      </c>
      <c r="AC11" s="310">
        <f t="shared" si="5"/>
        <v>1156.9611887044337</v>
      </c>
      <c r="AF11" s="284"/>
    </row>
    <row r="12" spans="1:41" ht="18" x14ac:dyDescent="0.2">
      <c r="A12" s="304"/>
      <c r="B12" s="304"/>
      <c r="C12" s="304"/>
      <c r="D12" s="304"/>
      <c r="E12" s="304"/>
      <c r="F12" s="216"/>
      <c r="G12" s="216"/>
      <c r="H12" s="216"/>
      <c r="I12" s="217"/>
      <c r="K12" s="22" t="s">
        <v>70</v>
      </c>
      <c r="L12" s="23" t="s">
        <v>88</v>
      </c>
      <c r="M12" s="24" t="s">
        <v>89</v>
      </c>
      <c r="P12" s="23">
        <v>5.76</v>
      </c>
      <c r="Y12" s="289" t="s">
        <v>380</v>
      </c>
      <c r="Z12" s="310">
        <f t="shared" si="5"/>
        <v>69.734409693054204</v>
      </c>
      <c r="AA12" s="310">
        <f t="shared" si="5"/>
        <v>69.786612225566302</v>
      </c>
      <c r="AB12" s="310">
        <f t="shared" si="5"/>
        <v>70.030947157795083</v>
      </c>
      <c r="AC12" s="310">
        <f t="shared" si="5"/>
        <v>69.807030102198866</v>
      </c>
      <c r="AK12">
        <f>(AK10-AI10)/AK10</f>
        <v>0.14235142365070702</v>
      </c>
    </row>
    <row r="13" spans="1:41" ht="18.95" thickBot="1" x14ac:dyDescent="0.25">
      <c r="A13" s="295" t="s">
        <v>3</v>
      </c>
      <c r="B13" s="305">
        <f>SUM(B3:B12)</f>
        <v>6825.5499999999993</v>
      </c>
      <c r="C13" s="305">
        <f t="shared" ref="C13:E13" si="6">SUM(C3:C12)</f>
        <v>7611.5499999999993</v>
      </c>
      <c r="D13" s="305">
        <f t="shared" si="6"/>
        <v>7403.5499999999993</v>
      </c>
      <c r="E13" s="305">
        <f t="shared" si="6"/>
        <v>11216.55</v>
      </c>
      <c r="F13" s="219">
        <f>SUM(F3:F9)</f>
        <v>99.179553296071376</v>
      </c>
      <c r="G13" s="219">
        <f>SUM(G3:G9)</f>
        <v>99.710965572058257</v>
      </c>
      <c r="H13" s="219">
        <f>SUM(H3:H9)</f>
        <v>100</v>
      </c>
      <c r="I13" s="220">
        <f>SUM(I3:I9)</f>
        <v>100</v>
      </c>
      <c r="K13" s="19" t="s">
        <v>71</v>
      </c>
      <c r="L13" s="20" t="s">
        <v>90</v>
      </c>
      <c r="M13" s="25" t="s">
        <v>91</v>
      </c>
      <c r="N13" s="26"/>
      <c r="P13" s="20">
        <v>5.73</v>
      </c>
      <c r="R13" s="26"/>
      <c r="Y13" s="289" t="s">
        <v>381</v>
      </c>
      <c r="Z13" s="310">
        <f t="shared" si="5"/>
        <v>-9.8107134430967644</v>
      </c>
      <c r="AA13" s="310">
        <f t="shared" si="5"/>
        <v>-9.1034409659053264</v>
      </c>
      <c r="AB13" s="310">
        <f t="shared" si="5"/>
        <v>-5.7930388749377899</v>
      </c>
      <c r="AC13" s="310">
        <f t="shared" si="5"/>
        <v>-8.8268068355295206</v>
      </c>
    </row>
    <row r="14" spans="1:41" ht="15.95" thickBot="1" x14ac:dyDescent="0.25">
      <c r="Y14" s="308" t="s">
        <v>3</v>
      </c>
      <c r="Z14" s="310">
        <f>SUM(Z11:Z13)</f>
        <v>1210.8300750616697</v>
      </c>
      <c r="AA14" s="310">
        <f t="shared" ref="AA14:AC14" si="7">SUM(AA11:AA13)</f>
        <v>1215.9419960848591</v>
      </c>
      <c r="AB14" s="310">
        <f t="shared" si="7"/>
        <v>1239.86843828324</v>
      </c>
      <c r="AC14" s="310">
        <f t="shared" si="7"/>
        <v>1217.941411971103</v>
      </c>
    </row>
    <row r="15" spans="1:41" s="226" customFormat="1" x14ac:dyDescent="0.2">
      <c r="AF15" s="284"/>
      <c r="AH15" s="264" t="s">
        <v>369</v>
      </c>
      <c r="AI15" s="221"/>
      <c r="AJ15" s="221"/>
      <c r="AK15" s="221"/>
      <c r="AL15" s="222"/>
    </row>
    <row r="16" spans="1:41" s="226" customFormat="1" x14ac:dyDescent="0.2">
      <c r="Y16" s="226" t="s">
        <v>390</v>
      </c>
      <c r="AF16" s="284"/>
      <c r="AH16" s="184">
        <f>AH2</f>
        <v>0</v>
      </c>
      <c r="AI16" s="185" t="str">
        <f t="shared" ref="AI16:AL16" si="8">AI2</f>
        <v>CSRm</v>
      </c>
      <c r="AJ16" s="185" t="str">
        <f t="shared" si="8"/>
        <v>PSRm</v>
      </c>
      <c r="AK16" s="185" t="str">
        <f t="shared" si="8"/>
        <v>SB</v>
      </c>
      <c r="AL16" s="186" t="str">
        <f t="shared" si="8"/>
        <v>SRt</v>
      </c>
    </row>
    <row r="17" spans="1:38" s="226" customFormat="1" ht="17.100000000000001" x14ac:dyDescent="0.25">
      <c r="A17" s="226" t="s">
        <v>389</v>
      </c>
      <c r="F17" s="226" t="e">
        <f>#REF!/1000</f>
        <v>#REF!</v>
      </c>
      <c r="G17" s="226" t="e">
        <f>#REF!/1000</f>
        <v>#REF!</v>
      </c>
      <c r="H17" s="226" t="e">
        <f>#REF!/1000</f>
        <v>#REF!</v>
      </c>
      <c r="I17" s="226" t="e">
        <f>#REF!/1000</f>
        <v>#REF!</v>
      </c>
      <c r="J17" s="226">
        <f t="shared" ref="J17:R17" si="9">J3/1000</f>
        <v>-7.6508347224630069E-2</v>
      </c>
      <c r="K17" s="226">
        <f t="shared" si="9"/>
        <v>-6.027935832608676E-2</v>
      </c>
      <c r="L17" s="226">
        <f t="shared" si="9"/>
        <v>-6.3047465332078279E-2</v>
      </c>
      <c r="M17" s="226">
        <f t="shared" si="9"/>
        <v>0</v>
      </c>
      <c r="N17" s="226">
        <f t="shared" si="9"/>
        <v>-6.2786618068227149E-2</v>
      </c>
      <c r="O17" s="226">
        <f t="shared" si="9"/>
        <v>-5.3700588208373354E-2</v>
      </c>
      <c r="P17" s="226">
        <f t="shared" si="9"/>
        <v>-4.0833932812431729E-2</v>
      </c>
      <c r="Q17" s="226">
        <f t="shared" si="9"/>
        <v>-4.8748401884863436E-2</v>
      </c>
      <c r="R17" s="226">
        <f t="shared" si="9"/>
        <v>0</v>
      </c>
      <c r="Y17" s="306" t="s">
        <v>368</v>
      </c>
      <c r="Z17" s="288"/>
      <c r="AA17" s="288"/>
      <c r="AB17" s="288"/>
      <c r="AC17" s="288"/>
      <c r="AF17" s="284"/>
      <c r="AH17" s="184" t="str">
        <f t="shared" ref="AH17" si="10">AH3</f>
        <v>Cultivation-measured directly</v>
      </c>
      <c r="AI17" s="275">
        <f>AI3/1000</f>
        <v>0</v>
      </c>
      <c r="AJ17" s="275">
        <f t="shared" ref="AJ17:AL17" si="11">AJ3/1000</f>
        <v>0</v>
      </c>
      <c r="AK17" s="275">
        <f t="shared" si="11"/>
        <v>0</v>
      </c>
      <c r="AL17" s="276">
        <f t="shared" si="11"/>
        <v>0</v>
      </c>
    </row>
    <row r="18" spans="1:38" s="226" customFormat="1" ht="17.100000000000001" x14ac:dyDescent="0.25">
      <c r="A18" s="306" t="s">
        <v>368</v>
      </c>
      <c r="B18" s="288"/>
      <c r="C18" s="288"/>
      <c r="D18" s="288"/>
      <c r="E18" s="288"/>
      <c r="Y18" s="288" t="str">
        <f>A19</f>
        <v>Seeds</v>
      </c>
      <c r="Z18" s="288">
        <f>B19</f>
        <v>6.7000000000000004E-2</v>
      </c>
      <c r="AA18" s="288">
        <f>C19</f>
        <v>6.7000000000000004E-2</v>
      </c>
      <c r="AB18" s="288">
        <f>D19</f>
        <v>6.7000000000000004E-2</v>
      </c>
      <c r="AC18" s="288">
        <f>E19</f>
        <v>6.7000000000000004E-2</v>
      </c>
      <c r="AF18" s="284"/>
      <c r="AH18" s="184" t="str">
        <f t="shared" ref="AH18" si="12">AH4</f>
        <v>In-field burning straw</v>
      </c>
      <c r="AI18" s="275">
        <f>AI4/1000</f>
        <v>0</v>
      </c>
      <c r="AJ18" s="275">
        <f t="shared" ref="AJ18:AL18" si="13">AJ4/1000</f>
        <v>0</v>
      </c>
      <c r="AK18" s="275">
        <f t="shared" si="13"/>
        <v>0.19110003240000001</v>
      </c>
      <c r="AL18" s="276">
        <f t="shared" si="13"/>
        <v>0</v>
      </c>
    </row>
    <row r="19" spans="1:38" s="226" customFormat="1" x14ac:dyDescent="0.2">
      <c r="A19" s="288" t="str">
        <f t="shared" ref="A19:A27" si="14">A3</f>
        <v>Seeds</v>
      </c>
      <c r="B19" s="288">
        <f t="shared" ref="B19:E27" si="15">B3/1000</f>
        <v>6.7000000000000004E-2</v>
      </c>
      <c r="C19" s="288">
        <f t="shared" si="15"/>
        <v>6.7000000000000004E-2</v>
      </c>
      <c r="D19" s="288">
        <f t="shared" si="15"/>
        <v>6.7000000000000004E-2</v>
      </c>
      <c r="E19" s="288">
        <f t="shared" si="15"/>
        <v>6.7000000000000004E-2</v>
      </c>
      <c r="Y19" s="288" t="str">
        <f t="shared" ref="Y19:Y27" si="16">A20</f>
        <v>Fertilizer</v>
      </c>
      <c r="Z19" s="311">
        <f>Z14/1000</f>
        <v>1.2108300750616698</v>
      </c>
      <c r="AA19" s="311">
        <f t="shared" ref="AA19:AC19" si="17">AA14/1000</f>
        <v>1.215941996084859</v>
      </c>
      <c r="AB19" s="311">
        <f t="shared" si="17"/>
        <v>1.2398684382832401</v>
      </c>
      <c r="AC19" s="311">
        <f t="shared" si="17"/>
        <v>1.2179414119711029</v>
      </c>
      <c r="AF19" s="284"/>
      <c r="AH19" s="184" t="str">
        <f t="shared" ref="AH19" si="18">AH5</f>
        <v>Fuel consumption</v>
      </c>
      <c r="AI19" s="275">
        <f>AI5/1000</f>
        <v>2.9150832460192098E-2</v>
      </c>
      <c r="AJ19" s="275">
        <f t="shared" ref="AJ19:AL19" si="19">AJ5/1000</f>
        <v>2.86457034460691E-2</v>
      </c>
      <c r="AK19" s="275">
        <f t="shared" si="19"/>
        <v>2.9509311115376101E-2</v>
      </c>
      <c r="AL19" s="276">
        <f t="shared" si="19"/>
        <v>2.9639666989988499E-2</v>
      </c>
    </row>
    <row r="20" spans="1:38" s="226" customFormat="1" x14ac:dyDescent="0.2">
      <c r="A20" s="288" t="str">
        <f t="shared" si="14"/>
        <v>Fertilizer</v>
      </c>
      <c r="B20" s="288">
        <f t="shared" si="15"/>
        <v>1.5335499999999997</v>
      </c>
      <c r="C20" s="288">
        <f t="shared" si="15"/>
        <v>1.5335499999999997</v>
      </c>
      <c r="D20" s="288">
        <f t="shared" si="15"/>
        <v>1.5335499999999997</v>
      </c>
      <c r="E20" s="288">
        <f t="shared" si="15"/>
        <v>1.5335499999999997</v>
      </c>
      <c r="Y20" s="288" t="str">
        <f t="shared" si="16"/>
        <v>Herbicide</v>
      </c>
      <c r="Z20" s="288">
        <f t="shared" ref="Z20:AC27" si="20">B21</f>
        <v>6.6000000000000003E-2</v>
      </c>
      <c r="AA20" s="288">
        <f t="shared" si="20"/>
        <v>6.6000000000000003E-2</v>
      </c>
      <c r="AB20" s="288">
        <f t="shared" si="20"/>
        <v>6.6000000000000003E-2</v>
      </c>
      <c r="AC20" s="288">
        <f t="shared" si="20"/>
        <v>6.6000000000000003E-2</v>
      </c>
      <c r="AF20" s="284"/>
      <c r="AH20" s="184" t="str">
        <f t="shared" ref="AH20" si="21">AH6</f>
        <v>Seeds</v>
      </c>
      <c r="AI20" s="275">
        <f t="shared" ref="AI20:AL20" si="22">AI6/1000</f>
        <v>1.01800202746366E-2</v>
      </c>
      <c r="AJ20" s="275">
        <f t="shared" si="22"/>
        <v>1.01800202746366E-2</v>
      </c>
      <c r="AK20" s="275">
        <f t="shared" si="22"/>
        <v>1.01800202746366E-2</v>
      </c>
      <c r="AL20" s="276">
        <f t="shared" si="22"/>
        <v>1.01800202746366E-2</v>
      </c>
    </row>
    <row r="21" spans="1:38" s="226" customFormat="1" x14ac:dyDescent="0.2">
      <c r="A21" s="288" t="str">
        <f t="shared" si="14"/>
        <v>Herbicide</v>
      </c>
      <c r="B21" s="288">
        <f t="shared" si="15"/>
        <v>6.6000000000000003E-2</v>
      </c>
      <c r="C21" s="288">
        <f t="shared" si="15"/>
        <v>6.6000000000000003E-2</v>
      </c>
      <c r="D21" s="288">
        <f t="shared" si="15"/>
        <v>6.6000000000000003E-2</v>
      </c>
      <c r="E21" s="288">
        <f t="shared" si="15"/>
        <v>6.6000000000000003E-2</v>
      </c>
      <c r="Y21" s="288" t="str">
        <f t="shared" si="16"/>
        <v>Mechanized operations</v>
      </c>
      <c r="Z21" s="288">
        <f t="shared" si="20"/>
        <v>0.86399999999999999</v>
      </c>
      <c r="AA21" s="288">
        <f t="shared" si="20"/>
        <v>0.84899999999999998</v>
      </c>
      <c r="AB21" s="288">
        <f t="shared" si="20"/>
        <v>0.875</v>
      </c>
      <c r="AC21" s="288">
        <f t="shared" si="20"/>
        <v>0.879</v>
      </c>
      <c r="AF21" s="284"/>
      <c r="AH21" s="184" t="str">
        <f t="shared" ref="AH21" si="23">AH7</f>
        <v>Fertilizer</v>
      </c>
      <c r="AI21" s="275">
        <f>AI7/1000</f>
        <v>0.95</v>
      </c>
      <c r="AJ21" s="275">
        <f t="shared" ref="AJ21:AL21" si="24">AJ7/1000</f>
        <v>0.95</v>
      </c>
      <c r="AK21" s="275">
        <f t="shared" si="24"/>
        <v>0.95</v>
      </c>
      <c r="AL21" s="276">
        <f t="shared" si="24"/>
        <v>0.95</v>
      </c>
    </row>
    <row r="22" spans="1:38" s="226" customFormat="1" x14ac:dyDescent="0.2">
      <c r="A22" s="288" t="str">
        <f t="shared" si="14"/>
        <v>Mechanized operations</v>
      </c>
      <c r="B22" s="288">
        <f t="shared" si="15"/>
        <v>0.86399999999999999</v>
      </c>
      <c r="C22" s="288">
        <f t="shared" si="15"/>
        <v>0.84899999999999998</v>
      </c>
      <c r="D22" s="288">
        <f t="shared" si="15"/>
        <v>0.875</v>
      </c>
      <c r="E22" s="288">
        <f t="shared" si="15"/>
        <v>0.879</v>
      </c>
      <c r="Y22" s="288" t="str">
        <f t="shared" si="16"/>
        <v>Direct field emission</v>
      </c>
      <c r="Z22" s="288">
        <f t="shared" si="20"/>
        <v>3.7389999999999999</v>
      </c>
      <c r="AA22" s="288">
        <f t="shared" si="20"/>
        <v>4.875</v>
      </c>
      <c r="AB22" s="288">
        <f t="shared" si="20"/>
        <v>4.1680000000000001</v>
      </c>
      <c r="AC22" s="288">
        <f t="shared" si="20"/>
        <v>8.6709999999999994</v>
      </c>
      <c r="AF22" s="284"/>
      <c r="AH22" s="184" t="str">
        <f t="shared" ref="AH22" si="25">AH8</f>
        <v>Herbicide</v>
      </c>
      <c r="AI22" s="275">
        <f>AI8/1000</f>
        <v>0.16418145662814299</v>
      </c>
      <c r="AJ22" s="275">
        <f t="shared" ref="AJ22:AL22" si="26">AJ8/1000</f>
        <v>0.16418145662814299</v>
      </c>
      <c r="AK22" s="275">
        <f t="shared" si="26"/>
        <v>0.16418145662814299</v>
      </c>
      <c r="AL22" s="276">
        <f t="shared" si="26"/>
        <v>0.16418145662814299</v>
      </c>
    </row>
    <row r="23" spans="1:38" s="226" customFormat="1" x14ac:dyDescent="0.2">
      <c r="A23" s="288" t="str">
        <f t="shared" si="14"/>
        <v>Direct field emission</v>
      </c>
      <c r="B23" s="288">
        <f t="shared" si="15"/>
        <v>3.7389999999999999</v>
      </c>
      <c r="C23" s="288">
        <f t="shared" si="15"/>
        <v>4.875</v>
      </c>
      <c r="D23" s="288">
        <f t="shared" si="15"/>
        <v>4.1680000000000001</v>
      </c>
      <c r="E23" s="288">
        <f t="shared" si="15"/>
        <v>8.6709999999999994</v>
      </c>
      <c r="Y23" s="288" t="str">
        <f t="shared" si="16"/>
        <v>In-field burning straw</v>
      </c>
      <c r="Z23" s="288">
        <f t="shared" si="20"/>
        <v>0</v>
      </c>
      <c r="AA23" s="288">
        <f t="shared" si="20"/>
        <v>0</v>
      </c>
      <c r="AB23" s="288">
        <f t="shared" si="20"/>
        <v>0.69399999999999995</v>
      </c>
      <c r="AC23" s="288">
        <f t="shared" si="20"/>
        <v>0</v>
      </c>
      <c r="AF23" s="284"/>
      <c r="AH23" s="184"/>
      <c r="AI23" s="275"/>
      <c r="AJ23" s="275"/>
      <c r="AK23" s="275"/>
      <c r="AL23" s="276"/>
    </row>
    <row r="24" spans="1:38" s="226" customFormat="1" x14ac:dyDescent="0.2">
      <c r="A24" s="288" t="str">
        <f t="shared" si="14"/>
        <v>In-field burning straw</v>
      </c>
      <c r="B24" s="288">
        <f t="shared" si="15"/>
        <v>0</v>
      </c>
      <c r="C24" s="288">
        <f t="shared" si="15"/>
        <v>0</v>
      </c>
      <c r="D24" s="288">
        <f t="shared" si="15"/>
        <v>0.69399999999999995</v>
      </c>
      <c r="E24" s="288">
        <f t="shared" si="15"/>
        <v>0</v>
      </c>
      <c r="Y24" s="288" t="str">
        <f t="shared" si="16"/>
        <v>Collection of rice straw (using round baler)</v>
      </c>
      <c r="Z24" s="288">
        <f t="shared" si="20"/>
        <v>0.5</v>
      </c>
      <c r="AA24" s="288">
        <f t="shared" si="20"/>
        <v>0.19900000000000001</v>
      </c>
      <c r="AB24" s="288">
        <f t="shared" si="20"/>
        <v>0</v>
      </c>
      <c r="AC24" s="288">
        <f t="shared" si="20"/>
        <v>0</v>
      </c>
      <c r="AF24" s="284"/>
      <c r="AH24" s="184"/>
      <c r="AI24" s="275"/>
      <c r="AJ24" s="275"/>
      <c r="AK24" s="275"/>
      <c r="AL24" s="276"/>
    </row>
    <row r="25" spans="1:38" s="226" customFormat="1" x14ac:dyDescent="0.2">
      <c r="A25" s="288" t="str">
        <f t="shared" si="14"/>
        <v>Collection of rice straw (using round baler)</v>
      </c>
      <c r="B25" s="288">
        <f t="shared" si="15"/>
        <v>0.5</v>
      </c>
      <c r="C25" s="288">
        <f t="shared" si="15"/>
        <v>0.19900000000000001</v>
      </c>
      <c r="D25" s="288">
        <f t="shared" si="15"/>
        <v>0</v>
      </c>
      <c r="E25" s="288">
        <f t="shared" si="15"/>
        <v>0</v>
      </c>
      <c r="Y25" s="288" t="str">
        <f t="shared" si="16"/>
        <v>Transportation of rice straw (truck)</v>
      </c>
      <c r="Z25" s="288">
        <f t="shared" si="20"/>
        <v>2.5999999999999999E-2</v>
      </c>
      <c r="AA25" s="288">
        <f t="shared" si="20"/>
        <v>0.01</v>
      </c>
      <c r="AB25" s="288">
        <f t="shared" si="20"/>
        <v>0</v>
      </c>
      <c r="AC25" s="288">
        <f t="shared" si="20"/>
        <v>0</v>
      </c>
      <c r="AF25" s="284"/>
      <c r="AH25" s="184"/>
      <c r="AI25" s="275"/>
      <c r="AJ25" s="275"/>
      <c r="AK25" s="275"/>
      <c r="AL25" s="276"/>
    </row>
    <row r="26" spans="1:38" s="226" customFormat="1" x14ac:dyDescent="0.2">
      <c r="A26" s="288" t="str">
        <f t="shared" si="14"/>
        <v>Transportation of rice straw (truck)</v>
      </c>
      <c r="B26" s="288">
        <f t="shared" si="15"/>
        <v>2.5999999999999999E-2</v>
      </c>
      <c r="C26" s="288">
        <f t="shared" si="15"/>
        <v>0.01</v>
      </c>
      <c r="D26" s="288">
        <f t="shared" si="15"/>
        <v>0</v>
      </c>
      <c r="E26" s="288">
        <f t="shared" si="15"/>
        <v>0</v>
      </c>
      <c r="Y26" s="288" t="str">
        <f t="shared" si="16"/>
        <v>Mushroom production (silage and growing)</v>
      </c>
      <c r="Z26" s="288">
        <f t="shared" si="20"/>
        <v>0.03</v>
      </c>
      <c r="AA26" s="288">
        <f t="shared" si="20"/>
        <v>1.2E-2</v>
      </c>
      <c r="AB26" s="288">
        <f t="shared" si="20"/>
        <v>0</v>
      </c>
      <c r="AC26" s="288">
        <f t="shared" si="20"/>
        <v>0</v>
      </c>
      <c r="AF26" s="284"/>
      <c r="AH26" s="184" t="str">
        <f t="shared" ref="AH26" si="27">AH10</f>
        <v>Total</v>
      </c>
      <c r="AI26" s="275">
        <f>SUM(AI17:AI25)</f>
        <v>1.1535123093629718</v>
      </c>
      <c r="AJ26" s="275">
        <f t="shared" ref="AJ26" si="28">SUM(AJ17:AJ25)</f>
        <v>1.1530071803488486</v>
      </c>
      <c r="AK26" s="275">
        <f t="shared" ref="AK26" si="29">SUM(AK17:AK25)</f>
        <v>1.3449708204181556</v>
      </c>
      <c r="AL26" s="276">
        <f t="shared" ref="AL26" si="30">SUM(AL17:AL25)</f>
        <v>1.154001143892768</v>
      </c>
    </row>
    <row r="27" spans="1:38" s="226" customFormat="1" ht="15.95" thickBot="1" x14ac:dyDescent="0.25">
      <c r="A27" s="288" t="str">
        <f t="shared" si="14"/>
        <v>Mushroom production (silage and growing)</v>
      </c>
      <c r="B27" s="288">
        <f t="shared" si="15"/>
        <v>0.03</v>
      </c>
      <c r="C27" s="288">
        <f t="shared" si="15"/>
        <v>1.2E-2</v>
      </c>
      <c r="D27" s="288">
        <f t="shared" si="15"/>
        <v>0</v>
      </c>
      <c r="E27" s="288">
        <f t="shared" si="15"/>
        <v>0</v>
      </c>
      <c r="Y27" s="288">
        <f t="shared" si="16"/>
        <v>0</v>
      </c>
      <c r="Z27" s="288">
        <f t="shared" si="20"/>
        <v>0</v>
      </c>
      <c r="AA27" s="288">
        <f t="shared" si="20"/>
        <v>0</v>
      </c>
      <c r="AB27" s="288">
        <f t="shared" si="20"/>
        <v>0</v>
      </c>
      <c r="AC27" s="288">
        <f t="shared" si="20"/>
        <v>0</v>
      </c>
      <c r="AF27" s="284"/>
      <c r="AH27" s="277" t="s">
        <v>6</v>
      </c>
      <c r="AI27" s="278">
        <v>2.8272933765634285E-2</v>
      </c>
      <c r="AJ27" s="278">
        <v>2.7279812853847382E-2</v>
      </c>
      <c r="AK27" s="278">
        <v>8.9616829468878167E-2</v>
      </c>
      <c r="AL27" s="279">
        <v>2.4281218454084517E-2</v>
      </c>
    </row>
    <row r="28" spans="1:38" s="226" customFormat="1" x14ac:dyDescent="0.2">
      <c r="A28" s="288"/>
      <c r="B28" s="307"/>
      <c r="C28" s="307"/>
      <c r="D28" s="307"/>
      <c r="E28" s="307"/>
      <c r="Y28" s="288" t="s">
        <v>3</v>
      </c>
      <c r="Z28" s="307">
        <f>SUM(Z18:Z27)</f>
        <v>6.5028300750616692</v>
      </c>
      <c r="AA28" s="307">
        <f t="shared" ref="AA28:AC28" si="31">SUM(AA18:AA27)</f>
        <v>7.2939419960848584</v>
      </c>
      <c r="AB28" s="307">
        <f t="shared" si="31"/>
        <v>7.1098684382832404</v>
      </c>
      <c r="AC28" s="307">
        <f t="shared" si="31"/>
        <v>10.900941411971102</v>
      </c>
      <c r="AF28" s="284"/>
    </row>
    <row r="29" spans="1:38" x14ac:dyDescent="0.2">
      <c r="A29" s="288" t="s">
        <v>3</v>
      </c>
      <c r="B29" s="307">
        <f>SUM(B19:B28)</f>
        <v>6.8255499999999998</v>
      </c>
      <c r="C29" s="307">
        <f t="shared" ref="C29:E29" si="32">SUM(C19:C28)</f>
        <v>7.6115499999999985</v>
      </c>
      <c r="D29" s="307">
        <f t="shared" si="32"/>
        <v>7.4035500000000001</v>
      </c>
      <c r="E29" s="307">
        <f t="shared" si="32"/>
        <v>11.216549999999998</v>
      </c>
      <c r="Y29" s="288" t="s">
        <v>6</v>
      </c>
      <c r="Z29" s="307">
        <v>0.81262000000000001</v>
      </c>
      <c r="AA29" s="307">
        <v>1.2778000000000003</v>
      </c>
      <c r="AB29" s="307">
        <v>1.2465550000000003</v>
      </c>
      <c r="AC29" s="307">
        <v>2.8166349999999998</v>
      </c>
    </row>
    <row r="30" spans="1:38" x14ac:dyDescent="0.2">
      <c r="A30" s="288" t="s">
        <v>6</v>
      </c>
      <c r="B30" s="307">
        <v>0.81262000000000001</v>
      </c>
      <c r="C30" s="307">
        <v>1.2778000000000003</v>
      </c>
      <c r="D30" s="307">
        <v>1.2465550000000003</v>
      </c>
      <c r="E30" s="307">
        <v>2.8166349999999998</v>
      </c>
    </row>
    <row r="33" spans="1:18" x14ac:dyDescent="0.2">
      <c r="B33">
        <f>(E29-B29)/E29</f>
        <v>0.39147509706638844</v>
      </c>
      <c r="C33">
        <f>(E29-C29)/E29</f>
        <v>0.32140007399779791</v>
      </c>
    </row>
    <row r="38" spans="1:18" x14ac:dyDescent="0.25">
      <c r="F38" s="258">
        <f t="shared" ref="F38:R38" si="33">SUM(F31:F36)</f>
        <v>0</v>
      </c>
      <c r="G38" s="258">
        <f t="shared" si="33"/>
        <v>0</v>
      </c>
      <c r="H38" s="258">
        <f t="shared" si="33"/>
        <v>0</v>
      </c>
      <c r="I38" s="258">
        <f t="shared" si="33"/>
        <v>0</v>
      </c>
      <c r="J38" s="258">
        <f t="shared" si="33"/>
        <v>0</v>
      </c>
      <c r="K38" s="258">
        <f t="shared" si="33"/>
        <v>0</v>
      </c>
      <c r="L38" s="258">
        <f t="shared" si="33"/>
        <v>0</v>
      </c>
      <c r="M38" s="258">
        <f t="shared" si="33"/>
        <v>0</v>
      </c>
      <c r="N38" s="258">
        <f t="shared" si="33"/>
        <v>0</v>
      </c>
      <c r="O38" s="258">
        <f t="shared" si="33"/>
        <v>0</v>
      </c>
      <c r="P38" s="258">
        <f t="shared" si="33"/>
        <v>0</v>
      </c>
      <c r="Q38" s="258">
        <f t="shared" si="33"/>
        <v>0</v>
      </c>
      <c r="R38" s="258">
        <f t="shared" si="33"/>
        <v>0</v>
      </c>
    </row>
    <row r="40" spans="1:18" x14ac:dyDescent="0.25">
      <c r="A40" s="259"/>
      <c r="B40" s="259"/>
      <c r="C40" s="259"/>
      <c r="D40" s="259"/>
      <c r="E40" s="259"/>
      <c r="F40" s="259"/>
      <c r="G40" s="259"/>
      <c r="H40" s="259"/>
      <c r="I40" s="259"/>
      <c r="L40" t="s">
        <v>92</v>
      </c>
      <c r="M40" t="s">
        <v>43</v>
      </c>
      <c r="N40" t="s">
        <v>3</v>
      </c>
      <c r="O40" t="s">
        <v>93</v>
      </c>
      <c r="P40" t="s">
        <v>94</v>
      </c>
      <c r="Q40" t="s">
        <v>95</v>
      </c>
      <c r="R40" t="s">
        <v>96</v>
      </c>
    </row>
    <row r="41" spans="1:18" x14ac:dyDescent="0.25">
      <c r="A41" s="259"/>
      <c r="B41" s="259"/>
      <c r="C41" s="259"/>
      <c r="D41" s="259"/>
      <c r="E41" s="259"/>
      <c r="F41" s="259">
        <f t="shared" ref="F41:R41" si="34">F30</f>
        <v>0</v>
      </c>
      <c r="G41" s="259">
        <f t="shared" si="34"/>
        <v>0</v>
      </c>
      <c r="H41" s="259">
        <f t="shared" si="34"/>
        <v>0</v>
      </c>
      <c r="I41" s="259">
        <f t="shared" si="34"/>
        <v>0</v>
      </c>
      <c r="J41" s="259">
        <f t="shared" si="34"/>
        <v>0</v>
      </c>
      <c r="K41" s="259">
        <f t="shared" si="34"/>
        <v>0</v>
      </c>
      <c r="L41" s="259">
        <f t="shared" si="34"/>
        <v>0</v>
      </c>
      <c r="M41" s="259">
        <f t="shared" si="34"/>
        <v>0</v>
      </c>
      <c r="N41" s="259">
        <f t="shared" si="34"/>
        <v>0</v>
      </c>
      <c r="O41" s="259">
        <f t="shared" si="34"/>
        <v>0</v>
      </c>
      <c r="P41" s="259">
        <f t="shared" si="34"/>
        <v>0</v>
      </c>
      <c r="Q41" s="259">
        <f t="shared" si="34"/>
        <v>0</v>
      </c>
      <c r="R41" s="259">
        <f t="shared" si="34"/>
        <v>0</v>
      </c>
    </row>
    <row r="42" spans="1:18" x14ac:dyDescent="0.25">
      <c r="A42" s="260"/>
      <c r="B42" s="262"/>
      <c r="C42" s="262"/>
      <c r="D42" s="262"/>
      <c r="E42" s="262"/>
      <c r="F42" s="260">
        <v>0.89766248319358333</v>
      </c>
      <c r="G42" s="260">
        <v>1.0521723458259591</v>
      </c>
      <c r="H42" s="260">
        <v>0.82040273616395931</v>
      </c>
      <c r="I42" s="260">
        <v>1.3327813045198007</v>
      </c>
    </row>
    <row r="43" spans="1:18" x14ac:dyDescent="0.25">
      <c r="A43" s="260"/>
      <c r="B43" s="262"/>
      <c r="C43" s="262"/>
      <c r="D43" s="262"/>
      <c r="E43" s="262"/>
      <c r="F43" s="260">
        <v>82.054518551560804</v>
      </c>
      <c r="G43" s="260">
        <v>79.017866821018032</v>
      </c>
      <c r="H43" s="260">
        <v>68.169499368944415</v>
      </c>
      <c r="I43" s="260">
        <v>73.291908724549089</v>
      </c>
    </row>
    <row r="44" spans="1:18" x14ac:dyDescent="0.25">
      <c r="A44" s="260"/>
      <c r="B44" s="262"/>
      <c r="C44" s="262"/>
      <c r="D44" s="262"/>
      <c r="E44" s="262"/>
      <c r="F44" s="260">
        <v>14.477332075492304</v>
      </c>
      <c r="G44" s="260">
        <v>16.969238145031373</v>
      </c>
      <c r="H44" s="260">
        <v>13.23130137380018</v>
      </c>
      <c r="I44" s="260">
        <v>21.494846772358589</v>
      </c>
    </row>
    <row r="45" spans="1:18" x14ac:dyDescent="0.25">
      <c r="A45" s="260"/>
      <c r="B45" s="262"/>
      <c r="C45" s="262"/>
      <c r="D45" s="262"/>
      <c r="E45" s="262"/>
      <c r="F45" s="260">
        <v>2.5704868897532989</v>
      </c>
      <c r="G45" s="260">
        <v>2.960722688124628</v>
      </c>
      <c r="H45" s="260">
        <v>2.3781406056416041</v>
      </c>
      <c r="I45" s="260">
        <v>3.8804631985725111</v>
      </c>
      <c r="L45" t="s">
        <v>98</v>
      </c>
      <c r="N45" t="s">
        <v>99</v>
      </c>
      <c r="P45" t="s">
        <v>3</v>
      </c>
    </row>
    <row r="46" spans="1:18" x14ac:dyDescent="0.25">
      <c r="A46" s="260"/>
      <c r="B46" s="262"/>
      <c r="C46" s="262"/>
      <c r="D46" s="262"/>
      <c r="E46" s="262"/>
      <c r="F46" s="260">
        <v>0</v>
      </c>
      <c r="G46" s="260">
        <v>0</v>
      </c>
      <c r="H46" s="260">
        <v>15.400655915449825</v>
      </c>
      <c r="I46" s="260">
        <v>0</v>
      </c>
      <c r="L46">
        <f>90.2+88.7</f>
        <v>178.9</v>
      </c>
      <c r="N46">
        <f>0.08*(44.8+15.6)</f>
        <v>4.8319999999999999</v>
      </c>
      <c r="P46">
        <f>L46*N46</f>
        <v>864.44479999999999</v>
      </c>
    </row>
    <row r="47" spans="1:18" x14ac:dyDescent="0.25">
      <c r="A47" s="261"/>
      <c r="B47" s="263"/>
      <c r="C47" s="263"/>
      <c r="D47" s="263"/>
      <c r="E47" s="263"/>
      <c r="F47" s="260">
        <v>99.999999999999986</v>
      </c>
      <c r="G47" s="260">
        <v>100</v>
      </c>
      <c r="H47" s="260">
        <v>99.999999999999972</v>
      </c>
      <c r="I47" s="260">
        <v>99.999999999999986</v>
      </c>
      <c r="L47">
        <f>88.7+87.1</f>
        <v>175.8</v>
      </c>
      <c r="N47">
        <f>N46</f>
        <v>4.8319999999999999</v>
      </c>
      <c r="P47">
        <f t="shared" ref="P47:P49" si="35">L47*N47</f>
        <v>849.46559999999999</v>
      </c>
    </row>
    <row r="48" spans="1:18" x14ac:dyDescent="0.25">
      <c r="L48">
        <f>93.1+88</f>
        <v>181.1</v>
      </c>
      <c r="N48">
        <f t="shared" ref="N48:N49" si="36">N47</f>
        <v>4.8319999999999999</v>
      </c>
      <c r="P48">
        <f t="shared" si="35"/>
        <v>875.0752</v>
      </c>
    </row>
    <row r="49" spans="6:16" x14ac:dyDescent="0.25">
      <c r="L49">
        <f>93.5+88.4</f>
        <v>181.9</v>
      </c>
      <c r="N49">
        <f t="shared" si="36"/>
        <v>4.8319999999999999</v>
      </c>
      <c r="P49">
        <f t="shared" si="35"/>
        <v>878.94079999999997</v>
      </c>
    </row>
    <row r="51" spans="6:16" x14ac:dyDescent="0.25">
      <c r="F51" s="13">
        <f>SUM(F41:F47)</f>
        <v>199.99999999999997</v>
      </c>
      <c r="G51" s="13">
        <f>SUM(G41:G47)</f>
        <v>200</v>
      </c>
      <c r="H51" s="13">
        <f>SUM(H41:H47)</f>
        <v>199.99999999999994</v>
      </c>
      <c r="I51" s="13">
        <f>SUM(I41:I47)</f>
        <v>199.99999999999997</v>
      </c>
    </row>
  </sheetData>
  <customSheetViews>
    <customSheetView guid="{B6B32F45-A9D9-479B-AD0E-29A61458D679}" scale="145" hiddenColumns="1">
      <selection activeCell="AA5" sqref="AA5"/>
      <pageMargins left="0.7" right="0.7" top="0.75" bottom="0.75" header="0.3" footer="0.3"/>
    </customSheetView>
  </customSheetViews>
  <mergeCells count="1">
    <mergeCell ref="Y2:Y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LAND PREPARATION</vt:lpstr>
      <vt:lpstr>TRANSPLANTING</vt:lpstr>
      <vt:lpstr>agr inputs</vt:lpstr>
      <vt:lpstr>Fertilizer 2015WS</vt:lpstr>
      <vt:lpstr>Fertilizer 2016DS</vt:lpstr>
      <vt:lpstr>FERTILIZER APPLICATION</vt:lpstr>
      <vt:lpstr>Grain and ricestraw</vt:lpstr>
      <vt:lpstr>Energy - WS2015</vt:lpstr>
      <vt:lpstr>Energy - DS2016</vt:lpstr>
      <vt:lpstr>GHFE and Human Toxicity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Van, Hung (IRRI)</dc:creator>
  <cp:lastModifiedBy>Nguyen Van, Hung (IRRI)</cp:lastModifiedBy>
  <dcterms:created xsi:type="dcterms:W3CDTF">2019-07-15T08:30:12Z</dcterms:created>
  <dcterms:modified xsi:type="dcterms:W3CDTF">2019-09-29T08:27:01Z</dcterms:modified>
</cp:coreProperties>
</file>