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indiargenttrois/Desktop/Final Ms Chacay Melehue /"/>
    </mc:Choice>
  </mc:AlternateContent>
  <xr:revisionPtr revIDLastSave="0" documentId="8_{0FB93012-14C5-D34A-9F97-89F1D524272D}" xr6:coauthVersionLast="47" xr6:coauthVersionMax="47" xr10:uidLastSave="{00000000-0000-0000-0000-000000000000}"/>
  <bookViews>
    <workbookView xWindow="23720" yWindow="1680" windowWidth="23640" windowHeight="24660" activeTab="3"/>
  </bookViews>
  <sheets>
    <sheet name="Supplementary Data for Chacay M" sheetId="1" r:id="rId1"/>
    <sheet name="Chemostrat d13C" sheetId="2" r:id="rId2"/>
    <sheet name="Geochronology" sheetId="7" r:id="rId3"/>
    <sheet name="Chron.jl" sheetId="5" r:id="rId4"/>
    <sheet name="Karoo Ferrar Data" sheetId="6" r:id="rId5"/>
    <sheet name="RockEval" sheetId="8" r:id="rId6"/>
  </sheets>
  <definedNames>
    <definedName name="____gXY1" localSheetId="2">#REF!</definedName>
    <definedName name="____gXY1">#REF!</definedName>
    <definedName name="___gXY1" localSheetId="2">#REF!</definedName>
    <definedName name="___gXY1">#REF!</definedName>
    <definedName name="__gXY1" localSheetId="2">#REF!</definedName>
    <definedName name="__gXY1">#REF!</definedName>
    <definedName name="_gXY1">#REF!</definedName>
    <definedName name="ConcAgeTik1">#REF!</definedName>
    <definedName name="ConcAgeTik10">#REF!</definedName>
    <definedName name="ConcAgeTik2">#REF!</definedName>
    <definedName name="ConcAgeTik3">#REF!</definedName>
    <definedName name="ConcAgeTik4">#REF!</definedName>
    <definedName name="ConcAgeTik5">#REF!</definedName>
    <definedName name="ConcAgeTik6">#REF!</definedName>
    <definedName name="ConcAgeTik7">#REF!</definedName>
    <definedName name="ConcAgeTik8">#REF!</definedName>
    <definedName name="ConcAgeTik9">#REF!</definedName>
    <definedName name="ConcAgeTikAge10">#REF!</definedName>
    <definedName name="ConcAgeTikAge6">#REF!</definedName>
    <definedName name="ConcAgeTikAge7">#REF!</definedName>
    <definedName name="ConcAgeTikAge8">#REF!</definedName>
    <definedName name="ConcAgeTikAge9">#REF!</definedName>
    <definedName name="Ellipse1_1">#REF!</definedName>
    <definedName name="Ellipse1_10">#REF!</definedName>
    <definedName name="Ellipse1_11">#REF!</definedName>
    <definedName name="Ellipse1_12">#REF!</definedName>
    <definedName name="Ellipse1_13">#REF!</definedName>
    <definedName name="Ellipse1_14">#REF!</definedName>
    <definedName name="Ellipse1_15">#REF!</definedName>
    <definedName name="Ellipse1_16">#REF!</definedName>
    <definedName name="Ellipse1_17">#REF!</definedName>
    <definedName name="Ellipse1_18">#REF!</definedName>
    <definedName name="Ellipse1_19">#REF!</definedName>
    <definedName name="Ellipse1_2">#REF!</definedName>
    <definedName name="Ellipse1_20">#REF!</definedName>
    <definedName name="Ellipse1_21">#REF!</definedName>
    <definedName name="Ellipse1_22">#REF!</definedName>
    <definedName name="Ellipse1_23">#REF!</definedName>
    <definedName name="Ellipse1_24">#REF!</definedName>
    <definedName name="Ellipse1_25">#REF!</definedName>
    <definedName name="Ellipse1_26">#REF!</definedName>
    <definedName name="Ellipse1_27">#REF!</definedName>
    <definedName name="Ellipse1_28">#REF!</definedName>
    <definedName name="Ellipse1_29">#REF!</definedName>
    <definedName name="Ellipse1_3">#REF!</definedName>
    <definedName name="Ellipse1_30">#REF!</definedName>
    <definedName name="Ellipse1_31">#REF!</definedName>
    <definedName name="Ellipse1_32">#REF!</definedName>
    <definedName name="Ellipse1_33">#REF!</definedName>
    <definedName name="Ellipse1_34">#REF!</definedName>
    <definedName name="Ellipse1_35">#REF!</definedName>
    <definedName name="Ellipse1_4">#REF!</definedName>
    <definedName name="Ellipse1_5">#REF!</definedName>
    <definedName name="Ellipse1_6">#REF!</definedName>
    <definedName name="Ellipse1_7">#REF!</definedName>
    <definedName name="Ellipse1_8">#REF!</definedName>
    <definedName name="Ellipse1_9">#REF!</definedName>
    <definedName name="Ellipse2_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F5" i="8"/>
  <c r="F52" i="8"/>
  <c r="F80" i="8"/>
  <c r="F60" i="8"/>
  <c r="F134" i="8"/>
  <c r="F4" i="8"/>
  <c r="F119" i="8"/>
  <c r="F73" i="8"/>
  <c r="F135" i="8"/>
  <c r="F120" i="8"/>
  <c r="F23" i="8"/>
  <c r="F87" i="8"/>
  <c r="F90" i="8"/>
  <c r="F143" i="8"/>
  <c r="F31" i="8"/>
  <c r="F138" i="8"/>
  <c r="F117" i="8"/>
  <c r="F32" i="8"/>
  <c r="F66" i="8"/>
  <c r="F65" i="8"/>
  <c r="F44" i="8"/>
  <c r="F62" i="8"/>
  <c r="F112" i="8"/>
  <c r="F54" i="8"/>
  <c r="F36" i="8"/>
  <c r="F109" i="8"/>
  <c r="F34" i="8"/>
  <c r="F132" i="8"/>
  <c r="F26" i="8"/>
  <c r="F128" i="8"/>
  <c r="F96" i="8"/>
  <c r="F20" i="8"/>
  <c r="F27" i="8"/>
  <c r="F30" i="8"/>
  <c r="F124" i="8"/>
  <c r="F131" i="8"/>
  <c r="F70" i="8"/>
  <c r="F17" i="8"/>
  <c r="F95" i="8"/>
  <c r="F147" i="8"/>
  <c r="F104" i="8"/>
  <c r="F142" i="8"/>
  <c r="F148" i="8"/>
  <c r="F130" i="8"/>
  <c r="F79" i="8"/>
  <c r="F11" i="8"/>
  <c r="F136" i="8"/>
  <c r="F35" i="8"/>
  <c r="F63" i="8"/>
  <c r="F94" i="8"/>
  <c r="F43" i="8"/>
  <c r="F133" i="8"/>
  <c r="F82" i="8"/>
  <c r="F129" i="8"/>
  <c r="F67" i="8"/>
  <c r="F74" i="8"/>
  <c r="F75" i="8"/>
  <c r="F121" i="8"/>
  <c r="F59" i="8"/>
  <c r="F21" i="8"/>
  <c r="F83" i="8"/>
  <c r="F122" i="8"/>
  <c r="F45" i="8"/>
  <c r="F6" i="8"/>
  <c r="F48" i="8"/>
  <c r="F25" i="8"/>
  <c r="F111" i="8"/>
  <c r="F145" i="8"/>
  <c r="F46" i="8"/>
  <c r="F84" i="8"/>
  <c r="F49" i="8"/>
  <c r="F55" i="8"/>
  <c r="F116" i="8"/>
  <c r="F57" i="8"/>
  <c r="F18" i="8"/>
  <c r="F141" i="8"/>
  <c r="F7" i="8"/>
  <c r="F53" i="8"/>
  <c r="F8" i="8"/>
  <c r="F101" i="8"/>
  <c r="F68" i="8"/>
  <c r="F13" i="8"/>
  <c r="F118" i="8"/>
  <c r="F28" i="8"/>
  <c r="F126" i="8"/>
  <c r="F81" i="8"/>
  <c r="F50" i="8"/>
  <c r="F77" i="8"/>
  <c r="F85" i="8"/>
  <c r="F42" i="8"/>
  <c r="F47" i="8"/>
  <c r="F78" i="8"/>
  <c r="F15" i="8"/>
  <c r="F107" i="8"/>
  <c r="F9" i="8"/>
  <c r="F89" i="8"/>
  <c r="F115" i="8"/>
  <c r="F127" i="8"/>
  <c r="F39" i="8"/>
  <c r="F139" i="8"/>
  <c r="F40" i="8"/>
  <c r="F76" i="8"/>
  <c r="F88" i="8"/>
  <c r="F140" i="8"/>
  <c r="F92" i="8"/>
  <c r="F10" i="8"/>
  <c r="F86" i="8"/>
  <c r="F99" i="8"/>
  <c r="F144" i="8"/>
  <c r="F146" i="8"/>
  <c r="F125" i="8"/>
  <c r="F71" i="8"/>
  <c r="F123" i="8"/>
  <c r="F114" i="8"/>
  <c r="F51" i="8"/>
  <c r="F113" i="8"/>
  <c r="F137" i="8"/>
  <c r="F100" i="8"/>
  <c r="F16" i="8"/>
  <c r="F22" i="8"/>
  <c r="F58" i="8"/>
  <c r="F24" i="8"/>
  <c r="F98" i="8"/>
  <c r="F19" i="8"/>
  <c r="F29" i="8"/>
  <c r="F38" i="8"/>
  <c r="F91" i="8"/>
  <c r="F41" i="8"/>
  <c r="F108" i="8"/>
  <c r="F106" i="8"/>
  <c r="F105" i="8"/>
  <c r="F64" i="8"/>
  <c r="F12" i="8"/>
  <c r="F110" i="8"/>
  <c r="F102" i="8"/>
  <c r="F103" i="8"/>
  <c r="F56" i="8"/>
  <c r="F33" i="8"/>
  <c r="F93" i="8"/>
  <c r="F14" i="8"/>
  <c r="F72" i="8"/>
  <c r="F61" i="8"/>
  <c r="F97" i="8"/>
  <c r="F37" i="8"/>
  <c r="F69" i="8"/>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J49" i="1"/>
  <c r="J50" i="1"/>
  <c r="K49" i="1"/>
  <c r="B50" i="1"/>
  <c r="B51" i="1"/>
  <c r="J51" i="1"/>
  <c r="K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alcChain>
</file>

<file path=xl/sharedStrings.xml><?xml version="1.0" encoding="utf-8"?>
<sst xmlns="http://schemas.openxmlformats.org/spreadsheetml/2006/main" count="925" uniqueCount="698">
  <si>
    <t>NS</t>
  </si>
  <si>
    <t>CM216</t>
  </si>
  <si>
    <t>CM215</t>
  </si>
  <si>
    <t>CM213</t>
  </si>
  <si>
    <t>CM211</t>
  </si>
  <si>
    <t>CM203</t>
  </si>
  <si>
    <t>CM178</t>
  </si>
  <si>
    <t>CM176</t>
  </si>
  <si>
    <t>CM175</t>
  </si>
  <si>
    <t>CM174</t>
  </si>
  <si>
    <t>CM173</t>
  </si>
  <si>
    <t>CM172</t>
  </si>
  <si>
    <t>CM171</t>
  </si>
  <si>
    <t>CM170</t>
  </si>
  <si>
    <t>CM169</t>
  </si>
  <si>
    <t>CM168</t>
  </si>
  <si>
    <t>CM167</t>
  </si>
  <si>
    <t>CM166</t>
  </si>
  <si>
    <t>CM165</t>
  </si>
  <si>
    <t>CM164</t>
  </si>
  <si>
    <t>CM163</t>
  </si>
  <si>
    <t>CM162</t>
  </si>
  <si>
    <t>CM161</t>
  </si>
  <si>
    <t>CM160</t>
  </si>
  <si>
    <t>CM159</t>
  </si>
  <si>
    <t>CM158</t>
  </si>
  <si>
    <t>CM157</t>
  </si>
  <si>
    <t>CM156</t>
  </si>
  <si>
    <t>CM155</t>
  </si>
  <si>
    <t>CM154</t>
  </si>
  <si>
    <t>CM153</t>
  </si>
  <si>
    <t>CM152</t>
  </si>
  <si>
    <t>CM151</t>
  </si>
  <si>
    <t>CM150</t>
  </si>
  <si>
    <t>CM149</t>
  </si>
  <si>
    <t>CM148</t>
  </si>
  <si>
    <t>CM147</t>
  </si>
  <si>
    <t>CM146</t>
  </si>
  <si>
    <t>CM145</t>
  </si>
  <si>
    <t>CM144</t>
  </si>
  <si>
    <t>CM143</t>
  </si>
  <si>
    <t>CM142</t>
  </si>
  <si>
    <t>CM141</t>
  </si>
  <si>
    <t>CM224</t>
  </si>
  <si>
    <t>CM140</t>
  </si>
  <si>
    <t>CM139</t>
  </si>
  <si>
    <t>CM138</t>
  </si>
  <si>
    <t>CM137</t>
  </si>
  <si>
    <t>CM136</t>
  </si>
  <si>
    <t>CM135</t>
  </si>
  <si>
    <t>CM134</t>
  </si>
  <si>
    <t>CM133</t>
  </si>
  <si>
    <t>CM132</t>
  </si>
  <si>
    <t>CM131</t>
  </si>
  <si>
    <t>CM130</t>
  </si>
  <si>
    <t>CM106</t>
  </si>
  <si>
    <t>CM105</t>
  </si>
  <si>
    <t>CM104</t>
  </si>
  <si>
    <t>CM103</t>
  </si>
  <si>
    <t>CM102</t>
  </si>
  <si>
    <t>CM101</t>
  </si>
  <si>
    <t>CM100</t>
  </si>
  <si>
    <t>CM99</t>
  </si>
  <si>
    <t>CM98</t>
  </si>
  <si>
    <t>CM97</t>
  </si>
  <si>
    <t>CM96</t>
  </si>
  <si>
    <t>CM95</t>
  </si>
  <si>
    <t>CM94</t>
  </si>
  <si>
    <t>CM93</t>
  </si>
  <si>
    <t>CM92</t>
  </si>
  <si>
    <t>CM91</t>
  </si>
  <si>
    <t>CM90</t>
  </si>
  <si>
    <t>CM89</t>
  </si>
  <si>
    <t>CM88</t>
  </si>
  <si>
    <t>CM87</t>
  </si>
  <si>
    <t>CM86</t>
  </si>
  <si>
    <t>CM85</t>
  </si>
  <si>
    <t>CM84</t>
  </si>
  <si>
    <t>CM521</t>
  </si>
  <si>
    <t>CM83</t>
  </si>
  <si>
    <t>CM520</t>
  </si>
  <si>
    <t>CM82</t>
  </si>
  <si>
    <t>CM519</t>
  </si>
  <si>
    <t>CM81</t>
  </si>
  <si>
    <t>CM518</t>
  </si>
  <si>
    <t>CM80</t>
  </si>
  <si>
    <t>CM517</t>
  </si>
  <si>
    <t>CM79</t>
  </si>
  <si>
    <t>CM516</t>
  </si>
  <si>
    <t>CM78</t>
  </si>
  <si>
    <t>CM515</t>
  </si>
  <si>
    <t>CM77</t>
  </si>
  <si>
    <t>CM514</t>
  </si>
  <si>
    <t>CM513</t>
  </si>
  <si>
    <t>CM76</t>
  </si>
  <si>
    <t>CM75</t>
  </si>
  <si>
    <t>CM74</t>
  </si>
  <si>
    <t>CM73</t>
  </si>
  <si>
    <t>CM223</t>
  </si>
  <si>
    <t>CM72</t>
  </si>
  <si>
    <t>CM222</t>
  </si>
  <si>
    <t>CM71</t>
  </si>
  <si>
    <t>CM221</t>
  </si>
  <si>
    <t>CM70</t>
  </si>
  <si>
    <t>CM220</t>
  </si>
  <si>
    <t>CM69</t>
  </si>
  <si>
    <t>CM219</t>
  </si>
  <si>
    <t>CM68</t>
  </si>
  <si>
    <t>CM218</t>
  </si>
  <si>
    <t>CM67</t>
  </si>
  <si>
    <t>CM217</t>
  </si>
  <si>
    <t>CM66</t>
  </si>
  <si>
    <t>CM65</t>
  </si>
  <si>
    <t>CM64</t>
  </si>
  <si>
    <t>CM214</t>
  </si>
  <si>
    <t>CM63</t>
  </si>
  <si>
    <t>CM62</t>
  </si>
  <si>
    <t>CM212</t>
  </si>
  <si>
    <t>CM61</t>
  </si>
  <si>
    <t>CM60</t>
  </si>
  <si>
    <t>CM210</t>
  </si>
  <si>
    <t>CM59</t>
  </si>
  <si>
    <t>CM209</t>
  </si>
  <si>
    <t>CM58</t>
  </si>
  <si>
    <t>CM208</t>
  </si>
  <si>
    <t>CM57</t>
  </si>
  <si>
    <t>CM207</t>
  </si>
  <si>
    <t>CM56</t>
  </si>
  <si>
    <t>CM206</t>
  </si>
  <si>
    <t>CM55</t>
  </si>
  <si>
    <t>CM205</t>
  </si>
  <si>
    <t>CM54</t>
  </si>
  <si>
    <t>CM204</t>
  </si>
  <si>
    <t>CM53</t>
  </si>
  <si>
    <t>CM52</t>
  </si>
  <si>
    <t>CM202</t>
  </si>
  <si>
    <t>CM51</t>
  </si>
  <si>
    <t>CM201</t>
  </si>
  <si>
    <t>CM50</t>
  </si>
  <si>
    <t>CM200</t>
  </si>
  <si>
    <t xml:space="preserve"> CM49</t>
  </si>
  <si>
    <t>CM199</t>
  </si>
  <si>
    <t>CM48</t>
  </si>
  <si>
    <t>CM198</t>
  </si>
  <si>
    <t>CM47B</t>
  </si>
  <si>
    <t>CM47A</t>
  </si>
  <si>
    <t>CM197</t>
  </si>
  <si>
    <t>CM46</t>
  </si>
  <si>
    <t>CM196</t>
  </si>
  <si>
    <t>CM45</t>
  </si>
  <si>
    <t>CM195</t>
  </si>
  <si>
    <t>CM44</t>
  </si>
  <si>
    <t>CM194</t>
  </si>
  <si>
    <t>CM43</t>
  </si>
  <si>
    <t>CM193</t>
  </si>
  <si>
    <t>CM42</t>
  </si>
  <si>
    <t>CM192</t>
  </si>
  <si>
    <t>CM41</t>
  </si>
  <si>
    <t>CM191</t>
  </si>
  <si>
    <t>CM40</t>
  </si>
  <si>
    <t>CM190</t>
  </si>
  <si>
    <t>CM39</t>
  </si>
  <si>
    <t>CM189</t>
  </si>
  <si>
    <t>CM38</t>
  </si>
  <si>
    <t>CM188</t>
  </si>
  <si>
    <t>CM37</t>
  </si>
  <si>
    <t>CM187</t>
  </si>
  <si>
    <t>CM36</t>
  </si>
  <si>
    <t>CM186</t>
  </si>
  <si>
    <t>CM35</t>
  </si>
  <si>
    <t>CM185</t>
  </si>
  <si>
    <t>CM34</t>
  </si>
  <si>
    <t>CM184</t>
  </si>
  <si>
    <t>CM33</t>
  </si>
  <si>
    <t>CM183</t>
  </si>
  <si>
    <t>CM32</t>
  </si>
  <si>
    <t>CM182</t>
  </si>
  <si>
    <t>CM31</t>
  </si>
  <si>
    <t>CM181</t>
  </si>
  <si>
    <t>CM30</t>
  </si>
  <si>
    <t>CM180</t>
  </si>
  <si>
    <t>CM29</t>
  </si>
  <si>
    <t>CM179</t>
  </si>
  <si>
    <t>CM28</t>
  </si>
  <si>
    <t>CM27</t>
  </si>
  <si>
    <t>CM177</t>
  </si>
  <si>
    <t>CM26</t>
  </si>
  <si>
    <t>CM512</t>
  </si>
  <si>
    <t>CM25</t>
  </si>
  <si>
    <t>CM511</t>
  </si>
  <si>
    <t>CM24</t>
  </si>
  <si>
    <t>CM510</t>
  </si>
  <si>
    <t>CM129</t>
  </si>
  <si>
    <t>CM509</t>
  </si>
  <si>
    <t>CM23</t>
  </si>
  <si>
    <t>CM508</t>
  </si>
  <si>
    <t>Max</t>
  </si>
  <si>
    <t>CM128</t>
  </si>
  <si>
    <t>Mean</t>
  </si>
  <si>
    <t>CM507</t>
  </si>
  <si>
    <t>Min</t>
  </si>
  <si>
    <t>CM127</t>
  </si>
  <si>
    <t>CM506</t>
  </si>
  <si>
    <t>CM505</t>
  </si>
  <si>
    <t>CM22</t>
  </si>
  <si>
    <t>CM126</t>
  </si>
  <si>
    <t>CM21</t>
  </si>
  <si>
    <t>CM504</t>
  </si>
  <si>
    <t>CM125</t>
  </si>
  <si>
    <t>CM503</t>
  </si>
  <si>
    <t>CM20/CM502</t>
  </si>
  <si>
    <t>CM124</t>
  </si>
  <si>
    <t>CM501</t>
  </si>
  <si>
    <t>CM123</t>
  </si>
  <si>
    <t>CM19</t>
  </si>
  <si>
    <t>CM122</t>
  </si>
  <si>
    <t>CM121</t>
  </si>
  <si>
    <t>CM18</t>
  </si>
  <si>
    <t>CM120</t>
  </si>
  <si>
    <t>CM17</t>
  </si>
  <si>
    <t>CM119</t>
  </si>
  <si>
    <t>CM118</t>
  </si>
  <si>
    <t>CM16</t>
  </si>
  <si>
    <t>CM15</t>
  </si>
  <si>
    <t>CM117</t>
  </si>
  <si>
    <t>CM14</t>
  </si>
  <si>
    <t xml:space="preserve"> CM116</t>
  </si>
  <si>
    <t>CM115</t>
  </si>
  <si>
    <t>CM13</t>
  </si>
  <si>
    <t>CM114</t>
  </si>
  <si>
    <t>CM12</t>
  </si>
  <si>
    <t>CM11</t>
  </si>
  <si>
    <t>CM113</t>
  </si>
  <si>
    <t>CM10</t>
  </si>
  <si>
    <t>CM09</t>
  </si>
  <si>
    <t>CM8</t>
  </si>
  <si>
    <t>CM112</t>
  </si>
  <si>
    <t>CM07</t>
  </si>
  <si>
    <t>CM111</t>
  </si>
  <si>
    <t>CM06</t>
  </si>
  <si>
    <t>CM110</t>
  </si>
  <si>
    <t>CM05</t>
  </si>
  <si>
    <t>CM04</t>
  </si>
  <si>
    <t>CM03</t>
  </si>
  <si>
    <t>CM109</t>
  </si>
  <si>
    <t>CM02</t>
  </si>
  <si>
    <t>CM108</t>
  </si>
  <si>
    <t>CM01</t>
  </si>
  <si>
    <t>CM107</t>
  </si>
  <si>
    <t>Hg/TOC [Average]</t>
  </si>
  <si>
    <t>d13Corg</t>
  </si>
  <si>
    <t>TOC%</t>
  </si>
  <si>
    <t>Height (m)</t>
  </si>
  <si>
    <t>Name</t>
  </si>
  <si>
    <t>(j) Corrected for fractionation, spike, and blank Pb only.</t>
  </si>
  <si>
    <t>(i) Calculations are based on the decay constants of Jaffey et al. (1971). 206Pb/238U and 207Pb/206Pb ages corrected for initial disequilibrium in 230Th/238U using Th/U [magma] = 3.</t>
  </si>
  <si>
    <t>(h) Errors are 2-sigma, propagated using the algorithms of Schmitz and Schoene (2007) and Crowley et al. (2007).</t>
  </si>
  <si>
    <t xml:space="preserve">     208Pb/204Pb = 38.51 ± 0.74% (all uncertainties 1-sigma).  Excess over blank was assigned to initial common Pb.</t>
  </si>
  <si>
    <t>(g) Corrected for fractionation, spike, and common Pb; up to 1 pg of common Pb was assumed to be procedural blank: 206Pb/204Pb = 18.60 ± 0.80%; 207Pb/204Pb = 15.69 ± 0.32%;</t>
  </si>
  <si>
    <t xml:space="preserve">     Daly analyses, based on analysis of NBS-981 and NBS-982.</t>
  </si>
  <si>
    <t>(f) Measured ratio corrected for spike and fractionation only.</t>
  </si>
  <si>
    <r>
      <t xml:space="preserve">(e) Pb* and Pbc represent radiogenic and common Pb, respectively; mol % </t>
    </r>
    <r>
      <rPr>
        <vertAlign val="superscript"/>
        <sz val="8"/>
        <rFont val="Times New Roman"/>
        <family val="1"/>
      </rPr>
      <t>206</t>
    </r>
    <r>
      <rPr>
        <sz val="8"/>
        <rFont val="Times New Roman"/>
        <family val="1"/>
      </rPr>
      <t>Pb* with respect to radiogenic, blank and initial common Pb.</t>
    </r>
  </si>
  <si>
    <t>(d) Model Th/U ratio calculated from radiogenic 208Pb/206Pb ratio and 207Pb/235U age.</t>
  </si>
  <si>
    <t>(c) Nominal U and total Pb concentrations subject to uncertainty in photomicrographic estimation of weight and partial dissolution during chemical abrasion.</t>
  </si>
  <si>
    <t>(b) Nominal fraction weights estimated from photomicrographic grain dimensions, adjusted for partial dissolution during chemical abrasion.</t>
  </si>
  <si>
    <t>(a) z1, z2 etc. are labels for fractions composed of single zircon grains or fragments; all fractions annealed and chemically abraded after Mattinson (2005).</t>
  </si>
  <si>
    <t>z7</t>
  </si>
  <si>
    <t>z6</t>
  </si>
  <si>
    <t>z3</t>
  </si>
  <si>
    <t>8.69 m</t>
  </si>
  <si>
    <t>z4</t>
  </si>
  <si>
    <t>Maximum age</t>
  </si>
  <si>
    <t>z5</t>
  </si>
  <si>
    <t>CM-ASH-1</t>
  </si>
  <si>
    <t>Z1</t>
  </si>
  <si>
    <t>Z2</t>
  </si>
  <si>
    <t>Z3</t>
  </si>
  <si>
    <t>Z4</t>
  </si>
  <si>
    <t>Z5</t>
  </si>
  <si>
    <t>Z6</t>
  </si>
  <si>
    <t>Z7</t>
  </si>
  <si>
    <t>Z8</t>
  </si>
  <si>
    <t>Z9</t>
  </si>
  <si>
    <t>17.34m</t>
  </si>
  <si>
    <t>Z10</t>
  </si>
  <si>
    <t>Estimated eruption age: 182.82 +/- 0.28 Ma (2σ)</t>
  </si>
  <si>
    <t>z2</t>
  </si>
  <si>
    <t>z12</t>
  </si>
  <si>
    <t>z8</t>
  </si>
  <si>
    <t>z11</t>
  </si>
  <si>
    <t>z10</t>
  </si>
  <si>
    <t>19.24m</t>
  </si>
  <si>
    <t>z9</t>
  </si>
  <si>
    <t xml:space="preserve">Youngest coherent population </t>
  </si>
  <si>
    <t>Estimated eruption age: 182.66 +/- 0.21 Ma (2σ) (all data included)</t>
  </si>
  <si>
    <t>CM-ASH-3</t>
  </si>
  <si>
    <t>25.02m</t>
  </si>
  <si>
    <t>Estimated eruption age: 182.66 +/- 0.33 Ma (2σ) (all data included)</t>
  </si>
  <si>
    <t>CM-ASH-6</t>
  </si>
  <si>
    <t>(h)</t>
  </si>
  <si>
    <t>(i)</t>
  </si>
  <si>
    <t>(g)</t>
  </si>
  <si>
    <t>(f)</t>
  </si>
  <si>
    <t>(e)</t>
  </si>
  <si>
    <t>(c)</t>
  </si>
  <si>
    <t>(d)</t>
  </si>
  <si>
    <t>(b)</t>
  </si>
  <si>
    <t>(a)</t>
  </si>
  <si>
    <t xml:space="preserve">± </t>
  </si>
  <si>
    <r>
      <t>238</t>
    </r>
    <r>
      <rPr>
        <sz val="8"/>
        <rFont val="Times New Roman"/>
        <family val="1"/>
      </rPr>
      <t>U</t>
    </r>
  </si>
  <si>
    <r>
      <t>235</t>
    </r>
    <r>
      <rPr>
        <sz val="8"/>
        <rFont val="Times New Roman"/>
        <family val="1"/>
      </rPr>
      <t>U</t>
    </r>
  </si>
  <si>
    <r>
      <t>206</t>
    </r>
    <r>
      <rPr>
        <sz val="8"/>
        <rFont val="Times New Roman"/>
        <family val="1"/>
      </rPr>
      <t>Pb</t>
    </r>
  </si>
  <si>
    <t>coef.</t>
  </si>
  <si>
    <t>% err</t>
  </si>
  <si>
    <r>
      <t>204</t>
    </r>
    <r>
      <rPr>
        <sz val="8"/>
        <rFont val="Times New Roman"/>
        <family val="1"/>
      </rPr>
      <t>Pb</t>
    </r>
  </si>
  <si>
    <t>(pg)</t>
  </si>
  <si>
    <r>
      <t>Pb</t>
    </r>
    <r>
      <rPr>
        <vertAlign val="subscript"/>
        <sz val="8"/>
        <rFont val="Times New Roman"/>
        <family val="1"/>
      </rPr>
      <t>c</t>
    </r>
  </si>
  <si>
    <r>
      <t>206</t>
    </r>
    <r>
      <rPr>
        <sz val="8"/>
        <rFont val="Times New Roman"/>
        <family val="1"/>
      </rPr>
      <t>Pb*</t>
    </r>
  </si>
  <si>
    <r>
      <t>x10</t>
    </r>
    <r>
      <rPr>
        <vertAlign val="superscript"/>
        <sz val="8"/>
        <rFont val="Times New Roman"/>
        <family val="1"/>
      </rPr>
      <t>-13</t>
    </r>
    <r>
      <rPr>
        <sz val="8"/>
        <rFont val="Times New Roman"/>
        <family val="1"/>
      </rPr>
      <t xml:space="preserve"> mol</t>
    </r>
  </si>
  <si>
    <t>ppm</t>
  </si>
  <si>
    <t>U</t>
  </si>
  <si>
    <t>mg</t>
  </si>
  <si>
    <t>Sample</t>
  </si>
  <si>
    <r>
      <t>206</t>
    </r>
    <r>
      <rPr>
        <u/>
        <sz val="8"/>
        <rFont val="Times New Roman"/>
        <family val="1"/>
      </rPr>
      <t>Pb</t>
    </r>
  </si>
  <si>
    <r>
      <t>207</t>
    </r>
    <r>
      <rPr>
        <u/>
        <sz val="8"/>
        <rFont val="Times New Roman"/>
        <family val="1"/>
      </rPr>
      <t>Pb</t>
    </r>
  </si>
  <si>
    <t>corr.</t>
  </si>
  <si>
    <r>
      <t>208</t>
    </r>
    <r>
      <rPr>
        <u/>
        <sz val="8"/>
        <rFont val="Times New Roman"/>
        <family val="1"/>
      </rPr>
      <t>Pb</t>
    </r>
  </si>
  <si>
    <t>Pb*</t>
  </si>
  <si>
    <t>mol %</t>
  </si>
  <si>
    <t>Pb</t>
  </si>
  <si>
    <t>Th</t>
  </si>
  <si>
    <t>Wt.</t>
  </si>
  <si>
    <t>Isotopic Ages</t>
  </si>
  <si>
    <t>Radiogenic Isotope Ratios</t>
  </si>
  <si>
    <t>Compositional Parameters</t>
  </si>
  <si>
    <t>U-Th-Pb isotopic data</t>
  </si>
  <si>
    <t>tenuicostatum-heolderi boundary</t>
  </si>
  <si>
    <r>
      <rPr>
        <i/>
        <sz val="11"/>
        <color indexed="8"/>
        <rFont val="Calibri"/>
        <family val="2"/>
      </rPr>
      <t xml:space="preserve">disciforme-tenuicostatum </t>
    </r>
    <r>
      <rPr>
        <sz val="10"/>
        <color indexed="8"/>
        <rFont val="Verdana"/>
        <family val="2"/>
      </rPr>
      <t>boundary</t>
    </r>
  </si>
  <si>
    <t>-</t>
  </si>
  <si>
    <t>+</t>
  </si>
  <si>
    <t>Age (Ma)</t>
  </si>
  <si>
    <t xml:space="preserve">U-Pb dates NOT included in Age-Depth Model </t>
  </si>
  <si>
    <t xml:space="preserve">U-Pb dates included in Age-Depth Model </t>
  </si>
  <si>
    <t>CM-ASH6</t>
  </si>
  <si>
    <t>CM-ASH3</t>
  </si>
  <si>
    <t>CM-ASH1</t>
  </si>
  <si>
    <t xml:space="preserve">Sample </t>
  </si>
  <si>
    <t>Paper</t>
  </si>
  <si>
    <t>Province</t>
  </si>
  <si>
    <t>Sample Number</t>
  </si>
  <si>
    <t>Formation/Location</t>
  </si>
  <si>
    <t>U-Pb age</t>
  </si>
  <si>
    <t>Reported 1σ error</t>
  </si>
  <si>
    <t>I-247</t>
  </si>
  <si>
    <r>
      <t xml:space="preserve">Ivanov </t>
    </r>
    <r>
      <rPr>
        <i/>
        <sz val="12"/>
        <color indexed="8"/>
        <rFont val="Calibri"/>
        <family val="2"/>
      </rPr>
      <t>et al.</t>
    </r>
    <r>
      <rPr>
        <sz val="12"/>
        <color indexed="8"/>
        <rFont val="Calibri"/>
        <family val="2"/>
      </rPr>
      <t xml:space="preserve"> (2017)</t>
    </r>
  </si>
  <si>
    <t>2013-289</t>
  </si>
  <si>
    <t>North West Bay (Tasmania)</t>
  </si>
  <si>
    <t>2013-288</t>
  </si>
  <si>
    <t>2013-290</t>
  </si>
  <si>
    <t>Cape Queen Elizabeth (Tasmania)</t>
  </si>
  <si>
    <t>SA39</t>
  </si>
  <si>
    <t>Labombo Rhyollite</t>
  </si>
  <si>
    <t>SA152</t>
  </si>
  <si>
    <t>Molteno and Elliot Fm</t>
  </si>
  <si>
    <t>SA97 baddeylite</t>
  </si>
  <si>
    <t>Tarkastad Fm</t>
  </si>
  <si>
    <t>SA97 Zircon</t>
  </si>
  <si>
    <t>SA 91</t>
  </si>
  <si>
    <t>SA.39.1</t>
  </si>
  <si>
    <t>Sabie River Fm</t>
  </si>
  <si>
    <t>SA.29.1</t>
  </si>
  <si>
    <t>SA.42.1</t>
  </si>
  <si>
    <t>Jozini Formation</t>
  </si>
  <si>
    <t>Burgess et al 2015</t>
  </si>
  <si>
    <t>85-4-18</t>
  </si>
  <si>
    <t>Mt. Picciotto Sill A (CTM)</t>
  </si>
  <si>
    <t>Burgess et al. 2015</t>
  </si>
  <si>
    <t>85-4-4</t>
  </si>
  <si>
    <t>Mt. Picciotto Sill B (CTM)</t>
  </si>
  <si>
    <t>85-5-6</t>
  </si>
  <si>
    <t>Dawson Peak Sill (CTM)</t>
  </si>
  <si>
    <t>85-76-63</t>
    <phoneticPr fontId="0" type="noConversion"/>
  </si>
  <si>
    <t>Storm Peak Lava (CTM)</t>
  </si>
  <si>
    <t>90-53-12</t>
  </si>
  <si>
    <t>Mt. Falla Sill (CTM)</t>
  </si>
  <si>
    <t>90-63-6</t>
  </si>
  <si>
    <t>96-74-6</t>
  </si>
  <si>
    <t>Roberts Massif (CTM)</t>
  </si>
  <si>
    <t>96-52-1</t>
  </si>
  <si>
    <t>Mt. Bumstead Upper Lava (CTM)</t>
  </si>
  <si>
    <t>96-55-2</t>
  </si>
  <si>
    <t>Mt. Bumstead Lower Lava (CTM)</t>
  </si>
  <si>
    <t>85-6-16</t>
  </si>
  <si>
    <t>Wahl Glacier Sill (CTM)</t>
  </si>
  <si>
    <t>96-65-11</t>
  </si>
  <si>
    <t>Nielson Plateau Sill A (CTM)</t>
  </si>
  <si>
    <t>90-76-13</t>
  </si>
  <si>
    <t>Pearse Valley Sill (CTM)</t>
  </si>
  <si>
    <t>96-51-67</t>
  </si>
  <si>
    <t>Rougier Hill Sill (CTM)</t>
  </si>
  <si>
    <t>97-17</t>
  </si>
  <si>
    <t>Red Hill (Tasmania)</t>
  </si>
  <si>
    <t>04-03-04</t>
  </si>
  <si>
    <t>Labyrinth Intrusion (SVL)</t>
  </si>
  <si>
    <t>97-55-1</t>
  </si>
  <si>
    <t>Brimstone Peak Lava (SVL)</t>
  </si>
  <si>
    <t>05-06-01</t>
  </si>
  <si>
    <t>Bull Pass Sill (SVL)</t>
  </si>
  <si>
    <t>A-236-A</t>
  </si>
  <si>
    <t>Pandora Spire (SVL)</t>
  </si>
  <si>
    <t>PRR-8633</t>
    <phoneticPr fontId="0" type="noConversion"/>
  </si>
  <si>
    <t>Forrestal Granophyre (Dufek)</t>
  </si>
  <si>
    <t>PRR-09305</t>
    <phoneticPr fontId="0" type="noConversion"/>
  </si>
  <si>
    <t>Lexington Granophyre (Dufek)</t>
  </si>
  <si>
    <t>New Amalfi Sheet (Karoo)</t>
  </si>
  <si>
    <t>QU 1-2,</t>
  </si>
  <si>
    <t>Beaufort Group</t>
  </si>
  <si>
    <t>K08-31</t>
  </si>
  <si>
    <t>K08-34,</t>
  </si>
  <si>
    <t>K08-41</t>
  </si>
  <si>
    <t>K08-48</t>
  </si>
  <si>
    <t>K08-47</t>
  </si>
  <si>
    <t>SP06-05</t>
  </si>
  <si>
    <t>Beaufort/Storm Group</t>
  </si>
  <si>
    <t>SP07-05</t>
  </si>
  <si>
    <t>K08-1</t>
  </si>
  <si>
    <t>SP08-05</t>
  </si>
  <si>
    <t>Gap Dyke X-cutting Beau./Storm Gp.</t>
  </si>
  <si>
    <t>K08-6</t>
  </si>
  <si>
    <t>K08-9</t>
  </si>
  <si>
    <t>Ecca Group</t>
  </si>
  <si>
    <t>K08-16</t>
  </si>
  <si>
    <t>K08-13</t>
  </si>
  <si>
    <t>Luttinen et al (2015)</t>
  </si>
  <si>
    <t>A1651</t>
  </si>
  <si>
    <t>East Muren gabbro, Zircon</t>
  </si>
  <si>
    <t>East Muren gabbro, baddeylite</t>
  </si>
  <si>
    <t>A1727</t>
  </si>
  <si>
    <t>West Muren gabbro, Zircon</t>
  </si>
  <si>
    <t>Greber et al (2020)</t>
  </si>
  <si>
    <t>SA102</t>
  </si>
  <si>
    <t>SA100</t>
  </si>
  <si>
    <t>SA91</t>
  </si>
  <si>
    <r>
      <t>Estimated maximum depositional age: 184.10 +/- 0.54 Ma (2</t>
    </r>
    <r>
      <rPr>
        <b/>
        <sz val="11"/>
        <color indexed="10"/>
        <rFont val="Symbol"/>
        <family val="1"/>
        <charset val="2"/>
      </rPr>
      <t>s</t>
    </r>
    <r>
      <rPr>
        <b/>
        <sz val="11"/>
        <color indexed="10"/>
        <rFont val="Courier New"/>
        <family val="3"/>
      </rPr>
      <t>)</t>
    </r>
  </si>
  <si>
    <t>2019 z7</t>
  </si>
  <si>
    <t>2019 z5</t>
  </si>
  <si>
    <t>z1</t>
  </si>
  <si>
    <t>2019 z8</t>
  </si>
  <si>
    <t>2019 z6</t>
  </si>
  <si>
    <t>2019 z4</t>
  </si>
  <si>
    <t>2019 z1</t>
  </si>
  <si>
    <t>All inherited/reworked</t>
  </si>
  <si>
    <t>2019 z3</t>
  </si>
  <si>
    <t>No age interpretation</t>
  </si>
  <si>
    <t>CM-ASH-5</t>
  </si>
  <si>
    <t>Weighted mean dates based upon dates in bold</t>
  </si>
  <si>
    <t>CM-201</t>
  </si>
  <si>
    <t>CM-128</t>
  </si>
  <si>
    <t>CM-513</t>
  </si>
  <si>
    <t>CM-195</t>
  </si>
  <si>
    <t>CM-512</t>
  </si>
  <si>
    <t>CM-502</t>
  </si>
  <si>
    <t>CM-222</t>
  </si>
  <si>
    <t>CM-507</t>
  </si>
  <si>
    <t>CM-510</t>
  </si>
  <si>
    <t>CM-517</t>
  </si>
  <si>
    <t>CM-516</t>
  </si>
  <si>
    <t>CM-521</t>
  </si>
  <si>
    <t>CM-501</t>
  </si>
  <si>
    <t>CM-511</t>
  </si>
  <si>
    <t>CM-518</t>
  </si>
  <si>
    <t>CM-519</t>
  </si>
  <si>
    <t>CM-520</t>
  </si>
  <si>
    <t>CM-509</t>
  </si>
  <si>
    <t>CM-69</t>
  </si>
  <si>
    <t>CM-508</t>
  </si>
  <si>
    <t>CM-506</t>
  </si>
  <si>
    <t>CM-503</t>
  </si>
  <si>
    <t>CM-514</t>
  </si>
  <si>
    <t>CM-505</t>
  </si>
  <si>
    <t>CM-193</t>
  </si>
  <si>
    <t>CM-504</t>
  </si>
  <si>
    <t>CM-14</t>
  </si>
  <si>
    <t>CM-515</t>
  </si>
  <si>
    <t>CM-158</t>
  </si>
  <si>
    <t>CM-88</t>
  </si>
  <si>
    <t>CM-35</t>
  </si>
  <si>
    <t>CM-96</t>
  </si>
  <si>
    <t>CM-135</t>
  </si>
  <si>
    <t>CM-50</t>
  </si>
  <si>
    <t>CM-138</t>
  </si>
  <si>
    <t>CM-173</t>
  </si>
  <si>
    <t>CM-168</t>
  </si>
  <si>
    <t>CM-77</t>
  </si>
  <si>
    <t>CM-63</t>
  </si>
  <si>
    <t>CM-112</t>
  </si>
  <si>
    <t>CM-70</t>
  </si>
  <si>
    <t>CM-163</t>
  </si>
  <si>
    <t>CM-66</t>
  </si>
  <si>
    <t>CM-54</t>
  </si>
  <si>
    <t>CM-26</t>
  </si>
  <si>
    <t>CM-161</t>
  </si>
  <si>
    <t>CM-129</t>
  </si>
  <si>
    <t>CM-142</t>
  </si>
  <si>
    <t>CM-101</t>
  </si>
  <si>
    <t>CM-67</t>
  </si>
  <si>
    <t>CM-7</t>
  </si>
  <si>
    <t>CM-82</t>
  </si>
  <si>
    <t>CM-12</t>
  </si>
  <si>
    <t>CM-206</t>
  </si>
  <si>
    <t>CM-32</t>
  </si>
  <si>
    <t>CM-27</t>
  </si>
  <si>
    <t>CM-55</t>
  </si>
  <si>
    <t>CM-208</t>
  </si>
  <si>
    <t>CM-141</t>
  </si>
  <si>
    <t>CM-47A</t>
  </si>
  <si>
    <t>CM-78</t>
  </si>
  <si>
    <t>CM-6</t>
  </si>
  <si>
    <t>CM-110</t>
  </si>
  <si>
    <t>CM-13</t>
  </si>
  <si>
    <t>CM-41</t>
  </si>
  <si>
    <t>CM-103</t>
  </si>
  <si>
    <t>CM-61</t>
  </si>
  <si>
    <t>CM-181</t>
  </si>
  <si>
    <t>CM-3</t>
  </si>
  <si>
    <t>CM-30</t>
  </si>
  <si>
    <t>CM-47B</t>
  </si>
  <si>
    <t>CM-145</t>
  </si>
  <si>
    <t>CM-209</t>
  </si>
  <si>
    <t>Oxidation Mineral Carbon</t>
  </si>
  <si>
    <t>Pyrolysis Mineral Carbon</t>
  </si>
  <si>
    <t>Residual Carbo Org.</t>
  </si>
  <si>
    <t>Pyrolysable Carbon Org.</t>
  </si>
  <si>
    <t>CO from Organic Source</t>
  </si>
  <si>
    <t>CO2 from Organic Source</t>
  </si>
  <si>
    <t>CO From Organic and Mineral Sources</t>
  </si>
  <si>
    <t>Mineral Carbon</t>
  </si>
  <si>
    <t>Total Organic Carbon</t>
  </si>
  <si>
    <t>Oxygen Index</t>
  </si>
  <si>
    <t>Hydrogen Index</t>
  </si>
  <si>
    <t>CO2 from Mineral Source</t>
  </si>
  <si>
    <t>Oil Potential</t>
  </si>
  <si>
    <t>Free Hydrocarbons</t>
  </si>
  <si>
    <t>Qty - (mg)</t>
  </si>
  <si>
    <t>Analysis</t>
  </si>
  <si>
    <t>% Weight</t>
  </si>
  <si>
    <t>mgCO/g Rock</t>
  </si>
  <si>
    <t>mgCO2/g Rock</t>
  </si>
  <si>
    <t>mgCO2/g TOC</t>
  </si>
  <si>
    <t>mgHC/g TOC</t>
  </si>
  <si>
    <t>Production Index</t>
  </si>
  <si>
    <t>mgCO2/g rock</t>
  </si>
  <si>
    <t>mgHC/g rock</t>
  </si>
  <si>
    <t>oxiMINC(%)</t>
  </si>
  <si>
    <t>pyroMINC(%)</t>
  </si>
  <si>
    <t>KFID</t>
  </si>
  <si>
    <t>RC(%)</t>
  </si>
  <si>
    <t>PC(%)</t>
  </si>
  <si>
    <t>S4CO(mg/g)</t>
  </si>
  <si>
    <t>S4CO2(mg/g)</t>
  </si>
  <si>
    <t>TpkS2(°C)</t>
  </si>
  <si>
    <t>S3'CO - (mg/g)</t>
  </si>
  <si>
    <t>S3CO(mg/g)</t>
  </si>
  <si>
    <t>MINC(%)</t>
  </si>
  <si>
    <t>TOC(%)</t>
  </si>
  <si>
    <t>OI</t>
  </si>
  <si>
    <t>HI</t>
  </si>
  <si>
    <t>Tmax(°C)</t>
  </si>
  <si>
    <t>PI</t>
  </si>
  <si>
    <t>S3' - (mg/g)</t>
  </si>
  <si>
    <t>S3(mg/g)</t>
  </si>
  <si>
    <t>S2/S3</t>
  </si>
  <si>
    <t>S2(mg/g)</t>
  </si>
  <si>
    <t>S1(mg/g)</t>
  </si>
  <si>
    <t>CM-150</t>
  </si>
  <si>
    <t>CM-49</t>
  </si>
  <si>
    <t>CM-114</t>
  </si>
  <si>
    <t>CM-73</t>
  </si>
  <si>
    <t>CM-174</t>
  </si>
  <si>
    <t>CM-80</t>
  </si>
  <si>
    <t>CM-166</t>
  </si>
  <si>
    <t>CM-175</t>
  </si>
  <si>
    <t>CM-56</t>
  </si>
  <si>
    <t>CM-8</t>
  </si>
  <si>
    <t>CM-157</t>
  </si>
  <si>
    <t>CM-22</t>
  </si>
  <si>
    <t>CM-44</t>
  </si>
  <si>
    <t>CM-72</t>
  </si>
  <si>
    <t>CM-28</t>
  </si>
  <si>
    <t>CM-154</t>
  </si>
  <si>
    <t>CM-52</t>
  </si>
  <si>
    <t>CM-53</t>
  </si>
  <si>
    <t>CM-132</t>
  </si>
  <si>
    <t>CM-16</t>
  </si>
  <si>
    <t>CM-60</t>
  </si>
  <si>
    <t>CM-134</t>
  </si>
  <si>
    <t>CM-182</t>
  </si>
  <si>
    <t>CM-120</t>
  </si>
  <si>
    <t>CM-84</t>
  </si>
  <si>
    <t>CM-171</t>
  </si>
  <si>
    <t>CM-33</t>
  </si>
  <si>
    <t>CM-40</t>
  </si>
  <si>
    <t>CM-164</t>
  </si>
  <si>
    <t>CM-187</t>
  </si>
  <si>
    <t>CM-10</t>
  </si>
  <si>
    <t>CM-105</t>
  </si>
  <si>
    <t>CM-122</t>
  </si>
  <si>
    <t>CM-34</t>
  </si>
  <si>
    <t>CM-62</t>
  </si>
  <si>
    <t>CM-2</t>
  </si>
  <si>
    <t>CM-186</t>
  </si>
  <si>
    <t>CM-57</t>
  </si>
  <si>
    <t>CM-43</t>
  </si>
  <si>
    <t>CM-156</t>
  </si>
  <si>
    <t>CM-108</t>
  </si>
  <si>
    <t>CM-106</t>
  </si>
  <si>
    <t>CM-51</t>
  </si>
  <si>
    <t>CM-146</t>
  </si>
  <si>
    <t>CM-131</t>
  </si>
  <si>
    <t>CM-119</t>
  </si>
  <si>
    <t>CM-64</t>
  </si>
  <si>
    <t>CM-218</t>
  </si>
  <si>
    <t>CM-167</t>
  </si>
  <si>
    <t>CM-20</t>
  </si>
  <si>
    <t>CM-160</t>
  </si>
  <si>
    <t>CM-104</t>
  </si>
  <si>
    <t>CM-125</t>
  </si>
  <si>
    <t>CM-46</t>
  </si>
  <si>
    <t>CM-196</t>
  </si>
  <si>
    <t>CM-29</t>
  </si>
  <si>
    <t>CM-85</t>
  </si>
  <si>
    <t>CM-190</t>
  </si>
  <si>
    <t>CM-127</t>
  </si>
  <si>
    <t>CM-83</t>
  </si>
  <si>
    <t>CM-126</t>
  </si>
  <si>
    <t>CM-153</t>
  </si>
  <si>
    <t>CM-18</t>
  </si>
  <si>
    <t>CM-143</t>
  </si>
  <si>
    <t>CM-75</t>
  </si>
  <si>
    <t>CM-116</t>
  </si>
  <si>
    <t>CM-121</t>
  </si>
  <si>
    <t>CM-124</t>
  </si>
  <si>
    <t>CM-136</t>
  </si>
  <si>
    <t>CM-149</t>
  </si>
  <si>
    <t>2296R</t>
  </si>
  <si>
    <t>Sample Height</t>
  </si>
  <si>
    <t>Gaynor (2021)</t>
  </si>
  <si>
    <t>QU1-2</t>
  </si>
  <si>
    <t>Beaufort Group (reanlysis of Svenson et al. 2012)</t>
  </si>
  <si>
    <t>K08-34</t>
  </si>
  <si>
    <t>QU-65</t>
  </si>
  <si>
    <t>Ecca Group (reanlysis of Svenson et al. 2012)</t>
  </si>
  <si>
    <t>Ferrar</t>
  </si>
  <si>
    <t>Karoo</t>
  </si>
  <si>
    <t>S1 = the amount of free hydrocarbons (gas and oil) in the sample (in milligrams of hydrocarbon per gram of rock). If S1 &gt;1 mg/g, it may be indicative of an oil show. S1 normally increases with depth. Contamination of samples by drilling fluids and mud can give an abnormally high value for S1.</t>
  </si>
  <si>
    <t>S2 = the amount of hydrocarbons generated through thermal cracking of nonvolatile organic matter. S2 is an indication of the quantity of hydrocarbons that the rock has the potential of producing should burial and maturation continue. This parameter normally decreases with burial depths &gt;1 km.</t>
  </si>
  <si>
    <t>S3 = the amount of CO2 (in milligrams CO2 per gram of rock) produced during pyrolysis of kerogen. S3 is an indication of the amount of oxygen in the kerogen and is used to calculate the oxygen index (see below). Contamination of the samples should be suspected if abnormally high S3 values are obtained. High concentrations of carbonates that break down at lower temperatures than 390°C will also cause higher S3 values than expected.</t>
  </si>
  <si>
    <t>Tmax = the temperature at which the maximum release of hydrocarbons from cracking of kerogen occurs during pyrolysis (top of S2 peak). Tmax is an indication of the stage of maturation of the organic matter.</t>
  </si>
  <si>
    <t>HI = hydrogen index (HI = [100 x S2]/TOC). HI is a parameter used to characterize the origin of organic matter. Marine organisms and algae, in general, are composed of lipid- and protein-rich organic matter, where the ratio of H to C is higher than in the carbohydrate-rich constituents of land plants. HI typically ranges from ~100 to 600 in geological samples.</t>
  </si>
  <si>
    <t>OI = oxygen index (OI = [100 x S3]/TOC). OI is a parameter that correlates with the ratio of O to C, which is high for polysacharride-rich remains of land plants and inert organic material (residual organic matter) encountered as background in marine sediments. OI values range from near 0 to ~150.</t>
  </si>
  <si>
    <t>PI = production index (PI = S1/[S1 + S2]). PI is used to characterize the evolution level of the organic matter.</t>
  </si>
  <si>
    <t>PC = pyrolyzable carbon (PC = 0.083 x [S1 + S2]). PC corresponds to carbon content of hydrocarbons volatilized and pyrolyzed during the analysis.</t>
  </si>
  <si>
    <t>The  parameters obtained by pyrolysis (Fig. F4; from Tissot and Welte, 1984) are as follows:</t>
  </si>
  <si>
    <t xml:space="preserve">Svensen, H. et al. Hydrothermal venting of greenhouse gases triggering Early Jurassic global warming. Earth and Planetary Science Letters 256, 554–566 (2007).                                                                                            </t>
  </si>
  <si>
    <t>Svensen, H., Corfu, F., Polteau, S., Hammer, Ø. &amp; Planke, S. Rapid magma emplacement in the Karoo Large Igneous Province. 326, 1–9 (2012)</t>
  </si>
  <si>
    <r>
      <t>Ivanov, A.V., Meffre, S., Thompson, J., Corfu, F., Kamenetsky, V.S., Kamenetsky, M.B. and Demonterova, E.I., 2017. Timing and genesis of the Karoo-Ferrar large igneous province: New high precision U-Pb data for Tasmania confirm short duration of the major magmatic pulse. </t>
    </r>
    <r>
      <rPr>
        <i/>
        <sz val="12"/>
        <color indexed="63"/>
        <rFont val="Times New Roman"/>
        <family val="1"/>
      </rPr>
      <t>Chemical Geology</t>
    </r>
    <r>
      <rPr>
        <sz val="12"/>
        <color indexed="63"/>
        <rFont val="Times New Roman"/>
        <family val="1"/>
      </rPr>
      <t>, </t>
    </r>
    <r>
      <rPr>
        <i/>
        <sz val="12"/>
        <color indexed="63"/>
        <rFont val="Times New Roman"/>
        <family val="1"/>
      </rPr>
      <t>455</t>
    </r>
    <r>
      <rPr>
        <sz val="12"/>
        <color indexed="63"/>
        <rFont val="Times New Roman"/>
        <family val="1"/>
      </rPr>
      <t>, pp.32-43.</t>
    </r>
  </si>
  <si>
    <t>Luttinen, A.V., Heinonen, J.S., Kurhila, M., Jourdan, F., Mänttäri, I., Vuori, S.K. and Huhma, H., 2015. Depleted mantle-sourced CFB magmatism in the Jurassic Africa–Antarctica rift: petrology and 40Ar/39Ar and U/Pb chronology of the Vestfjella Dyke Swarm, Dronning Maud Land, Antarctica. Journal of Petrology, 56(5), pp.919-952.</t>
  </si>
  <si>
    <t>Sell, B. et al. Evaluating the temporal link between the Karoo LIP and climatic–biologic events of the Toarcian Stage with high-precision U–Pb geochronology. Earth and Planetary Science Letters 408, (2014).</t>
  </si>
  <si>
    <t>Riley, T.R., Millar, I.L., Watkeys, M.K., Curtis, M.L., Leat, P.T., Klausen, M.B. and Fanning, C.M., 2004. U–Pb zircon (SHRIMP) ages for the Lebombo rhyolites, South Africa: refining the duration of Karoo volcanism. Journal of the Geological Society, 161(4), pp.547-550.</t>
  </si>
  <si>
    <r>
      <t xml:space="preserve">Burgess, S. D., Bowring, S. A., Fleming, T. H. &amp; Elliot, D. H. High-precision geochronology links the Ferrar large igneous province with early-Jurassic Ocean anoxia and biotic crisis. </t>
    </r>
    <r>
      <rPr>
        <i/>
        <sz val="12"/>
        <color indexed="8"/>
        <rFont val="Times New Roman"/>
        <family val="1"/>
      </rPr>
      <t>Earth and Planetary Science Letters</t>
    </r>
    <r>
      <rPr>
        <sz val="12"/>
        <color indexed="8"/>
        <rFont val="Times New Roman"/>
        <family val="1"/>
      </rPr>
      <t xml:space="preserve"> </t>
    </r>
    <r>
      <rPr>
        <b/>
        <sz val="12"/>
        <color indexed="8"/>
        <rFont val="Times New Roman"/>
        <family val="1"/>
      </rPr>
      <t>415</t>
    </r>
    <r>
      <rPr>
        <sz val="12"/>
        <color indexed="8"/>
        <rFont val="Times New Roman"/>
        <family val="1"/>
      </rPr>
      <t>, 90–99 (2015).</t>
    </r>
  </si>
  <si>
    <r>
      <t>Greber, N.D., Davies, J.H., Gaynor, S.P., Jourdan, F., Bertrand, H. and Schaltegger, U., 2020. New high precision U-Pb ages and Hf isotope data from the Karoo large igneous province; implications for pulsed magmatism and early Toarcian environmental perturbations. </t>
    </r>
    <r>
      <rPr>
        <i/>
        <sz val="12"/>
        <color indexed="63"/>
        <rFont val="Times New Roman"/>
        <family val="1"/>
      </rPr>
      <t>Results in geochemistry</t>
    </r>
    <r>
      <rPr>
        <sz val="12"/>
        <color indexed="63"/>
        <rFont val="Times New Roman"/>
        <family val="1"/>
      </rPr>
      <t>, </t>
    </r>
    <r>
      <rPr>
        <i/>
        <sz val="12"/>
        <color indexed="63"/>
        <rFont val="Times New Roman"/>
        <family val="1"/>
      </rPr>
      <t>1</t>
    </r>
    <r>
      <rPr>
        <sz val="12"/>
        <color indexed="63"/>
        <rFont val="Times New Roman"/>
        <family val="1"/>
      </rPr>
      <t>, p.100005.</t>
    </r>
  </si>
  <si>
    <t>References:</t>
  </si>
  <si>
    <r>
      <t xml:space="preserve">Keller, C. B., Schoene, B. &amp; Samperton, K. M. A stochastic sampling approach to zircon eruption age interpretation. </t>
    </r>
    <r>
      <rPr>
        <i/>
        <sz val="12"/>
        <color indexed="8"/>
        <rFont val="Times New Roman"/>
        <family val="1"/>
      </rPr>
      <t>Geochemical Perspectives Letters</t>
    </r>
    <r>
      <rPr>
        <sz val="12"/>
        <color indexed="8"/>
        <rFont val="Times New Roman"/>
        <family val="1"/>
      </rPr>
      <t xml:space="preserve"> (2018) doi:10.7185/geochemlet.1826.</t>
    </r>
  </si>
  <si>
    <t>Keller, C. B. Chron.jl: A Bayesian framework for integrated eruption age and age-depth modelling. osf.io (software), 2018: https://doi.org/10.17605/osf.io/TQX3F</t>
  </si>
  <si>
    <t>Relevant Reference:</t>
  </si>
  <si>
    <t>G39974 </t>
  </si>
  <si>
    <t>183.0 </t>
  </si>
  <si>
    <t>182.9 </t>
  </si>
  <si>
    <t>183.2 </t>
  </si>
  <si>
    <t>182.7 </t>
  </si>
  <si>
    <t>183.3 </t>
  </si>
  <si>
    <t>183.4 </t>
  </si>
  <si>
    <t>182.8 </t>
  </si>
  <si>
    <t>183.1 </t>
  </si>
  <si>
    <t>0.5 </t>
  </si>
  <si>
    <t>0.6 </t>
  </si>
  <si>
    <t>0.7 </t>
  </si>
  <si>
    <t>0.4 </t>
  </si>
  <si>
    <t>0.8 </t>
  </si>
  <si>
    <t>1.0 </t>
  </si>
  <si>
    <r>
      <t xml:space="preserve">Sell </t>
    </r>
    <r>
      <rPr>
        <i/>
        <sz val="12"/>
        <color indexed="8"/>
        <rFont val="Calibri"/>
        <family val="2"/>
      </rPr>
      <t>et al.</t>
    </r>
    <r>
      <rPr>
        <sz val="12"/>
        <color indexed="8"/>
        <rFont val="Calibri"/>
        <family val="2"/>
      </rPr>
      <t xml:space="preserve"> (2014)</t>
    </r>
  </si>
  <si>
    <r>
      <t xml:space="preserve">Riley </t>
    </r>
    <r>
      <rPr>
        <i/>
        <sz val="12"/>
        <color indexed="8"/>
        <rFont val="Calibri"/>
        <family val="2"/>
      </rPr>
      <t>et al.</t>
    </r>
    <r>
      <rPr>
        <sz val="10"/>
        <color indexed="8"/>
        <rFont val="Verdana"/>
        <family val="2"/>
      </rPr>
      <t xml:space="preserve"> (2004)</t>
    </r>
  </si>
  <si>
    <t xml:space="preserve">Corfu et al. (2016) </t>
  </si>
  <si>
    <t>Sell, B. et al. Response to comment on “Evaluating the temporal link between the Karoo LIP and climatic-biologic events of the Toarcian Stage with high-precision U-Pb geochronology.” Earth and Planetary Science Letters vol. 434 353–354 ((2016)).</t>
  </si>
  <si>
    <t>Corfu, F., H. Svensen, and A. Mazzini. "Comment to paper: Evaluating the temporal link between the Karoo LIP and climatic-biologic events of the Toarcian Stage with high-precision U-Pb geochronology by Bryan Sell, Maria Ovtcharova, Jean Guex, Annachiara Bartolini, Fred Jourdan, Jorge E. Spangenberg, Jean-Claude Vicente, Urs Schaltegger in Earth and Planetary Science Letters 408 (2014) 48-56." Earth and Planetary Science Letters 434 ((2016)): 349-352.</t>
  </si>
  <si>
    <t>2.5% CI</t>
  </si>
  <si>
    <t>97.5% CI</t>
  </si>
  <si>
    <t>sigma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</si>
</sst>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
    <numFmt numFmtId="166" formatCode="0.0000"/>
    <numFmt numFmtId="167" formatCode="0.000000"/>
    <numFmt numFmtId="168" formatCode="0.00000"/>
    <numFmt numFmtId="169" formatCode="0."/>
    <numFmt numFmtId="170" formatCode="#,##0.000"/>
  </numFmts>
  <fonts count="63">
    <font>
      <sz val="10"/>
      <color indexed="8"/>
      <name val="Verdana"/>
      <family val="2"/>
    </font>
    <font>
      <sz val="11"/>
      <color indexed="8"/>
      <name val="Times New Roman"/>
      <family val="1"/>
    </font>
    <font>
      <sz val="10"/>
      <color indexed="8"/>
      <name val="Times New Roman"/>
      <family val="1"/>
    </font>
    <font>
      <sz val="7"/>
      <name val="Times New Roman"/>
      <family val="1"/>
    </font>
    <font>
      <b/>
      <sz val="7"/>
      <name val="Times New Roman"/>
      <family val="1"/>
    </font>
    <font>
      <sz val="8"/>
      <name val="Times New Roman"/>
      <family val="1"/>
    </font>
    <font>
      <b/>
      <sz val="8"/>
      <name val="Times New Roman"/>
      <family val="1"/>
    </font>
    <font>
      <sz val="7"/>
      <color indexed="49"/>
      <name val="Times New Roman"/>
      <family val="1"/>
    </font>
    <font>
      <sz val="8"/>
      <color indexed="49"/>
      <name val="Times New Roman"/>
      <family val="1"/>
    </font>
    <font>
      <sz val="8"/>
      <color indexed="10"/>
      <name val="Times New Roman"/>
      <family val="1"/>
    </font>
    <font>
      <sz val="7"/>
      <color indexed="10"/>
      <name val="Times New Roman"/>
      <family val="1"/>
    </font>
    <font>
      <vertAlign val="superscript"/>
      <sz val="8"/>
      <name val="Times New Roman"/>
      <family val="1"/>
    </font>
    <font>
      <sz val="6"/>
      <name val="Times New Roman"/>
      <family val="1"/>
    </font>
    <font>
      <b/>
      <sz val="6"/>
      <name val="Times New Roman"/>
      <family val="1"/>
    </font>
    <font>
      <b/>
      <sz val="9"/>
      <name val="Times New Roman"/>
      <family val="1"/>
    </font>
    <font>
      <b/>
      <sz val="11"/>
      <color indexed="10"/>
      <name val="Courier New"/>
      <family val="3"/>
    </font>
    <font>
      <b/>
      <sz val="11"/>
      <color indexed="10"/>
      <name val="Symbol"/>
      <family val="1"/>
      <charset val="2"/>
    </font>
    <font>
      <vertAlign val="subscript"/>
      <sz val="8"/>
      <name val="Times New Roman"/>
      <family val="1"/>
    </font>
    <font>
      <u/>
      <vertAlign val="superscript"/>
      <sz val="8"/>
      <name val="Times New Roman"/>
      <family val="1"/>
    </font>
    <font>
      <u/>
      <sz val="8"/>
      <name val="Times New Roman"/>
      <family val="1"/>
    </font>
    <font>
      <sz val="12"/>
      <name val="Times New Roman"/>
      <family val="1"/>
    </font>
    <font>
      <b/>
      <sz val="10"/>
      <name val="Arial"/>
      <family val="2"/>
    </font>
    <font>
      <i/>
      <sz val="11"/>
      <color indexed="8"/>
      <name val="Calibri"/>
      <family val="2"/>
    </font>
    <font>
      <sz val="12"/>
      <color indexed="8"/>
      <name val="Calibri"/>
      <family val="2"/>
    </font>
    <font>
      <i/>
      <sz val="12"/>
      <color indexed="8"/>
      <name val="Calibri"/>
      <family val="2"/>
    </font>
    <font>
      <sz val="10"/>
      <name val="Times New Roman"/>
      <family val="1"/>
    </font>
    <font>
      <sz val="10"/>
      <color indexed="10"/>
      <name val="Times New Roman"/>
      <family val="1"/>
    </font>
    <font>
      <b/>
      <sz val="10"/>
      <color indexed="8"/>
      <name val="Verdana"/>
      <family val="2"/>
    </font>
    <font>
      <sz val="12"/>
      <color indexed="8"/>
      <name val="Cambria"/>
      <family val="1"/>
    </font>
    <font>
      <sz val="12"/>
      <color indexed="63"/>
      <name val="Times New Roman"/>
      <family val="1"/>
    </font>
    <font>
      <i/>
      <sz val="12"/>
      <color indexed="63"/>
      <name val="Times New Roman"/>
      <family val="1"/>
    </font>
    <font>
      <sz val="12"/>
      <color indexed="8"/>
      <name val="Times New Roman"/>
      <family val="1"/>
    </font>
    <font>
      <i/>
      <sz val="12"/>
      <color indexed="8"/>
      <name val="Times New Roman"/>
      <family val="1"/>
    </font>
    <font>
      <b/>
      <sz val="12"/>
      <color indexed="8"/>
      <name val="Times New Roman"/>
      <family val="1"/>
    </font>
    <font>
      <sz val="12"/>
      <color indexed="8"/>
      <name val="Calibri"/>
      <family val="2"/>
    </font>
    <font>
      <i/>
      <sz val="12"/>
      <color indexed="8"/>
      <name val="Calibri"/>
      <family val="2"/>
    </font>
    <font>
      <sz val="11"/>
      <color theme="1"/>
      <name val="Calibri"/>
      <family val="2"/>
      <scheme val="minor"/>
    </font>
    <font>
      <u/>
      <sz val="10"/>
      <color theme="10"/>
      <name val="Verdana"/>
      <family val="2"/>
    </font>
    <font>
      <b/>
      <sz val="10"/>
      <color theme="1"/>
      <name val="Adobe Garamond Pro"/>
    </font>
    <font>
      <b/>
      <sz val="10"/>
      <color theme="1"/>
      <name val="Times New Roman"/>
      <family val="1"/>
    </font>
    <font>
      <b/>
      <sz val="11"/>
      <color theme="1"/>
      <name val="Times New Roman"/>
      <family val="1"/>
    </font>
    <font>
      <sz val="10"/>
      <color theme="1"/>
      <name val="Adobe Garamond Pro"/>
    </font>
    <font>
      <sz val="10"/>
      <color theme="1"/>
      <name val="Verdana"/>
      <family val="2"/>
    </font>
    <font>
      <sz val="10"/>
      <color theme="1"/>
      <name val="Times New Roman"/>
      <family val="1"/>
    </font>
    <font>
      <sz val="11"/>
      <color theme="1"/>
      <name val="Times New Roman"/>
      <family val="1"/>
    </font>
    <font>
      <sz val="10"/>
      <color theme="1"/>
      <name val="Times"/>
      <family val="1"/>
    </font>
    <font>
      <b/>
      <sz val="11"/>
      <color rgb="FFFF0000"/>
      <name val="Courier New"/>
      <family val="3"/>
    </font>
    <font>
      <b/>
      <sz val="9"/>
      <color rgb="FFFF0000"/>
      <name val="Times New Roman"/>
      <family val="1"/>
    </font>
    <font>
      <b/>
      <sz val="11"/>
      <color rgb="FFFF0000"/>
      <name val="Times New Roman"/>
      <family val="1"/>
    </font>
    <font>
      <b/>
      <sz val="10"/>
      <color rgb="FF000000"/>
      <name val="Calibri"/>
      <family val="2"/>
      <scheme val="minor"/>
    </font>
    <font>
      <b/>
      <sz val="11"/>
      <color theme="1"/>
      <name val="Calibri"/>
      <family val="2"/>
      <scheme val="minor"/>
    </font>
    <font>
      <b/>
      <sz val="11"/>
      <color rgb="FF000000"/>
      <name val="Calibri"/>
      <family val="2"/>
      <scheme val="minor"/>
    </font>
    <font>
      <sz val="11"/>
      <color rgb="FFFF0000"/>
      <name val="Calibri"/>
      <family val="2"/>
      <scheme val="minor"/>
    </font>
    <font>
      <b/>
      <sz val="11"/>
      <color rgb="FF000000"/>
      <name val="Courier New"/>
      <family val="3"/>
    </font>
    <font>
      <b/>
      <sz val="11"/>
      <color rgb="FF0000FF"/>
      <name val="Calibri"/>
      <family val="2"/>
      <scheme val="minor"/>
    </font>
    <font>
      <sz val="12"/>
      <color rgb="FF000000"/>
      <name val="Calibri"/>
      <family val="2"/>
      <scheme val="minor"/>
    </font>
    <font>
      <sz val="12"/>
      <name val="Calibri"/>
      <family val="2"/>
      <scheme val="minor"/>
    </font>
    <font>
      <b/>
      <sz val="12"/>
      <color rgb="FFC00000"/>
      <name val="Calibri"/>
      <family val="2"/>
      <scheme val="minor"/>
    </font>
    <font>
      <sz val="12"/>
      <color rgb="FF222222"/>
      <name val="Times New Roman"/>
      <family val="1"/>
    </font>
    <font>
      <sz val="12"/>
      <color rgb="FF000000"/>
      <name val="Times New Roman"/>
      <family val="1"/>
    </font>
    <font>
      <sz val="12"/>
      <color indexed="8"/>
      <name val="Calibri"/>
      <family val="2"/>
      <scheme val="minor"/>
    </font>
    <font>
      <sz val="10"/>
      <color rgb="FF000000"/>
      <name val="Helvetica Neue"/>
      <family val="2"/>
    </font>
    <font>
      <b/>
      <sz val="10"/>
      <color rgb="FF000000"/>
      <name val="Helvetica Neue"/>
      <family val="2"/>
    </font>
  </fonts>
  <fills count="4">
    <fill>
      <patternFill patternType="none"/>
    </fill>
    <fill>
      <patternFill patternType="gray125"/>
    </fill>
    <fill>
      <patternFill patternType="solid">
        <fgColor indexed="12"/>
      </patternFill>
    </fill>
    <fill>
      <patternFill patternType="solid">
        <fgColor theme="9" tint="0.79998168889431442"/>
        <bgColor indexed="64"/>
      </patternFill>
    </fill>
  </fills>
  <borders count="3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3"/>
      </top>
      <bottom style="thin">
        <color indexed="13"/>
      </bottom>
      <diagonal/>
    </border>
    <border>
      <left style="thin">
        <color indexed="8"/>
      </left>
      <right/>
      <top style="thin">
        <color indexed="13"/>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13"/>
      </bottom>
      <diagonal/>
    </border>
    <border>
      <left style="thin">
        <color indexed="13"/>
      </left>
      <right/>
      <top style="thin">
        <color indexed="13"/>
      </top>
      <bottom style="thin">
        <color indexed="13"/>
      </bottom>
      <diagonal/>
    </border>
    <border>
      <left style="thin">
        <color indexed="8"/>
      </left>
      <right style="thin">
        <color indexed="8"/>
      </right>
      <top style="thin">
        <color indexed="13"/>
      </top>
      <bottom style="thin">
        <color indexed="8"/>
      </bottom>
      <diagonal/>
    </border>
    <border>
      <left style="thin">
        <color indexed="13"/>
      </left>
      <right style="thin">
        <color indexed="13"/>
      </right>
      <top style="thin">
        <color indexed="13"/>
      </top>
      <bottom style="thin">
        <color indexed="13"/>
      </bottom>
      <diagonal/>
    </border>
    <border>
      <left style="thin">
        <color indexed="8"/>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13"/>
      </right>
      <top style="thin">
        <color indexed="13"/>
      </top>
      <bottom style="thin">
        <color indexed="13"/>
      </bottom>
      <diagonal/>
    </border>
    <border>
      <left style="thin">
        <color indexed="8"/>
      </left>
      <right/>
      <top style="thin">
        <color indexed="8"/>
      </top>
      <bottom style="thin">
        <color indexed="13"/>
      </bottom>
      <diagonal/>
    </border>
    <border>
      <left style="thin">
        <color indexed="8"/>
      </left>
      <right style="thin">
        <color indexed="13"/>
      </right>
      <top style="thin">
        <color indexed="8"/>
      </top>
      <bottom style="thin">
        <color indexed="13"/>
      </bottom>
      <diagonal/>
    </border>
    <border>
      <left style="thin">
        <color indexed="8"/>
      </left>
      <right style="thin">
        <color indexed="8"/>
      </right>
      <top style="thin">
        <color indexed="8"/>
      </top>
      <bottom/>
      <diagonal/>
    </border>
    <border>
      <left style="thin">
        <color indexed="13"/>
      </left>
      <right style="thin">
        <color indexed="13"/>
      </right>
      <top style="thin">
        <color indexed="8"/>
      </top>
      <bottom style="thin">
        <color indexed="13"/>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bottom style="thin">
        <color indexed="8"/>
      </bottom>
      <diagonal/>
    </border>
    <border>
      <left/>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13"/>
      </left>
      <right/>
      <top/>
      <bottom style="thin">
        <color indexed="13"/>
      </bottom>
      <diagonal/>
    </border>
    <border>
      <left style="thin">
        <color indexed="13"/>
      </left>
      <right/>
      <top style="thin">
        <color indexed="8"/>
      </top>
      <bottom style="thin">
        <color indexed="13"/>
      </bottom>
      <diagonal/>
    </border>
    <border>
      <left/>
      <right style="thin">
        <color indexed="64"/>
      </right>
      <top/>
      <bottom style="medium">
        <color indexed="64"/>
      </bottom>
      <diagonal/>
    </border>
    <border>
      <left/>
      <right style="thin">
        <color indexed="64"/>
      </right>
      <top style="medium">
        <color indexed="64"/>
      </top>
      <bottom/>
      <diagonal/>
    </border>
  </borders>
  <cellStyleXfs count="4">
    <xf numFmtId="0" fontId="0" fillId="0" borderId="0" applyNumberFormat="0" applyFill="0" applyBorder="0" applyProtection="0"/>
    <xf numFmtId="0" fontId="37" fillId="0" borderId="0" applyNumberFormat="0" applyFill="0" applyBorder="0" applyAlignment="0" applyProtection="0"/>
    <xf numFmtId="0" fontId="36" fillId="0" borderId="0"/>
    <xf numFmtId="9" fontId="36" fillId="0" borderId="0" applyFont="0" applyFill="0" applyBorder="0" applyAlignment="0" applyProtection="0"/>
  </cellStyleXfs>
  <cellXfs count="266">
    <xf numFmtId="0" fontId="0" fillId="0" borderId="0" xfId="0"/>
    <xf numFmtId="0" fontId="0" fillId="0" borderId="0" xfId="0" applyNumberFormat="1"/>
    <xf numFmtId="49" fontId="38" fillId="0" borderId="1" xfId="0" applyNumberFormat="1" applyFont="1" applyFill="1" applyBorder="1" applyAlignment="1">
      <alignment vertical="top"/>
    </xf>
    <xf numFmtId="49" fontId="39" fillId="0" borderId="1" xfId="0" applyNumberFormat="1" applyFont="1" applyFill="1" applyBorder="1"/>
    <xf numFmtId="49" fontId="40" fillId="0" borderId="2" xfId="0" applyNumberFormat="1" applyFont="1" applyFill="1" applyBorder="1"/>
    <xf numFmtId="49" fontId="41" fillId="0" borderId="1" xfId="0" applyNumberFormat="1" applyFont="1" applyFill="1" applyBorder="1"/>
    <xf numFmtId="2" fontId="42" fillId="0" borderId="1" xfId="0" applyNumberFormat="1" applyFont="1" applyFill="1" applyBorder="1"/>
    <xf numFmtId="2" fontId="43" fillId="0" borderId="3" xfId="0" applyNumberFormat="1" applyFont="1" applyFill="1" applyBorder="1" applyAlignment="1">
      <alignment horizontal="center"/>
    </xf>
    <xf numFmtId="49" fontId="41" fillId="0" borderId="1" xfId="0" applyNumberFormat="1" applyFont="1" applyFill="1" applyBorder="1" applyAlignment="1">
      <alignment vertical="top"/>
    </xf>
    <xf numFmtId="0" fontId="42" fillId="0" borderId="1" xfId="0" applyFont="1" applyFill="1" applyBorder="1"/>
    <xf numFmtId="0" fontId="42" fillId="0" borderId="4" xfId="0" applyFont="1" applyFill="1" applyBorder="1"/>
    <xf numFmtId="0" fontId="42" fillId="0" borderId="1" xfId="0" applyNumberFormat="1" applyFont="1" applyFill="1" applyBorder="1" applyAlignment="1">
      <alignment vertical="center"/>
    </xf>
    <xf numFmtId="2" fontId="42" fillId="0" borderId="5" xfId="0" applyNumberFormat="1" applyFont="1" applyFill="1" applyBorder="1"/>
    <xf numFmtId="0" fontId="42" fillId="0" borderId="6" xfId="0" applyFont="1" applyFill="1" applyBorder="1"/>
    <xf numFmtId="2" fontId="42" fillId="0" borderId="7" xfId="0" applyNumberFormat="1" applyFont="1" applyFill="1" applyBorder="1"/>
    <xf numFmtId="0" fontId="42" fillId="0" borderId="8" xfId="0" applyFont="1" applyFill="1" applyBorder="1"/>
    <xf numFmtId="0" fontId="42" fillId="0" borderId="1" xfId="0" applyNumberFormat="1" applyFont="1" applyFill="1" applyBorder="1"/>
    <xf numFmtId="0" fontId="42" fillId="0" borderId="2" xfId="0" applyFont="1" applyFill="1" applyBorder="1"/>
    <xf numFmtId="2" fontId="44" fillId="0" borderId="4" xfId="0" applyNumberFormat="1" applyFont="1" applyFill="1" applyBorder="1"/>
    <xf numFmtId="1" fontId="43" fillId="0" borderId="4" xfId="0" applyNumberFormat="1" applyFont="1" applyFill="1" applyBorder="1" applyAlignment="1">
      <alignment horizontal="left"/>
    </xf>
    <xf numFmtId="2" fontId="42" fillId="0" borderId="9" xfId="0" applyNumberFormat="1" applyFont="1" applyFill="1" applyBorder="1"/>
    <xf numFmtId="2" fontId="43" fillId="0" borderId="4" xfId="0" applyNumberFormat="1" applyFont="1" applyFill="1" applyBorder="1" applyAlignment="1">
      <alignment horizontal="center"/>
    </xf>
    <xf numFmtId="2" fontId="42" fillId="0" borderId="10" xfId="0" applyNumberFormat="1" applyFont="1" applyFill="1" applyBorder="1"/>
    <xf numFmtId="0" fontId="42" fillId="0" borderId="11" xfId="0" applyFont="1" applyFill="1" applyBorder="1"/>
    <xf numFmtId="2" fontId="42" fillId="0" borderId="12" xfId="0" applyNumberFormat="1" applyFont="1" applyFill="1" applyBorder="1"/>
    <xf numFmtId="0" fontId="43" fillId="0" borderId="1" xfId="0" applyNumberFormat="1" applyFont="1" applyFill="1" applyBorder="1" applyAlignment="1">
      <alignment horizontal="right"/>
    </xf>
    <xf numFmtId="2" fontId="42" fillId="0" borderId="13" xfId="0" applyNumberFormat="1" applyFont="1" applyFill="1" applyBorder="1"/>
    <xf numFmtId="0" fontId="43" fillId="0" borderId="11" xfId="0" applyFont="1" applyFill="1" applyBorder="1" applyAlignment="1">
      <alignment horizontal="left"/>
    </xf>
    <xf numFmtId="2" fontId="43" fillId="0" borderId="14" xfId="0" applyNumberFormat="1" applyFont="1" applyFill="1" applyBorder="1" applyAlignment="1">
      <alignment horizontal="center"/>
    </xf>
    <xf numFmtId="0" fontId="42" fillId="0" borderId="15" xfId="0" applyNumberFormat="1" applyFont="1" applyFill="1" applyBorder="1"/>
    <xf numFmtId="2" fontId="42" fillId="0" borderId="16" xfId="0" applyNumberFormat="1" applyFont="1" applyFill="1" applyBorder="1"/>
    <xf numFmtId="2" fontId="45" fillId="0" borderId="1" xfId="0" applyNumberFormat="1" applyFont="1" applyFill="1" applyBorder="1" applyAlignment="1">
      <alignment horizontal="right"/>
    </xf>
    <xf numFmtId="0" fontId="42" fillId="0" borderId="0" xfId="0" applyNumberFormat="1" applyFont="1" applyFill="1"/>
    <xf numFmtId="0" fontId="41" fillId="0" borderId="17" xfId="0" applyFont="1" applyFill="1" applyBorder="1" applyAlignment="1">
      <alignment vertical="top"/>
    </xf>
    <xf numFmtId="0" fontId="42" fillId="0" borderId="17" xfId="0" applyFont="1" applyFill="1" applyBorder="1"/>
    <xf numFmtId="49" fontId="41" fillId="0" borderId="8" xfId="0" applyNumberFormat="1" applyFont="1" applyFill="1" applyBorder="1" applyAlignment="1">
      <alignment vertical="top"/>
    </xf>
    <xf numFmtId="49" fontId="42" fillId="0" borderId="8" xfId="0" applyNumberFormat="1" applyFont="1" applyFill="1" applyBorder="1"/>
    <xf numFmtId="0" fontId="41" fillId="0" borderId="0" xfId="0" applyNumberFormat="1" applyFont="1" applyFill="1"/>
    <xf numFmtId="0" fontId="36" fillId="0" borderId="0" xfId="2"/>
    <xf numFmtId="0" fontId="36" fillId="0" borderId="0" xfId="2" applyAlignment="1">
      <alignment horizontal="left"/>
    </xf>
    <xf numFmtId="164" fontId="36" fillId="0" borderId="0" xfId="2" applyNumberFormat="1"/>
    <xf numFmtId="2" fontId="3" fillId="0" borderId="0" xfId="2" applyNumberFormat="1" applyFont="1" applyAlignment="1">
      <alignment horizontal="center"/>
    </xf>
    <xf numFmtId="2" fontId="4" fillId="0" borderId="0" xfId="2" applyNumberFormat="1" applyFont="1" applyAlignment="1">
      <alignment horizontal="center"/>
    </xf>
    <xf numFmtId="0" fontId="5" fillId="0" borderId="0" xfId="2" applyFont="1"/>
    <xf numFmtId="2" fontId="6" fillId="0" borderId="0" xfId="2" applyNumberFormat="1" applyFont="1" applyAlignment="1">
      <alignment horizontal="center"/>
    </xf>
    <xf numFmtId="0" fontId="3" fillId="0" borderId="0" xfId="2" applyFont="1"/>
    <xf numFmtId="0" fontId="3" fillId="0" borderId="0" xfId="2" applyFont="1" applyAlignment="1">
      <alignment horizontal="center"/>
    </xf>
    <xf numFmtId="0" fontId="5" fillId="0" borderId="0" xfId="2" applyFont="1" applyAlignment="1">
      <alignment horizontal="center"/>
    </xf>
    <xf numFmtId="0" fontId="7" fillId="0" borderId="0" xfId="2" applyFont="1" applyAlignment="1">
      <alignment horizontal="center"/>
    </xf>
    <xf numFmtId="165" fontId="7" fillId="0" borderId="0" xfId="2" applyNumberFormat="1" applyFont="1" applyAlignment="1">
      <alignment horizontal="center"/>
    </xf>
    <xf numFmtId="165" fontId="5" fillId="0" borderId="0" xfId="2" applyNumberFormat="1" applyFont="1" applyAlignment="1">
      <alignment horizontal="center"/>
    </xf>
    <xf numFmtId="2" fontId="5" fillId="0" borderId="0" xfId="2" applyNumberFormat="1" applyFont="1" applyAlignment="1">
      <alignment horizontal="center"/>
    </xf>
    <xf numFmtId="165" fontId="3" fillId="0" borderId="0" xfId="2" applyNumberFormat="1" applyFont="1" applyAlignment="1">
      <alignment horizontal="center"/>
    </xf>
    <xf numFmtId="166" fontId="5" fillId="0" borderId="0" xfId="2" applyNumberFormat="1" applyFont="1" applyAlignment="1">
      <alignment horizontal="center"/>
    </xf>
    <xf numFmtId="164" fontId="3" fillId="0" borderId="0" xfId="2" applyNumberFormat="1" applyFont="1" applyAlignment="1">
      <alignment horizontal="center"/>
    </xf>
    <xf numFmtId="167" fontId="3" fillId="0" borderId="0" xfId="2" applyNumberFormat="1" applyFont="1" applyAlignment="1">
      <alignment horizontal="center"/>
    </xf>
    <xf numFmtId="168" fontId="3" fillId="0" borderId="0" xfId="2" applyNumberFormat="1" applyFont="1"/>
    <xf numFmtId="164" fontId="5" fillId="0" borderId="0" xfId="2" applyNumberFormat="1" applyFont="1" applyAlignment="1">
      <alignment horizontal="center"/>
    </xf>
    <xf numFmtId="1" fontId="5" fillId="0" borderId="0" xfId="2" applyNumberFormat="1" applyFont="1" applyAlignment="1">
      <alignment horizontal="center"/>
    </xf>
    <xf numFmtId="0" fontId="8" fillId="0" borderId="0" xfId="2" applyFont="1" applyAlignment="1">
      <alignment horizontal="center"/>
    </xf>
    <xf numFmtId="0" fontId="9" fillId="0" borderId="0" xfId="2" applyFont="1" applyAlignment="1">
      <alignment horizontal="center"/>
    </xf>
    <xf numFmtId="165" fontId="10" fillId="0" borderId="0" xfId="2" applyNumberFormat="1" applyFont="1" applyAlignment="1">
      <alignment horizontal="center"/>
    </xf>
    <xf numFmtId="167" fontId="5" fillId="0" borderId="0" xfId="2" applyNumberFormat="1" applyFont="1" applyAlignment="1">
      <alignment horizontal="center"/>
    </xf>
    <xf numFmtId="168" fontId="5" fillId="0" borderId="0" xfId="2" applyNumberFormat="1" applyFont="1"/>
    <xf numFmtId="0" fontId="9" fillId="0" borderId="0" xfId="2" applyFont="1"/>
    <xf numFmtId="2" fontId="10" fillId="0" borderId="0" xfId="2" applyNumberFormat="1" applyFont="1" applyAlignment="1">
      <alignment horizontal="center"/>
    </xf>
    <xf numFmtId="165" fontId="9" fillId="0" borderId="0" xfId="2" applyNumberFormat="1" applyFont="1" applyAlignment="1">
      <alignment horizontal="center"/>
    </xf>
    <xf numFmtId="2" fontId="9" fillId="0" borderId="0" xfId="2" applyNumberFormat="1" applyFont="1" applyAlignment="1">
      <alignment horizontal="center"/>
    </xf>
    <xf numFmtId="166" fontId="9" fillId="0" borderId="0" xfId="2" applyNumberFormat="1" applyFont="1" applyAlignment="1">
      <alignment horizontal="center"/>
    </xf>
    <xf numFmtId="164" fontId="9" fillId="0" borderId="0" xfId="2" applyNumberFormat="1" applyFont="1" applyAlignment="1">
      <alignment horizontal="center"/>
    </xf>
    <xf numFmtId="164" fontId="10" fillId="0" borderId="0" xfId="2" applyNumberFormat="1" applyFont="1" applyAlignment="1">
      <alignment horizontal="center"/>
    </xf>
    <xf numFmtId="167" fontId="9" fillId="0" borderId="0" xfId="2" applyNumberFormat="1" applyFont="1" applyAlignment="1">
      <alignment horizontal="center"/>
    </xf>
    <xf numFmtId="168" fontId="9" fillId="0" borderId="0" xfId="2" applyNumberFormat="1" applyFont="1"/>
    <xf numFmtId="1" fontId="9" fillId="0" borderId="0" xfId="2" applyNumberFormat="1" applyFont="1" applyAlignment="1">
      <alignment horizontal="center"/>
    </xf>
    <xf numFmtId="165" fontId="5" fillId="0" borderId="0" xfId="2" applyNumberFormat="1" applyFont="1" applyAlignment="1">
      <alignment horizontal="left"/>
    </xf>
    <xf numFmtId="165" fontId="12" fillId="0" borderId="0" xfId="2" applyNumberFormat="1" applyFont="1" applyAlignment="1">
      <alignment horizontal="center"/>
    </xf>
    <xf numFmtId="166" fontId="13" fillId="0" borderId="0" xfId="2" applyNumberFormat="1" applyFont="1" applyAlignment="1">
      <alignment horizontal="center"/>
    </xf>
    <xf numFmtId="164" fontId="13" fillId="0" borderId="0" xfId="2" applyNumberFormat="1" applyFont="1" applyAlignment="1">
      <alignment horizontal="center"/>
    </xf>
    <xf numFmtId="1" fontId="13" fillId="0" borderId="0" xfId="2" applyNumberFormat="1" applyFont="1" applyAlignment="1">
      <alignment horizontal="center"/>
    </xf>
    <xf numFmtId="49" fontId="5" fillId="0" borderId="0" xfId="2" applyNumberFormat="1" applyFont="1" applyAlignment="1">
      <alignment horizontal="left"/>
    </xf>
    <xf numFmtId="2" fontId="3" fillId="0" borderId="18" xfId="2" applyNumberFormat="1" applyFont="1" applyBorder="1" applyAlignment="1">
      <alignment horizontal="center"/>
    </xf>
    <xf numFmtId="165" fontId="3" fillId="0" borderId="18" xfId="2" applyNumberFormat="1" applyFont="1" applyBorder="1" applyAlignment="1">
      <alignment horizontal="center"/>
    </xf>
    <xf numFmtId="0" fontId="3" fillId="0" borderId="18" xfId="2" applyFont="1" applyBorder="1" applyAlignment="1">
      <alignment horizontal="center"/>
    </xf>
    <xf numFmtId="164" fontId="3" fillId="0" borderId="18" xfId="2" applyNumberFormat="1" applyFont="1" applyBorder="1" applyAlignment="1">
      <alignment horizontal="center"/>
    </xf>
    <xf numFmtId="167" fontId="3" fillId="0" borderId="18" xfId="2" applyNumberFormat="1" applyFont="1" applyBorder="1" applyAlignment="1">
      <alignment horizontal="center"/>
    </xf>
    <xf numFmtId="168" fontId="14" fillId="0" borderId="18" xfId="2" applyNumberFormat="1" applyFont="1" applyBorder="1" applyAlignment="1">
      <alignment horizontal="center"/>
    </xf>
    <xf numFmtId="1" fontId="3" fillId="0" borderId="18" xfId="2" applyNumberFormat="1" applyFont="1" applyBorder="1" applyAlignment="1">
      <alignment horizontal="center"/>
    </xf>
    <xf numFmtId="0" fontId="14" fillId="0" borderId="18" xfId="2" applyFont="1" applyBorder="1"/>
    <xf numFmtId="1" fontId="3" fillId="0" borderId="0" xfId="2" applyNumberFormat="1" applyFont="1" applyAlignment="1">
      <alignment horizontal="center"/>
    </xf>
    <xf numFmtId="10" fontId="3" fillId="0" borderId="0" xfId="3" applyNumberFormat="1" applyFont="1" applyAlignment="1">
      <alignment horizontal="center"/>
    </xf>
    <xf numFmtId="166" fontId="3" fillId="0" borderId="0" xfId="2" applyNumberFormat="1" applyFont="1" applyAlignment="1">
      <alignment horizontal="center"/>
    </xf>
    <xf numFmtId="165" fontId="3" fillId="0" borderId="0" xfId="2" applyNumberFormat="1" applyFont="1" applyAlignment="1">
      <alignment horizontal="left"/>
    </xf>
    <xf numFmtId="0" fontId="46" fillId="0" borderId="0" xfId="2" applyFont="1" applyAlignment="1">
      <alignment horizontal="left" vertical="center"/>
    </xf>
    <xf numFmtId="0" fontId="14" fillId="0" borderId="0" xfId="2" applyFont="1"/>
    <xf numFmtId="0" fontId="14" fillId="0" borderId="0" xfId="2" applyFont="1" applyAlignment="1">
      <alignment horizontal="left" vertical="center"/>
    </xf>
    <xf numFmtId="168" fontId="14" fillId="0" borderId="0" xfId="2" applyNumberFormat="1" applyFont="1" applyAlignment="1">
      <alignment horizontal="center"/>
    </xf>
    <xf numFmtId="0" fontId="47" fillId="0" borderId="0" xfId="2" applyFont="1"/>
    <xf numFmtId="168" fontId="5" fillId="0" borderId="0" xfId="2" applyNumberFormat="1" applyFont="1" applyAlignment="1">
      <alignment horizontal="center"/>
    </xf>
    <xf numFmtId="164" fontId="5" fillId="0" borderId="0" xfId="2" applyNumberFormat="1" applyFont="1"/>
    <xf numFmtId="1" fontId="5" fillId="0" borderId="0" xfId="2" applyNumberFormat="1" applyFont="1"/>
    <xf numFmtId="2" fontId="5" fillId="0" borderId="19" xfId="2" applyNumberFormat="1" applyFont="1" applyBorder="1" applyAlignment="1">
      <alignment horizontal="center"/>
    </xf>
    <xf numFmtId="164" fontId="5" fillId="0" borderId="19" xfId="2" applyNumberFormat="1" applyFont="1" applyBorder="1" applyAlignment="1">
      <alignment horizontal="center"/>
    </xf>
    <xf numFmtId="168" fontId="5" fillId="0" borderId="19" xfId="2" applyNumberFormat="1" applyFont="1" applyBorder="1" applyAlignment="1">
      <alignment horizontal="center"/>
    </xf>
    <xf numFmtId="0" fontId="5" fillId="0" borderId="0" xfId="2" applyFont="1" applyAlignment="1">
      <alignment vertical="top"/>
    </xf>
    <xf numFmtId="0" fontId="48" fillId="0" borderId="0" xfId="2" applyFont="1" applyAlignment="1">
      <alignment vertical="top"/>
    </xf>
    <xf numFmtId="2" fontId="5" fillId="0" borderId="0" xfId="2" applyNumberFormat="1" applyFont="1" applyAlignment="1">
      <alignment horizontal="center" vertical="top"/>
    </xf>
    <xf numFmtId="2" fontId="11" fillId="0" borderId="0" xfId="2" applyNumberFormat="1" applyFont="1" applyAlignment="1">
      <alignment horizontal="center" vertical="top"/>
    </xf>
    <xf numFmtId="165" fontId="5" fillId="0" borderId="0" xfId="2" applyNumberFormat="1" applyFont="1" applyAlignment="1">
      <alignment horizontal="center" vertical="top"/>
    </xf>
    <xf numFmtId="165" fontId="11" fillId="0" borderId="0" xfId="2" applyNumberFormat="1" applyFont="1" applyAlignment="1">
      <alignment horizontal="center" vertical="top"/>
    </xf>
    <xf numFmtId="164" fontId="5" fillId="0" borderId="0" xfId="2" applyNumberFormat="1" applyFont="1" applyAlignment="1">
      <alignment horizontal="center" vertical="top"/>
    </xf>
    <xf numFmtId="167" fontId="11" fillId="0" borderId="0" xfId="2" applyNumberFormat="1" applyFont="1" applyAlignment="1">
      <alignment horizontal="center" vertical="top"/>
    </xf>
    <xf numFmtId="168" fontId="11" fillId="0" borderId="0" xfId="2" applyNumberFormat="1" applyFont="1" applyAlignment="1">
      <alignment horizontal="center" vertical="top"/>
    </xf>
    <xf numFmtId="164" fontId="11" fillId="0" borderId="0" xfId="2" applyNumberFormat="1" applyFont="1" applyAlignment="1">
      <alignment horizontal="center" vertical="top"/>
    </xf>
    <xf numFmtId="1" fontId="11" fillId="0" borderId="0" xfId="2" applyNumberFormat="1" applyFont="1" applyAlignment="1">
      <alignment horizontal="center" vertical="top"/>
    </xf>
    <xf numFmtId="2" fontId="11" fillId="0" borderId="0" xfId="2" applyNumberFormat="1" applyFont="1" applyAlignment="1">
      <alignment horizontal="center"/>
    </xf>
    <xf numFmtId="169" fontId="5" fillId="0" borderId="0" xfId="2" applyNumberFormat="1" applyFont="1" applyAlignment="1">
      <alignment horizontal="center"/>
    </xf>
    <xf numFmtId="2" fontId="18" fillId="0" borderId="0" xfId="2" applyNumberFormat="1" applyFont="1" applyAlignment="1">
      <alignment horizontal="center"/>
    </xf>
    <xf numFmtId="165" fontId="18" fillId="0" borderId="0" xfId="2" applyNumberFormat="1" applyFont="1" applyAlignment="1">
      <alignment horizontal="center"/>
    </xf>
    <xf numFmtId="165" fontId="19" fillId="0" borderId="0" xfId="2" applyNumberFormat="1" applyFont="1" applyAlignment="1">
      <alignment horizontal="center"/>
    </xf>
    <xf numFmtId="167" fontId="18" fillId="0" borderId="0" xfId="2" applyNumberFormat="1" applyFont="1" applyAlignment="1">
      <alignment horizontal="center"/>
    </xf>
    <xf numFmtId="164" fontId="19" fillId="0" borderId="0" xfId="2" applyNumberFormat="1" applyFont="1" applyAlignment="1">
      <alignment horizontal="center"/>
    </xf>
    <xf numFmtId="168" fontId="18" fillId="0" borderId="0" xfId="2" applyNumberFormat="1" applyFont="1" applyAlignment="1">
      <alignment horizontal="center"/>
    </xf>
    <xf numFmtId="164" fontId="18" fillId="0" borderId="0" xfId="2" applyNumberFormat="1" applyFont="1" applyAlignment="1">
      <alignment horizontal="center"/>
    </xf>
    <xf numFmtId="1" fontId="18" fillId="0" borderId="0" xfId="2" applyNumberFormat="1" applyFont="1" applyAlignment="1">
      <alignment horizontal="center"/>
    </xf>
    <xf numFmtId="2" fontId="19" fillId="0" borderId="0" xfId="2" applyNumberFormat="1" applyFont="1" applyAlignment="1">
      <alignment horizontal="center"/>
    </xf>
    <xf numFmtId="164" fontId="36" fillId="0" borderId="0" xfId="2" applyNumberFormat="1" applyAlignment="1">
      <alignment horizontal="center"/>
    </xf>
    <xf numFmtId="2" fontId="36" fillId="0" borderId="0" xfId="2" applyNumberFormat="1" applyAlignment="1">
      <alignment horizontal="center"/>
    </xf>
    <xf numFmtId="0" fontId="20" fillId="0" borderId="0" xfId="2" applyFont="1" applyAlignment="1">
      <alignment horizontal="left"/>
    </xf>
    <xf numFmtId="2" fontId="21" fillId="0" borderId="0" xfId="2" applyNumberFormat="1" applyFont="1" applyAlignment="1">
      <alignment horizontal="center"/>
    </xf>
    <xf numFmtId="165" fontId="36" fillId="0" borderId="0" xfId="2" applyNumberFormat="1" applyAlignment="1">
      <alignment horizontal="center"/>
    </xf>
    <xf numFmtId="167" fontId="36" fillId="0" borderId="0" xfId="2" applyNumberFormat="1" applyAlignment="1">
      <alignment horizontal="center"/>
    </xf>
    <xf numFmtId="168" fontId="36" fillId="0" borderId="0" xfId="2" applyNumberFormat="1"/>
    <xf numFmtId="1" fontId="36" fillId="0" borderId="0" xfId="2" applyNumberFormat="1" applyAlignment="1">
      <alignment horizontal="center"/>
    </xf>
    <xf numFmtId="0" fontId="36" fillId="0" borderId="0" xfId="2" applyAlignment="1">
      <alignment horizontal="center"/>
    </xf>
    <xf numFmtId="2" fontId="49" fillId="0" borderId="0" xfId="2" applyNumberFormat="1" applyFont="1" applyAlignment="1">
      <alignment horizontal="center" vertical="center"/>
    </xf>
    <xf numFmtId="0" fontId="50" fillId="0" borderId="0" xfId="2" applyFont="1" applyAlignment="1">
      <alignment horizontal="center"/>
    </xf>
    <xf numFmtId="2" fontId="51" fillId="0" borderId="0" xfId="2" applyNumberFormat="1" applyFont="1" applyAlignment="1">
      <alignment horizontal="center" vertical="center"/>
    </xf>
    <xf numFmtId="2" fontId="50" fillId="0" borderId="0" xfId="2" applyNumberFormat="1" applyFont="1" applyAlignment="1">
      <alignment horizontal="center"/>
    </xf>
    <xf numFmtId="0" fontId="50" fillId="0" borderId="0" xfId="2" applyFont="1" applyAlignment="1">
      <alignment horizontal="center" vertical="center"/>
    </xf>
    <xf numFmtId="0" fontId="36" fillId="0" borderId="20" xfId="2" applyBorder="1"/>
    <xf numFmtId="0" fontId="36" fillId="0" borderId="20" xfId="2" applyBorder="1" applyAlignment="1">
      <alignment horizontal="center"/>
    </xf>
    <xf numFmtId="0" fontId="52" fillId="0" borderId="0" xfId="2" applyFont="1" applyAlignment="1">
      <alignment horizontal="center"/>
    </xf>
    <xf numFmtId="2" fontId="52" fillId="0" borderId="0" xfId="2" applyNumberFormat="1" applyFont="1" applyAlignment="1">
      <alignment horizontal="center" vertical="center"/>
    </xf>
    <xf numFmtId="0" fontId="52" fillId="0" borderId="0" xfId="2" applyFont="1"/>
    <xf numFmtId="0" fontId="36" fillId="0" borderId="0" xfId="2" applyAlignment="1">
      <alignment horizontal="center" vertical="center"/>
    </xf>
    <xf numFmtId="0" fontId="36" fillId="0" borderId="0" xfId="2" applyAlignment="1">
      <alignment vertical="center"/>
    </xf>
    <xf numFmtId="0" fontId="0" fillId="0" borderId="0" xfId="0" applyBorder="1"/>
    <xf numFmtId="0" fontId="0" fillId="0" borderId="0" xfId="0" applyFill="1" applyBorder="1"/>
    <xf numFmtId="165" fontId="0" fillId="0" borderId="0" xfId="0" applyNumberFormat="1" applyFill="1" applyBorder="1"/>
    <xf numFmtId="165" fontId="0" fillId="0" borderId="0" xfId="0" applyNumberFormat="1" applyFill="1" applyBorder="1" applyAlignment="1">
      <alignment vertical="center"/>
    </xf>
    <xf numFmtId="0" fontId="0" fillId="0" borderId="0" xfId="0" applyBorder="1" applyAlignment="1">
      <alignment horizontal="right"/>
    </xf>
    <xf numFmtId="2" fontId="0" fillId="0" borderId="0" xfId="0" applyNumberFormat="1" applyBorder="1" applyAlignment="1">
      <alignment horizontal="right"/>
    </xf>
    <xf numFmtId="2" fontId="0" fillId="0" borderId="0" xfId="0" applyNumberFormat="1" applyFill="1" applyBorder="1" applyAlignment="1">
      <alignment horizontal="right"/>
    </xf>
    <xf numFmtId="0" fontId="0" fillId="0" borderId="0" xfId="0" applyFill="1" applyBorder="1" applyAlignment="1">
      <alignment horizontal="right"/>
    </xf>
    <xf numFmtId="0" fontId="5" fillId="0" borderId="19" xfId="2" applyFont="1" applyBorder="1" applyAlignment="1">
      <alignment horizontal="center"/>
    </xf>
    <xf numFmtId="1" fontId="5" fillId="0" borderId="19" xfId="2" applyNumberFormat="1" applyFont="1" applyBorder="1" applyAlignment="1">
      <alignment horizontal="center"/>
    </xf>
    <xf numFmtId="165" fontId="5" fillId="0" borderId="19" xfId="2" applyNumberFormat="1" applyFont="1" applyBorder="1" applyAlignment="1">
      <alignment horizontal="center"/>
    </xf>
    <xf numFmtId="0" fontId="53" fillId="0" borderId="0" xfId="2" applyFont="1" applyAlignment="1">
      <alignment horizontal="left" vertical="center"/>
    </xf>
    <xf numFmtId="2" fontId="36" fillId="0" borderId="21" xfId="2" applyNumberFormat="1" applyBorder="1" applyAlignment="1">
      <alignment horizontal="center"/>
    </xf>
    <xf numFmtId="0" fontId="36" fillId="0" borderId="21" xfId="2" applyBorder="1" applyAlignment="1">
      <alignment horizontal="center"/>
    </xf>
    <xf numFmtId="165" fontId="36" fillId="0" borderId="21" xfId="2" applyNumberFormat="1" applyBorder="1" applyAlignment="1">
      <alignment horizontal="center"/>
    </xf>
    <xf numFmtId="0" fontId="36" fillId="0" borderId="21" xfId="2" applyBorder="1"/>
    <xf numFmtId="0" fontId="36" fillId="0" borderId="21" xfId="2" applyBorder="1" applyAlignment="1">
      <alignment horizontal="center" vertical="center"/>
    </xf>
    <xf numFmtId="165" fontId="36" fillId="0" borderId="21" xfId="2" applyNumberFormat="1" applyBorder="1" applyAlignment="1">
      <alignment horizontal="center" vertical="center"/>
    </xf>
    <xf numFmtId="0" fontId="36" fillId="0" borderId="22" xfId="2" applyBorder="1" applyAlignment="1">
      <alignment horizontal="center" vertical="center" wrapText="1"/>
    </xf>
    <xf numFmtId="0" fontId="36" fillId="0" borderId="23" xfId="2" applyBorder="1" applyAlignment="1">
      <alignment horizontal="center" vertical="center" wrapText="1"/>
    </xf>
    <xf numFmtId="0" fontId="36" fillId="0" borderId="24" xfId="2" applyBorder="1" applyAlignment="1">
      <alignment horizontal="center" vertical="center" wrapText="1"/>
    </xf>
    <xf numFmtId="0" fontId="54" fillId="0" borderId="25" xfId="2" applyFont="1" applyBorder="1" applyAlignment="1">
      <alignment horizontal="center"/>
    </xf>
    <xf numFmtId="0" fontId="54" fillId="0" borderId="26" xfId="2" applyFont="1" applyBorder="1" applyAlignment="1">
      <alignment horizontal="center"/>
    </xf>
    <xf numFmtId="0" fontId="54" fillId="0" borderId="26" xfId="2" applyFont="1" applyBorder="1" applyAlignment="1">
      <alignment horizontal="center" vertical="center"/>
    </xf>
    <xf numFmtId="0" fontId="54" fillId="0" borderId="27" xfId="2" applyFont="1" applyBorder="1" applyAlignment="1">
      <alignment horizontal="center"/>
    </xf>
    <xf numFmtId="0" fontId="50" fillId="0" borderId="21" xfId="2" applyFont="1" applyBorder="1" applyAlignment="1">
      <alignment horizontal="center" vertical="center"/>
    </xf>
    <xf numFmtId="0" fontId="50" fillId="0" borderId="0" xfId="2" applyFont="1"/>
    <xf numFmtId="0" fontId="36" fillId="0" borderId="28" xfId="2" applyBorder="1" applyAlignment="1">
      <alignment horizontal="center" vertical="center"/>
    </xf>
    <xf numFmtId="0" fontId="50" fillId="0" borderId="21" xfId="2" applyFont="1" applyBorder="1" applyAlignment="1">
      <alignment horizontal="center" vertical="center" wrapText="1"/>
    </xf>
    <xf numFmtId="165" fontId="36" fillId="0" borderId="28" xfId="2" applyNumberFormat="1" applyBorder="1" applyAlignment="1">
      <alignment horizontal="center" vertical="center"/>
    </xf>
    <xf numFmtId="0" fontId="54" fillId="3" borderId="26" xfId="2" applyFont="1" applyFill="1" applyBorder="1" applyAlignment="1">
      <alignment horizontal="center"/>
    </xf>
    <xf numFmtId="0" fontId="36" fillId="3" borderId="23" xfId="2" applyFill="1" applyBorder="1" applyAlignment="1">
      <alignment horizontal="center" vertical="center" wrapText="1"/>
    </xf>
    <xf numFmtId="0" fontId="50" fillId="3" borderId="21" xfId="2" applyFont="1" applyFill="1" applyBorder="1" applyAlignment="1">
      <alignment horizontal="center" vertical="center" wrapText="1"/>
    </xf>
    <xf numFmtId="2" fontId="36" fillId="3" borderId="28" xfId="2" applyNumberFormat="1" applyFill="1" applyBorder="1" applyAlignment="1">
      <alignment horizontal="center"/>
    </xf>
    <xf numFmtId="2" fontId="36" fillId="3" borderId="21" xfId="2" applyNumberFormat="1" applyFill="1" applyBorder="1" applyAlignment="1">
      <alignment horizontal="center"/>
    </xf>
    <xf numFmtId="0" fontId="36" fillId="0" borderId="21" xfId="2" applyFill="1" applyBorder="1"/>
    <xf numFmtId="0" fontId="36" fillId="0" borderId="0" xfId="2" applyFill="1"/>
    <xf numFmtId="0" fontId="50" fillId="0" borderId="21" xfId="2" applyFont="1" applyFill="1" applyBorder="1" applyAlignment="1">
      <alignment vertical="center"/>
    </xf>
    <xf numFmtId="165" fontId="25" fillId="0" borderId="0" xfId="2" applyNumberFormat="1" applyFont="1" applyAlignment="1">
      <alignment horizontal="left"/>
    </xf>
    <xf numFmtId="165" fontId="25" fillId="0" borderId="0" xfId="2" applyNumberFormat="1" applyFont="1" applyAlignment="1">
      <alignment horizontal="left" vertical="top"/>
    </xf>
    <xf numFmtId="165" fontId="25" fillId="0" borderId="19" xfId="2" applyNumberFormat="1" applyFont="1" applyBorder="1" applyAlignment="1">
      <alignment horizontal="left"/>
    </xf>
    <xf numFmtId="165" fontId="25" fillId="0" borderId="0" xfId="2" applyNumberFormat="1" applyFont="1" applyAlignment="1">
      <alignment horizontal="center"/>
    </xf>
    <xf numFmtId="165" fontId="26" fillId="0" borderId="0" xfId="2" applyNumberFormat="1" applyFont="1" applyAlignment="1">
      <alignment horizontal="center"/>
    </xf>
    <xf numFmtId="165" fontId="43" fillId="0" borderId="0" xfId="2" applyNumberFormat="1" applyFont="1" applyAlignment="1">
      <alignment horizontal="left"/>
    </xf>
    <xf numFmtId="0" fontId="43" fillId="0" borderId="0" xfId="2" applyFont="1" applyAlignment="1">
      <alignment horizontal="left"/>
    </xf>
    <xf numFmtId="0" fontId="42" fillId="0" borderId="0" xfId="0" applyFont="1"/>
    <xf numFmtId="0" fontId="36" fillId="0" borderId="0" xfId="2" applyFill="1" applyBorder="1" applyAlignment="1">
      <alignment vertical="center" wrapText="1"/>
    </xf>
    <xf numFmtId="0" fontId="36" fillId="0" borderId="0" xfId="2" applyFill="1" applyBorder="1" applyAlignment="1">
      <alignment vertical="center"/>
    </xf>
    <xf numFmtId="0" fontId="55" fillId="0" borderId="21" xfId="0" applyFont="1" applyFill="1" applyBorder="1" applyAlignment="1">
      <alignment horizontal="left"/>
    </xf>
    <xf numFmtId="0" fontId="0" fillId="0" borderId="21" xfId="0" applyFill="1" applyBorder="1" applyAlignment="1">
      <alignment horizontal="left" vertical="center" wrapText="1"/>
    </xf>
    <xf numFmtId="0" fontId="0" fillId="0" borderId="21" xfId="0" applyFill="1" applyBorder="1" applyAlignment="1">
      <alignment horizontal="right"/>
    </xf>
    <xf numFmtId="2" fontId="0" fillId="0" borderId="21" xfId="0" applyNumberFormat="1" applyFill="1" applyBorder="1" applyAlignment="1">
      <alignment horizontal="right"/>
    </xf>
    <xf numFmtId="0" fontId="0" fillId="0" borderId="21" xfId="0" applyFill="1" applyBorder="1"/>
    <xf numFmtId="0" fontId="0" fillId="0" borderId="21" xfId="0" applyFill="1" applyBorder="1" applyAlignment="1">
      <alignment horizontal="left"/>
    </xf>
    <xf numFmtId="164" fontId="55" fillId="0" borderId="21" xfId="0" applyNumberFormat="1" applyFont="1" applyFill="1" applyBorder="1" applyAlignment="1">
      <alignment horizontal="right"/>
    </xf>
    <xf numFmtId="0" fontId="56" fillId="0" borderId="21" xfId="0" applyFont="1" applyFill="1" applyBorder="1"/>
    <xf numFmtId="164" fontId="0" fillId="0" borderId="21" xfId="0" applyNumberFormat="1" applyFill="1" applyBorder="1" applyAlignment="1">
      <alignment horizontal="right"/>
    </xf>
    <xf numFmtId="2" fontId="56" fillId="0" borderId="21" xfId="0" applyNumberFormat="1" applyFont="1" applyFill="1" applyBorder="1"/>
    <xf numFmtId="2" fontId="0" fillId="0" borderId="21" xfId="0" applyNumberFormat="1" applyFill="1" applyBorder="1" applyAlignment="1">
      <alignment horizontal="right" vertical="center"/>
    </xf>
    <xf numFmtId="0" fontId="0" fillId="0" borderId="21" xfId="0" applyFill="1" applyBorder="1" applyAlignment="1">
      <alignment horizontal="left" vertical="center"/>
    </xf>
    <xf numFmtId="0" fontId="0" fillId="0" borderId="21" xfId="0" applyFill="1" applyBorder="1" applyAlignment="1">
      <alignment horizontal="left" wrapText="1"/>
    </xf>
    <xf numFmtId="165" fontId="0" fillId="0" borderId="21" xfId="0" applyNumberFormat="1" applyFill="1" applyBorder="1"/>
    <xf numFmtId="0" fontId="57" fillId="0" borderId="21" xfId="0" applyFont="1" applyFill="1" applyBorder="1" applyAlignment="1">
      <alignment horizontal="right"/>
    </xf>
    <xf numFmtId="165" fontId="0" fillId="0" borderId="21" xfId="0" applyNumberFormat="1" applyFill="1" applyBorder="1" applyAlignment="1">
      <alignment wrapText="1"/>
    </xf>
    <xf numFmtId="0" fontId="0" fillId="0" borderId="21" xfId="0" applyFill="1" applyBorder="1" applyAlignment="1">
      <alignment wrapText="1"/>
    </xf>
    <xf numFmtId="170" fontId="0" fillId="0" borderId="21" xfId="0" applyNumberFormat="1" applyFill="1" applyBorder="1" applyAlignment="1">
      <alignment horizontal="right"/>
    </xf>
    <xf numFmtId="0" fontId="0" fillId="0" borderId="28" xfId="0" applyBorder="1"/>
    <xf numFmtId="0" fontId="55" fillId="0" borderId="28" xfId="0" applyFont="1" applyBorder="1" applyAlignment="1">
      <alignment horizontal="left"/>
    </xf>
    <xf numFmtId="165" fontId="55" fillId="0" borderId="28" xfId="0" applyNumberFormat="1" applyFont="1" applyBorder="1" applyAlignment="1">
      <alignment horizontal="right"/>
    </xf>
    <xf numFmtId="2" fontId="55" fillId="0" borderId="28" xfId="0" applyNumberFormat="1" applyFont="1" applyBorder="1" applyAlignment="1">
      <alignment horizontal="right"/>
    </xf>
    <xf numFmtId="0" fontId="27" fillId="0" borderId="29" xfId="0" applyFont="1" applyBorder="1" applyAlignment="1">
      <alignment horizontal="left" vertical="center" wrapText="1"/>
    </xf>
    <xf numFmtId="0" fontId="27" fillId="0" borderId="29" xfId="0" applyFont="1" applyBorder="1" applyAlignment="1">
      <alignment horizontal="right" vertical="center" wrapText="1"/>
    </xf>
    <xf numFmtId="2" fontId="27" fillId="0" borderId="29" xfId="0" applyNumberFormat="1" applyFont="1" applyBorder="1" applyAlignment="1">
      <alignment horizontal="right" vertical="center" wrapText="1"/>
    </xf>
    <xf numFmtId="0" fontId="56" fillId="0" borderId="21" xfId="0" applyNumberFormat="1" applyFont="1" applyFill="1" applyBorder="1"/>
    <xf numFmtId="0" fontId="28" fillId="0" borderId="0" xfId="0" applyFont="1" applyAlignment="1">
      <alignment horizontal="left" vertical="center" indent="2"/>
    </xf>
    <xf numFmtId="0" fontId="0" fillId="0" borderId="0" xfId="0" applyBorder="1" applyAlignment="1">
      <alignment vertical="top"/>
    </xf>
    <xf numFmtId="0" fontId="58" fillId="0" borderId="0" xfId="0" applyFont="1"/>
    <xf numFmtId="0" fontId="59" fillId="0" borderId="0" xfId="0" applyFont="1" applyAlignment="1">
      <alignment vertical="center"/>
    </xf>
    <xf numFmtId="0" fontId="31" fillId="0" borderId="0" xfId="0" applyFont="1" applyAlignment="1">
      <alignment vertical="top"/>
    </xf>
    <xf numFmtId="0" fontId="31" fillId="0" borderId="0" xfId="0" applyFont="1" applyBorder="1" applyAlignment="1">
      <alignment vertical="top"/>
    </xf>
    <xf numFmtId="0" fontId="27" fillId="0" borderId="0" xfId="0" applyFont="1" applyFill="1" applyBorder="1"/>
    <xf numFmtId="0" fontId="31" fillId="0" borderId="0" xfId="0" applyFont="1" applyAlignment="1">
      <alignment horizontal="left" vertical="center" indent="6"/>
    </xf>
    <xf numFmtId="0" fontId="37" fillId="0" borderId="0" xfId="1" applyAlignment="1">
      <alignment horizontal="left" vertical="center" indent="6"/>
    </xf>
    <xf numFmtId="0" fontId="60" fillId="0" borderId="0" xfId="0" applyFont="1" applyAlignment="1">
      <alignment horizontal="left" vertical="center"/>
    </xf>
    <xf numFmtId="0" fontId="60" fillId="0" borderId="0" xfId="0" applyFont="1"/>
    <xf numFmtId="0" fontId="60" fillId="0" borderId="0" xfId="0" applyFont="1" applyAlignment="1">
      <alignment horizontal="right"/>
    </xf>
    <xf numFmtId="0" fontId="60" fillId="0" borderId="21" xfId="0" applyFont="1" applyBorder="1" applyAlignment="1">
      <alignment horizontal="right"/>
    </xf>
    <xf numFmtId="0" fontId="60" fillId="0" borderId="0" xfId="0" applyFont="1" applyBorder="1"/>
    <xf numFmtId="2" fontId="60" fillId="0" borderId="0" xfId="0" applyNumberFormat="1" applyFont="1" applyBorder="1" applyAlignment="1">
      <alignment horizontal="right"/>
    </xf>
    <xf numFmtId="0" fontId="34" fillId="0" borderId="0" xfId="0" applyFont="1"/>
    <xf numFmtId="2" fontId="0" fillId="0" borderId="0" xfId="0" applyNumberFormat="1" applyBorder="1"/>
    <xf numFmtId="164" fontId="55" fillId="0" borderId="30" xfId="0" applyNumberFormat="1" applyFont="1" applyFill="1" applyBorder="1" applyAlignment="1">
      <alignment horizontal="right"/>
    </xf>
    <xf numFmtId="0" fontId="60" fillId="0" borderId="0" xfId="0" applyFont="1" applyBorder="1" applyAlignment="1">
      <alignment horizontal="left" vertical="center"/>
    </xf>
    <xf numFmtId="0" fontId="60" fillId="0" borderId="31" xfId="0" applyFont="1" applyBorder="1" applyAlignment="1">
      <alignment horizontal="right"/>
    </xf>
    <xf numFmtId="0" fontId="42" fillId="0" borderId="1" xfId="0" applyFont="1" applyFill="1" applyBorder="1" applyAlignment="1">
      <alignment vertical="center"/>
    </xf>
    <xf numFmtId="2" fontId="42" fillId="0" borderId="32" xfId="0" applyNumberFormat="1" applyFont="1" applyFill="1" applyBorder="1"/>
    <xf numFmtId="0" fontId="42" fillId="0" borderId="33" xfId="0" applyFont="1" applyFill="1" applyBorder="1"/>
    <xf numFmtId="49" fontId="41" fillId="0" borderId="34" xfId="0" applyNumberFormat="1" applyFont="1" applyFill="1" applyBorder="1" applyAlignment="1">
      <alignment vertical="top"/>
    </xf>
    <xf numFmtId="0" fontId="42" fillId="0" borderId="35" xfId="0" applyFont="1" applyFill="1" applyBorder="1"/>
    <xf numFmtId="49" fontId="44" fillId="0" borderId="6" xfId="0" applyNumberFormat="1" applyFont="1" applyFill="1" applyBorder="1" applyAlignment="1">
      <alignment vertical="top"/>
    </xf>
    <xf numFmtId="2" fontId="42" fillId="0" borderId="6" xfId="0" applyNumberFormat="1" applyFont="1" applyFill="1" applyBorder="1" applyAlignment="1">
      <alignment horizontal="center"/>
    </xf>
    <xf numFmtId="2" fontId="42" fillId="0" borderId="4" xfId="0" applyNumberFormat="1" applyFont="1" applyFill="1" applyBorder="1"/>
    <xf numFmtId="0" fontId="42" fillId="0" borderId="36" xfId="0" applyFont="1" applyFill="1" applyBorder="1"/>
    <xf numFmtId="0" fontId="2" fillId="0" borderId="0" xfId="0" applyFont="1" applyBorder="1" applyAlignment="1">
      <alignment horizontal="left"/>
    </xf>
    <xf numFmtId="0" fontId="1" fillId="2" borderId="0" xfId="0" applyFont="1" applyFill="1" applyBorder="1" applyAlignment="1">
      <alignment vertical="top"/>
    </xf>
    <xf numFmtId="1" fontId="2" fillId="0" borderId="0" xfId="0" applyNumberFormat="1" applyFont="1" applyBorder="1" applyAlignment="1">
      <alignment horizontal="left"/>
    </xf>
    <xf numFmtId="0" fontId="0" fillId="0" borderId="0" xfId="0" applyNumberFormat="1" applyBorder="1"/>
    <xf numFmtId="0" fontId="5" fillId="0" borderId="19" xfId="2" applyFont="1" applyBorder="1" applyAlignment="1">
      <alignment horizontal="center"/>
    </xf>
    <xf numFmtId="1" fontId="5" fillId="0" borderId="19" xfId="2" applyNumberFormat="1" applyFont="1" applyBorder="1" applyAlignment="1">
      <alignment horizontal="center"/>
    </xf>
    <xf numFmtId="165" fontId="5" fillId="0" borderId="19" xfId="2" applyNumberFormat="1" applyFont="1" applyBorder="1" applyAlignment="1">
      <alignment horizontal="center"/>
    </xf>
    <xf numFmtId="0" fontId="36" fillId="0" borderId="0" xfId="2" applyFill="1" applyBorder="1" applyAlignment="1">
      <alignment horizontal="left" vertical="center" wrapText="1"/>
    </xf>
    <xf numFmtId="0" fontId="50" fillId="0" borderId="0" xfId="2" applyFont="1" applyFill="1" applyBorder="1" applyAlignment="1">
      <alignment horizontal="left" vertical="center"/>
    </xf>
    <xf numFmtId="0" fontId="61" fillId="0" borderId="0" xfId="0" applyFont="1"/>
    <xf numFmtId="0" fontId="36" fillId="0" borderId="31" xfId="2" applyBorder="1" applyAlignment="1">
      <alignment horizontal="center"/>
    </xf>
    <xf numFmtId="0" fontId="50" fillId="0" borderId="31" xfId="2" applyFont="1" applyBorder="1" applyAlignment="1">
      <alignment horizontal="center" vertical="center"/>
    </xf>
    <xf numFmtId="0" fontId="36" fillId="0" borderId="37" xfId="2" applyBorder="1" applyAlignment="1">
      <alignment horizontal="center"/>
    </xf>
    <xf numFmtId="0" fontId="61" fillId="0" borderId="31" xfId="0" applyFont="1" applyBorder="1"/>
    <xf numFmtId="0" fontId="62" fillId="0" borderId="0" xfId="0" applyFont="1"/>
    <xf numFmtId="0" fontId="62" fillId="0" borderId="31" xfId="0" applyFont="1" applyBorder="1"/>
    <xf numFmtId="0" fontId="62" fillId="0" borderId="38" xfId="0" applyFont="1" applyBorder="1"/>
  </cellXfs>
  <cellStyles count="4">
    <cellStyle name="Hyperlink" xfId="1" builtinId="8"/>
    <cellStyle name="Normal" xfId="0" builtinId="0"/>
    <cellStyle name="Normal 2"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E"/>
        </a:p>
      </c:txPr>
    </c:title>
    <c:autoTitleDeleted val="0"/>
    <c:plotArea>
      <c:layout/>
      <c:scatterChart>
        <c:scatterStyle val="lineMarker"/>
        <c:varyColors val="0"/>
        <c:ser>
          <c:idx val="0"/>
          <c:order val="0"/>
          <c:tx>
            <c:strRef>
              <c:f>'Supplementary Data for Chacay M'!$D$1</c:f>
              <c:strCache>
                <c:ptCount val="1"/>
                <c:pt idx="0">
                  <c:v>d13Corg</c:v>
                </c:pt>
              </c:strCache>
            </c:strRef>
          </c:tx>
          <c:spPr>
            <a:ln w="50800" cap="rnd">
              <a:solidFill>
                <a:schemeClr val="accent3">
                  <a:lumMod val="40000"/>
                  <a:lumOff val="60000"/>
                  <a:alpha val="38000"/>
                </a:schemeClr>
              </a:solidFill>
              <a:round/>
            </a:ln>
            <a:effectLst/>
          </c:spPr>
          <c:marker>
            <c:symbol val="circle"/>
            <c:size val="3"/>
            <c:spPr>
              <a:solidFill>
                <a:schemeClr val="accent3">
                  <a:lumMod val="50000"/>
                </a:schemeClr>
              </a:solidFill>
              <a:ln w="9525">
                <a:solidFill>
                  <a:schemeClr val="accent3">
                    <a:lumMod val="50000"/>
                  </a:schemeClr>
                </a:solidFill>
              </a:ln>
              <a:effectLst/>
            </c:spPr>
          </c:marker>
          <c:xVal>
            <c:numRef>
              <c:f>'Supplementary Data for Chacay M'!$D$2:$D$248</c:f>
              <c:numCache>
                <c:formatCode>General</c:formatCode>
                <c:ptCount val="247"/>
                <c:pt idx="0" formatCode="0.00">
                  <c:v>-28.1</c:v>
                </c:pt>
                <c:pt idx="2" formatCode="0.00">
                  <c:v>-27.65</c:v>
                </c:pt>
                <c:pt idx="3" formatCode="0.00">
                  <c:v>-26.76</c:v>
                </c:pt>
                <c:pt idx="4" formatCode="0.00">
                  <c:v>-17.34</c:v>
                </c:pt>
                <c:pt idx="8" formatCode="0.00">
                  <c:v>-28.77</c:v>
                </c:pt>
                <c:pt idx="9" formatCode="0.00">
                  <c:v>-28.08</c:v>
                </c:pt>
                <c:pt idx="10" formatCode="0.00">
                  <c:v>-27.3</c:v>
                </c:pt>
                <c:pt idx="11" formatCode="0.00">
                  <c:v>-27.93</c:v>
                </c:pt>
                <c:pt idx="12" formatCode="0.00">
                  <c:v>-27.34</c:v>
                </c:pt>
                <c:pt idx="13" formatCode="0.00">
                  <c:v>-28.22</c:v>
                </c:pt>
                <c:pt idx="15" formatCode="0.00">
                  <c:v>-28.54</c:v>
                </c:pt>
                <c:pt idx="16" formatCode="0.00">
                  <c:v>-27.3</c:v>
                </c:pt>
                <c:pt idx="18" formatCode="0.00">
                  <c:v>-28.22</c:v>
                </c:pt>
                <c:pt idx="19" formatCode="0.00">
                  <c:v>-28.38</c:v>
                </c:pt>
                <c:pt idx="20" formatCode="0.00">
                  <c:v>-29.05</c:v>
                </c:pt>
                <c:pt idx="21" formatCode="0.00">
                  <c:v>-28.38</c:v>
                </c:pt>
                <c:pt idx="22" formatCode="0.00">
                  <c:v>-28.67</c:v>
                </c:pt>
                <c:pt idx="23" formatCode="0.00">
                  <c:v>-28.99</c:v>
                </c:pt>
                <c:pt idx="24" formatCode="0.00">
                  <c:v>-26.85</c:v>
                </c:pt>
                <c:pt idx="26" formatCode="0.00">
                  <c:v>-29.06</c:v>
                </c:pt>
                <c:pt idx="27" formatCode="0.00">
                  <c:v>-28.42</c:v>
                </c:pt>
                <c:pt idx="28" formatCode="0.00">
                  <c:v>-26.61</c:v>
                </c:pt>
                <c:pt idx="30" formatCode="0.00">
                  <c:v>-28.52</c:v>
                </c:pt>
                <c:pt idx="31" formatCode="0.00">
                  <c:v>-28.15</c:v>
                </c:pt>
                <c:pt idx="32" formatCode="0.00">
                  <c:v>-28.02</c:v>
                </c:pt>
                <c:pt idx="33" formatCode="0.00">
                  <c:v>-26.91</c:v>
                </c:pt>
                <c:pt idx="35" formatCode="0.00">
                  <c:v>-28.08</c:v>
                </c:pt>
                <c:pt idx="36" formatCode="0.00">
                  <c:v>-26.968440739199998</c:v>
                </c:pt>
                <c:pt idx="37" formatCode="0.00">
                  <c:v>-27.67</c:v>
                </c:pt>
                <c:pt idx="38" formatCode="0.00">
                  <c:v>-29.305169916000001</c:v>
                </c:pt>
                <c:pt idx="39" formatCode="0.00">
                  <c:v>-28.9642834496</c:v>
                </c:pt>
                <c:pt idx="40" formatCode="0.00">
                  <c:v>-28.33</c:v>
                </c:pt>
                <c:pt idx="41" formatCode="0.00">
                  <c:v>-28.6037219888</c:v>
                </c:pt>
                <c:pt idx="43" formatCode="0.00">
                  <c:v>-27.83</c:v>
                </c:pt>
                <c:pt idx="44" formatCode="0.00">
                  <c:v>-27.95</c:v>
                </c:pt>
                <c:pt idx="45" formatCode="0.00">
                  <c:v>-28.231681830399999</c:v>
                </c:pt>
                <c:pt idx="46" formatCode="0.00">
                  <c:v>-28.677985157599998</c:v>
                </c:pt>
                <c:pt idx="47" formatCode="0.00">
                  <c:v>-28.36</c:v>
                </c:pt>
                <c:pt idx="48" formatCode="0.00">
                  <c:v>-28.3159066208</c:v>
                </c:pt>
                <c:pt idx="49" formatCode="0.00">
                  <c:v>-27.78</c:v>
                </c:pt>
                <c:pt idx="50" formatCode="0.00">
                  <c:v>-28.175502003199998</c:v>
                </c:pt>
                <c:pt idx="52" formatCode="0.00">
                  <c:v>-27.415929122400001</c:v>
                </c:pt>
                <c:pt idx="53" formatCode="0.00">
                  <c:v>-28.24</c:v>
                </c:pt>
                <c:pt idx="54" formatCode="0.00">
                  <c:v>-28.077390604000001</c:v>
                </c:pt>
                <c:pt idx="56" formatCode="0.00">
                  <c:v>-28.1540637272</c:v>
                </c:pt>
                <c:pt idx="57" formatCode="0.00">
                  <c:v>-27.12</c:v>
                </c:pt>
                <c:pt idx="58" formatCode="0.00">
                  <c:v>-27.834309056799999</c:v>
                </c:pt>
                <c:pt idx="59" formatCode="0.00">
                  <c:v>-28.18</c:v>
                </c:pt>
                <c:pt idx="60" formatCode="0.00">
                  <c:v>-28.08</c:v>
                </c:pt>
                <c:pt idx="61" formatCode="0.00">
                  <c:v>-28.35</c:v>
                </c:pt>
                <c:pt idx="62" formatCode="0.00">
                  <c:v>-27.99</c:v>
                </c:pt>
                <c:pt idx="63" formatCode="0.00">
                  <c:v>-26.79</c:v>
                </c:pt>
                <c:pt idx="64" formatCode="0.00">
                  <c:v>-28.91</c:v>
                </c:pt>
                <c:pt idx="65" formatCode="0.00">
                  <c:v>-28.22</c:v>
                </c:pt>
                <c:pt idx="66" formatCode="0.00">
                  <c:v>-29.15</c:v>
                </c:pt>
                <c:pt idx="67" formatCode="0.00">
                  <c:v>-29.06</c:v>
                </c:pt>
                <c:pt idx="68" formatCode="0.00">
                  <c:v>-27.93</c:v>
                </c:pt>
                <c:pt idx="69" formatCode="0.00">
                  <c:v>-29.76</c:v>
                </c:pt>
                <c:pt idx="70" formatCode="0.00">
                  <c:v>-29.66</c:v>
                </c:pt>
                <c:pt idx="71" formatCode="0.00">
                  <c:v>-29.43</c:v>
                </c:pt>
                <c:pt idx="72" formatCode="0.00">
                  <c:v>-29.62</c:v>
                </c:pt>
                <c:pt idx="73" formatCode="0.00">
                  <c:v>-29.55</c:v>
                </c:pt>
                <c:pt idx="74" formatCode="0.00">
                  <c:v>-30.25</c:v>
                </c:pt>
                <c:pt idx="75" formatCode="0.00">
                  <c:v>-29.76</c:v>
                </c:pt>
                <c:pt idx="76" formatCode="0.00">
                  <c:v>-29.96</c:v>
                </c:pt>
                <c:pt idx="77" formatCode="0.00">
                  <c:v>-30.02</c:v>
                </c:pt>
                <c:pt idx="78" formatCode="0.00">
                  <c:v>-27.41</c:v>
                </c:pt>
                <c:pt idx="79" formatCode="0.00">
                  <c:v>-29.95</c:v>
                </c:pt>
                <c:pt idx="81" formatCode="0.00">
                  <c:v>-29.85</c:v>
                </c:pt>
                <c:pt idx="84" formatCode="0.00">
                  <c:v>-29.68</c:v>
                </c:pt>
                <c:pt idx="85" formatCode="0.00">
                  <c:v>-29.41</c:v>
                </c:pt>
                <c:pt idx="86" formatCode="0.00">
                  <c:v>-29.43</c:v>
                </c:pt>
                <c:pt idx="87" formatCode="0.00">
                  <c:v>-29.38</c:v>
                </c:pt>
                <c:pt idx="88" formatCode="0.00">
                  <c:v>-30.09</c:v>
                </c:pt>
                <c:pt idx="90" formatCode="0.00">
                  <c:v>-29.86</c:v>
                </c:pt>
                <c:pt idx="91" formatCode="0.00">
                  <c:v>-30.03</c:v>
                </c:pt>
                <c:pt idx="92" formatCode="0.00">
                  <c:v>-29.64</c:v>
                </c:pt>
                <c:pt idx="93" formatCode="0.00">
                  <c:v>-29.43</c:v>
                </c:pt>
                <c:pt idx="94" formatCode="0.00">
                  <c:v>-29.8</c:v>
                </c:pt>
                <c:pt idx="95" formatCode="0.00">
                  <c:v>-29.41</c:v>
                </c:pt>
                <c:pt idx="96" formatCode="0.00">
                  <c:v>-26.78</c:v>
                </c:pt>
                <c:pt idx="97" formatCode="0.00">
                  <c:v>-29.55</c:v>
                </c:pt>
                <c:pt idx="98" formatCode="0.00">
                  <c:v>-29.14</c:v>
                </c:pt>
                <c:pt idx="99" formatCode="0.00">
                  <c:v>-28.79</c:v>
                </c:pt>
                <c:pt idx="100" formatCode="0.00">
                  <c:v>-28.75</c:v>
                </c:pt>
                <c:pt idx="101" formatCode="0.00">
                  <c:v>-28.87</c:v>
                </c:pt>
                <c:pt idx="102" formatCode="0.00">
                  <c:v>-28.42</c:v>
                </c:pt>
                <c:pt idx="105" formatCode="0.00">
                  <c:v>-28.39</c:v>
                </c:pt>
                <c:pt idx="106" formatCode="0.00">
                  <c:v>-27.97</c:v>
                </c:pt>
                <c:pt idx="107" formatCode="0.00">
                  <c:v>-28.15</c:v>
                </c:pt>
                <c:pt idx="108" formatCode="0.00">
                  <c:v>-28.14</c:v>
                </c:pt>
                <c:pt idx="109" formatCode="0.00">
                  <c:v>-28.19</c:v>
                </c:pt>
                <c:pt idx="110" formatCode="0.00">
                  <c:v>-28.03</c:v>
                </c:pt>
                <c:pt idx="111" formatCode="0.00">
                  <c:v>-27.81</c:v>
                </c:pt>
                <c:pt idx="112" formatCode="0.00">
                  <c:v>-27.16</c:v>
                </c:pt>
                <c:pt idx="113" formatCode="0.00">
                  <c:v>-26.97</c:v>
                </c:pt>
                <c:pt idx="114" formatCode="0.00">
                  <c:v>-26.97</c:v>
                </c:pt>
                <c:pt idx="115" formatCode="0.00">
                  <c:v>-27.3</c:v>
                </c:pt>
                <c:pt idx="116" formatCode="0.00">
                  <c:v>-26.39</c:v>
                </c:pt>
                <c:pt idx="117" formatCode="0.00">
                  <c:v>-27.57</c:v>
                </c:pt>
                <c:pt idx="118" formatCode="0.00">
                  <c:v>-27.6</c:v>
                </c:pt>
                <c:pt idx="119" formatCode="0.00">
                  <c:v>-27.33</c:v>
                </c:pt>
                <c:pt idx="120" formatCode="0.00">
                  <c:v>-27.14</c:v>
                </c:pt>
                <c:pt idx="121" formatCode="0.00">
                  <c:v>-26.9</c:v>
                </c:pt>
                <c:pt idx="122" formatCode="0.00">
                  <c:v>-26.93</c:v>
                </c:pt>
                <c:pt idx="123" formatCode="0.00">
                  <c:v>-27.83</c:v>
                </c:pt>
                <c:pt idx="124" formatCode="0.00">
                  <c:v>-26.37</c:v>
                </c:pt>
                <c:pt idx="125" formatCode="0.00">
                  <c:v>-26.69</c:v>
                </c:pt>
                <c:pt idx="126" formatCode="0.00">
                  <c:v>-26.89</c:v>
                </c:pt>
                <c:pt idx="127" formatCode="0.00">
                  <c:v>-27.71</c:v>
                </c:pt>
                <c:pt idx="128" formatCode="0.00">
                  <c:v>-27.51</c:v>
                </c:pt>
                <c:pt idx="129" formatCode="0.00">
                  <c:v>-27.43</c:v>
                </c:pt>
                <c:pt idx="130" formatCode="0.00">
                  <c:v>-27.11</c:v>
                </c:pt>
                <c:pt idx="131" formatCode="0.00">
                  <c:v>-26.89</c:v>
                </c:pt>
                <c:pt idx="132" formatCode="0.00">
                  <c:v>-26.53</c:v>
                </c:pt>
                <c:pt idx="133" formatCode="0.00">
                  <c:v>-27.03</c:v>
                </c:pt>
                <c:pt idx="134" formatCode="0.00">
                  <c:v>-26.68</c:v>
                </c:pt>
                <c:pt idx="135" formatCode="0.00">
                  <c:v>-27.33</c:v>
                </c:pt>
                <c:pt idx="136" formatCode="0.00">
                  <c:v>-26.44</c:v>
                </c:pt>
                <c:pt idx="137" formatCode="0.00">
                  <c:v>-26.83</c:v>
                </c:pt>
                <c:pt idx="138" formatCode="0.00">
                  <c:v>-27.27</c:v>
                </c:pt>
                <c:pt idx="139" formatCode="0.00">
                  <c:v>-26.87</c:v>
                </c:pt>
                <c:pt idx="141" formatCode="0.00">
                  <c:v>-27.27</c:v>
                </c:pt>
                <c:pt idx="142" formatCode="0.00">
                  <c:v>-26.78</c:v>
                </c:pt>
                <c:pt idx="143" formatCode="0.00">
                  <c:v>-27.19</c:v>
                </c:pt>
                <c:pt idx="145" formatCode="0.00">
                  <c:v>-26.98</c:v>
                </c:pt>
                <c:pt idx="146" formatCode="0.00">
                  <c:v>-26.56</c:v>
                </c:pt>
                <c:pt idx="147" formatCode="0.00">
                  <c:v>-27.18</c:v>
                </c:pt>
                <c:pt idx="148" formatCode="0.00">
                  <c:v>-26.97</c:v>
                </c:pt>
                <c:pt idx="149" formatCode="0.00">
                  <c:v>-26.01</c:v>
                </c:pt>
                <c:pt idx="150" formatCode="0.00">
                  <c:v>-23.18</c:v>
                </c:pt>
                <c:pt idx="151" formatCode="0.00">
                  <c:v>-27.48</c:v>
                </c:pt>
                <c:pt idx="152" formatCode="0.00">
                  <c:v>-27.43</c:v>
                </c:pt>
                <c:pt idx="153" formatCode="0.00">
                  <c:v>-26.834168786399999</c:v>
                </c:pt>
                <c:pt idx="154" formatCode="0.00">
                  <c:v>-25.2586725904</c:v>
                </c:pt>
                <c:pt idx="155" formatCode="0.00">
                  <c:v>-25.62</c:v>
                </c:pt>
                <c:pt idx="156" formatCode="0.00">
                  <c:v>-27.26</c:v>
                </c:pt>
                <c:pt idx="157" formatCode="0.00">
                  <c:v>-27.12</c:v>
                </c:pt>
                <c:pt idx="158" formatCode="0.00">
                  <c:v>-27.3134105408</c:v>
                </c:pt>
                <c:pt idx="159" formatCode="0.00">
                  <c:v>-26.33</c:v>
                </c:pt>
                <c:pt idx="160" formatCode="0.00">
                  <c:v>-25.838600176</c:v>
                </c:pt>
                <c:pt idx="161" formatCode="0.00">
                  <c:v>-27.7</c:v>
                </c:pt>
                <c:pt idx="162" formatCode="0.00">
                  <c:v>-26.4875480792</c:v>
                </c:pt>
                <c:pt idx="163" formatCode="0.00">
                  <c:v>-27.25</c:v>
                </c:pt>
                <c:pt idx="164" formatCode="0.00">
                  <c:v>-27.569164014399998</c:v>
                </c:pt>
                <c:pt idx="165" formatCode="0.00">
                  <c:v>-27.44</c:v>
                </c:pt>
                <c:pt idx="166" formatCode="0.00">
                  <c:v>-27.404277774400001</c:v>
                </c:pt>
                <c:pt idx="167" formatCode="0.00">
                  <c:v>-27.06</c:v>
                </c:pt>
                <c:pt idx="168" formatCode="0.00">
                  <c:v>-27.083774271199999</c:v>
                </c:pt>
                <c:pt idx="169" formatCode="0.00">
                  <c:v>-27.2</c:v>
                </c:pt>
                <c:pt idx="170" formatCode="0.00">
                  <c:v>-25.99</c:v>
                </c:pt>
                <c:pt idx="171" formatCode="0.00">
                  <c:v>-26.79</c:v>
                </c:pt>
                <c:pt idx="172" formatCode="0.00">
                  <c:v>-27.52</c:v>
                </c:pt>
                <c:pt idx="173" formatCode="0.00">
                  <c:v>-27.05</c:v>
                </c:pt>
                <c:pt idx="174" formatCode="0.00">
                  <c:v>-27.44</c:v>
                </c:pt>
                <c:pt idx="175" formatCode="0.00">
                  <c:v>-27.77</c:v>
                </c:pt>
                <c:pt idx="177" formatCode="0.00">
                  <c:v>-26.07</c:v>
                </c:pt>
                <c:pt idx="178" formatCode="0.00">
                  <c:v>-27.16</c:v>
                </c:pt>
                <c:pt idx="179" formatCode="0.00">
                  <c:v>-27.38</c:v>
                </c:pt>
                <c:pt idx="180" formatCode="0.00">
                  <c:v>-27.48</c:v>
                </c:pt>
                <c:pt idx="181" formatCode="0.00">
                  <c:v>-26.51</c:v>
                </c:pt>
                <c:pt idx="182" formatCode="0.00">
                  <c:v>-27.68</c:v>
                </c:pt>
                <c:pt idx="183" formatCode="0.00">
                  <c:v>-27.6</c:v>
                </c:pt>
                <c:pt idx="184" formatCode="0.00">
                  <c:v>-27.8</c:v>
                </c:pt>
                <c:pt idx="186" formatCode="0.00">
                  <c:v>-27.34</c:v>
                </c:pt>
                <c:pt idx="188">
                  <c:v>-30.52</c:v>
                </c:pt>
                <c:pt idx="189" formatCode="0.00">
                  <c:v>-28.36</c:v>
                </c:pt>
                <c:pt idx="190" formatCode="0.00">
                  <c:v>-28.09</c:v>
                </c:pt>
                <c:pt idx="191" formatCode="0.00">
                  <c:v>-26.26</c:v>
                </c:pt>
                <c:pt idx="193" formatCode="0.00">
                  <c:v>-26.83</c:v>
                </c:pt>
                <c:pt idx="194" formatCode="0.00">
                  <c:v>-27.85</c:v>
                </c:pt>
                <c:pt idx="195" formatCode="0.00">
                  <c:v>-27.97</c:v>
                </c:pt>
                <c:pt idx="196" formatCode="0.00">
                  <c:v>-26.9</c:v>
                </c:pt>
                <c:pt idx="197" formatCode="0.00">
                  <c:v>-27.07</c:v>
                </c:pt>
                <c:pt idx="198" formatCode="0.00">
                  <c:v>-28.5</c:v>
                </c:pt>
                <c:pt idx="199" formatCode="0.00">
                  <c:v>-27.14</c:v>
                </c:pt>
                <c:pt idx="202" formatCode="0.00">
                  <c:v>-26.86</c:v>
                </c:pt>
                <c:pt idx="203" formatCode="0.00">
                  <c:v>-26.26</c:v>
                </c:pt>
                <c:pt idx="204" formatCode="0.00">
                  <c:v>-29.26</c:v>
                </c:pt>
                <c:pt idx="205" formatCode="0.00">
                  <c:v>-28.96</c:v>
                </c:pt>
                <c:pt idx="206" formatCode="0.00">
                  <c:v>-29.2</c:v>
                </c:pt>
                <c:pt idx="207" formatCode="0.00">
                  <c:v>-28.68</c:v>
                </c:pt>
                <c:pt idx="208" formatCode="0.00">
                  <c:v>-28.83</c:v>
                </c:pt>
                <c:pt idx="209" formatCode="0.00">
                  <c:v>-29.03</c:v>
                </c:pt>
                <c:pt idx="210" formatCode="0.00">
                  <c:v>-28.34</c:v>
                </c:pt>
                <c:pt idx="211" formatCode="0.00">
                  <c:v>-29.03</c:v>
                </c:pt>
                <c:pt idx="212" formatCode="0.00">
                  <c:v>-29.04</c:v>
                </c:pt>
                <c:pt idx="213" formatCode="0.00">
                  <c:v>-29.08</c:v>
                </c:pt>
                <c:pt idx="214" formatCode="0.00">
                  <c:v>-29.46</c:v>
                </c:pt>
                <c:pt idx="216" formatCode="0.00">
                  <c:v>-28.793656240000001</c:v>
                </c:pt>
                <c:pt idx="217" formatCode="0.00">
                  <c:v>-28.7</c:v>
                </c:pt>
                <c:pt idx="218" formatCode="0.00">
                  <c:v>-28.03</c:v>
                </c:pt>
                <c:pt idx="219" formatCode="0.00">
                  <c:v>-29.66</c:v>
                </c:pt>
                <c:pt idx="220" formatCode="0.00">
                  <c:v>-29.36</c:v>
                </c:pt>
                <c:pt idx="221" formatCode="0.00">
                  <c:v>-28.49</c:v>
                </c:pt>
                <c:pt idx="222" formatCode="0.00">
                  <c:v>-28.2</c:v>
                </c:pt>
                <c:pt idx="223" formatCode="0.00">
                  <c:v>-28.92</c:v>
                </c:pt>
                <c:pt idx="224" formatCode="0.00">
                  <c:v>-29.67</c:v>
                </c:pt>
                <c:pt idx="225" formatCode="0.00">
                  <c:v>-28.52</c:v>
                </c:pt>
                <c:pt idx="226" formatCode="0.00">
                  <c:v>-29.1</c:v>
                </c:pt>
                <c:pt idx="227" formatCode="0.00">
                  <c:v>-29.08</c:v>
                </c:pt>
                <c:pt idx="228" formatCode="0.00">
                  <c:v>-28.08</c:v>
                </c:pt>
                <c:pt idx="229" formatCode="0.00">
                  <c:v>-28.57</c:v>
                </c:pt>
                <c:pt idx="230" formatCode="0.00">
                  <c:v>-28.55</c:v>
                </c:pt>
                <c:pt idx="231" formatCode="0.00">
                  <c:v>-28.93</c:v>
                </c:pt>
                <c:pt idx="232" formatCode="0.00">
                  <c:v>-29.79</c:v>
                </c:pt>
                <c:pt idx="234" formatCode="0.00">
                  <c:v>-28.97</c:v>
                </c:pt>
                <c:pt idx="235" formatCode="0.00">
                  <c:v>-28.42</c:v>
                </c:pt>
                <c:pt idx="236" formatCode="0.00">
                  <c:v>-28.91</c:v>
                </c:pt>
                <c:pt idx="237" formatCode="0.00">
                  <c:v>-28.97</c:v>
                </c:pt>
                <c:pt idx="238" formatCode="0.00">
                  <c:v>-29.33</c:v>
                </c:pt>
                <c:pt idx="239" formatCode="0.00">
                  <c:v>-28.66</c:v>
                </c:pt>
              </c:numCache>
            </c:numRef>
          </c:xVal>
          <c:yVal>
            <c:numRef>
              <c:f>'Supplementary Data for Chacay M'!$B$2:$B$241</c:f>
              <c:numCache>
                <c:formatCode>0.00</c:formatCode>
                <c:ptCount val="240"/>
                <c:pt idx="0">
                  <c:v>-0.2</c:v>
                </c:pt>
                <c:pt idx="1">
                  <c:v>0</c:v>
                </c:pt>
                <c:pt idx="2">
                  <c:v>0.25</c:v>
                </c:pt>
                <c:pt idx="3">
                  <c:v>0.5</c:v>
                </c:pt>
                <c:pt idx="4">
                  <c:v>0.75</c:v>
                </c:pt>
                <c:pt idx="5">
                  <c:v>1</c:v>
                </c:pt>
                <c:pt idx="6">
                  <c:v>1.5</c:v>
                </c:pt>
                <c:pt idx="7">
                  <c:v>1.84</c:v>
                </c:pt>
                <c:pt idx="8">
                  <c:v>2.19</c:v>
                </c:pt>
                <c:pt idx="9">
                  <c:v>2.37</c:v>
                </c:pt>
                <c:pt idx="10">
                  <c:v>2.62</c:v>
                </c:pt>
                <c:pt idx="11">
                  <c:v>2.87</c:v>
                </c:pt>
                <c:pt idx="12">
                  <c:v>3.12</c:v>
                </c:pt>
                <c:pt idx="13">
                  <c:v>3.37</c:v>
                </c:pt>
                <c:pt idx="14">
                  <c:v>3.8600000000000003</c:v>
                </c:pt>
                <c:pt idx="15">
                  <c:v>4.24</c:v>
                </c:pt>
                <c:pt idx="16">
                  <c:v>4.4800000000000004</c:v>
                </c:pt>
                <c:pt idx="17">
                  <c:v>4.7300000000000004</c:v>
                </c:pt>
                <c:pt idx="18">
                  <c:v>5.28</c:v>
                </c:pt>
                <c:pt idx="19">
                  <c:v>5.46</c:v>
                </c:pt>
                <c:pt idx="20">
                  <c:v>5.77</c:v>
                </c:pt>
                <c:pt idx="21">
                  <c:v>5.97</c:v>
                </c:pt>
                <c:pt idx="22">
                  <c:v>6.17</c:v>
                </c:pt>
                <c:pt idx="23">
                  <c:v>6.2700000000000005</c:v>
                </c:pt>
                <c:pt idx="24">
                  <c:v>6.6400000000000006</c:v>
                </c:pt>
                <c:pt idx="25">
                  <c:v>6.7900000000000009</c:v>
                </c:pt>
                <c:pt idx="26">
                  <c:v>7.3200000000000012</c:v>
                </c:pt>
                <c:pt idx="27">
                  <c:v>7.4800000000000013</c:v>
                </c:pt>
                <c:pt idx="28">
                  <c:v>7.6800000000000015</c:v>
                </c:pt>
                <c:pt idx="29">
                  <c:v>7.8200000000000012</c:v>
                </c:pt>
                <c:pt idx="30">
                  <c:v>8.0200000000000014</c:v>
                </c:pt>
                <c:pt idx="31">
                  <c:v>8.2700000000000014</c:v>
                </c:pt>
                <c:pt idx="32">
                  <c:v>8.4700000000000006</c:v>
                </c:pt>
                <c:pt idx="33">
                  <c:v>8.6900000000000013</c:v>
                </c:pt>
                <c:pt idx="34">
                  <c:v>8.8500000000000014</c:v>
                </c:pt>
                <c:pt idx="35">
                  <c:v>9.0300000000000011</c:v>
                </c:pt>
                <c:pt idx="36">
                  <c:v>9.14</c:v>
                </c:pt>
                <c:pt idx="37">
                  <c:v>9.23</c:v>
                </c:pt>
                <c:pt idx="38">
                  <c:v>9.370000000000001</c:v>
                </c:pt>
                <c:pt idx="39">
                  <c:v>9.57</c:v>
                </c:pt>
                <c:pt idx="40">
                  <c:v>9.67</c:v>
                </c:pt>
                <c:pt idx="41">
                  <c:v>9.77</c:v>
                </c:pt>
                <c:pt idx="42">
                  <c:v>9.92</c:v>
                </c:pt>
                <c:pt idx="43">
                  <c:v>10.28</c:v>
                </c:pt>
                <c:pt idx="44">
                  <c:v>10.389999999999999</c:v>
                </c:pt>
                <c:pt idx="45">
                  <c:v>10.459999999999999</c:v>
                </c:pt>
                <c:pt idx="46">
                  <c:v>10.559999999999999</c:v>
                </c:pt>
                <c:pt idx="47">
                  <c:v>10.589999999999998</c:v>
                </c:pt>
                <c:pt idx="48">
                  <c:v>10.759999999999998</c:v>
                </c:pt>
                <c:pt idx="49">
                  <c:v>10.789999999999997</c:v>
                </c:pt>
                <c:pt idx="50">
                  <c:v>10.979999999999997</c:v>
                </c:pt>
                <c:pt idx="51">
                  <c:v>11.079999999999997</c:v>
                </c:pt>
                <c:pt idx="52">
                  <c:v>11.179999999999996</c:v>
                </c:pt>
                <c:pt idx="53">
                  <c:v>11.299999999999997</c:v>
                </c:pt>
                <c:pt idx="54">
                  <c:v>11.419999999999996</c:v>
                </c:pt>
                <c:pt idx="55">
                  <c:v>11.519999999999996</c:v>
                </c:pt>
                <c:pt idx="56">
                  <c:v>11.589999999999996</c:v>
                </c:pt>
                <c:pt idx="57">
                  <c:v>11.739999999999997</c:v>
                </c:pt>
                <c:pt idx="58">
                  <c:v>11.839999999999996</c:v>
                </c:pt>
                <c:pt idx="59">
                  <c:v>11.939999999999996</c:v>
                </c:pt>
                <c:pt idx="60">
                  <c:v>12.039999999999996</c:v>
                </c:pt>
                <c:pt idx="61">
                  <c:v>12.139999999999995</c:v>
                </c:pt>
                <c:pt idx="62">
                  <c:v>12.339999999999995</c:v>
                </c:pt>
                <c:pt idx="63">
                  <c:v>12.439999999999994</c:v>
                </c:pt>
                <c:pt idx="64">
                  <c:v>12.539999999999994</c:v>
                </c:pt>
                <c:pt idx="65">
                  <c:v>12.639999999999993</c:v>
                </c:pt>
                <c:pt idx="66">
                  <c:v>12.739999999999993</c:v>
                </c:pt>
                <c:pt idx="67">
                  <c:v>12.839999999999993</c:v>
                </c:pt>
                <c:pt idx="68">
                  <c:v>12.959999999999994</c:v>
                </c:pt>
                <c:pt idx="69">
                  <c:v>13.069999999999993</c:v>
                </c:pt>
                <c:pt idx="70">
                  <c:v>13.169999999999993</c:v>
                </c:pt>
                <c:pt idx="71">
                  <c:v>13.229999999999993</c:v>
                </c:pt>
                <c:pt idx="72">
                  <c:v>13.309999999999993</c:v>
                </c:pt>
                <c:pt idx="73">
                  <c:v>13.449999999999994</c:v>
                </c:pt>
                <c:pt idx="74">
                  <c:v>13.549999999999994</c:v>
                </c:pt>
                <c:pt idx="75">
                  <c:v>13.649999999999993</c:v>
                </c:pt>
                <c:pt idx="76">
                  <c:v>13.749999999999993</c:v>
                </c:pt>
                <c:pt idx="77">
                  <c:v>13.849999999999993</c:v>
                </c:pt>
                <c:pt idx="78">
                  <c:v>13.949999999999992</c:v>
                </c:pt>
                <c:pt idx="79">
                  <c:v>14.049999999999992</c:v>
                </c:pt>
                <c:pt idx="80">
                  <c:v>14.149999999999991</c:v>
                </c:pt>
                <c:pt idx="81">
                  <c:v>14.259999999999991</c:v>
                </c:pt>
                <c:pt idx="82">
                  <c:v>14.349999999999991</c:v>
                </c:pt>
                <c:pt idx="83">
                  <c:v>14.44999999999999</c:v>
                </c:pt>
                <c:pt idx="84">
                  <c:v>14.54999999999999</c:v>
                </c:pt>
                <c:pt idx="85">
                  <c:v>14.64999999999999</c:v>
                </c:pt>
                <c:pt idx="86">
                  <c:v>14.749999999999989</c:v>
                </c:pt>
                <c:pt idx="87">
                  <c:v>14.839999999999989</c:v>
                </c:pt>
                <c:pt idx="88">
                  <c:v>14.939999999999989</c:v>
                </c:pt>
                <c:pt idx="89">
                  <c:v>15.049999999999988</c:v>
                </c:pt>
                <c:pt idx="90">
                  <c:v>15.149999999999988</c:v>
                </c:pt>
                <c:pt idx="91">
                  <c:v>15.249999999999988</c:v>
                </c:pt>
                <c:pt idx="92">
                  <c:v>15.359999999999987</c:v>
                </c:pt>
                <c:pt idx="93">
                  <c:v>15.459999999999987</c:v>
                </c:pt>
                <c:pt idx="94">
                  <c:v>15.559999999999986</c:v>
                </c:pt>
                <c:pt idx="95">
                  <c:v>15.659999999999986</c:v>
                </c:pt>
                <c:pt idx="96">
                  <c:v>15.759999999999986</c:v>
                </c:pt>
                <c:pt idx="97">
                  <c:v>15.859999999999985</c:v>
                </c:pt>
                <c:pt idx="98">
                  <c:v>15.959999999999985</c:v>
                </c:pt>
                <c:pt idx="99">
                  <c:v>16.159999999999986</c:v>
                </c:pt>
                <c:pt idx="100">
                  <c:v>16.259999999999987</c:v>
                </c:pt>
                <c:pt idx="101">
                  <c:v>16.259999999999987</c:v>
                </c:pt>
                <c:pt idx="102">
                  <c:v>16.359999999999989</c:v>
                </c:pt>
                <c:pt idx="103">
                  <c:v>16.45999999999999</c:v>
                </c:pt>
                <c:pt idx="104">
                  <c:v>16.559999999999992</c:v>
                </c:pt>
                <c:pt idx="105">
                  <c:v>16.659999999999993</c:v>
                </c:pt>
                <c:pt idx="106">
                  <c:v>16.759999999999994</c:v>
                </c:pt>
                <c:pt idx="107">
                  <c:v>16.859999999999996</c:v>
                </c:pt>
                <c:pt idx="108">
                  <c:v>16.959999999999997</c:v>
                </c:pt>
                <c:pt idx="109">
                  <c:v>17.019999999999996</c:v>
                </c:pt>
                <c:pt idx="110">
                  <c:v>17.149999999999995</c:v>
                </c:pt>
                <c:pt idx="111">
                  <c:v>17.249999999999996</c:v>
                </c:pt>
                <c:pt idx="112">
                  <c:v>17.449999999999996</c:v>
                </c:pt>
                <c:pt idx="113">
                  <c:v>17.549999999999997</c:v>
                </c:pt>
                <c:pt idx="114">
                  <c:v>17.549999999999997</c:v>
                </c:pt>
                <c:pt idx="115">
                  <c:v>17.619999999999997</c:v>
                </c:pt>
                <c:pt idx="116">
                  <c:v>17.769999999999996</c:v>
                </c:pt>
                <c:pt idx="117">
                  <c:v>17.819999999999997</c:v>
                </c:pt>
                <c:pt idx="118">
                  <c:v>17.919999999999998</c:v>
                </c:pt>
                <c:pt idx="119">
                  <c:v>18.02</c:v>
                </c:pt>
                <c:pt idx="120">
                  <c:v>18.12</c:v>
                </c:pt>
                <c:pt idx="121">
                  <c:v>18.220000000000002</c:v>
                </c:pt>
                <c:pt idx="122">
                  <c:v>18.320000000000004</c:v>
                </c:pt>
                <c:pt idx="123">
                  <c:v>18.420000000000005</c:v>
                </c:pt>
                <c:pt idx="124">
                  <c:v>18.520000000000007</c:v>
                </c:pt>
                <c:pt idx="125">
                  <c:v>18.630000000000006</c:v>
                </c:pt>
                <c:pt idx="126">
                  <c:v>18.730000000000008</c:v>
                </c:pt>
                <c:pt idx="127">
                  <c:v>18.810000000000006</c:v>
                </c:pt>
                <c:pt idx="128">
                  <c:v>19.010000000000005</c:v>
                </c:pt>
                <c:pt idx="129">
                  <c:v>19.130000000000006</c:v>
                </c:pt>
                <c:pt idx="130">
                  <c:v>19.210000000000004</c:v>
                </c:pt>
                <c:pt idx="131">
                  <c:v>19.380000000000006</c:v>
                </c:pt>
                <c:pt idx="132">
                  <c:v>19.480000000000008</c:v>
                </c:pt>
                <c:pt idx="133">
                  <c:v>19.580000000000009</c:v>
                </c:pt>
                <c:pt idx="134">
                  <c:v>19.780000000000008</c:v>
                </c:pt>
                <c:pt idx="135">
                  <c:v>19.88000000000001</c:v>
                </c:pt>
                <c:pt idx="136">
                  <c:v>20.000000000000011</c:v>
                </c:pt>
                <c:pt idx="137">
                  <c:v>20.120000000000012</c:v>
                </c:pt>
                <c:pt idx="138">
                  <c:v>20.220000000000013</c:v>
                </c:pt>
                <c:pt idx="139">
                  <c:v>20.290000000000013</c:v>
                </c:pt>
                <c:pt idx="140">
                  <c:v>20.390000000000015</c:v>
                </c:pt>
                <c:pt idx="141">
                  <c:v>20.490000000000016</c:v>
                </c:pt>
                <c:pt idx="142">
                  <c:v>20.590000000000018</c:v>
                </c:pt>
                <c:pt idx="143">
                  <c:v>20.690000000000019</c:v>
                </c:pt>
                <c:pt idx="144">
                  <c:v>20.800000000000018</c:v>
                </c:pt>
                <c:pt idx="145">
                  <c:v>20.90000000000002</c:v>
                </c:pt>
                <c:pt idx="146">
                  <c:v>21.000000000000021</c:v>
                </c:pt>
                <c:pt idx="147">
                  <c:v>21.120000000000019</c:v>
                </c:pt>
                <c:pt idx="148">
                  <c:v>21.22000000000002</c:v>
                </c:pt>
                <c:pt idx="149">
                  <c:v>21.320000000000022</c:v>
                </c:pt>
                <c:pt idx="150">
                  <c:v>21.520000000000021</c:v>
                </c:pt>
                <c:pt idx="151">
                  <c:v>21.690000000000019</c:v>
                </c:pt>
                <c:pt idx="152">
                  <c:v>21.940000000000019</c:v>
                </c:pt>
                <c:pt idx="153">
                  <c:v>22.04000000000002</c:v>
                </c:pt>
                <c:pt idx="154">
                  <c:v>22.140000000000022</c:v>
                </c:pt>
                <c:pt idx="155">
                  <c:v>22.240000000000023</c:v>
                </c:pt>
                <c:pt idx="156">
                  <c:v>22.340000000000025</c:v>
                </c:pt>
                <c:pt idx="157">
                  <c:v>22.400000000000023</c:v>
                </c:pt>
                <c:pt idx="158">
                  <c:v>22.500000000000025</c:v>
                </c:pt>
                <c:pt idx="159">
                  <c:v>22.600000000000026</c:v>
                </c:pt>
                <c:pt idx="160">
                  <c:v>22.710000000000026</c:v>
                </c:pt>
                <c:pt idx="161">
                  <c:v>22.800000000000026</c:v>
                </c:pt>
                <c:pt idx="162">
                  <c:v>22.890000000000025</c:v>
                </c:pt>
                <c:pt idx="163">
                  <c:v>22.990000000000027</c:v>
                </c:pt>
                <c:pt idx="164">
                  <c:v>23.090000000000028</c:v>
                </c:pt>
                <c:pt idx="165">
                  <c:v>23.19000000000003</c:v>
                </c:pt>
                <c:pt idx="166">
                  <c:v>23.290000000000031</c:v>
                </c:pt>
                <c:pt idx="167">
                  <c:v>23.390000000000033</c:v>
                </c:pt>
                <c:pt idx="168">
                  <c:v>23.490000000000034</c:v>
                </c:pt>
                <c:pt idx="169">
                  <c:v>23.590000000000035</c:v>
                </c:pt>
                <c:pt idx="170">
                  <c:v>23.780000000000037</c:v>
                </c:pt>
                <c:pt idx="171">
                  <c:v>23.980000000000036</c:v>
                </c:pt>
                <c:pt idx="172">
                  <c:v>24.170000000000037</c:v>
                </c:pt>
                <c:pt idx="173">
                  <c:v>24.370000000000037</c:v>
                </c:pt>
                <c:pt idx="174">
                  <c:v>24.570000000000036</c:v>
                </c:pt>
                <c:pt idx="175">
                  <c:v>24.820000000000036</c:v>
                </c:pt>
                <c:pt idx="176">
                  <c:v>25.020000000000035</c:v>
                </c:pt>
                <c:pt idx="177">
                  <c:v>25.220000000000034</c:v>
                </c:pt>
                <c:pt idx="178">
                  <c:v>25.420000000000034</c:v>
                </c:pt>
                <c:pt idx="179">
                  <c:v>25.620000000000033</c:v>
                </c:pt>
                <c:pt idx="180">
                  <c:v>25.820000000000032</c:v>
                </c:pt>
                <c:pt idx="181">
                  <c:v>26.020000000000032</c:v>
                </c:pt>
                <c:pt idx="182">
                  <c:v>26.220000000000031</c:v>
                </c:pt>
                <c:pt idx="183">
                  <c:v>26.42000000000003</c:v>
                </c:pt>
                <c:pt idx="184">
                  <c:v>26.620000000000029</c:v>
                </c:pt>
                <c:pt idx="185">
                  <c:v>26.820000000000029</c:v>
                </c:pt>
                <c:pt idx="186">
                  <c:v>27.020000000000028</c:v>
                </c:pt>
                <c:pt idx="187">
                  <c:v>27.220000000000027</c:v>
                </c:pt>
                <c:pt idx="188">
                  <c:v>27.420000000000027</c:v>
                </c:pt>
                <c:pt idx="189">
                  <c:v>27.620000000000026</c:v>
                </c:pt>
                <c:pt idx="190">
                  <c:v>27.820000000000025</c:v>
                </c:pt>
                <c:pt idx="191">
                  <c:v>28.020000000000024</c:v>
                </c:pt>
                <c:pt idx="192">
                  <c:v>28.220000000000024</c:v>
                </c:pt>
                <c:pt idx="193">
                  <c:v>28.420000000000023</c:v>
                </c:pt>
                <c:pt idx="194">
                  <c:v>28.610000000000024</c:v>
                </c:pt>
                <c:pt idx="195">
                  <c:v>28.810000000000024</c:v>
                </c:pt>
                <c:pt idx="196">
                  <c:v>29.010000000000023</c:v>
                </c:pt>
                <c:pt idx="197">
                  <c:v>29.210000000000022</c:v>
                </c:pt>
                <c:pt idx="198">
                  <c:v>29.410000000000021</c:v>
                </c:pt>
                <c:pt idx="199">
                  <c:v>29.610000000000021</c:v>
                </c:pt>
                <c:pt idx="200">
                  <c:v>29.81000000000002</c:v>
                </c:pt>
                <c:pt idx="201">
                  <c:v>30.010000000000019</c:v>
                </c:pt>
                <c:pt idx="202">
                  <c:v>30.210000000000019</c:v>
                </c:pt>
                <c:pt idx="203">
                  <c:v>31.620000000000019</c:v>
                </c:pt>
                <c:pt idx="204">
                  <c:v>33.010000000000019</c:v>
                </c:pt>
                <c:pt idx="205">
                  <c:v>33.770000000000017</c:v>
                </c:pt>
                <c:pt idx="206">
                  <c:v>33.890000000000015</c:v>
                </c:pt>
                <c:pt idx="207">
                  <c:v>34.090000000000018</c:v>
                </c:pt>
                <c:pt idx="208">
                  <c:v>34.29000000000002</c:v>
                </c:pt>
                <c:pt idx="209">
                  <c:v>34.490000000000023</c:v>
                </c:pt>
                <c:pt idx="210">
                  <c:v>34.690000000000026</c:v>
                </c:pt>
                <c:pt idx="211">
                  <c:v>34.890000000000029</c:v>
                </c:pt>
                <c:pt idx="212">
                  <c:v>35.090000000000032</c:v>
                </c:pt>
                <c:pt idx="213">
                  <c:v>35.290000000000035</c:v>
                </c:pt>
                <c:pt idx="214">
                  <c:v>35.490000000000038</c:v>
                </c:pt>
                <c:pt idx="215">
                  <c:v>35.69000000000004</c:v>
                </c:pt>
                <c:pt idx="216">
                  <c:v>35.890000000000043</c:v>
                </c:pt>
                <c:pt idx="217">
                  <c:v>36.090000000000046</c:v>
                </c:pt>
                <c:pt idx="218">
                  <c:v>36.290000000000049</c:v>
                </c:pt>
                <c:pt idx="219">
                  <c:v>36.490000000000052</c:v>
                </c:pt>
                <c:pt idx="220">
                  <c:v>36.690000000000055</c:v>
                </c:pt>
                <c:pt idx="221">
                  <c:v>36.890000000000057</c:v>
                </c:pt>
                <c:pt idx="222">
                  <c:v>37.09000000000006</c:v>
                </c:pt>
                <c:pt idx="223">
                  <c:v>37.290000000000063</c:v>
                </c:pt>
                <c:pt idx="224">
                  <c:v>37.490000000000066</c:v>
                </c:pt>
                <c:pt idx="225">
                  <c:v>37.690000000000069</c:v>
                </c:pt>
                <c:pt idx="226">
                  <c:v>37.890000000000072</c:v>
                </c:pt>
                <c:pt idx="227">
                  <c:v>38.090000000000074</c:v>
                </c:pt>
                <c:pt idx="228">
                  <c:v>38.290000000000077</c:v>
                </c:pt>
                <c:pt idx="229">
                  <c:v>38.49000000000008</c:v>
                </c:pt>
                <c:pt idx="230">
                  <c:v>38.690000000000083</c:v>
                </c:pt>
                <c:pt idx="231">
                  <c:v>38.890000000000086</c:v>
                </c:pt>
                <c:pt idx="232">
                  <c:v>39.090000000000089</c:v>
                </c:pt>
                <c:pt idx="233">
                  <c:v>39.290000000000092</c:v>
                </c:pt>
                <c:pt idx="234">
                  <c:v>39.490000000000094</c:v>
                </c:pt>
                <c:pt idx="235">
                  <c:v>39.690000000000097</c:v>
                </c:pt>
                <c:pt idx="236">
                  <c:v>39.8900000000001</c:v>
                </c:pt>
                <c:pt idx="237">
                  <c:v>40.090000000000103</c:v>
                </c:pt>
                <c:pt idx="238">
                  <c:v>40.290000000000106</c:v>
                </c:pt>
                <c:pt idx="239">
                  <c:v>40.490000000000109</c:v>
                </c:pt>
              </c:numCache>
            </c:numRef>
          </c:yVal>
          <c:smooth val="0"/>
          <c:extLst>
            <c:ext xmlns:c16="http://schemas.microsoft.com/office/drawing/2014/chart" uri="{C3380CC4-5D6E-409C-BE32-E72D297353CC}">
              <c16:uniqueId val="{00000000-79C7-204E-8493-5EF00D92F363}"/>
            </c:ext>
          </c:extLst>
        </c:ser>
        <c:dLbls>
          <c:showLegendKey val="0"/>
          <c:showVal val="0"/>
          <c:showCatName val="0"/>
          <c:showSerName val="0"/>
          <c:showPercent val="0"/>
          <c:showBubbleSize val="0"/>
        </c:dLbls>
        <c:axId val="1337560640"/>
        <c:axId val="1"/>
      </c:scatterChart>
      <c:valAx>
        <c:axId val="1337560640"/>
        <c:scaling>
          <c:orientation val="minMax"/>
          <c:max val="-22"/>
          <c:min val="-32"/>
        </c:scaling>
        <c:delete val="0"/>
        <c:axPos val="b"/>
        <c:majorGridlines>
          <c:spPr>
            <a:ln w="9525" cap="flat" cmpd="sng" algn="ctr">
              <a:solidFill>
                <a:schemeClr val="tx1">
                  <a:lumMod val="15000"/>
                  <a:lumOff val="85000"/>
                </a:schemeClr>
              </a:solidFill>
              <a:round/>
            </a:ln>
            <a:effectLst/>
          </c:spPr>
        </c:majorGridlines>
        <c:numFmt formatCode="0.00" sourceLinked="1"/>
        <c:majorTickMark val="cross"/>
        <c:minorTickMark val="cross"/>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cross"/>
        <c:minorTickMark val="cross"/>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E"/>
          </a:p>
        </c:txPr>
        <c:crossAx val="1337560640"/>
        <c:crosses val="autoZero"/>
        <c:crossBetween val="midCat"/>
        <c:majorUnit val="2"/>
        <c:minorUnit val="0.5"/>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E"/>
        </a:p>
      </c:txPr>
    </c:title>
    <c:autoTitleDeleted val="0"/>
    <c:plotArea>
      <c:layout/>
      <c:scatterChart>
        <c:scatterStyle val="lineMarker"/>
        <c:varyColors val="0"/>
        <c:ser>
          <c:idx val="0"/>
          <c:order val="0"/>
          <c:tx>
            <c:strRef>
              <c:f>'Supplementary Data for Chacay M'!$E$1</c:f>
              <c:strCache>
                <c:ptCount val="1"/>
                <c:pt idx="0">
                  <c:v>Hg/TOC [Average]</c:v>
                </c:pt>
              </c:strCache>
            </c:strRef>
          </c:tx>
          <c:spPr>
            <a:ln w="28575" cap="rnd">
              <a:noFill/>
              <a:round/>
            </a:ln>
            <a:effectLst/>
          </c:spPr>
          <c:marker>
            <c:symbol val="circle"/>
            <c:size val="5"/>
            <c:spPr>
              <a:solidFill>
                <a:schemeClr val="accent1"/>
              </a:solidFill>
              <a:ln w="9525">
                <a:solidFill>
                  <a:schemeClr val="accent1"/>
                </a:solidFill>
              </a:ln>
              <a:effectLst/>
            </c:spPr>
          </c:marker>
          <c:xVal>
            <c:numRef>
              <c:f>'Supplementary Data for Chacay M'!$E$2:$E$241</c:f>
              <c:numCache>
                <c:formatCode>General</c:formatCode>
                <c:ptCount val="240"/>
                <c:pt idx="2">
                  <c:v>1085.7142857142856</c:v>
                </c:pt>
                <c:pt idx="33">
                  <c:v>169.09090909090907</c:v>
                </c:pt>
                <c:pt idx="39">
                  <c:v>105.74712643678161</c:v>
                </c:pt>
                <c:pt idx="40">
                  <c:v>111.32075471698113</c:v>
                </c:pt>
                <c:pt idx="52">
                  <c:v>170.27027027027026</c:v>
                </c:pt>
                <c:pt idx="62">
                  <c:v>47.211895910780669</c:v>
                </c:pt>
                <c:pt idx="64">
                  <c:v>56.481481481481481</c:v>
                </c:pt>
                <c:pt idx="66">
                  <c:v>52.577319587628864</c:v>
                </c:pt>
                <c:pt idx="67">
                  <c:v>69.402985074626855</c:v>
                </c:pt>
                <c:pt idx="69">
                  <c:v>30.630630630630627</c:v>
                </c:pt>
                <c:pt idx="72">
                  <c:v>35.135135135135137</c:v>
                </c:pt>
                <c:pt idx="74">
                  <c:v>60.256410256410255</c:v>
                </c:pt>
                <c:pt idx="77">
                  <c:v>41.05263157894737</c:v>
                </c:pt>
                <c:pt idx="79">
                  <c:v>46.511627906976742</c:v>
                </c:pt>
                <c:pt idx="86">
                  <c:v>88.888888888888886</c:v>
                </c:pt>
                <c:pt idx="88">
                  <c:v>56.060606060606055</c:v>
                </c:pt>
                <c:pt idx="92">
                  <c:v>19.421487603305785</c:v>
                </c:pt>
                <c:pt idx="94">
                  <c:v>20.701754385964911</c:v>
                </c:pt>
                <c:pt idx="95">
                  <c:v>24.468085106382979</c:v>
                </c:pt>
                <c:pt idx="97">
                  <c:v>60.869565217391312</c:v>
                </c:pt>
                <c:pt idx="98">
                  <c:v>25.974025974025974</c:v>
                </c:pt>
                <c:pt idx="105">
                  <c:v>20.673076923076923</c:v>
                </c:pt>
                <c:pt idx="108">
                  <c:v>19.913419913419911</c:v>
                </c:pt>
                <c:pt idx="109">
                  <c:v>33.098591549295776</c:v>
                </c:pt>
                <c:pt idx="111">
                  <c:v>47.34299516908213</c:v>
                </c:pt>
                <c:pt idx="115">
                  <c:v>23.369565217391305</c:v>
                </c:pt>
                <c:pt idx="117">
                  <c:v>14.682539682539682</c:v>
                </c:pt>
                <c:pt idx="119">
                  <c:v>21.940928270042193</c:v>
                </c:pt>
                <c:pt idx="121">
                  <c:v>36.138613861386141</c:v>
                </c:pt>
                <c:pt idx="122">
                  <c:v>17.27941176470588</c:v>
                </c:pt>
                <c:pt idx="124">
                  <c:v>24.25531914893617</c:v>
                </c:pt>
                <c:pt idx="127">
                  <c:v>36.144578313253014</c:v>
                </c:pt>
                <c:pt idx="130">
                  <c:v>18.478260869565215</c:v>
                </c:pt>
                <c:pt idx="131">
                  <c:v>16.33986928104575</c:v>
                </c:pt>
                <c:pt idx="133">
                  <c:v>19.58041958041958</c:v>
                </c:pt>
                <c:pt idx="137">
                  <c:v>20.930232558139537</c:v>
                </c:pt>
                <c:pt idx="138">
                  <c:v>12.222222222222221</c:v>
                </c:pt>
                <c:pt idx="143">
                  <c:v>32.367149758454111</c:v>
                </c:pt>
                <c:pt idx="147">
                  <c:v>62.272727272727266</c:v>
                </c:pt>
                <c:pt idx="149">
                  <c:v>59.907834101382491</c:v>
                </c:pt>
                <c:pt idx="153">
                  <c:v>76.21621621621621</c:v>
                </c:pt>
                <c:pt idx="155">
                  <c:v>65.765765765765764</c:v>
                </c:pt>
                <c:pt idx="157">
                  <c:v>133.76068376068378</c:v>
                </c:pt>
                <c:pt idx="158">
                  <c:v>109.44881889763779</c:v>
                </c:pt>
                <c:pt idx="162">
                  <c:v>79.6875</c:v>
                </c:pt>
                <c:pt idx="164">
                  <c:v>108.08080808080808</c:v>
                </c:pt>
                <c:pt idx="166">
                  <c:v>128.69565217391306</c:v>
                </c:pt>
                <c:pt idx="167">
                  <c:v>108.1081081081081</c:v>
                </c:pt>
                <c:pt idx="169">
                  <c:v>223.52941176470588</c:v>
                </c:pt>
                <c:pt idx="170">
                  <c:v>71.311475409836063</c:v>
                </c:pt>
                <c:pt idx="181">
                  <c:v>17.5</c:v>
                </c:pt>
                <c:pt idx="186">
                  <c:v>14.285714285714286</c:v>
                </c:pt>
                <c:pt idx="188">
                  <c:v>38.636363636363633</c:v>
                </c:pt>
                <c:pt idx="190">
                  <c:v>39.130434782608695</c:v>
                </c:pt>
                <c:pt idx="191">
                  <c:v>36.363636363636367</c:v>
                </c:pt>
                <c:pt idx="193">
                  <c:v>44.54545454545454</c:v>
                </c:pt>
                <c:pt idx="194">
                  <c:v>51.25</c:v>
                </c:pt>
                <c:pt idx="196">
                  <c:v>25.714285714285715</c:v>
                </c:pt>
                <c:pt idx="198">
                  <c:v>12.962962962962962</c:v>
                </c:pt>
                <c:pt idx="200">
                  <c:v>55.038759689922479</c:v>
                </c:pt>
                <c:pt idx="205">
                  <c:v>97.849462365591393</c:v>
                </c:pt>
                <c:pt idx="206">
                  <c:v>181.66666666666669</c:v>
                </c:pt>
                <c:pt idx="208">
                  <c:v>295.71428571428572</c:v>
                </c:pt>
                <c:pt idx="212">
                  <c:v>147.88732394366198</c:v>
                </c:pt>
                <c:pt idx="213">
                  <c:v>150</c:v>
                </c:pt>
                <c:pt idx="217">
                  <c:v>435.9375</c:v>
                </c:pt>
                <c:pt idx="219">
                  <c:v>453.21100917431187</c:v>
                </c:pt>
                <c:pt idx="220">
                  <c:v>318.57142857142861</c:v>
                </c:pt>
                <c:pt idx="223">
                  <c:v>677.19298245614038</c:v>
                </c:pt>
                <c:pt idx="226">
                  <c:v>576.22950819672133</c:v>
                </c:pt>
                <c:pt idx="227">
                  <c:v>491.71974522292993</c:v>
                </c:pt>
                <c:pt idx="229">
                  <c:v>422.92993630573244</c:v>
                </c:pt>
                <c:pt idx="231">
                  <c:v>420</c:v>
                </c:pt>
                <c:pt idx="234">
                  <c:v>511.48648648648651</c:v>
                </c:pt>
                <c:pt idx="237">
                  <c:v>550.87719298245611</c:v>
                </c:pt>
                <c:pt idx="238">
                  <c:v>455.55555555555554</c:v>
                </c:pt>
              </c:numCache>
            </c:numRef>
          </c:xVal>
          <c:yVal>
            <c:numRef>
              <c:f>'Supplementary Data for Chacay M'!$B$2:$B$241</c:f>
              <c:numCache>
                <c:formatCode>0.00</c:formatCode>
                <c:ptCount val="240"/>
                <c:pt idx="0">
                  <c:v>-0.2</c:v>
                </c:pt>
                <c:pt idx="1">
                  <c:v>0</c:v>
                </c:pt>
                <c:pt idx="2">
                  <c:v>0.25</c:v>
                </c:pt>
                <c:pt idx="3">
                  <c:v>0.5</c:v>
                </c:pt>
                <c:pt idx="4">
                  <c:v>0.75</c:v>
                </c:pt>
                <c:pt idx="5">
                  <c:v>1</c:v>
                </c:pt>
                <c:pt idx="6">
                  <c:v>1.5</c:v>
                </c:pt>
                <c:pt idx="7">
                  <c:v>1.84</c:v>
                </c:pt>
                <c:pt idx="8">
                  <c:v>2.19</c:v>
                </c:pt>
                <c:pt idx="9">
                  <c:v>2.37</c:v>
                </c:pt>
                <c:pt idx="10">
                  <c:v>2.62</c:v>
                </c:pt>
                <c:pt idx="11">
                  <c:v>2.87</c:v>
                </c:pt>
                <c:pt idx="12">
                  <c:v>3.12</c:v>
                </c:pt>
                <c:pt idx="13">
                  <c:v>3.37</c:v>
                </c:pt>
                <c:pt idx="14">
                  <c:v>3.8600000000000003</c:v>
                </c:pt>
                <c:pt idx="15">
                  <c:v>4.24</c:v>
                </c:pt>
                <c:pt idx="16">
                  <c:v>4.4800000000000004</c:v>
                </c:pt>
                <c:pt idx="17">
                  <c:v>4.7300000000000004</c:v>
                </c:pt>
                <c:pt idx="18">
                  <c:v>5.28</c:v>
                </c:pt>
                <c:pt idx="19">
                  <c:v>5.46</c:v>
                </c:pt>
                <c:pt idx="20">
                  <c:v>5.77</c:v>
                </c:pt>
                <c:pt idx="21">
                  <c:v>5.97</c:v>
                </c:pt>
                <c:pt idx="22">
                  <c:v>6.17</c:v>
                </c:pt>
                <c:pt idx="23">
                  <c:v>6.2700000000000005</c:v>
                </c:pt>
                <c:pt idx="24">
                  <c:v>6.6400000000000006</c:v>
                </c:pt>
                <c:pt idx="25">
                  <c:v>6.7900000000000009</c:v>
                </c:pt>
                <c:pt idx="26">
                  <c:v>7.3200000000000012</c:v>
                </c:pt>
                <c:pt idx="27">
                  <c:v>7.4800000000000013</c:v>
                </c:pt>
                <c:pt idx="28">
                  <c:v>7.6800000000000015</c:v>
                </c:pt>
                <c:pt idx="29">
                  <c:v>7.8200000000000012</c:v>
                </c:pt>
                <c:pt idx="30">
                  <c:v>8.0200000000000014</c:v>
                </c:pt>
                <c:pt idx="31">
                  <c:v>8.2700000000000014</c:v>
                </c:pt>
                <c:pt idx="32">
                  <c:v>8.4700000000000006</c:v>
                </c:pt>
                <c:pt idx="33">
                  <c:v>8.6900000000000013</c:v>
                </c:pt>
                <c:pt idx="34">
                  <c:v>8.8500000000000014</c:v>
                </c:pt>
                <c:pt idx="35">
                  <c:v>9.0300000000000011</c:v>
                </c:pt>
                <c:pt idx="36">
                  <c:v>9.14</c:v>
                </c:pt>
                <c:pt idx="37">
                  <c:v>9.23</c:v>
                </c:pt>
                <c:pt idx="38">
                  <c:v>9.370000000000001</c:v>
                </c:pt>
                <c:pt idx="39">
                  <c:v>9.57</c:v>
                </c:pt>
                <c:pt idx="40">
                  <c:v>9.67</c:v>
                </c:pt>
                <c:pt idx="41">
                  <c:v>9.77</c:v>
                </c:pt>
                <c:pt idx="42">
                  <c:v>9.92</c:v>
                </c:pt>
                <c:pt idx="43">
                  <c:v>10.28</c:v>
                </c:pt>
                <c:pt idx="44">
                  <c:v>10.389999999999999</c:v>
                </c:pt>
                <c:pt idx="45">
                  <c:v>10.459999999999999</c:v>
                </c:pt>
                <c:pt idx="46">
                  <c:v>10.559999999999999</c:v>
                </c:pt>
                <c:pt idx="47">
                  <c:v>10.589999999999998</c:v>
                </c:pt>
                <c:pt idx="48">
                  <c:v>10.759999999999998</c:v>
                </c:pt>
                <c:pt idx="49">
                  <c:v>10.789999999999997</c:v>
                </c:pt>
                <c:pt idx="50">
                  <c:v>10.979999999999997</c:v>
                </c:pt>
                <c:pt idx="51">
                  <c:v>11.079999999999997</c:v>
                </c:pt>
                <c:pt idx="52">
                  <c:v>11.179999999999996</c:v>
                </c:pt>
                <c:pt idx="53">
                  <c:v>11.299999999999997</c:v>
                </c:pt>
                <c:pt idx="54">
                  <c:v>11.419999999999996</c:v>
                </c:pt>
                <c:pt idx="55">
                  <c:v>11.519999999999996</c:v>
                </c:pt>
                <c:pt idx="56">
                  <c:v>11.589999999999996</c:v>
                </c:pt>
                <c:pt idx="57">
                  <c:v>11.739999999999997</c:v>
                </c:pt>
                <c:pt idx="58">
                  <c:v>11.839999999999996</c:v>
                </c:pt>
                <c:pt idx="59">
                  <c:v>11.939999999999996</c:v>
                </c:pt>
                <c:pt idx="60">
                  <c:v>12.039999999999996</c:v>
                </c:pt>
                <c:pt idx="61">
                  <c:v>12.139999999999995</c:v>
                </c:pt>
                <c:pt idx="62">
                  <c:v>12.339999999999995</c:v>
                </c:pt>
                <c:pt idx="63">
                  <c:v>12.439999999999994</c:v>
                </c:pt>
                <c:pt idx="64">
                  <c:v>12.539999999999994</c:v>
                </c:pt>
                <c:pt idx="65">
                  <c:v>12.639999999999993</c:v>
                </c:pt>
                <c:pt idx="66">
                  <c:v>12.739999999999993</c:v>
                </c:pt>
                <c:pt idx="67">
                  <c:v>12.839999999999993</c:v>
                </c:pt>
                <c:pt idx="68">
                  <c:v>12.959999999999994</c:v>
                </c:pt>
                <c:pt idx="69">
                  <c:v>13.069999999999993</c:v>
                </c:pt>
                <c:pt idx="70">
                  <c:v>13.169999999999993</c:v>
                </c:pt>
                <c:pt idx="71">
                  <c:v>13.229999999999993</c:v>
                </c:pt>
                <c:pt idx="72">
                  <c:v>13.309999999999993</c:v>
                </c:pt>
                <c:pt idx="73">
                  <c:v>13.449999999999994</c:v>
                </c:pt>
                <c:pt idx="74">
                  <c:v>13.549999999999994</c:v>
                </c:pt>
                <c:pt idx="75">
                  <c:v>13.649999999999993</c:v>
                </c:pt>
                <c:pt idx="76">
                  <c:v>13.749999999999993</c:v>
                </c:pt>
                <c:pt idx="77">
                  <c:v>13.849999999999993</c:v>
                </c:pt>
                <c:pt idx="78">
                  <c:v>13.949999999999992</c:v>
                </c:pt>
                <c:pt idx="79">
                  <c:v>14.049999999999992</c:v>
                </c:pt>
                <c:pt idx="80">
                  <c:v>14.149999999999991</c:v>
                </c:pt>
                <c:pt idx="81">
                  <c:v>14.259999999999991</c:v>
                </c:pt>
                <c:pt idx="82">
                  <c:v>14.349999999999991</c:v>
                </c:pt>
                <c:pt idx="83">
                  <c:v>14.44999999999999</c:v>
                </c:pt>
                <c:pt idx="84">
                  <c:v>14.54999999999999</c:v>
                </c:pt>
                <c:pt idx="85">
                  <c:v>14.64999999999999</c:v>
                </c:pt>
                <c:pt idx="86">
                  <c:v>14.749999999999989</c:v>
                </c:pt>
                <c:pt idx="87">
                  <c:v>14.839999999999989</c:v>
                </c:pt>
                <c:pt idx="88">
                  <c:v>14.939999999999989</c:v>
                </c:pt>
                <c:pt idx="89">
                  <c:v>15.049999999999988</c:v>
                </c:pt>
                <c:pt idx="90">
                  <c:v>15.149999999999988</c:v>
                </c:pt>
                <c:pt idx="91">
                  <c:v>15.249999999999988</c:v>
                </c:pt>
                <c:pt idx="92">
                  <c:v>15.359999999999987</c:v>
                </c:pt>
                <c:pt idx="93">
                  <c:v>15.459999999999987</c:v>
                </c:pt>
                <c:pt idx="94">
                  <c:v>15.559999999999986</c:v>
                </c:pt>
                <c:pt idx="95">
                  <c:v>15.659999999999986</c:v>
                </c:pt>
                <c:pt idx="96">
                  <c:v>15.759999999999986</c:v>
                </c:pt>
                <c:pt idx="97">
                  <c:v>15.859999999999985</c:v>
                </c:pt>
                <c:pt idx="98">
                  <c:v>15.959999999999985</c:v>
                </c:pt>
                <c:pt idx="99">
                  <c:v>16.159999999999986</c:v>
                </c:pt>
                <c:pt idx="100">
                  <c:v>16.259999999999987</c:v>
                </c:pt>
                <c:pt idx="101">
                  <c:v>16.259999999999987</c:v>
                </c:pt>
                <c:pt idx="102">
                  <c:v>16.359999999999989</c:v>
                </c:pt>
                <c:pt idx="103">
                  <c:v>16.45999999999999</c:v>
                </c:pt>
                <c:pt idx="104">
                  <c:v>16.559999999999992</c:v>
                </c:pt>
                <c:pt idx="105">
                  <c:v>16.659999999999993</c:v>
                </c:pt>
                <c:pt idx="106">
                  <c:v>16.759999999999994</c:v>
                </c:pt>
                <c:pt idx="107">
                  <c:v>16.859999999999996</c:v>
                </c:pt>
                <c:pt idx="108">
                  <c:v>16.959999999999997</c:v>
                </c:pt>
                <c:pt idx="109">
                  <c:v>17.019999999999996</c:v>
                </c:pt>
                <c:pt idx="110">
                  <c:v>17.149999999999995</c:v>
                </c:pt>
                <c:pt idx="111">
                  <c:v>17.249999999999996</c:v>
                </c:pt>
                <c:pt idx="112">
                  <c:v>17.449999999999996</c:v>
                </c:pt>
                <c:pt idx="113">
                  <c:v>17.549999999999997</c:v>
                </c:pt>
                <c:pt idx="114">
                  <c:v>17.549999999999997</c:v>
                </c:pt>
                <c:pt idx="115">
                  <c:v>17.619999999999997</c:v>
                </c:pt>
                <c:pt idx="116">
                  <c:v>17.769999999999996</c:v>
                </c:pt>
                <c:pt idx="117">
                  <c:v>17.819999999999997</c:v>
                </c:pt>
                <c:pt idx="118">
                  <c:v>17.919999999999998</c:v>
                </c:pt>
                <c:pt idx="119">
                  <c:v>18.02</c:v>
                </c:pt>
                <c:pt idx="120">
                  <c:v>18.12</c:v>
                </c:pt>
                <c:pt idx="121">
                  <c:v>18.220000000000002</c:v>
                </c:pt>
                <c:pt idx="122">
                  <c:v>18.320000000000004</c:v>
                </c:pt>
                <c:pt idx="123">
                  <c:v>18.420000000000005</c:v>
                </c:pt>
                <c:pt idx="124">
                  <c:v>18.520000000000007</c:v>
                </c:pt>
                <c:pt idx="125">
                  <c:v>18.630000000000006</c:v>
                </c:pt>
                <c:pt idx="126">
                  <c:v>18.730000000000008</c:v>
                </c:pt>
                <c:pt idx="127">
                  <c:v>18.810000000000006</c:v>
                </c:pt>
                <c:pt idx="128">
                  <c:v>19.010000000000005</c:v>
                </c:pt>
                <c:pt idx="129">
                  <c:v>19.130000000000006</c:v>
                </c:pt>
                <c:pt idx="130">
                  <c:v>19.210000000000004</c:v>
                </c:pt>
                <c:pt idx="131">
                  <c:v>19.380000000000006</c:v>
                </c:pt>
                <c:pt idx="132">
                  <c:v>19.480000000000008</c:v>
                </c:pt>
                <c:pt idx="133">
                  <c:v>19.580000000000009</c:v>
                </c:pt>
                <c:pt idx="134">
                  <c:v>19.780000000000008</c:v>
                </c:pt>
                <c:pt idx="135">
                  <c:v>19.88000000000001</c:v>
                </c:pt>
                <c:pt idx="136">
                  <c:v>20.000000000000011</c:v>
                </c:pt>
                <c:pt idx="137">
                  <c:v>20.120000000000012</c:v>
                </c:pt>
                <c:pt idx="138">
                  <c:v>20.220000000000013</c:v>
                </c:pt>
                <c:pt idx="139">
                  <c:v>20.290000000000013</c:v>
                </c:pt>
                <c:pt idx="140">
                  <c:v>20.390000000000015</c:v>
                </c:pt>
                <c:pt idx="141">
                  <c:v>20.490000000000016</c:v>
                </c:pt>
                <c:pt idx="142">
                  <c:v>20.590000000000018</c:v>
                </c:pt>
                <c:pt idx="143">
                  <c:v>20.690000000000019</c:v>
                </c:pt>
                <c:pt idx="144">
                  <c:v>20.800000000000018</c:v>
                </c:pt>
                <c:pt idx="145">
                  <c:v>20.90000000000002</c:v>
                </c:pt>
                <c:pt idx="146">
                  <c:v>21.000000000000021</c:v>
                </c:pt>
                <c:pt idx="147">
                  <c:v>21.120000000000019</c:v>
                </c:pt>
                <c:pt idx="148">
                  <c:v>21.22000000000002</c:v>
                </c:pt>
                <c:pt idx="149">
                  <c:v>21.320000000000022</c:v>
                </c:pt>
                <c:pt idx="150">
                  <c:v>21.520000000000021</c:v>
                </c:pt>
                <c:pt idx="151">
                  <c:v>21.690000000000019</c:v>
                </c:pt>
                <c:pt idx="152">
                  <c:v>21.940000000000019</c:v>
                </c:pt>
                <c:pt idx="153">
                  <c:v>22.04000000000002</c:v>
                </c:pt>
                <c:pt idx="154">
                  <c:v>22.140000000000022</c:v>
                </c:pt>
                <c:pt idx="155">
                  <c:v>22.240000000000023</c:v>
                </c:pt>
                <c:pt idx="156">
                  <c:v>22.340000000000025</c:v>
                </c:pt>
                <c:pt idx="157">
                  <c:v>22.400000000000023</c:v>
                </c:pt>
                <c:pt idx="158">
                  <c:v>22.500000000000025</c:v>
                </c:pt>
                <c:pt idx="159">
                  <c:v>22.600000000000026</c:v>
                </c:pt>
                <c:pt idx="160">
                  <c:v>22.710000000000026</c:v>
                </c:pt>
                <c:pt idx="161">
                  <c:v>22.800000000000026</c:v>
                </c:pt>
                <c:pt idx="162">
                  <c:v>22.890000000000025</c:v>
                </c:pt>
                <c:pt idx="163">
                  <c:v>22.990000000000027</c:v>
                </c:pt>
                <c:pt idx="164">
                  <c:v>23.090000000000028</c:v>
                </c:pt>
                <c:pt idx="165">
                  <c:v>23.19000000000003</c:v>
                </c:pt>
                <c:pt idx="166">
                  <c:v>23.290000000000031</c:v>
                </c:pt>
                <c:pt idx="167">
                  <c:v>23.390000000000033</c:v>
                </c:pt>
                <c:pt idx="168">
                  <c:v>23.490000000000034</c:v>
                </c:pt>
                <c:pt idx="169">
                  <c:v>23.590000000000035</c:v>
                </c:pt>
                <c:pt idx="170">
                  <c:v>23.780000000000037</c:v>
                </c:pt>
                <c:pt idx="171">
                  <c:v>23.980000000000036</c:v>
                </c:pt>
                <c:pt idx="172">
                  <c:v>24.170000000000037</c:v>
                </c:pt>
                <c:pt idx="173">
                  <c:v>24.370000000000037</c:v>
                </c:pt>
                <c:pt idx="174">
                  <c:v>24.570000000000036</c:v>
                </c:pt>
                <c:pt idx="175">
                  <c:v>24.820000000000036</c:v>
                </c:pt>
                <c:pt idx="176">
                  <c:v>25.020000000000035</c:v>
                </c:pt>
                <c:pt idx="177">
                  <c:v>25.220000000000034</c:v>
                </c:pt>
                <c:pt idx="178">
                  <c:v>25.420000000000034</c:v>
                </c:pt>
                <c:pt idx="179">
                  <c:v>25.620000000000033</c:v>
                </c:pt>
                <c:pt idx="180">
                  <c:v>25.820000000000032</c:v>
                </c:pt>
                <c:pt idx="181">
                  <c:v>26.020000000000032</c:v>
                </c:pt>
                <c:pt idx="182">
                  <c:v>26.220000000000031</c:v>
                </c:pt>
                <c:pt idx="183">
                  <c:v>26.42000000000003</c:v>
                </c:pt>
                <c:pt idx="184">
                  <c:v>26.620000000000029</c:v>
                </c:pt>
                <c:pt idx="185">
                  <c:v>26.820000000000029</c:v>
                </c:pt>
                <c:pt idx="186">
                  <c:v>27.020000000000028</c:v>
                </c:pt>
                <c:pt idx="187">
                  <c:v>27.220000000000027</c:v>
                </c:pt>
                <c:pt idx="188">
                  <c:v>27.420000000000027</c:v>
                </c:pt>
                <c:pt idx="189">
                  <c:v>27.620000000000026</c:v>
                </c:pt>
                <c:pt idx="190">
                  <c:v>27.820000000000025</c:v>
                </c:pt>
                <c:pt idx="191">
                  <c:v>28.020000000000024</c:v>
                </c:pt>
                <c:pt idx="192">
                  <c:v>28.220000000000024</c:v>
                </c:pt>
                <c:pt idx="193">
                  <c:v>28.420000000000023</c:v>
                </c:pt>
                <c:pt idx="194">
                  <c:v>28.610000000000024</c:v>
                </c:pt>
                <c:pt idx="195">
                  <c:v>28.810000000000024</c:v>
                </c:pt>
                <c:pt idx="196">
                  <c:v>29.010000000000023</c:v>
                </c:pt>
                <c:pt idx="197">
                  <c:v>29.210000000000022</c:v>
                </c:pt>
                <c:pt idx="198">
                  <c:v>29.410000000000021</c:v>
                </c:pt>
                <c:pt idx="199">
                  <c:v>29.610000000000021</c:v>
                </c:pt>
                <c:pt idx="200">
                  <c:v>29.81000000000002</c:v>
                </c:pt>
                <c:pt idx="201">
                  <c:v>30.010000000000019</c:v>
                </c:pt>
                <c:pt idx="202">
                  <c:v>30.210000000000019</c:v>
                </c:pt>
                <c:pt idx="203">
                  <c:v>31.620000000000019</c:v>
                </c:pt>
                <c:pt idx="204">
                  <c:v>33.010000000000019</c:v>
                </c:pt>
                <c:pt idx="205">
                  <c:v>33.770000000000017</c:v>
                </c:pt>
                <c:pt idx="206">
                  <c:v>33.890000000000015</c:v>
                </c:pt>
                <c:pt idx="207">
                  <c:v>34.090000000000018</c:v>
                </c:pt>
                <c:pt idx="208">
                  <c:v>34.29000000000002</c:v>
                </c:pt>
                <c:pt idx="209">
                  <c:v>34.490000000000023</c:v>
                </c:pt>
                <c:pt idx="210">
                  <c:v>34.690000000000026</c:v>
                </c:pt>
                <c:pt idx="211">
                  <c:v>34.890000000000029</c:v>
                </c:pt>
                <c:pt idx="212">
                  <c:v>35.090000000000032</c:v>
                </c:pt>
                <c:pt idx="213">
                  <c:v>35.290000000000035</c:v>
                </c:pt>
                <c:pt idx="214">
                  <c:v>35.490000000000038</c:v>
                </c:pt>
                <c:pt idx="215">
                  <c:v>35.69000000000004</c:v>
                </c:pt>
                <c:pt idx="216">
                  <c:v>35.890000000000043</c:v>
                </c:pt>
                <c:pt idx="217">
                  <c:v>36.090000000000046</c:v>
                </c:pt>
                <c:pt idx="218">
                  <c:v>36.290000000000049</c:v>
                </c:pt>
                <c:pt idx="219">
                  <c:v>36.490000000000052</c:v>
                </c:pt>
                <c:pt idx="220">
                  <c:v>36.690000000000055</c:v>
                </c:pt>
                <c:pt idx="221">
                  <c:v>36.890000000000057</c:v>
                </c:pt>
                <c:pt idx="222">
                  <c:v>37.09000000000006</c:v>
                </c:pt>
                <c:pt idx="223">
                  <c:v>37.290000000000063</c:v>
                </c:pt>
                <c:pt idx="224">
                  <c:v>37.490000000000066</c:v>
                </c:pt>
                <c:pt idx="225">
                  <c:v>37.690000000000069</c:v>
                </c:pt>
                <c:pt idx="226">
                  <c:v>37.890000000000072</c:v>
                </c:pt>
                <c:pt idx="227">
                  <c:v>38.090000000000074</c:v>
                </c:pt>
                <c:pt idx="228">
                  <c:v>38.290000000000077</c:v>
                </c:pt>
                <c:pt idx="229">
                  <c:v>38.49000000000008</c:v>
                </c:pt>
                <c:pt idx="230">
                  <c:v>38.690000000000083</c:v>
                </c:pt>
                <c:pt idx="231">
                  <c:v>38.890000000000086</c:v>
                </c:pt>
                <c:pt idx="232">
                  <c:v>39.090000000000089</c:v>
                </c:pt>
                <c:pt idx="233">
                  <c:v>39.290000000000092</c:v>
                </c:pt>
                <c:pt idx="234">
                  <c:v>39.490000000000094</c:v>
                </c:pt>
                <c:pt idx="235">
                  <c:v>39.690000000000097</c:v>
                </c:pt>
                <c:pt idx="236">
                  <c:v>39.8900000000001</c:v>
                </c:pt>
                <c:pt idx="237">
                  <c:v>40.090000000000103</c:v>
                </c:pt>
                <c:pt idx="238">
                  <c:v>40.290000000000106</c:v>
                </c:pt>
                <c:pt idx="239">
                  <c:v>40.490000000000109</c:v>
                </c:pt>
              </c:numCache>
            </c:numRef>
          </c:yVal>
          <c:smooth val="0"/>
          <c:extLst>
            <c:ext xmlns:c16="http://schemas.microsoft.com/office/drawing/2014/chart" uri="{C3380CC4-5D6E-409C-BE32-E72D297353CC}">
              <c16:uniqueId val="{00000000-1FF6-8141-A6F3-F730A348B8EE}"/>
            </c:ext>
          </c:extLst>
        </c:ser>
        <c:dLbls>
          <c:showLegendKey val="0"/>
          <c:showVal val="0"/>
          <c:showCatName val="0"/>
          <c:showSerName val="0"/>
          <c:showPercent val="0"/>
          <c:showBubbleSize val="0"/>
        </c:dLbls>
        <c:axId val="1332246240"/>
        <c:axId val="1"/>
      </c:scatterChart>
      <c:valAx>
        <c:axId val="133224624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E"/>
          </a:p>
        </c:txPr>
        <c:crossAx val="1332246240"/>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i="0" u="none" strike="noStrike">
                <a:solidFill>
                  <a:srgbClr val="000000"/>
                </a:solidFill>
                <a:latin typeface="Calibri"/>
              </a:defRPr>
            </a:pPr>
            <a:r>
              <a:rPr lang="en-US" sz="1800" b="1" i="0" u="none" strike="noStrike">
                <a:solidFill>
                  <a:srgbClr val="000000"/>
                </a:solidFill>
                <a:latin typeface="Calibri"/>
              </a:rPr>
              <a:t>d13Corg</a:t>
            </a:r>
          </a:p>
        </c:rich>
      </c:tx>
      <c:layout>
        <c:manualLayout>
          <c:xMode val="edge"/>
          <c:yMode val="edge"/>
          <c:x val="0.26119495340329113"/>
          <c:y val="0"/>
          <c:w val="0.11858900046671983"/>
          <c:h val="3.7407469788201607E-2"/>
        </c:manualLayout>
      </c:layout>
      <c:overlay val="1"/>
      <c:spPr>
        <a:noFill/>
        <a:effectLst/>
      </c:spPr>
    </c:title>
    <c:autoTitleDeleted val="0"/>
    <c:plotArea>
      <c:layout>
        <c:manualLayout>
          <c:layoutTarget val="inner"/>
          <c:xMode val="edge"/>
          <c:yMode val="edge"/>
          <c:x val="7.2446099999999999E-2"/>
          <c:y val="3.7407500000000003E-2"/>
          <c:w val="0.54286400000000001"/>
          <c:h val="0.92860600000000004"/>
        </c:manualLayout>
      </c:layout>
      <c:scatterChart>
        <c:scatterStyle val="smoothMarker"/>
        <c:varyColors val="0"/>
        <c:ser>
          <c:idx val="0"/>
          <c:order val="0"/>
          <c:tx>
            <c:v>d13Corg</c:v>
          </c:tx>
          <c:spPr>
            <a:ln w="12700" cap="flat">
              <a:noFill/>
              <a:miter lim="400000"/>
            </a:ln>
            <a:effectLst/>
          </c:spPr>
          <c:marker>
            <c:symbol val="circle"/>
            <c:size val="2"/>
            <c:spPr>
              <a:solidFill>
                <a:srgbClr val="000000"/>
              </a:solidFill>
              <a:ln>
                <a:solidFill>
                  <a:srgbClr val="000000"/>
                </a:solidFill>
                <a:prstDash val="solid"/>
              </a:ln>
            </c:spPr>
          </c:marker>
          <c:trendline>
            <c:spPr>
              <a:ln w="3175" cap="flat">
                <a:solidFill>
                  <a:srgbClr val="000000"/>
                </a:solidFill>
                <a:prstDash val="solid"/>
                <a:round/>
              </a:ln>
              <a:effectLst>
                <a:outerShdw blurRad="12700" dist="25400" dir="7320000" algn="tl">
                  <a:srgbClr val="000000">
                    <a:alpha val="25000"/>
                  </a:srgbClr>
                </a:outerShdw>
              </a:effectLst>
            </c:spPr>
            <c:trendlineType val="movingAvg"/>
            <c:period val="2"/>
            <c:dispRSqr val="0"/>
            <c:dispEq val="0"/>
          </c:trendline>
          <c:xVal>
            <c:numLit>
              <c:formatCode>General</c:formatCode>
              <c:ptCount val="247"/>
              <c:pt idx="0">
                <c:v>-28.1</c:v>
              </c:pt>
              <c:pt idx="1">
                <c:v>#N/A</c:v>
              </c:pt>
              <c:pt idx="2">
                <c:v>-27.65</c:v>
              </c:pt>
              <c:pt idx="3">
                <c:v>-26.76</c:v>
              </c:pt>
              <c:pt idx="4">
                <c:v>-17.34</c:v>
              </c:pt>
              <c:pt idx="5">
                <c:v>#N/A</c:v>
              </c:pt>
              <c:pt idx="6">
                <c:v>#N/A</c:v>
              </c:pt>
              <c:pt idx="7">
                <c:v>#N/A</c:v>
              </c:pt>
              <c:pt idx="8">
                <c:v>-28.77</c:v>
              </c:pt>
              <c:pt idx="9">
                <c:v>-28.08</c:v>
              </c:pt>
              <c:pt idx="10">
                <c:v>-27.3</c:v>
              </c:pt>
              <c:pt idx="11">
                <c:v>-27.93</c:v>
              </c:pt>
              <c:pt idx="12">
                <c:v>-27.34</c:v>
              </c:pt>
              <c:pt idx="13">
                <c:v>-28.22</c:v>
              </c:pt>
              <c:pt idx="14">
                <c:v>#N/A</c:v>
              </c:pt>
              <c:pt idx="15">
                <c:v>-28.54</c:v>
              </c:pt>
              <c:pt idx="16">
                <c:v>-27.3</c:v>
              </c:pt>
              <c:pt idx="17">
                <c:v>#N/A</c:v>
              </c:pt>
              <c:pt idx="18">
                <c:v>-28.22</c:v>
              </c:pt>
              <c:pt idx="19">
                <c:v>-28.38</c:v>
              </c:pt>
              <c:pt idx="20">
                <c:v>-29.05</c:v>
              </c:pt>
              <c:pt idx="21">
                <c:v>-28.38</c:v>
              </c:pt>
              <c:pt idx="22">
                <c:v>-28.67</c:v>
              </c:pt>
              <c:pt idx="23">
                <c:v>-28.99</c:v>
              </c:pt>
              <c:pt idx="24">
                <c:v>-26.85</c:v>
              </c:pt>
              <c:pt idx="25">
                <c:v>#N/A</c:v>
              </c:pt>
              <c:pt idx="26">
                <c:v>-29.06</c:v>
              </c:pt>
              <c:pt idx="27">
                <c:v>-28.42</c:v>
              </c:pt>
              <c:pt idx="28">
                <c:v>-26.61</c:v>
              </c:pt>
              <c:pt idx="29">
                <c:v>#N/A</c:v>
              </c:pt>
              <c:pt idx="30">
                <c:v>-28.52</c:v>
              </c:pt>
              <c:pt idx="31">
                <c:v>-28.15</c:v>
              </c:pt>
              <c:pt idx="32">
                <c:v>-28.02</c:v>
              </c:pt>
              <c:pt idx="33">
                <c:v>-26.91</c:v>
              </c:pt>
              <c:pt idx="34">
                <c:v>#N/A</c:v>
              </c:pt>
              <c:pt idx="35">
                <c:v>-28.08</c:v>
              </c:pt>
              <c:pt idx="36">
                <c:v>-26.968440739199899</c:v>
              </c:pt>
              <c:pt idx="37">
                <c:v>-27.67</c:v>
              </c:pt>
              <c:pt idx="38">
                <c:v>-29.305169916000001</c:v>
              </c:pt>
              <c:pt idx="39">
                <c:v>-28.9642834496</c:v>
              </c:pt>
              <c:pt idx="40">
                <c:v>-28.33</c:v>
              </c:pt>
              <c:pt idx="41">
                <c:v>-28.6037219888</c:v>
              </c:pt>
              <c:pt idx="42">
                <c:v>#N/A</c:v>
              </c:pt>
              <c:pt idx="43">
                <c:v>-27.83</c:v>
              </c:pt>
              <c:pt idx="44">
                <c:v>-27.95</c:v>
              </c:pt>
              <c:pt idx="45">
                <c:v>-28.2316818303999</c:v>
              </c:pt>
              <c:pt idx="46">
                <c:v>-28.677985157599899</c:v>
              </c:pt>
              <c:pt idx="47">
                <c:v>-28.36</c:v>
              </c:pt>
              <c:pt idx="48">
                <c:v>-28.3159066208</c:v>
              </c:pt>
              <c:pt idx="49">
                <c:v>-27.78</c:v>
              </c:pt>
              <c:pt idx="50">
                <c:v>-28.175502003199899</c:v>
              </c:pt>
              <c:pt idx="51">
                <c:v>#N/A</c:v>
              </c:pt>
              <c:pt idx="52">
                <c:v>-27.415929122400001</c:v>
              </c:pt>
              <c:pt idx="53">
                <c:v>-28.24</c:v>
              </c:pt>
              <c:pt idx="54">
                <c:v>-28.077390604000001</c:v>
              </c:pt>
              <c:pt idx="55">
                <c:v>#N/A</c:v>
              </c:pt>
              <c:pt idx="56">
                <c:v>-28.1540637272</c:v>
              </c:pt>
              <c:pt idx="57">
                <c:v>-27.12</c:v>
              </c:pt>
              <c:pt idx="58">
                <c:v>-27.834309056799899</c:v>
              </c:pt>
              <c:pt idx="59">
                <c:v>-28.18</c:v>
              </c:pt>
              <c:pt idx="60">
                <c:v>-28.08</c:v>
              </c:pt>
              <c:pt idx="61">
                <c:v>-28.35</c:v>
              </c:pt>
              <c:pt idx="62">
                <c:v>-27.99</c:v>
              </c:pt>
              <c:pt idx="63">
                <c:v>-26.79</c:v>
              </c:pt>
              <c:pt idx="64">
                <c:v>-28.91</c:v>
              </c:pt>
              <c:pt idx="65">
                <c:v>-28.22</c:v>
              </c:pt>
              <c:pt idx="66">
                <c:v>-29.15</c:v>
              </c:pt>
              <c:pt idx="67">
                <c:v>-29.06</c:v>
              </c:pt>
              <c:pt idx="68">
                <c:v>-27.93</c:v>
              </c:pt>
              <c:pt idx="69">
                <c:v>-29.76</c:v>
              </c:pt>
              <c:pt idx="70">
                <c:v>-29.66</c:v>
              </c:pt>
              <c:pt idx="71">
                <c:v>-29.43</c:v>
              </c:pt>
              <c:pt idx="72">
                <c:v>-29.62</c:v>
              </c:pt>
              <c:pt idx="73">
                <c:v>-29.55</c:v>
              </c:pt>
              <c:pt idx="74">
                <c:v>-30.25</c:v>
              </c:pt>
              <c:pt idx="75">
                <c:v>-29.76</c:v>
              </c:pt>
              <c:pt idx="76">
                <c:v>-29.96</c:v>
              </c:pt>
              <c:pt idx="77">
                <c:v>-30.02</c:v>
              </c:pt>
              <c:pt idx="78">
                <c:v>-27.41</c:v>
              </c:pt>
              <c:pt idx="79">
                <c:v>-29.95</c:v>
              </c:pt>
              <c:pt idx="80">
                <c:v>#N/A</c:v>
              </c:pt>
              <c:pt idx="81">
                <c:v>-29.85</c:v>
              </c:pt>
              <c:pt idx="82">
                <c:v>#N/A</c:v>
              </c:pt>
              <c:pt idx="83">
                <c:v>#N/A</c:v>
              </c:pt>
              <c:pt idx="84">
                <c:v>-29.68</c:v>
              </c:pt>
              <c:pt idx="85">
                <c:v>-29.41</c:v>
              </c:pt>
              <c:pt idx="86">
                <c:v>-29.43</c:v>
              </c:pt>
              <c:pt idx="87">
                <c:v>-29.38</c:v>
              </c:pt>
              <c:pt idx="88">
                <c:v>-30.09</c:v>
              </c:pt>
              <c:pt idx="89">
                <c:v>#N/A</c:v>
              </c:pt>
              <c:pt idx="90">
                <c:v>-29.86</c:v>
              </c:pt>
              <c:pt idx="91">
                <c:v>-30.03</c:v>
              </c:pt>
              <c:pt idx="92">
                <c:v>-29.64</c:v>
              </c:pt>
              <c:pt idx="93">
                <c:v>-29.43</c:v>
              </c:pt>
              <c:pt idx="94">
                <c:v>-29.8</c:v>
              </c:pt>
              <c:pt idx="95">
                <c:v>-29.41</c:v>
              </c:pt>
              <c:pt idx="96">
                <c:v>-26.78</c:v>
              </c:pt>
              <c:pt idx="97">
                <c:v>-29.55</c:v>
              </c:pt>
              <c:pt idx="98">
                <c:v>-29.14</c:v>
              </c:pt>
              <c:pt idx="99">
                <c:v>-28.79</c:v>
              </c:pt>
              <c:pt idx="100">
                <c:v>-28.75</c:v>
              </c:pt>
              <c:pt idx="101">
                <c:v>-28.87</c:v>
              </c:pt>
              <c:pt idx="102">
                <c:v>-28.42</c:v>
              </c:pt>
              <c:pt idx="103">
                <c:v>#N/A</c:v>
              </c:pt>
              <c:pt idx="104">
                <c:v>#N/A</c:v>
              </c:pt>
              <c:pt idx="105">
                <c:v>-28.39</c:v>
              </c:pt>
              <c:pt idx="106">
                <c:v>-27.97</c:v>
              </c:pt>
              <c:pt idx="107">
                <c:v>-28.15</c:v>
              </c:pt>
              <c:pt idx="108">
                <c:v>-28.14</c:v>
              </c:pt>
              <c:pt idx="109">
                <c:v>-28.19</c:v>
              </c:pt>
              <c:pt idx="110">
                <c:v>-28.03</c:v>
              </c:pt>
              <c:pt idx="111">
                <c:v>-27.81</c:v>
              </c:pt>
              <c:pt idx="112">
                <c:v>-27.16</c:v>
              </c:pt>
              <c:pt idx="113">
                <c:v>-26.97</c:v>
              </c:pt>
              <c:pt idx="114">
                <c:v>-26.97</c:v>
              </c:pt>
              <c:pt idx="115">
                <c:v>-27.3</c:v>
              </c:pt>
              <c:pt idx="116">
                <c:v>-26.39</c:v>
              </c:pt>
              <c:pt idx="117">
                <c:v>-27.57</c:v>
              </c:pt>
              <c:pt idx="118">
                <c:v>-27.6</c:v>
              </c:pt>
              <c:pt idx="119">
                <c:v>-27.33</c:v>
              </c:pt>
              <c:pt idx="120">
                <c:v>-27.14</c:v>
              </c:pt>
              <c:pt idx="121">
                <c:v>-26.9</c:v>
              </c:pt>
              <c:pt idx="122">
                <c:v>-26.93</c:v>
              </c:pt>
              <c:pt idx="123">
                <c:v>-27.83</c:v>
              </c:pt>
              <c:pt idx="124">
                <c:v>-26.37</c:v>
              </c:pt>
              <c:pt idx="125">
                <c:v>-26.69</c:v>
              </c:pt>
              <c:pt idx="126">
                <c:v>-26.89</c:v>
              </c:pt>
              <c:pt idx="127">
                <c:v>-27.71</c:v>
              </c:pt>
              <c:pt idx="128">
                <c:v>-27.51</c:v>
              </c:pt>
              <c:pt idx="129">
                <c:v>-27.43</c:v>
              </c:pt>
              <c:pt idx="130">
                <c:v>-27.11</c:v>
              </c:pt>
              <c:pt idx="131">
                <c:v>-26.89</c:v>
              </c:pt>
              <c:pt idx="132">
                <c:v>-26.53</c:v>
              </c:pt>
              <c:pt idx="133">
                <c:v>-27.03</c:v>
              </c:pt>
              <c:pt idx="134">
                <c:v>-26.68</c:v>
              </c:pt>
              <c:pt idx="135">
                <c:v>-27.33</c:v>
              </c:pt>
              <c:pt idx="136">
                <c:v>-26.44</c:v>
              </c:pt>
              <c:pt idx="137">
                <c:v>-26.83</c:v>
              </c:pt>
              <c:pt idx="138">
                <c:v>-27.27</c:v>
              </c:pt>
              <c:pt idx="139">
                <c:v>-26.87</c:v>
              </c:pt>
              <c:pt idx="140">
                <c:v>#N/A</c:v>
              </c:pt>
              <c:pt idx="141">
                <c:v>-27.27</c:v>
              </c:pt>
              <c:pt idx="142">
                <c:v>-26.78</c:v>
              </c:pt>
              <c:pt idx="143">
                <c:v>-27.19</c:v>
              </c:pt>
              <c:pt idx="144">
                <c:v>#N/A</c:v>
              </c:pt>
              <c:pt idx="145">
                <c:v>-26.98</c:v>
              </c:pt>
              <c:pt idx="146">
                <c:v>-26.56</c:v>
              </c:pt>
              <c:pt idx="147">
                <c:v>-27.18</c:v>
              </c:pt>
              <c:pt idx="148">
                <c:v>-26.97</c:v>
              </c:pt>
              <c:pt idx="149">
                <c:v>-26.01</c:v>
              </c:pt>
              <c:pt idx="150">
                <c:v>-23.18</c:v>
              </c:pt>
              <c:pt idx="151">
                <c:v>-27.48</c:v>
              </c:pt>
              <c:pt idx="152">
                <c:v>-27.43</c:v>
              </c:pt>
              <c:pt idx="153">
                <c:v>-26.8341687863999</c:v>
              </c:pt>
              <c:pt idx="154">
                <c:v>-25.2586725904</c:v>
              </c:pt>
              <c:pt idx="155">
                <c:v>-25.62</c:v>
              </c:pt>
              <c:pt idx="156">
                <c:v>-27.26</c:v>
              </c:pt>
              <c:pt idx="157">
                <c:v>-27.12</c:v>
              </c:pt>
              <c:pt idx="158">
                <c:v>-27.3134105408</c:v>
              </c:pt>
              <c:pt idx="159">
                <c:v>-26.33</c:v>
              </c:pt>
              <c:pt idx="160">
                <c:v>-25.838600176</c:v>
              </c:pt>
              <c:pt idx="161">
                <c:v>-27.7</c:v>
              </c:pt>
              <c:pt idx="162">
                <c:v>-26.4875480792</c:v>
              </c:pt>
              <c:pt idx="163">
                <c:v>-27.25</c:v>
              </c:pt>
              <c:pt idx="164">
                <c:v>-27.569164014399899</c:v>
              </c:pt>
              <c:pt idx="165">
                <c:v>-27.44</c:v>
              </c:pt>
              <c:pt idx="166">
                <c:v>-27.404277774400001</c:v>
              </c:pt>
              <c:pt idx="167">
                <c:v>-27.06</c:v>
              </c:pt>
              <c:pt idx="168">
                <c:v>-27.0837742711999</c:v>
              </c:pt>
              <c:pt idx="169">
                <c:v>-27.2</c:v>
              </c:pt>
              <c:pt idx="170">
                <c:v>-25.99</c:v>
              </c:pt>
              <c:pt idx="171">
                <c:v>-26.79</c:v>
              </c:pt>
              <c:pt idx="172">
                <c:v>-27.52</c:v>
              </c:pt>
              <c:pt idx="173">
                <c:v>-27.05</c:v>
              </c:pt>
              <c:pt idx="174">
                <c:v>-27.44</c:v>
              </c:pt>
              <c:pt idx="175">
                <c:v>-27.77</c:v>
              </c:pt>
              <c:pt idx="176">
                <c:v>#N/A</c:v>
              </c:pt>
              <c:pt idx="177">
                <c:v>-26.07</c:v>
              </c:pt>
              <c:pt idx="178">
                <c:v>-27.16</c:v>
              </c:pt>
              <c:pt idx="179">
                <c:v>-27.38</c:v>
              </c:pt>
              <c:pt idx="180">
                <c:v>-27.48</c:v>
              </c:pt>
              <c:pt idx="181">
                <c:v>-26.51</c:v>
              </c:pt>
              <c:pt idx="182">
                <c:v>-27.68</c:v>
              </c:pt>
              <c:pt idx="183">
                <c:v>-27.6</c:v>
              </c:pt>
              <c:pt idx="184">
                <c:v>-27.8</c:v>
              </c:pt>
              <c:pt idx="185">
                <c:v>#N/A</c:v>
              </c:pt>
              <c:pt idx="186">
                <c:v>-27.34</c:v>
              </c:pt>
              <c:pt idx="187">
                <c:v>#N/A</c:v>
              </c:pt>
              <c:pt idx="188">
                <c:v>-30.52</c:v>
              </c:pt>
              <c:pt idx="189">
                <c:v>-28.36</c:v>
              </c:pt>
              <c:pt idx="190">
                <c:v>-28.09</c:v>
              </c:pt>
              <c:pt idx="191">
                <c:v>-26.26</c:v>
              </c:pt>
              <c:pt idx="192">
                <c:v>#N/A</c:v>
              </c:pt>
              <c:pt idx="193">
                <c:v>-26.83</c:v>
              </c:pt>
              <c:pt idx="194">
                <c:v>-27.85</c:v>
              </c:pt>
              <c:pt idx="195">
                <c:v>-27.97</c:v>
              </c:pt>
              <c:pt idx="196">
                <c:v>-26.9</c:v>
              </c:pt>
              <c:pt idx="197">
                <c:v>-27.07</c:v>
              </c:pt>
              <c:pt idx="198">
                <c:v>-28.5</c:v>
              </c:pt>
              <c:pt idx="199">
                <c:v>-27.14</c:v>
              </c:pt>
              <c:pt idx="200">
                <c:v>#N/A</c:v>
              </c:pt>
              <c:pt idx="201">
                <c:v>#N/A</c:v>
              </c:pt>
              <c:pt idx="202">
                <c:v>-26.86</c:v>
              </c:pt>
              <c:pt idx="203">
                <c:v>-26.26</c:v>
              </c:pt>
              <c:pt idx="204">
                <c:v>-29.26</c:v>
              </c:pt>
              <c:pt idx="205">
                <c:v>-28.96</c:v>
              </c:pt>
              <c:pt idx="206">
                <c:v>-29.2</c:v>
              </c:pt>
              <c:pt idx="207">
                <c:v>-28.68</c:v>
              </c:pt>
              <c:pt idx="208">
                <c:v>-28.83</c:v>
              </c:pt>
              <c:pt idx="209">
                <c:v>-29.03</c:v>
              </c:pt>
              <c:pt idx="210">
                <c:v>-28.34</c:v>
              </c:pt>
              <c:pt idx="211">
                <c:v>-29.03</c:v>
              </c:pt>
              <c:pt idx="212">
                <c:v>-29.04</c:v>
              </c:pt>
              <c:pt idx="213">
                <c:v>-29.08</c:v>
              </c:pt>
              <c:pt idx="214">
                <c:v>-29.46</c:v>
              </c:pt>
              <c:pt idx="215">
                <c:v>#N/A</c:v>
              </c:pt>
              <c:pt idx="216">
                <c:v>-28.793656240000001</c:v>
              </c:pt>
              <c:pt idx="217">
                <c:v>-28.7</c:v>
              </c:pt>
              <c:pt idx="218">
                <c:v>-28.03</c:v>
              </c:pt>
              <c:pt idx="219">
                <c:v>-29.66</c:v>
              </c:pt>
              <c:pt idx="220">
                <c:v>-29.36</c:v>
              </c:pt>
              <c:pt idx="221">
                <c:v>-28.49</c:v>
              </c:pt>
              <c:pt idx="222">
                <c:v>-28.2</c:v>
              </c:pt>
              <c:pt idx="223">
                <c:v>-28.92</c:v>
              </c:pt>
              <c:pt idx="224">
                <c:v>-29.67</c:v>
              </c:pt>
              <c:pt idx="225">
                <c:v>-28.52</c:v>
              </c:pt>
              <c:pt idx="226">
                <c:v>-29.1</c:v>
              </c:pt>
              <c:pt idx="227">
                <c:v>-29.08</c:v>
              </c:pt>
              <c:pt idx="228">
                <c:v>-28.08</c:v>
              </c:pt>
              <c:pt idx="229">
                <c:v>-28.57</c:v>
              </c:pt>
              <c:pt idx="230">
                <c:v>-28.55</c:v>
              </c:pt>
              <c:pt idx="231">
                <c:v>-28.93</c:v>
              </c:pt>
              <c:pt idx="232">
                <c:v>-29.79</c:v>
              </c:pt>
              <c:pt idx="233">
                <c:v>#N/A</c:v>
              </c:pt>
              <c:pt idx="234">
                <c:v>-28.97</c:v>
              </c:pt>
              <c:pt idx="235">
                <c:v>-28.42</c:v>
              </c:pt>
              <c:pt idx="236">
                <c:v>-28.91</c:v>
              </c:pt>
              <c:pt idx="237">
                <c:v>-28.97</c:v>
              </c:pt>
              <c:pt idx="238">
                <c:v>-29.33</c:v>
              </c:pt>
              <c:pt idx="239">
                <c:v>-28.66</c:v>
              </c:pt>
              <c:pt idx="240">
                <c:v>#N/A</c:v>
              </c:pt>
              <c:pt idx="241">
                <c:v>#N/A</c:v>
              </c:pt>
              <c:pt idx="242">
                <c:v>#N/A</c:v>
              </c:pt>
              <c:pt idx="243">
                <c:v>#N/A</c:v>
              </c:pt>
              <c:pt idx="244">
                <c:v>#N/A</c:v>
              </c:pt>
              <c:pt idx="245">
                <c:v>#N/A</c:v>
              </c:pt>
              <c:pt idx="246">
                <c:v>#N/A</c:v>
              </c:pt>
            </c:numLit>
          </c:xVal>
          <c:yVal>
            <c:numLit>
              <c:formatCode>General</c:formatCode>
              <c:ptCount val="247"/>
              <c:pt idx="0">
                <c:v>-0.2</c:v>
              </c:pt>
              <c:pt idx="1">
                <c:v>0</c:v>
              </c:pt>
              <c:pt idx="2">
                <c:v>0.25</c:v>
              </c:pt>
              <c:pt idx="3">
                <c:v>0.5</c:v>
              </c:pt>
              <c:pt idx="4">
                <c:v>0.75</c:v>
              </c:pt>
              <c:pt idx="5">
                <c:v>1</c:v>
              </c:pt>
              <c:pt idx="6">
                <c:v>1.5</c:v>
              </c:pt>
              <c:pt idx="7">
                <c:v>1.84</c:v>
              </c:pt>
              <c:pt idx="8">
                <c:v>2.19</c:v>
              </c:pt>
              <c:pt idx="9">
                <c:v>2.37</c:v>
              </c:pt>
              <c:pt idx="10">
                <c:v>2.62</c:v>
              </c:pt>
              <c:pt idx="11">
                <c:v>2.87</c:v>
              </c:pt>
              <c:pt idx="12">
                <c:v>3.12</c:v>
              </c:pt>
              <c:pt idx="13">
                <c:v>3.37</c:v>
              </c:pt>
              <c:pt idx="14">
                <c:v>3.86</c:v>
              </c:pt>
              <c:pt idx="15">
                <c:v>4.24</c:v>
              </c:pt>
              <c:pt idx="16">
                <c:v>4.4800000000000004</c:v>
              </c:pt>
              <c:pt idx="17">
                <c:v>4.7300000000000004</c:v>
              </c:pt>
              <c:pt idx="18">
                <c:v>5.28</c:v>
              </c:pt>
              <c:pt idx="19">
                <c:v>5.46</c:v>
              </c:pt>
              <c:pt idx="20">
                <c:v>5.77</c:v>
              </c:pt>
              <c:pt idx="21">
                <c:v>5.97</c:v>
              </c:pt>
              <c:pt idx="22">
                <c:v>6.17</c:v>
              </c:pt>
              <c:pt idx="23">
                <c:v>6.27</c:v>
              </c:pt>
              <c:pt idx="24">
                <c:v>6.64</c:v>
              </c:pt>
              <c:pt idx="25">
                <c:v>6.79</c:v>
              </c:pt>
              <c:pt idx="26">
                <c:v>7.32</c:v>
              </c:pt>
              <c:pt idx="27">
                <c:v>7.48</c:v>
              </c:pt>
              <c:pt idx="28">
                <c:v>7.68</c:v>
              </c:pt>
              <c:pt idx="29">
                <c:v>7.82</c:v>
              </c:pt>
              <c:pt idx="30">
                <c:v>8.02</c:v>
              </c:pt>
              <c:pt idx="31">
                <c:v>8.27</c:v>
              </c:pt>
              <c:pt idx="32">
                <c:v>8.4700000000000006</c:v>
              </c:pt>
              <c:pt idx="33">
                <c:v>8.69</c:v>
              </c:pt>
              <c:pt idx="34">
                <c:v>8.85</c:v>
              </c:pt>
              <c:pt idx="35">
                <c:v>9.0299999999999994</c:v>
              </c:pt>
              <c:pt idx="36">
                <c:v>9.14</c:v>
              </c:pt>
              <c:pt idx="37">
                <c:v>9.23</c:v>
              </c:pt>
              <c:pt idx="38">
                <c:v>9.3699999999999992</c:v>
              </c:pt>
              <c:pt idx="39">
                <c:v>9.57</c:v>
              </c:pt>
              <c:pt idx="40">
                <c:v>9.67</c:v>
              </c:pt>
              <c:pt idx="41">
                <c:v>9.77</c:v>
              </c:pt>
              <c:pt idx="42">
                <c:v>9.92</c:v>
              </c:pt>
              <c:pt idx="43">
                <c:v>10.28</c:v>
              </c:pt>
              <c:pt idx="44">
                <c:v>10.389999999999899</c:v>
              </c:pt>
              <c:pt idx="45">
                <c:v>10.4599999999999</c:v>
              </c:pt>
              <c:pt idx="46">
                <c:v>10.559999999999899</c:v>
              </c:pt>
              <c:pt idx="47">
                <c:v>10.5899999999999</c:v>
              </c:pt>
              <c:pt idx="48">
                <c:v>10.7599999999999</c:v>
              </c:pt>
              <c:pt idx="49">
                <c:v>10.7899999999999</c:v>
              </c:pt>
              <c:pt idx="50">
                <c:v>10.979999999999899</c:v>
              </c:pt>
              <c:pt idx="51">
                <c:v>11.079999999999901</c:v>
              </c:pt>
              <c:pt idx="52">
                <c:v>11.1799999999999</c:v>
              </c:pt>
              <c:pt idx="53">
                <c:v>11.299999999999899</c:v>
              </c:pt>
              <c:pt idx="54">
                <c:v>11.4199999999999</c:v>
              </c:pt>
              <c:pt idx="55">
                <c:v>11.5199999999999</c:v>
              </c:pt>
              <c:pt idx="56">
                <c:v>11.5899999999999</c:v>
              </c:pt>
              <c:pt idx="57">
                <c:v>11.739999999999901</c:v>
              </c:pt>
              <c:pt idx="58">
                <c:v>11.8399999999999</c:v>
              </c:pt>
              <c:pt idx="59">
                <c:v>11.9399999999999</c:v>
              </c:pt>
              <c:pt idx="60">
                <c:v>12.0399999999999</c:v>
              </c:pt>
              <c:pt idx="61">
                <c:v>12.139999999999899</c:v>
              </c:pt>
              <c:pt idx="62">
                <c:v>12.3399999999999</c:v>
              </c:pt>
              <c:pt idx="63">
                <c:v>12.4399999999999</c:v>
              </c:pt>
              <c:pt idx="64">
                <c:v>12.5399999999999</c:v>
              </c:pt>
              <c:pt idx="65">
                <c:v>12.639999999999899</c:v>
              </c:pt>
              <c:pt idx="66">
                <c:v>12.739999999999901</c:v>
              </c:pt>
              <c:pt idx="67">
                <c:v>12.8399999999999</c:v>
              </c:pt>
              <c:pt idx="68">
                <c:v>12.9599999999999</c:v>
              </c:pt>
              <c:pt idx="69">
                <c:v>13.069999999999901</c:v>
              </c:pt>
              <c:pt idx="70">
                <c:v>13.1699999999999</c:v>
              </c:pt>
              <c:pt idx="71">
                <c:v>13.229999999999899</c:v>
              </c:pt>
              <c:pt idx="72">
                <c:v>13.309999999999899</c:v>
              </c:pt>
              <c:pt idx="73">
                <c:v>13.4499999999999</c:v>
              </c:pt>
              <c:pt idx="74">
                <c:v>13.549999999999899</c:v>
              </c:pt>
              <c:pt idx="75">
                <c:v>13.649999999999901</c:v>
              </c:pt>
              <c:pt idx="76">
                <c:v>13.749999999999901</c:v>
              </c:pt>
              <c:pt idx="77">
                <c:v>13.8499999999999</c:v>
              </c:pt>
              <c:pt idx="78">
                <c:v>13.9499999999999</c:v>
              </c:pt>
              <c:pt idx="79">
                <c:v>14.049999999999899</c:v>
              </c:pt>
              <c:pt idx="80">
                <c:v>14.149999999999901</c:v>
              </c:pt>
              <c:pt idx="81">
                <c:v>14.2599999999999</c:v>
              </c:pt>
              <c:pt idx="82">
                <c:v>14.3499999999999</c:v>
              </c:pt>
              <c:pt idx="83">
                <c:v>14.4499999999999</c:v>
              </c:pt>
              <c:pt idx="84">
                <c:v>14.549999999999899</c:v>
              </c:pt>
              <c:pt idx="85">
                <c:v>14.649999999999901</c:v>
              </c:pt>
              <c:pt idx="86">
                <c:v>14.749999999999901</c:v>
              </c:pt>
              <c:pt idx="87">
                <c:v>14.8399999999999</c:v>
              </c:pt>
              <c:pt idx="88">
                <c:v>14.9399999999999</c:v>
              </c:pt>
              <c:pt idx="89">
                <c:v>15.049999999999899</c:v>
              </c:pt>
              <c:pt idx="90">
                <c:v>15.149999999999901</c:v>
              </c:pt>
              <c:pt idx="91">
                <c:v>15.249999999999901</c:v>
              </c:pt>
              <c:pt idx="92">
                <c:v>15.3599999999999</c:v>
              </c:pt>
              <c:pt idx="93">
                <c:v>15.4599999999999</c:v>
              </c:pt>
              <c:pt idx="94">
                <c:v>15.559999999999899</c:v>
              </c:pt>
              <c:pt idx="95">
                <c:v>15.659999999999901</c:v>
              </c:pt>
              <c:pt idx="96">
                <c:v>15.7599999999999</c:v>
              </c:pt>
              <c:pt idx="97">
                <c:v>15.8599999999999</c:v>
              </c:pt>
              <c:pt idx="98">
                <c:v>15.9599999999999</c:v>
              </c:pt>
              <c:pt idx="99">
                <c:v>16.159999999999901</c:v>
              </c:pt>
              <c:pt idx="100">
                <c:v>16.259999999999899</c:v>
              </c:pt>
              <c:pt idx="101">
                <c:v>16.259999999999899</c:v>
              </c:pt>
              <c:pt idx="102">
                <c:v>16.3599999999999</c:v>
              </c:pt>
              <c:pt idx="103">
                <c:v>16.459999999999901</c:v>
              </c:pt>
              <c:pt idx="104">
                <c:v>16.559999999999899</c:v>
              </c:pt>
              <c:pt idx="105">
                <c:v>16.659999999999901</c:v>
              </c:pt>
              <c:pt idx="106">
                <c:v>16.759999999999899</c:v>
              </c:pt>
              <c:pt idx="107">
                <c:v>16.8599999999999</c:v>
              </c:pt>
              <c:pt idx="108">
                <c:v>16.959999999999901</c:v>
              </c:pt>
              <c:pt idx="109">
                <c:v>17.0199999999999</c:v>
              </c:pt>
              <c:pt idx="110">
                <c:v>17.149999999999899</c:v>
              </c:pt>
              <c:pt idx="111">
                <c:v>17.249999999999901</c:v>
              </c:pt>
              <c:pt idx="112">
                <c:v>17.4499999999999</c:v>
              </c:pt>
              <c:pt idx="113">
                <c:v>17.549999999999901</c:v>
              </c:pt>
              <c:pt idx="114">
                <c:v>17.549999999999901</c:v>
              </c:pt>
              <c:pt idx="115">
                <c:v>17.619999999999902</c:v>
              </c:pt>
              <c:pt idx="116">
                <c:v>17.7699999999999</c:v>
              </c:pt>
              <c:pt idx="117">
                <c:v>17.819999999999901</c:v>
              </c:pt>
              <c:pt idx="118">
                <c:v>17.919999999999899</c:v>
              </c:pt>
              <c:pt idx="119">
                <c:v>18.02</c:v>
              </c:pt>
              <c:pt idx="120">
                <c:v>18.12</c:v>
              </c:pt>
              <c:pt idx="121">
                <c:v>18.22</c:v>
              </c:pt>
              <c:pt idx="122">
                <c:v>18.32</c:v>
              </c:pt>
              <c:pt idx="123">
                <c:v>18.420000000000002</c:v>
              </c:pt>
              <c:pt idx="124">
                <c:v>18.52</c:v>
              </c:pt>
              <c:pt idx="125">
                <c:v>18.63</c:v>
              </c:pt>
              <c:pt idx="126">
                <c:v>18.73</c:v>
              </c:pt>
              <c:pt idx="127">
                <c:v>18.809999999999999</c:v>
              </c:pt>
              <c:pt idx="128">
                <c:v>19.010000000000002</c:v>
              </c:pt>
              <c:pt idx="129">
                <c:v>19.13</c:v>
              </c:pt>
              <c:pt idx="130">
                <c:v>19.21</c:v>
              </c:pt>
              <c:pt idx="131">
                <c:v>19.38</c:v>
              </c:pt>
              <c:pt idx="132">
                <c:v>19.48</c:v>
              </c:pt>
              <c:pt idx="133">
                <c:v>19.579999999999998</c:v>
              </c:pt>
              <c:pt idx="134">
                <c:v>19.78</c:v>
              </c:pt>
              <c:pt idx="135">
                <c:v>19.88</c:v>
              </c:pt>
              <c:pt idx="136">
                <c:v>20</c:v>
              </c:pt>
              <c:pt idx="137">
                <c:v>20.12</c:v>
              </c:pt>
              <c:pt idx="138">
                <c:v>20.22</c:v>
              </c:pt>
              <c:pt idx="139">
                <c:v>20.29</c:v>
              </c:pt>
              <c:pt idx="140">
                <c:v>20.39</c:v>
              </c:pt>
              <c:pt idx="141">
                <c:v>20.49</c:v>
              </c:pt>
              <c:pt idx="142">
                <c:v>20.59</c:v>
              </c:pt>
              <c:pt idx="143">
                <c:v>20.69</c:v>
              </c:pt>
              <c:pt idx="144">
                <c:v>20.8</c:v>
              </c:pt>
              <c:pt idx="145">
                <c:v>20.9</c:v>
              </c:pt>
              <c:pt idx="146">
                <c:v>21</c:v>
              </c:pt>
              <c:pt idx="147">
                <c:v>21.12</c:v>
              </c:pt>
              <c:pt idx="148">
                <c:v>21.22</c:v>
              </c:pt>
              <c:pt idx="149">
                <c:v>21.32</c:v>
              </c:pt>
              <c:pt idx="150">
                <c:v>21.52</c:v>
              </c:pt>
              <c:pt idx="151">
                <c:v>21.69</c:v>
              </c:pt>
              <c:pt idx="152">
                <c:v>21.94</c:v>
              </c:pt>
              <c:pt idx="153">
                <c:v>22.04</c:v>
              </c:pt>
              <c:pt idx="154">
                <c:v>22.14</c:v>
              </c:pt>
              <c:pt idx="155">
                <c:v>22.24</c:v>
              </c:pt>
              <c:pt idx="156">
                <c:v>22.34</c:v>
              </c:pt>
              <c:pt idx="157">
                <c:v>22.4</c:v>
              </c:pt>
              <c:pt idx="158">
                <c:v>22.5</c:v>
              </c:pt>
              <c:pt idx="159">
                <c:v>22.6</c:v>
              </c:pt>
              <c:pt idx="160">
                <c:v>22.71</c:v>
              </c:pt>
              <c:pt idx="161">
                <c:v>22.8</c:v>
              </c:pt>
              <c:pt idx="162">
                <c:v>22.89</c:v>
              </c:pt>
              <c:pt idx="163">
                <c:v>22.99</c:v>
              </c:pt>
              <c:pt idx="164">
                <c:v>23.09</c:v>
              </c:pt>
              <c:pt idx="165">
                <c:v>23.19</c:v>
              </c:pt>
              <c:pt idx="166">
                <c:v>23.29</c:v>
              </c:pt>
              <c:pt idx="167">
                <c:v>23.39</c:v>
              </c:pt>
              <c:pt idx="168">
                <c:v>23.49</c:v>
              </c:pt>
              <c:pt idx="169">
                <c:v>23.59</c:v>
              </c:pt>
              <c:pt idx="170">
                <c:v>23.78</c:v>
              </c:pt>
              <c:pt idx="171">
                <c:v>23.98</c:v>
              </c:pt>
              <c:pt idx="172">
                <c:v>24.17</c:v>
              </c:pt>
              <c:pt idx="173">
                <c:v>24.37</c:v>
              </c:pt>
              <c:pt idx="174">
                <c:v>24.57</c:v>
              </c:pt>
              <c:pt idx="175">
                <c:v>24.82</c:v>
              </c:pt>
              <c:pt idx="176">
                <c:v>25.02</c:v>
              </c:pt>
              <c:pt idx="177">
                <c:v>25.22</c:v>
              </c:pt>
              <c:pt idx="178">
                <c:v>25.42</c:v>
              </c:pt>
              <c:pt idx="179">
                <c:v>25.62</c:v>
              </c:pt>
              <c:pt idx="180">
                <c:v>25.82</c:v>
              </c:pt>
              <c:pt idx="181">
                <c:v>26.02</c:v>
              </c:pt>
              <c:pt idx="182">
                <c:v>26.22</c:v>
              </c:pt>
              <c:pt idx="183">
                <c:v>26.42</c:v>
              </c:pt>
              <c:pt idx="184">
                <c:v>26.62</c:v>
              </c:pt>
              <c:pt idx="185">
                <c:v>26.82</c:v>
              </c:pt>
              <c:pt idx="186">
                <c:v>27.02</c:v>
              </c:pt>
              <c:pt idx="187">
                <c:v>27.22</c:v>
              </c:pt>
              <c:pt idx="188">
                <c:v>27.42</c:v>
              </c:pt>
              <c:pt idx="189">
                <c:v>27.62</c:v>
              </c:pt>
              <c:pt idx="190">
                <c:v>27.82</c:v>
              </c:pt>
              <c:pt idx="191">
                <c:v>28.02</c:v>
              </c:pt>
              <c:pt idx="192">
                <c:v>28.22</c:v>
              </c:pt>
              <c:pt idx="193">
                <c:v>28.42</c:v>
              </c:pt>
              <c:pt idx="194">
                <c:v>28.61</c:v>
              </c:pt>
              <c:pt idx="195">
                <c:v>28.81</c:v>
              </c:pt>
              <c:pt idx="196">
                <c:v>29.01</c:v>
              </c:pt>
              <c:pt idx="197">
                <c:v>29.21</c:v>
              </c:pt>
              <c:pt idx="198">
                <c:v>29.41</c:v>
              </c:pt>
              <c:pt idx="199">
                <c:v>29.61</c:v>
              </c:pt>
              <c:pt idx="200">
                <c:v>29.81</c:v>
              </c:pt>
              <c:pt idx="201">
                <c:v>30.01</c:v>
              </c:pt>
              <c:pt idx="202">
                <c:v>30.21</c:v>
              </c:pt>
              <c:pt idx="203">
                <c:v>31.62</c:v>
              </c:pt>
              <c:pt idx="204">
                <c:v>33.01</c:v>
              </c:pt>
              <c:pt idx="205">
                <c:v>33.770000000000003</c:v>
              </c:pt>
              <c:pt idx="206">
                <c:v>33.89</c:v>
              </c:pt>
              <c:pt idx="207">
                <c:v>34.090000000000003</c:v>
              </c:pt>
              <c:pt idx="208">
                <c:v>34.29</c:v>
              </c:pt>
              <c:pt idx="209">
                <c:v>34.49</c:v>
              </c:pt>
              <c:pt idx="210">
                <c:v>34.69</c:v>
              </c:pt>
              <c:pt idx="211">
                <c:v>34.89</c:v>
              </c:pt>
              <c:pt idx="212">
                <c:v>35.090000000000003</c:v>
              </c:pt>
              <c:pt idx="213">
                <c:v>35.29</c:v>
              </c:pt>
              <c:pt idx="214">
                <c:v>35.49</c:v>
              </c:pt>
              <c:pt idx="215">
                <c:v>35.69</c:v>
              </c:pt>
              <c:pt idx="216">
                <c:v>35.89</c:v>
              </c:pt>
              <c:pt idx="217">
                <c:v>36.090000000000003</c:v>
              </c:pt>
              <c:pt idx="218">
                <c:v>36.29</c:v>
              </c:pt>
              <c:pt idx="219">
                <c:v>36.49</c:v>
              </c:pt>
              <c:pt idx="220">
                <c:v>36.69</c:v>
              </c:pt>
              <c:pt idx="221">
                <c:v>36.89</c:v>
              </c:pt>
              <c:pt idx="222">
                <c:v>37.090000000000003</c:v>
              </c:pt>
              <c:pt idx="223">
                <c:v>37.29</c:v>
              </c:pt>
              <c:pt idx="224">
                <c:v>37.49</c:v>
              </c:pt>
              <c:pt idx="225">
                <c:v>37.69</c:v>
              </c:pt>
              <c:pt idx="226">
                <c:v>37.89</c:v>
              </c:pt>
              <c:pt idx="227">
                <c:v>38.090000000000003</c:v>
              </c:pt>
              <c:pt idx="228">
                <c:v>38.29</c:v>
              </c:pt>
              <c:pt idx="229">
                <c:v>38.49</c:v>
              </c:pt>
              <c:pt idx="230">
                <c:v>38.69</c:v>
              </c:pt>
              <c:pt idx="231">
                <c:v>38.89</c:v>
              </c:pt>
              <c:pt idx="232">
                <c:v>39.090000000000003</c:v>
              </c:pt>
              <c:pt idx="233">
                <c:v>39.29</c:v>
              </c:pt>
              <c:pt idx="234">
                <c:v>39.49</c:v>
              </c:pt>
              <c:pt idx="235">
                <c:v>39.69</c:v>
              </c:pt>
              <c:pt idx="236">
                <c:v>39.8900000000001</c:v>
              </c:pt>
              <c:pt idx="237">
                <c:v>40.090000000000103</c:v>
              </c:pt>
              <c:pt idx="238">
                <c:v>40.290000000000099</c:v>
              </c:pt>
              <c:pt idx="239">
                <c:v>40.490000000000101</c:v>
              </c:pt>
              <c:pt idx="240">
                <c:v>#N/A</c:v>
              </c:pt>
              <c:pt idx="241">
                <c:v>0</c:v>
              </c:pt>
              <c:pt idx="242">
                <c:v>0</c:v>
              </c:pt>
              <c:pt idx="243">
                <c:v>0</c:v>
              </c:pt>
              <c:pt idx="244">
                <c:v>0</c:v>
              </c:pt>
              <c:pt idx="245">
                <c:v>0</c:v>
              </c:pt>
              <c:pt idx="246">
                <c:v>0</c:v>
              </c:pt>
            </c:numLit>
          </c:yVal>
          <c:smooth val="1"/>
          <c:extLst>
            <c:ext xmlns:c16="http://schemas.microsoft.com/office/drawing/2014/chart" uri="{C3380CC4-5D6E-409C-BE32-E72D297353CC}">
              <c16:uniqueId val="{00000001-1B5B-CD45-B01E-917DD160461F}"/>
            </c:ext>
          </c:extLst>
        </c:ser>
        <c:dLbls>
          <c:showLegendKey val="0"/>
          <c:showVal val="0"/>
          <c:showCatName val="0"/>
          <c:showSerName val="0"/>
          <c:showPercent val="0"/>
          <c:showBubbleSize val="0"/>
        </c:dLbls>
        <c:axId val="1359235408"/>
        <c:axId val="1"/>
      </c:scatterChart>
      <c:valAx>
        <c:axId val="1359235408"/>
        <c:scaling>
          <c:orientation val="minMax"/>
          <c:max val="-22"/>
        </c:scaling>
        <c:delete val="0"/>
        <c:axPos val="b"/>
        <c:majorGridlines>
          <c:spPr>
            <a:ln w="3175" cap="flat">
              <a:solidFill>
                <a:srgbClr val="000000"/>
              </a:solidFill>
              <a:prstDash val="solid"/>
              <a:miter lim="400000"/>
            </a:ln>
          </c:spPr>
        </c:majorGridlines>
        <c:minorGridlines>
          <c:spPr>
            <a:ln w="3175" cap="flat">
              <a:solidFill>
                <a:srgbClr val="000000"/>
              </a:solidFill>
              <a:prstDash val="solid"/>
              <a:miter lim="400000"/>
            </a:ln>
          </c:spPr>
        </c:minorGridlines>
        <c:numFmt formatCode="General" sourceLinked="1"/>
        <c:majorTickMark val="out"/>
        <c:minorTickMark val="in"/>
        <c:tickLblPos val="nextTo"/>
        <c:spPr>
          <a:ln w="12700" cap="flat">
            <a:solidFill>
              <a:srgbClr val="808080"/>
            </a:solidFill>
            <a:prstDash val="solid"/>
            <a:round/>
          </a:ln>
        </c:spPr>
        <c:txPr>
          <a:bodyPr rot="0" vert="horz"/>
          <a:lstStyle/>
          <a:p>
            <a:pPr>
              <a:defRPr sz="1000" b="0" i="0" u="none" strike="noStrike" baseline="0">
                <a:solidFill>
                  <a:srgbClr val="000000"/>
                </a:solidFill>
                <a:latin typeface="Calibri"/>
                <a:ea typeface="Calibri"/>
                <a:cs typeface="Calibri"/>
              </a:defRPr>
            </a:pPr>
            <a:endParaRPr lang="en-AE"/>
          </a:p>
        </c:txPr>
        <c:crossAx val="1"/>
        <c:crosses val="autoZero"/>
        <c:crossBetween val="midCat"/>
        <c:majorUnit val="2"/>
        <c:minorUnit val="0.5"/>
      </c:valAx>
      <c:valAx>
        <c:axId val="1"/>
        <c:scaling>
          <c:orientation val="minMax"/>
          <c:max val="45"/>
          <c:min val="-5"/>
        </c:scaling>
        <c:delete val="0"/>
        <c:axPos val="l"/>
        <c:majorGridlines>
          <c:spPr>
            <a:ln w="3175" cap="flat">
              <a:solidFill>
                <a:srgbClr val="000000"/>
              </a:solidFill>
              <a:prstDash val="solid"/>
              <a:round/>
            </a:ln>
          </c:spPr>
        </c:majorGridlines>
        <c:minorGridlines>
          <c:spPr>
            <a:ln w="3175" cap="flat">
              <a:solidFill>
                <a:srgbClr val="A7A7A7"/>
              </a:solidFill>
              <a:prstDash val="solid"/>
              <a:miter lim="400000"/>
            </a:ln>
          </c:spPr>
        </c:minorGridlines>
        <c:numFmt formatCode="General" sourceLinked="1"/>
        <c:majorTickMark val="out"/>
        <c:minorTickMark val="in"/>
        <c:tickLblPos val="nextTo"/>
        <c:spPr>
          <a:ln w="12700" cap="flat">
            <a:solidFill>
              <a:srgbClr val="808080"/>
            </a:solidFill>
            <a:prstDash val="solid"/>
            <a:round/>
          </a:ln>
        </c:spPr>
        <c:txPr>
          <a:bodyPr rot="0"/>
          <a:lstStyle/>
          <a:p>
            <a:pPr>
              <a:defRPr sz="1000" b="0" i="0" u="none" strike="noStrike">
                <a:solidFill>
                  <a:srgbClr val="000000"/>
                </a:solidFill>
                <a:latin typeface="Calibri"/>
              </a:defRPr>
            </a:pPr>
            <a:endParaRPr lang="en-AE"/>
          </a:p>
        </c:txPr>
        <c:crossAx val="1359235408"/>
        <c:crosses val="autoZero"/>
        <c:crossBetween val="midCat"/>
        <c:majorUnit val="1"/>
        <c:minorUnit val="0.25"/>
      </c:valAx>
      <c:spPr>
        <a:noFill/>
        <a:ln w="25400">
          <a:noFill/>
        </a:ln>
      </c:spPr>
    </c:plotArea>
    <c:legend>
      <c:legendPos val="r"/>
      <c:layout>
        <c:manualLayout>
          <c:xMode val="edge"/>
          <c:yMode val="edge"/>
          <c:x val="0.74076903388988413"/>
          <c:y val="0.51673097814644831"/>
          <c:w val="0.25923096611011576"/>
          <c:h val="3.3550296854604422E-2"/>
        </c:manualLayout>
      </c:layout>
      <c:overlay val="1"/>
      <c:spPr>
        <a:noFill/>
        <a:ln w="12700" cap="flat">
          <a:noFill/>
          <a:miter lim="400000"/>
        </a:ln>
        <a:effectLst/>
      </c:spPr>
      <c:txPr>
        <a:bodyPr rot="0"/>
        <a:lstStyle/>
        <a:p>
          <a:pPr>
            <a:defRPr sz="620" b="0" i="0" u="none" strike="noStrike">
              <a:solidFill>
                <a:srgbClr val="000000"/>
              </a:solidFill>
              <a:latin typeface="Calibri"/>
            </a:defRPr>
          </a:pPr>
          <a:endParaRPr lang="en-AE"/>
        </a:p>
      </c:txPr>
    </c:legend>
    <c:plotVisOnly val="1"/>
    <c:dispBlanksAs val="gap"/>
    <c:showDLblsOverMax val="1"/>
  </c:chart>
  <c:spPr>
    <a:noFill/>
    <a:ln w="12700">
      <a:solidFill>
        <a:srgbClr val="808080"/>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CM-ASH1</c:v>
          </c:tx>
          <c:spPr>
            <a:ln w="25400" cap="rnd">
              <a:noFill/>
              <a:round/>
            </a:ln>
            <a:effectLst/>
          </c:spPr>
          <c:marker>
            <c:symbol val="circle"/>
            <c:size val="5"/>
            <c:spPr>
              <a:solidFill>
                <a:schemeClr val="accent1"/>
              </a:solidFill>
              <a:ln w="9525">
                <a:solidFill>
                  <a:schemeClr val="accent1"/>
                </a:solidFill>
              </a:ln>
              <a:effectLst/>
            </c:spPr>
          </c:marker>
          <c:xVal>
            <c:numRef>
              <c:f>'Chron.jl'!$A$16</c:f>
              <c:numCache>
                <c:formatCode>General</c:formatCode>
                <c:ptCount val="1"/>
                <c:pt idx="0">
                  <c:v>184.006962226409</c:v>
                </c:pt>
              </c:numCache>
            </c:numRef>
          </c:xVal>
          <c:yVal>
            <c:numRef>
              <c:f>'Chron.jl'!$C$2</c:f>
              <c:numCache>
                <c:formatCode>General</c:formatCode>
                <c:ptCount val="1"/>
                <c:pt idx="0">
                  <c:v>8.9600000000000009</c:v>
                </c:pt>
              </c:numCache>
            </c:numRef>
          </c:yVal>
          <c:smooth val="0"/>
          <c:extLst>
            <c:ext xmlns:c16="http://schemas.microsoft.com/office/drawing/2014/chart" uri="{C3380CC4-5D6E-409C-BE32-E72D297353CC}">
              <c16:uniqueId val="{00000000-F9D0-974C-A113-1EBBF025399F}"/>
            </c:ext>
          </c:extLst>
        </c:ser>
        <c:ser>
          <c:idx val="1"/>
          <c:order val="1"/>
          <c:tx>
            <c:v>CM-ASH2296</c:v>
          </c:tx>
          <c:spPr>
            <a:ln w="25400" cap="rnd">
              <a:noFill/>
              <a:round/>
            </a:ln>
            <a:effectLst/>
          </c:spPr>
          <c:marker>
            <c:symbol val="circle"/>
            <c:size val="5"/>
            <c:spPr>
              <a:solidFill>
                <a:schemeClr val="accent2"/>
              </a:solidFill>
              <a:ln w="9525">
                <a:solidFill>
                  <a:schemeClr val="accent2"/>
                </a:solidFill>
              </a:ln>
              <a:effectLst/>
            </c:spPr>
          </c:marker>
          <c:xVal>
            <c:numRef>
              <c:f>'Chron.jl'!$E$16</c:f>
              <c:numCache>
                <c:formatCode>General</c:formatCode>
                <c:ptCount val="1"/>
                <c:pt idx="0">
                  <c:v>182.983593241021</c:v>
                </c:pt>
              </c:numCache>
            </c:numRef>
          </c:xVal>
          <c:yVal>
            <c:numRef>
              <c:f>'Chron.jl'!$F$2</c:f>
              <c:numCache>
                <c:formatCode>General</c:formatCode>
                <c:ptCount val="1"/>
                <c:pt idx="0">
                  <c:v>17.34</c:v>
                </c:pt>
              </c:numCache>
            </c:numRef>
          </c:yVal>
          <c:smooth val="0"/>
          <c:extLst>
            <c:ext xmlns:c16="http://schemas.microsoft.com/office/drawing/2014/chart" uri="{C3380CC4-5D6E-409C-BE32-E72D297353CC}">
              <c16:uniqueId val="{00000001-F9D0-974C-A113-1EBBF025399F}"/>
            </c:ext>
          </c:extLst>
        </c:ser>
        <c:ser>
          <c:idx val="2"/>
          <c:order val="2"/>
          <c:tx>
            <c:v>CM-ASH3</c:v>
          </c:tx>
          <c:spPr>
            <a:ln w="25400" cap="rnd">
              <a:noFill/>
              <a:round/>
            </a:ln>
            <a:effectLst/>
          </c:spPr>
          <c:marker>
            <c:symbol val="circle"/>
            <c:size val="5"/>
            <c:spPr>
              <a:solidFill>
                <a:schemeClr val="accent3"/>
              </a:solidFill>
              <a:ln w="9525">
                <a:solidFill>
                  <a:schemeClr val="accent3"/>
                </a:solidFill>
              </a:ln>
              <a:effectLst/>
            </c:spPr>
          </c:marker>
          <c:xVal>
            <c:numRef>
              <c:f>'Chron.jl'!$I$16</c:f>
              <c:numCache>
                <c:formatCode>General</c:formatCode>
                <c:ptCount val="1"/>
                <c:pt idx="0">
                  <c:v>182.79562457322299</c:v>
                </c:pt>
              </c:numCache>
            </c:numRef>
          </c:xVal>
          <c:yVal>
            <c:numRef>
              <c:f>'Chron.jl'!$J$2</c:f>
              <c:numCache>
                <c:formatCode>General</c:formatCode>
                <c:ptCount val="1"/>
                <c:pt idx="0">
                  <c:v>19.239999999999998</c:v>
                </c:pt>
              </c:numCache>
            </c:numRef>
          </c:yVal>
          <c:smooth val="0"/>
          <c:extLst>
            <c:ext xmlns:c16="http://schemas.microsoft.com/office/drawing/2014/chart" uri="{C3380CC4-5D6E-409C-BE32-E72D297353CC}">
              <c16:uniqueId val="{00000002-F9D0-974C-A113-1EBBF025399F}"/>
            </c:ext>
          </c:extLst>
        </c:ser>
        <c:ser>
          <c:idx val="3"/>
          <c:order val="3"/>
          <c:tx>
            <c:v>CM-ASH6</c:v>
          </c:tx>
          <c:spPr>
            <a:ln w="25400" cap="rnd">
              <a:noFill/>
              <a:round/>
            </a:ln>
            <a:effectLst/>
          </c:spPr>
          <c:marker>
            <c:symbol val="circle"/>
            <c:size val="5"/>
            <c:spPr>
              <a:solidFill>
                <a:schemeClr val="accent4"/>
              </a:solidFill>
              <a:ln w="9525">
                <a:solidFill>
                  <a:schemeClr val="accent4"/>
                </a:solidFill>
              </a:ln>
              <a:effectLst/>
            </c:spPr>
          </c:marker>
          <c:xVal>
            <c:numRef>
              <c:f>'Chron.jl'!$M$16</c:f>
              <c:numCache>
                <c:formatCode>General</c:formatCode>
                <c:ptCount val="1"/>
                <c:pt idx="0">
                  <c:v>182.72229758040601</c:v>
                </c:pt>
              </c:numCache>
            </c:numRef>
          </c:xVal>
          <c:yVal>
            <c:numRef>
              <c:f>'Chron.jl'!$N$2</c:f>
              <c:numCache>
                <c:formatCode>General</c:formatCode>
                <c:ptCount val="1"/>
                <c:pt idx="0">
                  <c:v>25.02</c:v>
                </c:pt>
              </c:numCache>
            </c:numRef>
          </c:yVal>
          <c:smooth val="0"/>
          <c:extLst>
            <c:ext xmlns:c16="http://schemas.microsoft.com/office/drawing/2014/chart" uri="{C3380CC4-5D6E-409C-BE32-E72D297353CC}">
              <c16:uniqueId val="{00000003-F9D0-974C-A113-1EBBF025399F}"/>
            </c:ext>
          </c:extLst>
        </c:ser>
        <c:ser>
          <c:idx val="4"/>
          <c:order val="4"/>
          <c:tx>
            <c:v>11.08 m</c:v>
          </c:tx>
          <c:spPr>
            <a:ln w="25400" cap="rnd">
              <a:noFill/>
              <a:round/>
            </a:ln>
            <a:effectLst/>
          </c:spPr>
          <c:marker>
            <c:symbol val="square"/>
            <c:size val="5"/>
            <c:spPr>
              <a:solidFill>
                <a:schemeClr val="accent5"/>
              </a:solidFill>
              <a:ln w="9525">
                <a:solidFill>
                  <a:schemeClr val="accent5"/>
                </a:solidFill>
              </a:ln>
              <a:effectLst/>
            </c:spPr>
          </c:marker>
          <c:xVal>
            <c:numRef>
              <c:f>'Chron.jl'!$G$26</c:f>
              <c:numCache>
                <c:formatCode>0.00</c:formatCode>
                <c:ptCount val="1"/>
                <c:pt idx="0">
                  <c:v>183.730742731188</c:v>
                </c:pt>
              </c:numCache>
            </c:numRef>
          </c:xVal>
          <c:yVal>
            <c:numRef>
              <c:f>'Chron.jl'!$F$26</c:f>
              <c:numCache>
                <c:formatCode>General</c:formatCode>
                <c:ptCount val="1"/>
                <c:pt idx="0">
                  <c:v>11.08</c:v>
                </c:pt>
              </c:numCache>
            </c:numRef>
          </c:yVal>
          <c:smooth val="0"/>
          <c:extLst>
            <c:ext xmlns:c16="http://schemas.microsoft.com/office/drawing/2014/chart" uri="{C3380CC4-5D6E-409C-BE32-E72D297353CC}">
              <c16:uniqueId val="{00000004-F9D0-974C-A113-1EBBF025399F}"/>
            </c:ext>
          </c:extLst>
        </c:ser>
        <c:ser>
          <c:idx val="5"/>
          <c:order val="5"/>
          <c:tx>
            <c:v>22.66 m</c:v>
          </c:tx>
          <c:spPr>
            <a:ln w="25400" cap="rnd">
              <a:noFill/>
              <a:round/>
            </a:ln>
            <a:effectLst/>
          </c:spPr>
          <c:marker>
            <c:symbol val="square"/>
            <c:size val="5"/>
            <c:spPr>
              <a:solidFill>
                <a:schemeClr val="accent6"/>
              </a:solidFill>
              <a:ln w="9525">
                <a:solidFill>
                  <a:schemeClr val="accent6"/>
                </a:solidFill>
              </a:ln>
              <a:effectLst/>
            </c:spPr>
          </c:marker>
          <c:xVal>
            <c:numRef>
              <c:f>'Chron.jl'!$G$27</c:f>
              <c:numCache>
                <c:formatCode>0.00</c:formatCode>
                <c:ptCount val="1"/>
                <c:pt idx="0">
                  <c:v>182.77148346813399</c:v>
                </c:pt>
              </c:numCache>
            </c:numRef>
          </c:xVal>
          <c:yVal>
            <c:numRef>
              <c:f>'Chron.jl'!$F$27</c:f>
              <c:numCache>
                <c:formatCode>General</c:formatCode>
                <c:ptCount val="1"/>
                <c:pt idx="0">
                  <c:v>21.66</c:v>
                </c:pt>
              </c:numCache>
            </c:numRef>
          </c:yVal>
          <c:smooth val="0"/>
          <c:extLst>
            <c:ext xmlns:c16="http://schemas.microsoft.com/office/drawing/2014/chart" uri="{C3380CC4-5D6E-409C-BE32-E72D297353CC}">
              <c16:uniqueId val="{00000005-F9D0-974C-A113-1EBBF025399F}"/>
            </c:ext>
          </c:extLst>
        </c:ser>
        <c:dLbls>
          <c:showLegendKey val="0"/>
          <c:showVal val="0"/>
          <c:showCatName val="0"/>
          <c:showSerName val="0"/>
          <c:showPercent val="0"/>
          <c:showBubbleSize val="0"/>
        </c:dLbls>
        <c:axId val="1337647872"/>
        <c:axId val="1"/>
      </c:scatterChart>
      <c:valAx>
        <c:axId val="133764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Arial"/>
                <a:ea typeface="Arial"/>
                <a:cs typeface="Arial"/>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AE"/>
          </a:p>
        </c:txPr>
        <c:crossAx val="1337647872"/>
        <c:crosses val="autoZero"/>
        <c:crossBetween val="midCat"/>
      </c:valAx>
      <c:spPr>
        <a:noFill/>
        <a:ln w="25400">
          <a:noFill/>
        </a:ln>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t>Tmax</a:t>
            </a:r>
            <a:r>
              <a:rPr lang="en-US" baseline="0"/>
              <a:t> vs. HI</a:t>
            </a:r>
            <a:endParaRPr lang="en-US"/>
          </a:p>
        </c:rich>
      </c:tx>
      <c:overlay val="0"/>
      <c:spPr>
        <a:noFill/>
        <a:ln>
          <a:noFill/>
        </a:ln>
        <a:effectLst/>
      </c:spPr>
    </c:title>
    <c:autoTitleDeleted val="0"/>
    <c:plotArea>
      <c:layout>
        <c:manualLayout>
          <c:layoutTarget val="inner"/>
          <c:xMode val="edge"/>
          <c:yMode val="edge"/>
          <c:x val="6.1656885034015639E-2"/>
          <c:y val="8.1329729187826424E-2"/>
          <c:w val="0.91094966164373226"/>
          <c:h val="0.83793476420286173"/>
        </c:manualLayout>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RockEval!$J$4:$J$149</c:f>
              <c:numCache>
                <c:formatCode>General</c:formatCode>
                <c:ptCount val="146"/>
                <c:pt idx="0">
                  <c:v>346</c:v>
                </c:pt>
                <c:pt idx="1">
                  <c:v>412</c:v>
                </c:pt>
                <c:pt idx="2">
                  <c:v>336</c:v>
                </c:pt>
                <c:pt idx="3">
                  <c:v>370</c:v>
                </c:pt>
                <c:pt idx="4">
                  <c:v>373</c:v>
                </c:pt>
                <c:pt idx="5">
                  <c:v>436</c:v>
                </c:pt>
                <c:pt idx="6">
                  <c:v>394</c:v>
                </c:pt>
                <c:pt idx="7">
                  <c:v>401</c:v>
                </c:pt>
                <c:pt idx="8">
                  <c:v>353</c:v>
                </c:pt>
                <c:pt idx="9">
                  <c:v>400</c:v>
                </c:pt>
                <c:pt idx="10">
                  <c:v>416</c:v>
                </c:pt>
                <c:pt idx="11">
                  <c:v>461</c:v>
                </c:pt>
                <c:pt idx="12">
                  <c:v>610</c:v>
                </c:pt>
                <c:pt idx="13">
                  <c:v>338</c:v>
                </c:pt>
                <c:pt idx="14">
                  <c:v>405</c:v>
                </c:pt>
                <c:pt idx="15">
                  <c:v>400</c:v>
                </c:pt>
                <c:pt idx="16">
                  <c:v>456</c:v>
                </c:pt>
                <c:pt idx="17">
                  <c:v>487</c:v>
                </c:pt>
                <c:pt idx="18">
                  <c:v>414</c:v>
                </c:pt>
                <c:pt idx="19">
                  <c:v>362</c:v>
                </c:pt>
                <c:pt idx="20">
                  <c:v>346</c:v>
                </c:pt>
                <c:pt idx="21">
                  <c:v>479</c:v>
                </c:pt>
                <c:pt idx="22">
                  <c:v>452</c:v>
                </c:pt>
                <c:pt idx="23">
                  <c:v>494</c:v>
                </c:pt>
                <c:pt idx="24">
                  <c:v>342</c:v>
                </c:pt>
                <c:pt idx="25">
                  <c:v>364</c:v>
                </c:pt>
                <c:pt idx="26">
                  <c:v>485</c:v>
                </c:pt>
                <c:pt idx="27">
                  <c:v>480</c:v>
                </c:pt>
                <c:pt idx="28">
                  <c:v>381</c:v>
                </c:pt>
                <c:pt idx="29">
                  <c:v>406</c:v>
                </c:pt>
                <c:pt idx="30">
                  <c:v>430</c:v>
                </c:pt>
                <c:pt idx="31">
                  <c:v>491</c:v>
                </c:pt>
                <c:pt idx="32">
                  <c:v>500</c:v>
                </c:pt>
                <c:pt idx="33">
                  <c:v>485</c:v>
                </c:pt>
                <c:pt idx="34">
                  <c:v>431</c:v>
                </c:pt>
                <c:pt idx="35">
                  <c:v>351</c:v>
                </c:pt>
                <c:pt idx="36">
                  <c:v>407</c:v>
                </c:pt>
                <c:pt idx="37">
                  <c:v>328</c:v>
                </c:pt>
                <c:pt idx="38">
                  <c:v>454</c:v>
                </c:pt>
                <c:pt idx="39">
                  <c:v>445</c:v>
                </c:pt>
                <c:pt idx="40">
                  <c:v>483</c:v>
                </c:pt>
                <c:pt idx="41">
                  <c:v>463</c:v>
                </c:pt>
                <c:pt idx="42">
                  <c:v>341</c:v>
                </c:pt>
                <c:pt idx="43">
                  <c:v>315</c:v>
                </c:pt>
                <c:pt idx="44">
                  <c:v>342</c:v>
                </c:pt>
                <c:pt idx="45">
                  <c:v>471</c:v>
                </c:pt>
                <c:pt idx="46">
                  <c:v>349</c:v>
                </c:pt>
                <c:pt idx="47">
                  <c:v>468</c:v>
                </c:pt>
                <c:pt idx="48">
                  <c:v>465</c:v>
                </c:pt>
                <c:pt idx="49">
                  <c:v>470</c:v>
                </c:pt>
                <c:pt idx="50">
                  <c:v>468</c:v>
                </c:pt>
                <c:pt idx="51">
                  <c:v>339</c:v>
                </c:pt>
                <c:pt idx="52">
                  <c:v>351</c:v>
                </c:pt>
                <c:pt idx="53">
                  <c:v>455</c:v>
                </c:pt>
                <c:pt idx="54">
                  <c:v>306</c:v>
                </c:pt>
                <c:pt idx="55">
                  <c:v>347</c:v>
                </c:pt>
                <c:pt idx="56">
                  <c:v>320</c:v>
                </c:pt>
                <c:pt idx="57">
                  <c:v>356</c:v>
                </c:pt>
                <c:pt idx="58">
                  <c:v>289</c:v>
                </c:pt>
                <c:pt idx="59">
                  <c:v>304</c:v>
                </c:pt>
                <c:pt idx="60">
                  <c:v>352</c:v>
                </c:pt>
                <c:pt idx="61">
                  <c:v>476</c:v>
                </c:pt>
                <c:pt idx="62">
                  <c:v>467</c:v>
                </c:pt>
                <c:pt idx="63">
                  <c:v>492</c:v>
                </c:pt>
                <c:pt idx="64">
                  <c:v>300</c:v>
                </c:pt>
                <c:pt idx="65">
                  <c:v>507</c:v>
                </c:pt>
                <c:pt idx="66">
                  <c:v>300</c:v>
                </c:pt>
                <c:pt idx="67">
                  <c:v>306</c:v>
                </c:pt>
                <c:pt idx="68">
                  <c:v>440</c:v>
                </c:pt>
                <c:pt idx="69">
                  <c:v>356</c:v>
                </c:pt>
                <c:pt idx="70">
                  <c:v>461</c:v>
                </c:pt>
                <c:pt idx="71">
                  <c:v>339</c:v>
                </c:pt>
                <c:pt idx="72">
                  <c:v>489</c:v>
                </c:pt>
                <c:pt idx="73">
                  <c:v>490</c:v>
                </c:pt>
                <c:pt idx="74">
                  <c:v>313</c:v>
                </c:pt>
                <c:pt idx="75">
                  <c:v>332</c:v>
                </c:pt>
                <c:pt idx="76">
                  <c:v>299</c:v>
                </c:pt>
                <c:pt idx="77">
                  <c:v>305</c:v>
                </c:pt>
                <c:pt idx="78">
                  <c:v>308</c:v>
                </c:pt>
                <c:pt idx="79">
                  <c:v>340</c:v>
                </c:pt>
                <c:pt idx="80">
                  <c:v>478</c:v>
                </c:pt>
                <c:pt idx="81">
                  <c:v>315</c:v>
                </c:pt>
                <c:pt idx="82">
                  <c:v>500</c:v>
                </c:pt>
                <c:pt idx="83">
                  <c:v>507</c:v>
                </c:pt>
                <c:pt idx="84">
                  <c:v>338</c:v>
                </c:pt>
                <c:pt idx="85">
                  <c:v>296</c:v>
                </c:pt>
                <c:pt idx="86">
                  <c:v>319</c:v>
                </c:pt>
                <c:pt idx="87">
                  <c:v>502</c:v>
                </c:pt>
                <c:pt idx="88">
                  <c:v>306</c:v>
                </c:pt>
                <c:pt idx="89">
                  <c:v>302</c:v>
                </c:pt>
                <c:pt idx="90">
                  <c:v>263</c:v>
                </c:pt>
                <c:pt idx="91">
                  <c:v>343</c:v>
                </c:pt>
                <c:pt idx="92">
                  <c:v>474</c:v>
                </c:pt>
                <c:pt idx="93">
                  <c:v>444</c:v>
                </c:pt>
                <c:pt idx="94">
                  <c:v>357</c:v>
                </c:pt>
                <c:pt idx="95">
                  <c:v>357</c:v>
                </c:pt>
                <c:pt idx="96">
                  <c:v>500</c:v>
                </c:pt>
                <c:pt idx="97">
                  <c:v>482</c:v>
                </c:pt>
                <c:pt idx="98">
                  <c:v>351</c:v>
                </c:pt>
                <c:pt idx="99">
                  <c:v>362</c:v>
                </c:pt>
                <c:pt idx="100">
                  <c:v>362</c:v>
                </c:pt>
                <c:pt idx="101">
                  <c:v>434</c:v>
                </c:pt>
                <c:pt idx="102">
                  <c:v>423</c:v>
                </c:pt>
                <c:pt idx="103">
                  <c:v>371</c:v>
                </c:pt>
                <c:pt idx="104">
                  <c:v>427</c:v>
                </c:pt>
                <c:pt idx="105">
                  <c:v>481</c:v>
                </c:pt>
                <c:pt idx="106">
                  <c:v>425</c:v>
                </c:pt>
                <c:pt idx="107">
                  <c:v>339</c:v>
                </c:pt>
                <c:pt idx="108">
                  <c:v>489</c:v>
                </c:pt>
                <c:pt idx="109">
                  <c:v>295</c:v>
                </c:pt>
                <c:pt idx="110">
                  <c:v>352</c:v>
                </c:pt>
                <c:pt idx="111">
                  <c:v>478</c:v>
                </c:pt>
                <c:pt idx="112">
                  <c:v>521</c:v>
                </c:pt>
                <c:pt idx="113">
                  <c:v>502</c:v>
                </c:pt>
                <c:pt idx="114">
                  <c:v>479</c:v>
                </c:pt>
                <c:pt idx="115">
                  <c:v>490</c:v>
                </c:pt>
                <c:pt idx="116">
                  <c:v>506</c:v>
                </c:pt>
                <c:pt idx="117">
                  <c:v>499</c:v>
                </c:pt>
                <c:pt idx="118">
                  <c:v>515</c:v>
                </c:pt>
                <c:pt idx="119">
                  <c:v>508</c:v>
                </c:pt>
                <c:pt idx="120">
                  <c:v>488</c:v>
                </c:pt>
                <c:pt idx="121">
                  <c:v>511</c:v>
                </c:pt>
                <c:pt idx="122">
                  <c:v>319</c:v>
                </c:pt>
                <c:pt idx="123">
                  <c:v>347</c:v>
                </c:pt>
                <c:pt idx="124">
                  <c:v>496</c:v>
                </c:pt>
                <c:pt idx="125">
                  <c:v>363</c:v>
                </c:pt>
                <c:pt idx="126">
                  <c:v>509</c:v>
                </c:pt>
                <c:pt idx="127">
                  <c:v>295</c:v>
                </c:pt>
                <c:pt idx="128">
                  <c:v>325</c:v>
                </c:pt>
                <c:pt idx="129">
                  <c:v>338</c:v>
                </c:pt>
                <c:pt idx="130">
                  <c:v>338</c:v>
                </c:pt>
                <c:pt idx="131">
                  <c:v>356</c:v>
                </c:pt>
                <c:pt idx="132">
                  <c:v>302</c:v>
                </c:pt>
                <c:pt idx="133">
                  <c:v>532</c:v>
                </c:pt>
                <c:pt idx="134">
                  <c:v>485</c:v>
                </c:pt>
                <c:pt idx="135">
                  <c:v>296</c:v>
                </c:pt>
                <c:pt idx="136">
                  <c:v>505</c:v>
                </c:pt>
                <c:pt idx="137">
                  <c:v>508</c:v>
                </c:pt>
                <c:pt idx="138">
                  <c:v>317</c:v>
                </c:pt>
                <c:pt idx="139">
                  <c:v>340</c:v>
                </c:pt>
                <c:pt idx="140">
                  <c:v>303</c:v>
                </c:pt>
                <c:pt idx="141">
                  <c:v>301</c:v>
                </c:pt>
                <c:pt idx="142">
                  <c:v>311</c:v>
                </c:pt>
                <c:pt idx="143">
                  <c:v>303</c:v>
                </c:pt>
                <c:pt idx="144">
                  <c:v>304</c:v>
                </c:pt>
              </c:numCache>
            </c:numRef>
          </c:xVal>
          <c:yVal>
            <c:numRef>
              <c:f>RockEval!$K$4:$K$149</c:f>
              <c:numCache>
                <c:formatCode>General</c:formatCode>
                <c:ptCount val="146"/>
                <c:pt idx="0">
                  <c:v>7</c:v>
                </c:pt>
                <c:pt idx="1">
                  <c:v>22</c:v>
                </c:pt>
                <c:pt idx="2">
                  <c:v>11</c:v>
                </c:pt>
                <c:pt idx="3">
                  <c:v>10</c:v>
                </c:pt>
                <c:pt idx="4">
                  <c:v>13</c:v>
                </c:pt>
                <c:pt idx="5">
                  <c:v>18</c:v>
                </c:pt>
                <c:pt idx="6">
                  <c:v>11</c:v>
                </c:pt>
                <c:pt idx="7">
                  <c:v>27</c:v>
                </c:pt>
                <c:pt idx="8">
                  <c:v>17</c:v>
                </c:pt>
                <c:pt idx="9">
                  <c:v>33</c:v>
                </c:pt>
                <c:pt idx="10">
                  <c:v>26</c:v>
                </c:pt>
                <c:pt idx="11">
                  <c:v>40</c:v>
                </c:pt>
                <c:pt idx="12">
                  <c:v>40</c:v>
                </c:pt>
                <c:pt idx="13">
                  <c:v>36</c:v>
                </c:pt>
                <c:pt idx="14">
                  <c:v>20</c:v>
                </c:pt>
                <c:pt idx="15">
                  <c:v>6</c:v>
                </c:pt>
                <c:pt idx="16">
                  <c:v>17</c:v>
                </c:pt>
                <c:pt idx="17">
                  <c:v>33</c:v>
                </c:pt>
                <c:pt idx="18">
                  <c:v>6</c:v>
                </c:pt>
                <c:pt idx="19">
                  <c:v>19</c:v>
                </c:pt>
                <c:pt idx="20">
                  <c:v>9</c:v>
                </c:pt>
                <c:pt idx="21">
                  <c:v>17</c:v>
                </c:pt>
                <c:pt idx="22">
                  <c:v>23</c:v>
                </c:pt>
                <c:pt idx="23">
                  <c:v>31</c:v>
                </c:pt>
                <c:pt idx="24">
                  <c:v>5</c:v>
                </c:pt>
                <c:pt idx="25">
                  <c:v>29</c:v>
                </c:pt>
                <c:pt idx="26">
                  <c:v>16</c:v>
                </c:pt>
                <c:pt idx="27">
                  <c:v>63</c:v>
                </c:pt>
                <c:pt idx="28">
                  <c:v>8</c:v>
                </c:pt>
                <c:pt idx="29">
                  <c:v>19</c:v>
                </c:pt>
                <c:pt idx="30">
                  <c:v>9</c:v>
                </c:pt>
                <c:pt idx="31">
                  <c:v>7</c:v>
                </c:pt>
                <c:pt idx="32">
                  <c:v>8</c:v>
                </c:pt>
                <c:pt idx="33">
                  <c:v>18</c:v>
                </c:pt>
                <c:pt idx="34">
                  <c:v>3</c:v>
                </c:pt>
                <c:pt idx="35">
                  <c:v>8</c:v>
                </c:pt>
                <c:pt idx="36">
                  <c:v>11</c:v>
                </c:pt>
                <c:pt idx="37">
                  <c:v>7</c:v>
                </c:pt>
                <c:pt idx="38">
                  <c:v>14</c:v>
                </c:pt>
                <c:pt idx="39">
                  <c:v>1</c:v>
                </c:pt>
                <c:pt idx="40">
                  <c:v>4</c:v>
                </c:pt>
                <c:pt idx="41">
                  <c:v>2</c:v>
                </c:pt>
                <c:pt idx="42">
                  <c:v>4</c:v>
                </c:pt>
                <c:pt idx="43">
                  <c:v>6</c:v>
                </c:pt>
                <c:pt idx="44">
                  <c:v>5</c:v>
                </c:pt>
                <c:pt idx="45">
                  <c:v>5</c:v>
                </c:pt>
                <c:pt idx="46">
                  <c:v>4</c:v>
                </c:pt>
                <c:pt idx="47">
                  <c:v>3</c:v>
                </c:pt>
                <c:pt idx="48">
                  <c:v>5</c:v>
                </c:pt>
                <c:pt idx="49">
                  <c:v>6</c:v>
                </c:pt>
                <c:pt idx="50">
                  <c:v>9</c:v>
                </c:pt>
                <c:pt idx="51">
                  <c:v>9</c:v>
                </c:pt>
                <c:pt idx="52">
                  <c:v>16</c:v>
                </c:pt>
                <c:pt idx="53">
                  <c:v>8</c:v>
                </c:pt>
                <c:pt idx="54">
                  <c:v>5</c:v>
                </c:pt>
                <c:pt idx="55">
                  <c:v>7</c:v>
                </c:pt>
                <c:pt idx="56">
                  <c:v>6</c:v>
                </c:pt>
                <c:pt idx="57">
                  <c:v>3</c:v>
                </c:pt>
                <c:pt idx="58">
                  <c:v>2</c:v>
                </c:pt>
                <c:pt idx="59">
                  <c:v>5</c:v>
                </c:pt>
                <c:pt idx="60">
                  <c:v>7</c:v>
                </c:pt>
                <c:pt idx="61">
                  <c:v>7</c:v>
                </c:pt>
                <c:pt idx="62">
                  <c:v>6</c:v>
                </c:pt>
                <c:pt idx="63">
                  <c:v>13</c:v>
                </c:pt>
                <c:pt idx="64">
                  <c:v>7</c:v>
                </c:pt>
                <c:pt idx="65">
                  <c:v>6</c:v>
                </c:pt>
                <c:pt idx="66">
                  <c:v>6</c:v>
                </c:pt>
                <c:pt idx="67">
                  <c:v>4</c:v>
                </c:pt>
                <c:pt idx="68">
                  <c:v>12</c:v>
                </c:pt>
                <c:pt idx="69">
                  <c:v>2</c:v>
                </c:pt>
                <c:pt idx="70">
                  <c:v>3</c:v>
                </c:pt>
                <c:pt idx="71">
                  <c:v>6</c:v>
                </c:pt>
                <c:pt idx="72">
                  <c:v>12</c:v>
                </c:pt>
                <c:pt idx="73">
                  <c:v>10</c:v>
                </c:pt>
                <c:pt idx="74">
                  <c:v>2</c:v>
                </c:pt>
                <c:pt idx="75">
                  <c:v>4</c:v>
                </c:pt>
                <c:pt idx="76">
                  <c:v>4</c:v>
                </c:pt>
                <c:pt idx="77">
                  <c:v>5</c:v>
                </c:pt>
                <c:pt idx="78">
                  <c:v>3</c:v>
                </c:pt>
                <c:pt idx="79">
                  <c:v>4</c:v>
                </c:pt>
                <c:pt idx="80">
                  <c:v>16</c:v>
                </c:pt>
                <c:pt idx="81">
                  <c:v>9</c:v>
                </c:pt>
                <c:pt idx="82">
                  <c:v>8</c:v>
                </c:pt>
                <c:pt idx="83">
                  <c:v>3</c:v>
                </c:pt>
                <c:pt idx="84">
                  <c:v>2</c:v>
                </c:pt>
                <c:pt idx="85">
                  <c:v>3</c:v>
                </c:pt>
                <c:pt idx="86">
                  <c:v>6</c:v>
                </c:pt>
                <c:pt idx="87">
                  <c:v>3</c:v>
                </c:pt>
                <c:pt idx="88">
                  <c:v>6</c:v>
                </c:pt>
                <c:pt idx="89">
                  <c:v>5</c:v>
                </c:pt>
                <c:pt idx="90">
                  <c:v>2</c:v>
                </c:pt>
                <c:pt idx="91">
                  <c:v>2</c:v>
                </c:pt>
                <c:pt idx="92">
                  <c:v>5</c:v>
                </c:pt>
                <c:pt idx="93">
                  <c:v>3</c:v>
                </c:pt>
                <c:pt idx="94">
                  <c:v>3</c:v>
                </c:pt>
                <c:pt idx="95">
                  <c:v>3</c:v>
                </c:pt>
                <c:pt idx="96">
                  <c:v>2</c:v>
                </c:pt>
                <c:pt idx="97">
                  <c:v>5</c:v>
                </c:pt>
                <c:pt idx="98">
                  <c:v>3</c:v>
                </c:pt>
                <c:pt idx="99">
                  <c:v>3</c:v>
                </c:pt>
                <c:pt idx="100">
                  <c:v>40</c:v>
                </c:pt>
                <c:pt idx="101">
                  <c:v>3</c:v>
                </c:pt>
                <c:pt idx="102">
                  <c:v>4</c:v>
                </c:pt>
                <c:pt idx="103">
                  <c:v>29</c:v>
                </c:pt>
                <c:pt idx="104">
                  <c:v>3</c:v>
                </c:pt>
                <c:pt idx="105">
                  <c:v>4</c:v>
                </c:pt>
                <c:pt idx="106">
                  <c:v>3</c:v>
                </c:pt>
                <c:pt idx="107">
                  <c:v>18</c:v>
                </c:pt>
                <c:pt idx="108">
                  <c:v>5</c:v>
                </c:pt>
                <c:pt idx="109">
                  <c:v>3</c:v>
                </c:pt>
                <c:pt idx="110">
                  <c:v>4</c:v>
                </c:pt>
                <c:pt idx="111">
                  <c:v>8</c:v>
                </c:pt>
                <c:pt idx="112">
                  <c:v>7</c:v>
                </c:pt>
                <c:pt idx="113">
                  <c:v>9</c:v>
                </c:pt>
                <c:pt idx="114">
                  <c:v>13</c:v>
                </c:pt>
                <c:pt idx="115">
                  <c:v>7</c:v>
                </c:pt>
                <c:pt idx="116">
                  <c:v>5</c:v>
                </c:pt>
                <c:pt idx="117">
                  <c:v>14</c:v>
                </c:pt>
                <c:pt idx="118">
                  <c:v>7</c:v>
                </c:pt>
                <c:pt idx="119">
                  <c:v>5</c:v>
                </c:pt>
                <c:pt idx="120">
                  <c:v>4</c:v>
                </c:pt>
                <c:pt idx="121">
                  <c:v>2</c:v>
                </c:pt>
                <c:pt idx="122">
                  <c:v>13</c:v>
                </c:pt>
                <c:pt idx="123">
                  <c:v>13</c:v>
                </c:pt>
                <c:pt idx="124">
                  <c:v>4</c:v>
                </c:pt>
                <c:pt idx="125">
                  <c:v>6</c:v>
                </c:pt>
                <c:pt idx="126">
                  <c:v>10</c:v>
                </c:pt>
                <c:pt idx="127">
                  <c:v>6</c:v>
                </c:pt>
                <c:pt idx="128">
                  <c:v>2</c:v>
                </c:pt>
                <c:pt idx="129">
                  <c:v>9</c:v>
                </c:pt>
                <c:pt idx="130">
                  <c:v>5</c:v>
                </c:pt>
                <c:pt idx="131">
                  <c:v>8</c:v>
                </c:pt>
                <c:pt idx="132">
                  <c:v>6</c:v>
                </c:pt>
                <c:pt idx="133">
                  <c:v>2</c:v>
                </c:pt>
                <c:pt idx="134">
                  <c:v>14</c:v>
                </c:pt>
                <c:pt idx="135">
                  <c:v>10</c:v>
                </c:pt>
                <c:pt idx="136">
                  <c:v>4</c:v>
                </c:pt>
                <c:pt idx="137">
                  <c:v>8</c:v>
                </c:pt>
                <c:pt idx="138">
                  <c:v>6</c:v>
                </c:pt>
                <c:pt idx="139">
                  <c:v>3</c:v>
                </c:pt>
                <c:pt idx="140">
                  <c:v>12</c:v>
                </c:pt>
                <c:pt idx="141">
                  <c:v>7</c:v>
                </c:pt>
                <c:pt idx="142">
                  <c:v>4</c:v>
                </c:pt>
                <c:pt idx="143">
                  <c:v>4</c:v>
                </c:pt>
                <c:pt idx="144">
                  <c:v>6</c:v>
                </c:pt>
              </c:numCache>
            </c:numRef>
          </c:yVal>
          <c:smooth val="0"/>
          <c:extLst>
            <c:ext xmlns:c16="http://schemas.microsoft.com/office/drawing/2014/chart" uri="{C3380CC4-5D6E-409C-BE32-E72D297353CC}">
              <c16:uniqueId val="{00000000-2230-B34E-BCB1-15CB5573B10D}"/>
            </c:ext>
          </c:extLst>
        </c:ser>
        <c:dLbls>
          <c:showLegendKey val="0"/>
          <c:showVal val="0"/>
          <c:showCatName val="0"/>
          <c:showSerName val="0"/>
          <c:showPercent val="0"/>
          <c:showBubbleSize val="0"/>
        </c:dLbls>
        <c:axId val="1359259136"/>
        <c:axId val="1"/>
      </c:scatterChart>
      <c:valAx>
        <c:axId val="13592591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Tmax</a:t>
                </a:r>
                <a:r>
                  <a:rPr lang="en-US" baseline="0"/>
                  <a:t> (C)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000000"/>
                </a:solidFill>
                <a:latin typeface="Calibri"/>
                <a:ea typeface="Calibri"/>
                <a:cs typeface="Calibri"/>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 Hydrogen</a:t>
                </a:r>
                <a:r>
                  <a:rPr lang="en-US" baseline="0"/>
                  <a:t> Index (mgHc/mgTOC)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AE"/>
          </a:p>
        </c:txPr>
        <c:crossAx val="1359259136"/>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t>HI vs OI</a:t>
            </a:r>
          </a:p>
        </c:rich>
      </c:tx>
      <c:overlay val="0"/>
      <c:spPr>
        <a:noFill/>
        <a:ln>
          <a:noFill/>
        </a:ln>
        <a:effectLst/>
      </c:sp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RockEval!$L$4:$L$149</c:f>
              <c:numCache>
                <c:formatCode>General</c:formatCode>
                <c:ptCount val="146"/>
                <c:pt idx="0">
                  <c:v>32</c:v>
                </c:pt>
                <c:pt idx="1">
                  <c:v>149</c:v>
                </c:pt>
                <c:pt idx="2">
                  <c:v>77</c:v>
                </c:pt>
                <c:pt idx="3">
                  <c:v>30</c:v>
                </c:pt>
                <c:pt idx="4">
                  <c:v>48</c:v>
                </c:pt>
                <c:pt idx="5">
                  <c:v>227</c:v>
                </c:pt>
                <c:pt idx="6">
                  <c:v>156</c:v>
                </c:pt>
                <c:pt idx="7">
                  <c:v>247</c:v>
                </c:pt>
                <c:pt idx="8">
                  <c:v>88</c:v>
                </c:pt>
                <c:pt idx="9">
                  <c:v>392</c:v>
                </c:pt>
                <c:pt idx="10">
                  <c:v>189</c:v>
                </c:pt>
                <c:pt idx="11">
                  <c:v>290</c:v>
                </c:pt>
                <c:pt idx="12">
                  <c:v>193</c:v>
                </c:pt>
                <c:pt idx="13">
                  <c:v>286</c:v>
                </c:pt>
                <c:pt idx="14">
                  <c:v>118</c:v>
                </c:pt>
                <c:pt idx="15">
                  <c:v>36</c:v>
                </c:pt>
                <c:pt idx="16">
                  <c:v>61</c:v>
                </c:pt>
                <c:pt idx="17">
                  <c:v>206</c:v>
                </c:pt>
                <c:pt idx="18">
                  <c:v>46</c:v>
                </c:pt>
                <c:pt idx="19">
                  <c:v>112</c:v>
                </c:pt>
                <c:pt idx="20">
                  <c:v>122</c:v>
                </c:pt>
                <c:pt idx="21">
                  <c:v>83</c:v>
                </c:pt>
                <c:pt idx="22">
                  <c:v>95</c:v>
                </c:pt>
                <c:pt idx="23">
                  <c:v>112</c:v>
                </c:pt>
                <c:pt idx="24">
                  <c:v>24</c:v>
                </c:pt>
                <c:pt idx="25">
                  <c:v>124</c:v>
                </c:pt>
                <c:pt idx="26">
                  <c:v>78</c:v>
                </c:pt>
                <c:pt idx="27">
                  <c:v>147</c:v>
                </c:pt>
                <c:pt idx="28">
                  <c:v>49</c:v>
                </c:pt>
                <c:pt idx="29">
                  <c:v>195</c:v>
                </c:pt>
                <c:pt idx="30">
                  <c:v>49</c:v>
                </c:pt>
                <c:pt idx="31">
                  <c:v>106</c:v>
                </c:pt>
                <c:pt idx="32">
                  <c:v>95</c:v>
                </c:pt>
                <c:pt idx="33">
                  <c:v>168</c:v>
                </c:pt>
                <c:pt idx="34">
                  <c:v>57</c:v>
                </c:pt>
                <c:pt idx="35">
                  <c:v>75</c:v>
                </c:pt>
                <c:pt idx="36">
                  <c:v>58</c:v>
                </c:pt>
                <c:pt idx="37">
                  <c:v>49</c:v>
                </c:pt>
                <c:pt idx="38">
                  <c:v>58</c:v>
                </c:pt>
                <c:pt idx="39">
                  <c:v>10</c:v>
                </c:pt>
                <c:pt idx="40">
                  <c:v>14</c:v>
                </c:pt>
                <c:pt idx="41">
                  <c:v>7</c:v>
                </c:pt>
                <c:pt idx="42">
                  <c:v>7</c:v>
                </c:pt>
                <c:pt idx="43">
                  <c:v>60</c:v>
                </c:pt>
                <c:pt idx="44">
                  <c:v>16</c:v>
                </c:pt>
                <c:pt idx="45">
                  <c:v>8</c:v>
                </c:pt>
                <c:pt idx="46">
                  <c:v>13</c:v>
                </c:pt>
                <c:pt idx="47">
                  <c:v>13</c:v>
                </c:pt>
                <c:pt idx="48">
                  <c:v>15</c:v>
                </c:pt>
                <c:pt idx="49">
                  <c:v>22</c:v>
                </c:pt>
                <c:pt idx="50">
                  <c:v>27</c:v>
                </c:pt>
                <c:pt idx="51">
                  <c:v>37</c:v>
                </c:pt>
                <c:pt idx="52">
                  <c:v>76</c:v>
                </c:pt>
                <c:pt idx="53">
                  <c:v>18</c:v>
                </c:pt>
                <c:pt idx="54">
                  <c:v>9</c:v>
                </c:pt>
                <c:pt idx="55">
                  <c:v>15</c:v>
                </c:pt>
                <c:pt idx="56">
                  <c:v>8</c:v>
                </c:pt>
                <c:pt idx="57">
                  <c:v>16</c:v>
                </c:pt>
                <c:pt idx="58">
                  <c:v>10</c:v>
                </c:pt>
                <c:pt idx="59">
                  <c:v>13</c:v>
                </c:pt>
                <c:pt idx="60">
                  <c:v>53</c:v>
                </c:pt>
                <c:pt idx="61">
                  <c:v>13</c:v>
                </c:pt>
                <c:pt idx="62">
                  <c:v>16</c:v>
                </c:pt>
                <c:pt idx="63">
                  <c:v>18</c:v>
                </c:pt>
                <c:pt idx="64">
                  <c:v>17</c:v>
                </c:pt>
                <c:pt idx="65">
                  <c:v>9</c:v>
                </c:pt>
                <c:pt idx="66">
                  <c:v>21</c:v>
                </c:pt>
                <c:pt idx="67">
                  <c:v>11</c:v>
                </c:pt>
                <c:pt idx="68">
                  <c:v>108</c:v>
                </c:pt>
                <c:pt idx="69">
                  <c:v>7</c:v>
                </c:pt>
                <c:pt idx="70">
                  <c:v>13</c:v>
                </c:pt>
                <c:pt idx="71">
                  <c:v>13</c:v>
                </c:pt>
                <c:pt idx="72">
                  <c:v>26</c:v>
                </c:pt>
                <c:pt idx="73">
                  <c:v>16</c:v>
                </c:pt>
                <c:pt idx="74">
                  <c:v>7</c:v>
                </c:pt>
                <c:pt idx="75">
                  <c:v>7</c:v>
                </c:pt>
                <c:pt idx="76">
                  <c:v>13</c:v>
                </c:pt>
                <c:pt idx="77">
                  <c:v>10</c:v>
                </c:pt>
                <c:pt idx="78">
                  <c:v>6</c:v>
                </c:pt>
                <c:pt idx="79">
                  <c:v>11</c:v>
                </c:pt>
                <c:pt idx="80">
                  <c:v>84</c:v>
                </c:pt>
                <c:pt idx="81">
                  <c:v>15</c:v>
                </c:pt>
                <c:pt idx="82">
                  <c:v>19</c:v>
                </c:pt>
                <c:pt idx="83">
                  <c:v>35</c:v>
                </c:pt>
                <c:pt idx="84">
                  <c:v>6</c:v>
                </c:pt>
                <c:pt idx="85">
                  <c:v>19</c:v>
                </c:pt>
                <c:pt idx="86">
                  <c:v>18</c:v>
                </c:pt>
                <c:pt idx="87">
                  <c:v>75</c:v>
                </c:pt>
                <c:pt idx="88">
                  <c:v>13</c:v>
                </c:pt>
                <c:pt idx="89">
                  <c:v>21</c:v>
                </c:pt>
                <c:pt idx="90">
                  <c:v>16</c:v>
                </c:pt>
                <c:pt idx="91">
                  <c:v>10</c:v>
                </c:pt>
                <c:pt idx="92">
                  <c:v>15</c:v>
                </c:pt>
                <c:pt idx="93">
                  <c:v>12</c:v>
                </c:pt>
                <c:pt idx="94">
                  <c:v>10</c:v>
                </c:pt>
                <c:pt idx="95">
                  <c:v>7</c:v>
                </c:pt>
                <c:pt idx="96">
                  <c:v>8</c:v>
                </c:pt>
                <c:pt idx="97">
                  <c:v>14</c:v>
                </c:pt>
                <c:pt idx="98">
                  <c:v>13</c:v>
                </c:pt>
                <c:pt idx="99">
                  <c:v>9</c:v>
                </c:pt>
                <c:pt idx="100">
                  <c:v>230</c:v>
                </c:pt>
                <c:pt idx="101">
                  <c:v>14</c:v>
                </c:pt>
                <c:pt idx="102">
                  <c:v>12</c:v>
                </c:pt>
                <c:pt idx="103">
                  <c:v>171</c:v>
                </c:pt>
                <c:pt idx="104">
                  <c:v>13</c:v>
                </c:pt>
                <c:pt idx="105">
                  <c:v>20</c:v>
                </c:pt>
                <c:pt idx="106">
                  <c:v>17</c:v>
                </c:pt>
                <c:pt idx="107">
                  <c:v>71</c:v>
                </c:pt>
                <c:pt idx="108">
                  <c:v>10</c:v>
                </c:pt>
                <c:pt idx="109">
                  <c:v>19</c:v>
                </c:pt>
                <c:pt idx="110">
                  <c:v>8</c:v>
                </c:pt>
                <c:pt idx="111">
                  <c:v>20</c:v>
                </c:pt>
                <c:pt idx="112">
                  <c:v>94</c:v>
                </c:pt>
                <c:pt idx="113">
                  <c:v>47</c:v>
                </c:pt>
                <c:pt idx="114">
                  <c:v>39</c:v>
                </c:pt>
                <c:pt idx="115">
                  <c:v>111</c:v>
                </c:pt>
                <c:pt idx="116">
                  <c:v>84</c:v>
                </c:pt>
                <c:pt idx="117">
                  <c:v>95</c:v>
                </c:pt>
                <c:pt idx="118">
                  <c:v>114</c:v>
                </c:pt>
                <c:pt idx="119">
                  <c:v>152</c:v>
                </c:pt>
                <c:pt idx="120">
                  <c:v>29</c:v>
                </c:pt>
                <c:pt idx="121">
                  <c:v>40</c:v>
                </c:pt>
                <c:pt idx="122">
                  <c:v>32</c:v>
                </c:pt>
                <c:pt idx="123">
                  <c:v>25</c:v>
                </c:pt>
                <c:pt idx="124">
                  <c:v>16</c:v>
                </c:pt>
                <c:pt idx="125">
                  <c:v>17</c:v>
                </c:pt>
                <c:pt idx="126">
                  <c:v>27</c:v>
                </c:pt>
                <c:pt idx="127">
                  <c:v>23</c:v>
                </c:pt>
                <c:pt idx="128">
                  <c:v>14</c:v>
                </c:pt>
                <c:pt idx="129">
                  <c:v>20</c:v>
                </c:pt>
                <c:pt idx="130">
                  <c:v>14</c:v>
                </c:pt>
                <c:pt idx="131">
                  <c:v>23</c:v>
                </c:pt>
                <c:pt idx="132">
                  <c:v>19</c:v>
                </c:pt>
                <c:pt idx="133">
                  <c:v>43</c:v>
                </c:pt>
                <c:pt idx="134">
                  <c:v>20</c:v>
                </c:pt>
                <c:pt idx="135">
                  <c:v>31</c:v>
                </c:pt>
                <c:pt idx="136">
                  <c:v>26</c:v>
                </c:pt>
                <c:pt idx="137">
                  <c:v>20</c:v>
                </c:pt>
                <c:pt idx="138">
                  <c:v>15</c:v>
                </c:pt>
                <c:pt idx="139">
                  <c:v>11</c:v>
                </c:pt>
                <c:pt idx="140">
                  <c:v>22</c:v>
                </c:pt>
                <c:pt idx="141">
                  <c:v>18</c:v>
                </c:pt>
                <c:pt idx="142">
                  <c:v>15</c:v>
                </c:pt>
                <c:pt idx="143">
                  <c:v>13</c:v>
                </c:pt>
                <c:pt idx="144">
                  <c:v>13</c:v>
                </c:pt>
              </c:numCache>
            </c:numRef>
          </c:xVal>
          <c:yVal>
            <c:numRef>
              <c:f>RockEval!$K$4:$K$149</c:f>
              <c:numCache>
                <c:formatCode>General</c:formatCode>
                <c:ptCount val="146"/>
                <c:pt idx="0">
                  <c:v>7</c:v>
                </c:pt>
                <c:pt idx="1">
                  <c:v>22</c:v>
                </c:pt>
                <c:pt idx="2">
                  <c:v>11</c:v>
                </c:pt>
                <c:pt idx="3">
                  <c:v>10</c:v>
                </c:pt>
                <c:pt idx="4">
                  <c:v>13</c:v>
                </c:pt>
                <c:pt idx="5">
                  <c:v>18</c:v>
                </c:pt>
                <c:pt idx="6">
                  <c:v>11</c:v>
                </c:pt>
                <c:pt idx="7">
                  <c:v>27</c:v>
                </c:pt>
                <c:pt idx="8">
                  <c:v>17</c:v>
                </c:pt>
                <c:pt idx="9">
                  <c:v>33</c:v>
                </c:pt>
                <c:pt idx="10">
                  <c:v>26</c:v>
                </c:pt>
                <c:pt idx="11">
                  <c:v>40</c:v>
                </c:pt>
                <c:pt idx="12">
                  <c:v>40</c:v>
                </c:pt>
                <c:pt idx="13">
                  <c:v>36</c:v>
                </c:pt>
                <c:pt idx="14">
                  <c:v>20</c:v>
                </c:pt>
                <c:pt idx="15">
                  <c:v>6</c:v>
                </c:pt>
                <c:pt idx="16">
                  <c:v>17</c:v>
                </c:pt>
                <c:pt idx="17">
                  <c:v>33</c:v>
                </c:pt>
                <c:pt idx="18">
                  <c:v>6</c:v>
                </c:pt>
                <c:pt idx="19">
                  <c:v>19</c:v>
                </c:pt>
                <c:pt idx="20">
                  <c:v>9</c:v>
                </c:pt>
                <c:pt idx="21">
                  <c:v>17</c:v>
                </c:pt>
                <c:pt idx="22">
                  <c:v>23</c:v>
                </c:pt>
                <c:pt idx="23">
                  <c:v>31</c:v>
                </c:pt>
                <c:pt idx="24">
                  <c:v>5</c:v>
                </c:pt>
                <c:pt idx="25">
                  <c:v>29</c:v>
                </c:pt>
                <c:pt idx="26">
                  <c:v>16</c:v>
                </c:pt>
                <c:pt idx="27">
                  <c:v>63</c:v>
                </c:pt>
                <c:pt idx="28">
                  <c:v>8</c:v>
                </c:pt>
                <c:pt idx="29">
                  <c:v>19</c:v>
                </c:pt>
                <c:pt idx="30">
                  <c:v>9</c:v>
                </c:pt>
                <c:pt idx="31">
                  <c:v>7</c:v>
                </c:pt>
                <c:pt idx="32">
                  <c:v>8</c:v>
                </c:pt>
                <c:pt idx="33">
                  <c:v>18</c:v>
                </c:pt>
                <c:pt idx="34">
                  <c:v>3</c:v>
                </c:pt>
                <c:pt idx="35">
                  <c:v>8</c:v>
                </c:pt>
                <c:pt idx="36">
                  <c:v>11</c:v>
                </c:pt>
                <c:pt idx="37">
                  <c:v>7</c:v>
                </c:pt>
                <c:pt idx="38">
                  <c:v>14</c:v>
                </c:pt>
                <c:pt idx="39">
                  <c:v>1</c:v>
                </c:pt>
                <c:pt idx="40">
                  <c:v>4</c:v>
                </c:pt>
                <c:pt idx="41">
                  <c:v>2</c:v>
                </c:pt>
                <c:pt idx="42">
                  <c:v>4</c:v>
                </c:pt>
                <c:pt idx="43">
                  <c:v>6</c:v>
                </c:pt>
                <c:pt idx="44">
                  <c:v>5</c:v>
                </c:pt>
                <c:pt idx="45">
                  <c:v>5</c:v>
                </c:pt>
                <c:pt idx="46">
                  <c:v>4</c:v>
                </c:pt>
                <c:pt idx="47">
                  <c:v>3</c:v>
                </c:pt>
                <c:pt idx="48">
                  <c:v>5</c:v>
                </c:pt>
                <c:pt idx="49">
                  <c:v>6</c:v>
                </c:pt>
                <c:pt idx="50">
                  <c:v>9</c:v>
                </c:pt>
                <c:pt idx="51">
                  <c:v>9</c:v>
                </c:pt>
                <c:pt idx="52">
                  <c:v>16</c:v>
                </c:pt>
                <c:pt idx="53">
                  <c:v>8</c:v>
                </c:pt>
                <c:pt idx="54">
                  <c:v>5</c:v>
                </c:pt>
                <c:pt idx="55">
                  <c:v>7</c:v>
                </c:pt>
                <c:pt idx="56">
                  <c:v>6</c:v>
                </c:pt>
                <c:pt idx="57">
                  <c:v>3</c:v>
                </c:pt>
                <c:pt idx="58">
                  <c:v>2</c:v>
                </c:pt>
                <c:pt idx="59">
                  <c:v>5</c:v>
                </c:pt>
                <c:pt idx="60">
                  <c:v>7</c:v>
                </c:pt>
                <c:pt idx="61">
                  <c:v>7</c:v>
                </c:pt>
                <c:pt idx="62">
                  <c:v>6</c:v>
                </c:pt>
                <c:pt idx="63">
                  <c:v>13</c:v>
                </c:pt>
                <c:pt idx="64">
                  <c:v>7</c:v>
                </c:pt>
                <c:pt idx="65">
                  <c:v>6</c:v>
                </c:pt>
                <c:pt idx="66">
                  <c:v>6</c:v>
                </c:pt>
                <c:pt idx="67">
                  <c:v>4</c:v>
                </c:pt>
                <c:pt idx="68">
                  <c:v>12</c:v>
                </c:pt>
                <c:pt idx="69">
                  <c:v>2</c:v>
                </c:pt>
                <c:pt idx="70">
                  <c:v>3</c:v>
                </c:pt>
                <c:pt idx="71">
                  <c:v>6</c:v>
                </c:pt>
                <c:pt idx="72">
                  <c:v>12</c:v>
                </c:pt>
                <c:pt idx="73">
                  <c:v>10</c:v>
                </c:pt>
                <c:pt idx="74">
                  <c:v>2</c:v>
                </c:pt>
                <c:pt idx="75">
                  <c:v>4</c:v>
                </c:pt>
                <c:pt idx="76">
                  <c:v>4</c:v>
                </c:pt>
                <c:pt idx="77">
                  <c:v>5</c:v>
                </c:pt>
                <c:pt idx="78">
                  <c:v>3</c:v>
                </c:pt>
                <c:pt idx="79">
                  <c:v>4</c:v>
                </c:pt>
                <c:pt idx="80">
                  <c:v>16</c:v>
                </c:pt>
                <c:pt idx="81">
                  <c:v>9</c:v>
                </c:pt>
                <c:pt idx="82">
                  <c:v>8</c:v>
                </c:pt>
                <c:pt idx="83">
                  <c:v>3</c:v>
                </c:pt>
                <c:pt idx="84">
                  <c:v>2</c:v>
                </c:pt>
                <c:pt idx="85">
                  <c:v>3</c:v>
                </c:pt>
                <c:pt idx="86">
                  <c:v>6</c:v>
                </c:pt>
                <c:pt idx="87">
                  <c:v>3</c:v>
                </c:pt>
                <c:pt idx="88">
                  <c:v>6</c:v>
                </c:pt>
                <c:pt idx="89">
                  <c:v>5</c:v>
                </c:pt>
                <c:pt idx="90">
                  <c:v>2</c:v>
                </c:pt>
                <c:pt idx="91">
                  <c:v>2</c:v>
                </c:pt>
                <c:pt idx="92">
                  <c:v>5</c:v>
                </c:pt>
                <c:pt idx="93">
                  <c:v>3</c:v>
                </c:pt>
                <c:pt idx="94">
                  <c:v>3</c:v>
                </c:pt>
                <c:pt idx="95">
                  <c:v>3</c:v>
                </c:pt>
                <c:pt idx="96">
                  <c:v>2</c:v>
                </c:pt>
                <c:pt idx="97">
                  <c:v>5</c:v>
                </c:pt>
                <c:pt idx="98">
                  <c:v>3</c:v>
                </c:pt>
                <c:pt idx="99">
                  <c:v>3</c:v>
                </c:pt>
                <c:pt idx="100">
                  <c:v>40</c:v>
                </c:pt>
                <c:pt idx="101">
                  <c:v>3</c:v>
                </c:pt>
                <c:pt idx="102">
                  <c:v>4</c:v>
                </c:pt>
                <c:pt idx="103">
                  <c:v>29</c:v>
                </c:pt>
                <c:pt idx="104">
                  <c:v>3</c:v>
                </c:pt>
                <c:pt idx="105">
                  <c:v>4</c:v>
                </c:pt>
                <c:pt idx="106">
                  <c:v>3</c:v>
                </c:pt>
                <c:pt idx="107">
                  <c:v>18</c:v>
                </c:pt>
                <c:pt idx="108">
                  <c:v>5</c:v>
                </c:pt>
                <c:pt idx="109">
                  <c:v>3</c:v>
                </c:pt>
                <c:pt idx="110">
                  <c:v>4</c:v>
                </c:pt>
                <c:pt idx="111">
                  <c:v>8</c:v>
                </c:pt>
                <c:pt idx="112">
                  <c:v>7</c:v>
                </c:pt>
                <c:pt idx="113">
                  <c:v>9</c:v>
                </c:pt>
                <c:pt idx="114">
                  <c:v>13</c:v>
                </c:pt>
                <c:pt idx="115">
                  <c:v>7</c:v>
                </c:pt>
                <c:pt idx="116">
                  <c:v>5</c:v>
                </c:pt>
                <c:pt idx="117">
                  <c:v>14</c:v>
                </c:pt>
                <c:pt idx="118">
                  <c:v>7</c:v>
                </c:pt>
                <c:pt idx="119">
                  <c:v>5</c:v>
                </c:pt>
                <c:pt idx="120">
                  <c:v>4</c:v>
                </c:pt>
                <c:pt idx="121">
                  <c:v>2</c:v>
                </c:pt>
                <c:pt idx="122">
                  <c:v>13</c:v>
                </c:pt>
                <c:pt idx="123">
                  <c:v>13</c:v>
                </c:pt>
                <c:pt idx="124">
                  <c:v>4</c:v>
                </c:pt>
                <c:pt idx="125">
                  <c:v>6</c:v>
                </c:pt>
                <c:pt idx="126">
                  <c:v>10</c:v>
                </c:pt>
                <c:pt idx="127">
                  <c:v>6</c:v>
                </c:pt>
                <c:pt idx="128">
                  <c:v>2</c:v>
                </c:pt>
                <c:pt idx="129">
                  <c:v>9</c:v>
                </c:pt>
                <c:pt idx="130">
                  <c:v>5</c:v>
                </c:pt>
                <c:pt idx="131">
                  <c:v>8</c:v>
                </c:pt>
                <c:pt idx="132">
                  <c:v>6</c:v>
                </c:pt>
                <c:pt idx="133">
                  <c:v>2</c:v>
                </c:pt>
                <c:pt idx="134">
                  <c:v>14</c:v>
                </c:pt>
                <c:pt idx="135">
                  <c:v>10</c:v>
                </c:pt>
                <c:pt idx="136">
                  <c:v>4</c:v>
                </c:pt>
                <c:pt idx="137">
                  <c:v>8</c:v>
                </c:pt>
                <c:pt idx="138">
                  <c:v>6</c:v>
                </c:pt>
                <c:pt idx="139">
                  <c:v>3</c:v>
                </c:pt>
                <c:pt idx="140">
                  <c:v>12</c:v>
                </c:pt>
                <c:pt idx="141">
                  <c:v>7</c:v>
                </c:pt>
                <c:pt idx="142">
                  <c:v>4</c:v>
                </c:pt>
                <c:pt idx="143">
                  <c:v>4</c:v>
                </c:pt>
                <c:pt idx="144">
                  <c:v>6</c:v>
                </c:pt>
              </c:numCache>
            </c:numRef>
          </c:yVal>
          <c:smooth val="0"/>
          <c:extLst>
            <c:ext xmlns:c16="http://schemas.microsoft.com/office/drawing/2014/chart" uri="{C3380CC4-5D6E-409C-BE32-E72D297353CC}">
              <c16:uniqueId val="{00000000-A5C9-964E-924F-F72245D4E338}"/>
            </c:ext>
          </c:extLst>
        </c:ser>
        <c:dLbls>
          <c:showLegendKey val="0"/>
          <c:showVal val="0"/>
          <c:showCatName val="0"/>
          <c:showSerName val="0"/>
          <c:showPercent val="0"/>
          <c:showBubbleSize val="0"/>
        </c:dLbls>
        <c:axId val="1336228192"/>
        <c:axId val="1"/>
      </c:scatterChart>
      <c:valAx>
        <c:axId val="13362281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Oxygen</a:t>
                </a:r>
                <a:r>
                  <a:rPr lang="en-US" baseline="0"/>
                  <a:t> Index ( mgCO2/ g TOC)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000000"/>
                </a:solidFill>
                <a:latin typeface="Calibri"/>
                <a:ea typeface="Calibri"/>
                <a:cs typeface="Calibri"/>
              </a:defRPr>
            </a:pPr>
            <a:endParaRPr lang="en-AE"/>
          </a:p>
        </c:txPr>
        <c:crossAx val="1"/>
        <c:crosses val="autoZero"/>
        <c:crossBetween val="midCat"/>
      </c:val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Hydrogen</a:t>
                </a:r>
                <a:r>
                  <a:rPr lang="en-US" baseline="0"/>
                  <a:t> Index (mg HC/ g TOC)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AE"/>
          </a:p>
        </c:txPr>
        <c:crossAx val="1336228192"/>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t>Tmax</a:t>
            </a:r>
            <a:r>
              <a:rPr lang="en-US" baseline="0"/>
              <a:t> for Chacay Melehue</a:t>
            </a:r>
            <a:endParaRPr lang="en-US"/>
          </a:p>
        </c:rich>
      </c:tx>
      <c:overlay val="0"/>
      <c:spPr>
        <a:noFill/>
        <a:ln>
          <a:noFill/>
        </a:ln>
        <a:effectLst/>
      </c:spPr>
    </c:title>
    <c:autoTitleDeleted val="0"/>
    <c:plotArea>
      <c:layout>
        <c:manualLayout>
          <c:layoutTarget val="inner"/>
          <c:xMode val="edge"/>
          <c:yMode val="edge"/>
          <c:x val="0.16902615471420401"/>
          <c:y val="7.4463259330755746E-2"/>
          <c:w val="0.80601906270664236"/>
          <c:h val="0.7908856780112115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movingAvg"/>
            <c:period val="2"/>
            <c:dispRSqr val="0"/>
            <c:dispEq val="0"/>
          </c:trendline>
          <c:xVal>
            <c:numRef>
              <c:f>RockEval!$J$5:$J$149</c:f>
              <c:numCache>
                <c:formatCode>General</c:formatCode>
                <c:ptCount val="145"/>
                <c:pt idx="0">
                  <c:v>412</c:v>
                </c:pt>
                <c:pt idx="1">
                  <c:v>336</c:v>
                </c:pt>
                <c:pt idx="2">
                  <c:v>370</c:v>
                </c:pt>
                <c:pt idx="3">
                  <c:v>373</c:v>
                </c:pt>
                <c:pt idx="4">
                  <c:v>436</c:v>
                </c:pt>
                <c:pt idx="5">
                  <c:v>394</c:v>
                </c:pt>
                <c:pt idx="6">
                  <c:v>401</c:v>
                </c:pt>
                <c:pt idx="7">
                  <c:v>353</c:v>
                </c:pt>
                <c:pt idx="8">
                  <c:v>400</c:v>
                </c:pt>
                <c:pt idx="9">
                  <c:v>416</c:v>
                </c:pt>
                <c:pt idx="10">
                  <c:v>461</c:v>
                </c:pt>
                <c:pt idx="11">
                  <c:v>610</c:v>
                </c:pt>
                <c:pt idx="12">
                  <c:v>338</c:v>
                </c:pt>
                <c:pt idx="13">
                  <c:v>405</c:v>
                </c:pt>
                <c:pt idx="14">
                  <c:v>400</c:v>
                </c:pt>
                <c:pt idx="15">
                  <c:v>456</c:v>
                </c:pt>
                <c:pt idx="16">
                  <c:v>487</c:v>
                </c:pt>
                <c:pt idx="17">
                  <c:v>414</c:v>
                </c:pt>
                <c:pt idx="18">
                  <c:v>362</c:v>
                </c:pt>
                <c:pt idx="19">
                  <c:v>346</c:v>
                </c:pt>
                <c:pt idx="20">
                  <c:v>479</c:v>
                </c:pt>
                <c:pt idx="21">
                  <c:v>452</c:v>
                </c:pt>
                <c:pt idx="22">
                  <c:v>494</c:v>
                </c:pt>
                <c:pt idx="23">
                  <c:v>342</c:v>
                </c:pt>
                <c:pt idx="24">
                  <c:v>364</c:v>
                </c:pt>
                <c:pt idx="25">
                  <c:v>485</c:v>
                </c:pt>
                <c:pt idx="26">
                  <c:v>480</c:v>
                </c:pt>
                <c:pt idx="27">
                  <c:v>381</c:v>
                </c:pt>
                <c:pt idx="28">
                  <c:v>406</c:v>
                </c:pt>
                <c:pt idx="29">
                  <c:v>430</c:v>
                </c:pt>
                <c:pt idx="30">
                  <c:v>491</c:v>
                </c:pt>
                <c:pt idx="31">
                  <c:v>500</c:v>
                </c:pt>
                <c:pt idx="32">
                  <c:v>485</c:v>
                </c:pt>
                <c:pt idx="33">
                  <c:v>431</c:v>
                </c:pt>
                <c:pt idx="34">
                  <c:v>351</c:v>
                </c:pt>
                <c:pt idx="35">
                  <c:v>407</c:v>
                </c:pt>
                <c:pt idx="36">
                  <c:v>328</c:v>
                </c:pt>
                <c:pt idx="37">
                  <c:v>454</c:v>
                </c:pt>
                <c:pt idx="38">
                  <c:v>445</c:v>
                </c:pt>
                <c:pt idx="39">
                  <c:v>483</c:v>
                </c:pt>
                <c:pt idx="40">
                  <c:v>463</c:v>
                </c:pt>
                <c:pt idx="41">
                  <c:v>341</c:v>
                </c:pt>
                <c:pt idx="42">
                  <c:v>315</c:v>
                </c:pt>
                <c:pt idx="43">
                  <c:v>342</c:v>
                </c:pt>
                <c:pt idx="44">
                  <c:v>471</c:v>
                </c:pt>
                <c:pt idx="45">
                  <c:v>349</c:v>
                </c:pt>
                <c:pt idx="46">
                  <c:v>468</c:v>
                </c:pt>
                <c:pt idx="47">
                  <c:v>465</c:v>
                </c:pt>
                <c:pt idx="48">
                  <c:v>470</c:v>
                </c:pt>
                <c:pt idx="49">
                  <c:v>468</c:v>
                </c:pt>
                <c:pt idx="50">
                  <c:v>339</c:v>
                </c:pt>
                <c:pt idx="51">
                  <c:v>351</c:v>
                </c:pt>
                <c:pt idx="52">
                  <c:v>455</c:v>
                </c:pt>
                <c:pt idx="53">
                  <c:v>306</c:v>
                </c:pt>
                <c:pt idx="54">
                  <c:v>347</c:v>
                </c:pt>
                <c:pt idx="55">
                  <c:v>320</c:v>
                </c:pt>
                <c:pt idx="56">
                  <c:v>356</c:v>
                </c:pt>
                <c:pt idx="57">
                  <c:v>289</c:v>
                </c:pt>
                <c:pt idx="58">
                  <c:v>304</c:v>
                </c:pt>
                <c:pt idx="59">
                  <c:v>352</c:v>
                </c:pt>
                <c:pt idx="60">
                  <c:v>476</c:v>
                </c:pt>
                <c:pt idx="61">
                  <c:v>467</c:v>
                </c:pt>
                <c:pt idx="62">
                  <c:v>492</c:v>
                </c:pt>
                <c:pt idx="63">
                  <c:v>300</c:v>
                </c:pt>
                <c:pt idx="64">
                  <c:v>507</c:v>
                </c:pt>
                <c:pt idx="65">
                  <c:v>300</c:v>
                </c:pt>
                <c:pt idx="66">
                  <c:v>306</c:v>
                </c:pt>
                <c:pt idx="67">
                  <c:v>440</c:v>
                </c:pt>
                <c:pt idx="68">
                  <c:v>356</c:v>
                </c:pt>
                <c:pt idx="69">
                  <c:v>461</c:v>
                </c:pt>
                <c:pt idx="70">
                  <c:v>339</c:v>
                </c:pt>
                <c:pt idx="71">
                  <c:v>489</c:v>
                </c:pt>
                <c:pt idx="72">
                  <c:v>490</c:v>
                </c:pt>
                <c:pt idx="73">
                  <c:v>313</c:v>
                </c:pt>
                <c:pt idx="74">
                  <c:v>332</c:v>
                </c:pt>
                <c:pt idx="75">
                  <c:v>299</c:v>
                </c:pt>
                <c:pt idx="76">
                  <c:v>305</c:v>
                </c:pt>
                <c:pt idx="77">
                  <c:v>308</c:v>
                </c:pt>
                <c:pt idx="78">
                  <c:v>340</c:v>
                </c:pt>
                <c:pt idx="79">
                  <c:v>478</c:v>
                </c:pt>
                <c:pt idx="80">
                  <c:v>315</c:v>
                </c:pt>
                <c:pt idx="81">
                  <c:v>500</c:v>
                </c:pt>
                <c:pt idx="82">
                  <c:v>507</c:v>
                </c:pt>
                <c:pt idx="83">
                  <c:v>338</c:v>
                </c:pt>
                <c:pt idx="84">
                  <c:v>296</c:v>
                </c:pt>
                <c:pt idx="85">
                  <c:v>319</c:v>
                </c:pt>
                <c:pt idx="86">
                  <c:v>502</c:v>
                </c:pt>
                <c:pt idx="87">
                  <c:v>306</c:v>
                </c:pt>
                <c:pt idx="88">
                  <c:v>302</c:v>
                </c:pt>
                <c:pt idx="89">
                  <c:v>263</c:v>
                </c:pt>
                <c:pt idx="90">
                  <c:v>343</c:v>
                </c:pt>
                <c:pt idx="91">
                  <c:v>474</c:v>
                </c:pt>
                <c:pt idx="92">
                  <c:v>444</c:v>
                </c:pt>
                <c:pt idx="93">
                  <c:v>357</c:v>
                </c:pt>
                <c:pt idx="94">
                  <c:v>357</c:v>
                </c:pt>
                <c:pt idx="95">
                  <c:v>500</c:v>
                </c:pt>
                <c:pt idx="96">
                  <c:v>482</c:v>
                </c:pt>
                <c:pt idx="97">
                  <c:v>351</c:v>
                </c:pt>
                <c:pt idx="98">
                  <c:v>362</c:v>
                </c:pt>
                <c:pt idx="99">
                  <c:v>362</c:v>
                </c:pt>
                <c:pt idx="100">
                  <c:v>434</c:v>
                </c:pt>
                <c:pt idx="101">
                  <c:v>423</c:v>
                </c:pt>
                <c:pt idx="102">
                  <c:v>371</c:v>
                </c:pt>
                <c:pt idx="103">
                  <c:v>427</c:v>
                </c:pt>
                <c:pt idx="104">
                  <c:v>481</c:v>
                </c:pt>
                <c:pt idx="105">
                  <c:v>425</c:v>
                </c:pt>
                <c:pt idx="106">
                  <c:v>339</c:v>
                </c:pt>
                <c:pt idx="107">
                  <c:v>489</c:v>
                </c:pt>
                <c:pt idx="108">
                  <c:v>295</c:v>
                </c:pt>
                <c:pt idx="109">
                  <c:v>352</c:v>
                </c:pt>
                <c:pt idx="110">
                  <c:v>478</c:v>
                </c:pt>
                <c:pt idx="111">
                  <c:v>521</c:v>
                </c:pt>
                <c:pt idx="112">
                  <c:v>502</c:v>
                </c:pt>
                <c:pt idx="113">
                  <c:v>479</c:v>
                </c:pt>
                <c:pt idx="114">
                  <c:v>490</c:v>
                </c:pt>
                <c:pt idx="115">
                  <c:v>506</c:v>
                </c:pt>
                <c:pt idx="116">
                  <c:v>499</c:v>
                </c:pt>
                <c:pt idx="117">
                  <c:v>515</c:v>
                </c:pt>
                <c:pt idx="118">
                  <c:v>508</c:v>
                </c:pt>
                <c:pt idx="119">
                  <c:v>488</c:v>
                </c:pt>
                <c:pt idx="120">
                  <c:v>511</c:v>
                </c:pt>
                <c:pt idx="121">
                  <c:v>319</c:v>
                </c:pt>
                <c:pt idx="122">
                  <c:v>347</c:v>
                </c:pt>
                <c:pt idx="123">
                  <c:v>496</c:v>
                </c:pt>
                <c:pt idx="124">
                  <c:v>363</c:v>
                </c:pt>
                <c:pt idx="125">
                  <c:v>509</c:v>
                </c:pt>
                <c:pt idx="126">
                  <c:v>295</c:v>
                </c:pt>
                <c:pt idx="127">
                  <c:v>325</c:v>
                </c:pt>
                <c:pt idx="128">
                  <c:v>338</c:v>
                </c:pt>
                <c:pt idx="129">
                  <c:v>338</c:v>
                </c:pt>
                <c:pt idx="130">
                  <c:v>356</c:v>
                </c:pt>
                <c:pt idx="131">
                  <c:v>302</c:v>
                </c:pt>
                <c:pt idx="132">
                  <c:v>532</c:v>
                </c:pt>
                <c:pt idx="133">
                  <c:v>485</c:v>
                </c:pt>
                <c:pt idx="134">
                  <c:v>296</c:v>
                </c:pt>
                <c:pt idx="135">
                  <c:v>505</c:v>
                </c:pt>
                <c:pt idx="136">
                  <c:v>508</c:v>
                </c:pt>
                <c:pt idx="137">
                  <c:v>317</c:v>
                </c:pt>
                <c:pt idx="138">
                  <c:v>340</c:v>
                </c:pt>
                <c:pt idx="139">
                  <c:v>303</c:v>
                </c:pt>
                <c:pt idx="140">
                  <c:v>301</c:v>
                </c:pt>
                <c:pt idx="141">
                  <c:v>311</c:v>
                </c:pt>
                <c:pt idx="142">
                  <c:v>303</c:v>
                </c:pt>
                <c:pt idx="143">
                  <c:v>304</c:v>
                </c:pt>
              </c:numCache>
            </c:numRef>
          </c:xVal>
          <c:yVal>
            <c:numRef>
              <c:f>RockEval!$B$5:$B$149</c:f>
              <c:numCache>
                <c:formatCode>General</c:formatCode>
                <c:ptCount val="145"/>
                <c:pt idx="0">
                  <c:v>0.5</c:v>
                </c:pt>
                <c:pt idx="1">
                  <c:v>1</c:v>
                </c:pt>
                <c:pt idx="2">
                  <c:v>2.2400000000000002</c:v>
                </c:pt>
                <c:pt idx="3">
                  <c:v>2.42</c:v>
                </c:pt>
                <c:pt idx="4">
                  <c:v>2.87</c:v>
                </c:pt>
                <c:pt idx="5">
                  <c:v>3.12</c:v>
                </c:pt>
                <c:pt idx="6">
                  <c:v>3.37</c:v>
                </c:pt>
                <c:pt idx="7">
                  <c:v>4</c:v>
                </c:pt>
                <c:pt idx="8">
                  <c:v>4.3899999999999997</c:v>
                </c:pt>
                <c:pt idx="9">
                  <c:v>5</c:v>
                </c:pt>
                <c:pt idx="10">
                  <c:v>5.3</c:v>
                </c:pt>
                <c:pt idx="11">
                  <c:v>5.46</c:v>
                </c:pt>
                <c:pt idx="12">
                  <c:v>5.56</c:v>
                </c:pt>
                <c:pt idx="13">
                  <c:v>5.89</c:v>
                </c:pt>
                <c:pt idx="14">
                  <c:v>6</c:v>
                </c:pt>
                <c:pt idx="15">
                  <c:v>6.29</c:v>
                </c:pt>
                <c:pt idx="16">
                  <c:v>6.29</c:v>
                </c:pt>
                <c:pt idx="17">
                  <c:v>7</c:v>
                </c:pt>
                <c:pt idx="18">
                  <c:v>7.77</c:v>
                </c:pt>
                <c:pt idx="19">
                  <c:v>8</c:v>
                </c:pt>
                <c:pt idx="20">
                  <c:v>8.1</c:v>
                </c:pt>
                <c:pt idx="21">
                  <c:v>8.36</c:v>
                </c:pt>
                <c:pt idx="22">
                  <c:v>8.56</c:v>
                </c:pt>
                <c:pt idx="23">
                  <c:v>8.7799999999999994</c:v>
                </c:pt>
                <c:pt idx="24">
                  <c:v>9</c:v>
                </c:pt>
                <c:pt idx="25">
                  <c:v>9.41</c:v>
                </c:pt>
                <c:pt idx="26">
                  <c:v>9.5399999999999991</c:v>
                </c:pt>
                <c:pt idx="27">
                  <c:v>9.75</c:v>
                </c:pt>
                <c:pt idx="28">
                  <c:v>10</c:v>
                </c:pt>
                <c:pt idx="29">
                  <c:v>10.41</c:v>
                </c:pt>
                <c:pt idx="30">
                  <c:v>10.52</c:v>
                </c:pt>
                <c:pt idx="31">
                  <c:v>10.72</c:v>
                </c:pt>
                <c:pt idx="32">
                  <c:v>10.79</c:v>
                </c:pt>
                <c:pt idx="33">
                  <c:v>11</c:v>
                </c:pt>
                <c:pt idx="34">
                  <c:v>11.3</c:v>
                </c:pt>
                <c:pt idx="35">
                  <c:v>11.94</c:v>
                </c:pt>
                <c:pt idx="36">
                  <c:v>12</c:v>
                </c:pt>
                <c:pt idx="37">
                  <c:v>12.14</c:v>
                </c:pt>
                <c:pt idx="38">
                  <c:v>12.52</c:v>
                </c:pt>
                <c:pt idx="39">
                  <c:v>12.72</c:v>
                </c:pt>
                <c:pt idx="40">
                  <c:v>12.92</c:v>
                </c:pt>
                <c:pt idx="41">
                  <c:v>13.02</c:v>
                </c:pt>
                <c:pt idx="42">
                  <c:v>13.17</c:v>
                </c:pt>
                <c:pt idx="43">
                  <c:v>13.22</c:v>
                </c:pt>
                <c:pt idx="44">
                  <c:v>13.5</c:v>
                </c:pt>
                <c:pt idx="45">
                  <c:v>13.75</c:v>
                </c:pt>
                <c:pt idx="46">
                  <c:v>13.75</c:v>
                </c:pt>
                <c:pt idx="47">
                  <c:v>14.05</c:v>
                </c:pt>
                <c:pt idx="48">
                  <c:v>14.25</c:v>
                </c:pt>
                <c:pt idx="49">
                  <c:v>14.84</c:v>
                </c:pt>
                <c:pt idx="50">
                  <c:v>14.95</c:v>
                </c:pt>
                <c:pt idx="51">
                  <c:v>15</c:v>
                </c:pt>
                <c:pt idx="52">
                  <c:v>15.13</c:v>
                </c:pt>
                <c:pt idx="53">
                  <c:v>15.25</c:v>
                </c:pt>
                <c:pt idx="54">
                  <c:v>15.45</c:v>
                </c:pt>
                <c:pt idx="55">
                  <c:v>15.56</c:v>
                </c:pt>
                <c:pt idx="56">
                  <c:v>15.66</c:v>
                </c:pt>
                <c:pt idx="57">
                  <c:v>15.76</c:v>
                </c:pt>
                <c:pt idx="58">
                  <c:v>15.76</c:v>
                </c:pt>
                <c:pt idx="59">
                  <c:v>16</c:v>
                </c:pt>
                <c:pt idx="60">
                  <c:v>16.059999999999999</c:v>
                </c:pt>
                <c:pt idx="61">
                  <c:v>16.16</c:v>
                </c:pt>
                <c:pt idx="62">
                  <c:v>16.36</c:v>
                </c:pt>
                <c:pt idx="63">
                  <c:v>16.36</c:v>
                </c:pt>
                <c:pt idx="64">
                  <c:v>16.690000000000001</c:v>
                </c:pt>
                <c:pt idx="65">
                  <c:v>16.760000000000002</c:v>
                </c:pt>
                <c:pt idx="66">
                  <c:v>16.86</c:v>
                </c:pt>
                <c:pt idx="67">
                  <c:v>17</c:v>
                </c:pt>
                <c:pt idx="68">
                  <c:v>17.13</c:v>
                </c:pt>
                <c:pt idx="69">
                  <c:v>17.36</c:v>
                </c:pt>
                <c:pt idx="70">
                  <c:v>17.54</c:v>
                </c:pt>
                <c:pt idx="71">
                  <c:v>17.62</c:v>
                </c:pt>
                <c:pt idx="72">
                  <c:v>17.82</c:v>
                </c:pt>
                <c:pt idx="73">
                  <c:v>17.920000000000002</c:v>
                </c:pt>
                <c:pt idx="74">
                  <c:v>18.079999999999998</c:v>
                </c:pt>
                <c:pt idx="75">
                  <c:v>18.28</c:v>
                </c:pt>
                <c:pt idx="76">
                  <c:v>18.32</c:v>
                </c:pt>
                <c:pt idx="77">
                  <c:v>18.52</c:v>
                </c:pt>
                <c:pt idx="78">
                  <c:v>18.86</c:v>
                </c:pt>
                <c:pt idx="79">
                  <c:v>19.059999999999999</c:v>
                </c:pt>
                <c:pt idx="80">
                  <c:v>19.260000000000002</c:v>
                </c:pt>
                <c:pt idx="81">
                  <c:v>19.38</c:v>
                </c:pt>
                <c:pt idx="82">
                  <c:v>19.66</c:v>
                </c:pt>
                <c:pt idx="83">
                  <c:v>19.88</c:v>
                </c:pt>
                <c:pt idx="84">
                  <c:v>20.12</c:v>
                </c:pt>
                <c:pt idx="85">
                  <c:v>20.36</c:v>
                </c:pt>
                <c:pt idx="86">
                  <c:v>20.49</c:v>
                </c:pt>
                <c:pt idx="87">
                  <c:v>20.9</c:v>
                </c:pt>
                <c:pt idx="88">
                  <c:v>21</c:v>
                </c:pt>
                <c:pt idx="89">
                  <c:v>21.26</c:v>
                </c:pt>
                <c:pt idx="90">
                  <c:v>21.46</c:v>
                </c:pt>
                <c:pt idx="91">
                  <c:v>21.83</c:v>
                </c:pt>
                <c:pt idx="92">
                  <c:v>22.04</c:v>
                </c:pt>
                <c:pt idx="93">
                  <c:v>22.14</c:v>
                </c:pt>
                <c:pt idx="94">
                  <c:v>22.24</c:v>
                </c:pt>
                <c:pt idx="95">
                  <c:v>22.34</c:v>
                </c:pt>
                <c:pt idx="96">
                  <c:v>22.46</c:v>
                </c:pt>
                <c:pt idx="97">
                  <c:v>22.5</c:v>
                </c:pt>
                <c:pt idx="98">
                  <c:v>22.71</c:v>
                </c:pt>
                <c:pt idx="99">
                  <c:v>22.85</c:v>
                </c:pt>
                <c:pt idx="100">
                  <c:v>22.89</c:v>
                </c:pt>
                <c:pt idx="101">
                  <c:v>23.09</c:v>
                </c:pt>
                <c:pt idx="102">
                  <c:v>23.26</c:v>
                </c:pt>
                <c:pt idx="103">
                  <c:v>23.29</c:v>
                </c:pt>
                <c:pt idx="104">
                  <c:v>23.46</c:v>
                </c:pt>
                <c:pt idx="105">
                  <c:v>23.49</c:v>
                </c:pt>
                <c:pt idx="106">
                  <c:v>23.66</c:v>
                </c:pt>
                <c:pt idx="107">
                  <c:v>23.86</c:v>
                </c:pt>
                <c:pt idx="108">
                  <c:v>24.37</c:v>
                </c:pt>
                <c:pt idx="109">
                  <c:v>26.22</c:v>
                </c:pt>
                <c:pt idx="110">
                  <c:v>27.22</c:v>
                </c:pt>
                <c:pt idx="111">
                  <c:v>27.46</c:v>
                </c:pt>
                <c:pt idx="112">
                  <c:v>27.66</c:v>
                </c:pt>
                <c:pt idx="113">
                  <c:v>27.86</c:v>
                </c:pt>
                <c:pt idx="114">
                  <c:v>28.06</c:v>
                </c:pt>
                <c:pt idx="115">
                  <c:v>28.46</c:v>
                </c:pt>
                <c:pt idx="116">
                  <c:v>28.66</c:v>
                </c:pt>
                <c:pt idx="117">
                  <c:v>29.06</c:v>
                </c:pt>
                <c:pt idx="118">
                  <c:v>29.41</c:v>
                </c:pt>
                <c:pt idx="119">
                  <c:v>29.46</c:v>
                </c:pt>
                <c:pt idx="120">
                  <c:v>30.01</c:v>
                </c:pt>
                <c:pt idx="121">
                  <c:v>33.049999999999997</c:v>
                </c:pt>
                <c:pt idx="122">
                  <c:v>33.97</c:v>
                </c:pt>
                <c:pt idx="123">
                  <c:v>34.04</c:v>
                </c:pt>
                <c:pt idx="124">
                  <c:v>34.44</c:v>
                </c:pt>
                <c:pt idx="125">
                  <c:v>35.24</c:v>
                </c:pt>
                <c:pt idx="126">
                  <c:v>35.44</c:v>
                </c:pt>
                <c:pt idx="127">
                  <c:v>36.04</c:v>
                </c:pt>
                <c:pt idx="128">
                  <c:v>36.24</c:v>
                </c:pt>
                <c:pt idx="129">
                  <c:v>36.64</c:v>
                </c:pt>
                <c:pt idx="130">
                  <c:v>36.64</c:v>
                </c:pt>
                <c:pt idx="131">
                  <c:v>36.840000000000003</c:v>
                </c:pt>
                <c:pt idx="132">
                  <c:v>37.090000000000003</c:v>
                </c:pt>
                <c:pt idx="133">
                  <c:v>37.44</c:v>
                </c:pt>
                <c:pt idx="134">
                  <c:v>37.69</c:v>
                </c:pt>
                <c:pt idx="135">
                  <c:v>38.090000000000003</c:v>
                </c:pt>
                <c:pt idx="136">
                  <c:v>38.24</c:v>
                </c:pt>
                <c:pt idx="137">
                  <c:v>38.64</c:v>
                </c:pt>
                <c:pt idx="138">
                  <c:v>38.840000000000003</c:v>
                </c:pt>
                <c:pt idx="139">
                  <c:v>39.090000000000003</c:v>
                </c:pt>
                <c:pt idx="140">
                  <c:v>39.64</c:v>
                </c:pt>
                <c:pt idx="141">
                  <c:v>39.89</c:v>
                </c:pt>
                <c:pt idx="142">
                  <c:v>40.24</c:v>
                </c:pt>
                <c:pt idx="143">
                  <c:v>40.44</c:v>
                </c:pt>
              </c:numCache>
            </c:numRef>
          </c:yVal>
          <c:smooth val="0"/>
          <c:extLst>
            <c:ext xmlns:c16="http://schemas.microsoft.com/office/drawing/2014/chart" uri="{C3380CC4-5D6E-409C-BE32-E72D297353CC}">
              <c16:uniqueId val="{00000001-9229-A84E-8AE9-B2ED43580731}"/>
            </c:ext>
          </c:extLst>
        </c:ser>
        <c:dLbls>
          <c:showLegendKey val="0"/>
          <c:showVal val="0"/>
          <c:showCatName val="0"/>
          <c:showSerName val="0"/>
          <c:showPercent val="0"/>
          <c:showBubbleSize val="0"/>
        </c:dLbls>
        <c:axId val="1337698624"/>
        <c:axId val="1"/>
      </c:scatterChart>
      <c:valAx>
        <c:axId val="1337698624"/>
        <c:scaling>
          <c:orientation val="minMax"/>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Tmax</a:t>
                </a:r>
                <a:r>
                  <a:rPr lang="en-US" baseline="0"/>
                  <a:t> (C)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000000"/>
                </a:solidFill>
                <a:latin typeface="Calibri"/>
                <a:ea typeface="Calibri"/>
                <a:cs typeface="Calibri"/>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Height</a:t>
                </a:r>
                <a:r>
                  <a:rPr lang="en-US" baseline="0"/>
                  <a:t> (m)</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AE"/>
          </a:p>
        </c:txPr>
        <c:crossAx val="1337698624"/>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S2/S3</a:t>
            </a:r>
            <a:r>
              <a:rPr lang="en-US" baseline="0"/>
              <a:t> vs </a:t>
            </a:r>
            <a:r>
              <a:rPr lang="en-US"/>
              <a:t>Hydrogen Index</a:t>
            </a:r>
          </a:p>
        </c:rich>
      </c:tx>
      <c:overlay val="0"/>
      <c:spPr>
        <a:noFill/>
        <a:ln>
          <a:noFill/>
        </a:ln>
        <a:effectLst/>
      </c:spPr>
    </c:title>
    <c:autoTitleDeleted val="0"/>
    <c:plotArea>
      <c:layout/>
      <c:scatterChart>
        <c:scatterStyle val="lineMarker"/>
        <c:varyColors val="0"/>
        <c:ser>
          <c:idx val="0"/>
          <c:order val="0"/>
          <c:tx>
            <c:strRef>
              <c:f>RockEval!$K$1:$K$3</c:f>
              <c:strCache>
                <c:ptCount val="3"/>
                <c:pt idx="0">
                  <c:v>HI</c:v>
                </c:pt>
                <c:pt idx="1">
                  <c:v>mgHC/g TOC</c:v>
                </c:pt>
                <c:pt idx="2">
                  <c:v>Hydrogen Index</c:v>
                </c:pt>
              </c:strCache>
            </c:strRef>
          </c:tx>
          <c:spPr>
            <a:ln w="19050" cap="rnd">
              <a:noFill/>
              <a:round/>
            </a:ln>
            <a:effectLst/>
          </c:spPr>
          <c:marker>
            <c:symbol val="circle"/>
            <c:size val="5"/>
            <c:spPr>
              <a:solidFill>
                <a:schemeClr val="accent1"/>
              </a:solidFill>
              <a:ln w="9525">
                <a:solidFill>
                  <a:schemeClr val="accent1"/>
                </a:solidFill>
              </a:ln>
              <a:effectLst/>
            </c:spPr>
          </c:marker>
          <c:xVal>
            <c:numRef>
              <c:f>RockEval!$F$4:$F$148</c:f>
              <c:numCache>
                <c:formatCode>0.00</c:formatCode>
                <c:ptCount val="145"/>
                <c:pt idx="0">
                  <c:v>0.22222222222222224</c:v>
                </c:pt>
                <c:pt idx="1">
                  <c:v>0.15068493150684931</c:v>
                </c:pt>
                <c:pt idx="2">
                  <c:v>0.14814814814814814</c:v>
                </c:pt>
                <c:pt idx="3">
                  <c:v>0.33333333333333337</c:v>
                </c:pt>
                <c:pt idx="4">
                  <c:v>0.27272727272727271</c:v>
                </c:pt>
                <c:pt idx="5">
                  <c:v>0.08</c:v>
                </c:pt>
                <c:pt idx="6">
                  <c:v>7.1428571428571425E-2</c:v>
                </c:pt>
                <c:pt idx="7">
                  <c:v>0.10810810810810811</c:v>
                </c:pt>
                <c:pt idx="8">
                  <c:v>0.19047619047619049</c:v>
                </c:pt>
                <c:pt idx="9">
                  <c:v>8.5106382978723416E-2</c:v>
                </c:pt>
                <c:pt idx="10">
                  <c:v>0.1388888888888889</c:v>
                </c:pt>
                <c:pt idx="11">
                  <c:v>0.13793103448275865</c:v>
                </c:pt>
                <c:pt idx="12">
                  <c:v>0.20689655172413793</c:v>
                </c:pt>
                <c:pt idx="13">
                  <c:v>0.125</c:v>
                </c:pt>
                <c:pt idx="14">
                  <c:v>0.17307692307692307</c:v>
                </c:pt>
                <c:pt idx="15">
                  <c:v>0.16129032258064518</c:v>
                </c:pt>
                <c:pt idx="16">
                  <c:v>0.2857142857142857</c:v>
                </c:pt>
                <c:pt idx="17">
                  <c:v>0.16216216216216217</c:v>
                </c:pt>
                <c:pt idx="18">
                  <c:v>0.13043478260869565</c:v>
                </c:pt>
                <c:pt idx="19">
                  <c:v>0.17241379310344829</c:v>
                </c:pt>
                <c:pt idx="20">
                  <c:v>7.2727272727272724E-2</c:v>
                </c:pt>
                <c:pt idx="21">
                  <c:v>0.2</c:v>
                </c:pt>
                <c:pt idx="22">
                  <c:v>0.23809523809523811</c:v>
                </c:pt>
                <c:pt idx="23">
                  <c:v>0.27777777777777779</c:v>
                </c:pt>
                <c:pt idx="24">
                  <c:v>0.23076923076923075</c:v>
                </c:pt>
                <c:pt idx="25">
                  <c:v>0.23364485981308411</c:v>
                </c:pt>
                <c:pt idx="26">
                  <c:v>0.20689655172413793</c:v>
                </c:pt>
                <c:pt idx="27">
                  <c:v>0.42857142857142849</c:v>
                </c:pt>
                <c:pt idx="28">
                  <c:v>0.15384615384615385</c:v>
                </c:pt>
                <c:pt idx="29">
                  <c:v>9.7560975609756101E-2</c:v>
                </c:pt>
                <c:pt idx="30">
                  <c:v>0.1764705882352941</c:v>
                </c:pt>
                <c:pt idx="31">
                  <c:v>7.0422535211267609E-2</c:v>
                </c:pt>
                <c:pt idx="32">
                  <c:v>7.8947368421052627E-2</c:v>
                </c:pt>
                <c:pt idx="33">
                  <c:v>0.10937500000000001</c:v>
                </c:pt>
                <c:pt idx="34">
                  <c:v>6.0606060606060608E-2</c:v>
                </c:pt>
                <c:pt idx="35">
                  <c:v>0.1</c:v>
                </c:pt>
                <c:pt idx="36">
                  <c:v>0.19047619047619049</c:v>
                </c:pt>
                <c:pt idx="37">
                  <c:v>0.1388888888888889</c:v>
                </c:pt>
                <c:pt idx="38">
                  <c:v>0.23809523809523811</c:v>
                </c:pt>
                <c:pt idx="39">
                  <c:v>0.14285714285714285</c:v>
                </c:pt>
                <c:pt idx="40">
                  <c:v>0.26666666666666666</c:v>
                </c:pt>
                <c:pt idx="41">
                  <c:v>0.30769230769230771</c:v>
                </c:pt>
                <c:pt idx="42">
                  <c:v>0.6</c:v>
                </c:pt>
                <c:pt idx="43">
                  <c:v>9.6774193548387094E-2</c:v>
                </c:pt>
                <c:pt idx="44">
                  <c:v>0.27777777777777779</c:v>
                </c:pt>
                <c:pt idx="45">
                  <c:v>0.58333333333333337</c:v>
                </c:pt>
                <c:pt idx="46">
                  <c:v>0.3</c:v>
                </c:pt>
                <c:pt idx="47">
                  <c:v>0.22222222222222224</c:v>
                </c:pt>
                <c:pt idx="48">
                  <c:v>0.35714285714285715</c:v>
                </c:pt>
                <c:pt idx="49">
                  <c:v>0.26315789473684209</c:v>
                </c:pt>
                <c:pt idx="50">
                  <c:v>0.33333333333333337</c:v>
                </c:pt>
                <c:pt idx="51">
                  <c:v>0.25</c:v>
                </c:pt>
                <c:pt idx="52">
                  <c:v>0.21428571428571425</c:v>
                </c:pt>
                <c:pt idx="53">
                  <c:v>0.41666666666666669</c:v>
                </c:pt>
                <c:pt idx="54">
                  <c:v>0.53846153846153855</c:v>
                </c:pt>
                <c:pt idx="55">
                  <c:v>0.47826086956521735</c:v>
                </c:pt>
                <c:pt idx="56">
                  <c:v>0.78947368421052633</c:v>
                </c:pt>
                <c:pt idx="57">
                  <c:v>0.2</c:v>
                </c:pt>
                <c:pt idx="58">
                  <c:v>0.22727272727272729</c:v>
                </c:pt>
                <c:pt idx="59">
                  <c:v>0.35135135135135137</c:v>
                </c:pt>
                <c:pt idx="60">
                  <c:v>0.13043478260869565</c:v>
                </c:pt>
                <c:pt idx="61">
                  <c:v>0.55555555555555558</c:v>
                </c:pt>
                <c:pt idx="62">
                  <c:v>0.41666666666666669</c:v>
                </c:pt>
                <c:pt idx="63">
                  <c:v>0.68181818181818177</c:v>
                </c:pt>
                <c:pt idx="64">
                  <c:v>0.38709677419354838</c:v>
                </c:pt>
                <c:pt idx="65">
                  <c:v>0.70000000000000007</c:v>
                </c:pt>
                <c:pt idx="66">
                  <c:v>0.27272727272727271</c:v>
                </c:pt>
                <c:pt idx="67">
                  <c:v>0.37931034482758624</c:v>
                </c:pt>
                <c:pt idx="68">
                  <c:v>0.11538461538461538</c:v>
                </c:pt>
                <c:pt idx="69">
                  <c:v>0.3</c:v>
                </c:pt>
                <c:pt idx="70">
                  <c:v>0.25925925925925924</c:v>
                </c:pt>
                <c:pt idx="71">
                  <c:v>0.44999999999999996</c:v>
                </c:pt>
                <c:pt idx="72">
                  <c:v>0.45833333333333337</c:v>
                </c:pt>
                <c:pt idx="73">
                  <c:v>0.6</c:v>
                </c:pt>
                <c:pt idx="74">
                  <c:v>0.33333333333333331</c:v>
                </c:pt>
                <c:pt idx="75">
                  <c:v>0.625</c:v>
                </c:pt>
                <c:pt idx="76">
                  <c:v>0.33333333333333331</c:v>
                </c:pt>
                <c:pt idx="77">
                  <c:v>0.48148148148148145</c:v>
                </c:pt>
                <c:pt idx="78">
                  <c:v>0.61538461538461542</c:v>
                </c:pt>
                <c:pt idx="79">
                  <c:v>0.38888888888888895</c:v>
                </c:pt>
                <c:pt idx="80">
                  <c:v>0.1875</c:v>
                </c:pt>
                <c:pt idx="81">
                  <c:v>0.62962962962962965</c:v>
                </c:pt>
                <c:pt idx="82">
                  <c:v>0.41379310344827586</c:v>
                </c:pt>
                <c:pt idx="83">
                  <c:v>0.1</c:v>
                </c:pt>
                <c:pt idx="84">
                  <c:v>0.2857142857142857</c:v>
                </c:pt>
                <c:pt idx="85">
                  <c:v>0.1818181818181818</c:v>
                </c:pt>
                <c:pt idx="86">
                  <c:v>0.3125</c:v>
                </c:pt>
                <c:pt idx="87">
                  <c:v>3.6363636363636362E-2</c:v>
                </c:pt>
                <c:pt idx="88">
                  <c:v>0.46153846153846151</c:v>
                </c:pt>
                <c:pt idx="89">
                  <c:v>0.24</c:v>
                </c:pt>
                <c:pt idx="90">
                  <c:v>0.14285714285714288</c:v>
                </c:pt>
                <c:pt idx="91">
                  <c:v>0.23809523809523811</c:v>
                </c:pt>
                <c:pt idx="92">
                  <c:v>0.31578947368421051</c:v>
                </c:pt>
                <c:pt idx="93">
                  <c:v>0.2608695652173913</c:v>
                </c:pt>
                <c:pt idx="94">
                  <c:v>0.28000000000000003</c:v>
                </c:pt>
                <c:pt idx="95">
                  <c:v>0.46666666666666673</c:v>
                </c:pt>
                <c:pt idx="96">
                  <c:v>0.27272727272727271</c:v>
                </c:pt>
                <c:pt idx="97">
                  <c:v>0.375</c:v>
                </c:pt>
                <c:pt idx="98">
                  <c:v>0.25</c:v>
                </c:pt>
                <c:pt idx="99">
                  <c:v>0.3</c:v>
                </c:pt>
                <c:pt idx="100">
                  <c:v>0.17391304347826086</c:v>
                </c:pt>
                <c:pt idx="101">
                  <c:v>0.22222222222222224</c:v>
                </c:pt>
                <c:pt idx="102">
                  <c:v>0.33333333333333337</c:v>
                </c:pt>
                <c:pt idx="103">
                  <c:v>0.17241379310344829</c:v>
                </c:pt>
                <c:pt idx="104">
                  <c:v>0.26666666666666666</c:v>
                </c:pt>
                <c:pt idx="105">
                  <c:v>0.18181818181818182</c:v>
                </c:pt>
                <c:pt idx="106">
                  <c:v>0.21052631578947367</c:v>
                </c:pt>
                <c:pt idx="107">
                  <c:v>0.25</c:v>
                </c:pt>
                <c:pt idx="108">
                  <c:v>0.5</c:v>
                </c:pt>
                <c:pt idx="109">
                  <c:v>0.18181818181818182</c:v>
                </c:pt>
                <c:pt idx="110">
                  <c:v>0.55555555555555558</c:v>
                </c:pt>
                <c:pt idx="111">
                  <c:v>0.41176470588235298</c:v>
                </c:pt>
                <c:pt idx="112">
                  <c:v>7.2289156626506021E-2</c:v>
                </c:pt>
                <c:pt idx="113">
                  <c:v>0.18518518518518517</c:v>
                </c:pt>
                <c:pt idx="114">
                  <c:v>0.33333333333333331</c:v>
                </c:pt>
                <c:pt idx="115">
                  <c:v>6.7164179104477612E-2</c:v>
                </c:pt>
                <c:pt idx="116">
                  <c:v>6.5217391304347824E-2</c:v>
                </c:pt>
                <c:pt idx="117">
                  <c:v>0.14473684210526316</c:v>
                </c:pt>
                <c:pt idx="118">
                  <c:v>6.25E-2</c:v>
                </c:pt>
                <c:pt idx="119">
                  <c:v>3.6036036036036036E-2</c:v>
                </c:pt>
                <c:pt idx="120">
                  <c:v>0.14893617021276598</c:v>
                </c:pt>
                <c:pt idx="121">
                  <c:v>5.7692307692307689E-2</c:v>
                </c:pt>
                <c:pt idx="122">
                  <c:v>0.40740740740740738</c:v>
                </c:pt>
                <c:pt idx="123">
                  <c:v>0.52173913043478259</c:v>
                </c:pt>
                <c:pt idx="124">
                  <c:v>0.26315789473684209</c:v>
                </c:pt>
                <c:pt idx="125">
                  <c:v>0.33333333333333337</c:v>
                </c:pt>
                <c:pt idx="126">
                  <c:v>0.36842105263157898</c:v>
                </c:pt>
                <c:pt idx="127">
                  <c:v>0.26315789473684209</c:v>
                </c:pt>
                <c:pt idx="128">
                  <c:v>0.15789473684210525</c:v>
                </c:pt>
                <c:pt idx="129">
                  <c:v>0.48</c:v>
                </c:pt>
                <c:pt idx="130">
                  <c:v>0.33333333333333337</c:v>
                </c:pt>
                <c:pt idx="131">
                  <c:v>0.33333333333333331</c:v>
                </c:pt>
                <c:pt idx="132">
                  <c:v>0.33333333333333331</c:v>
                </c:pt>
                <c:pt idx="133">
                  <c:v>4.9180327868852458E-2</c:v>
                </c:pt>
                <c:pt idx="134">
                  <c:v>0.69565217391304346</c:v>
                </c:pt>
                <c:pt idx="135">
                  <c:v>0.30769230769230771</c:v>
                </c:pt>
                <c:pt idx="136">
                  <c:v>0.15625</c:v>
                </c:pt>
                <c:pt idx="137">
                  <c:v>0.375</c:v>
                </c:pt>
                <c:pt idx="138">
                  <c:v>0.41666666666666669</c:v>
                </c:pt>
                <c:pt idx="139">
                  <c:v>0.3125</c:v>
                </c:pt>
                <c:pt idx="140">
                  <c:v>0.53846153846153855</c:v>
                </c:pt>
                <c:pt idx="141">
                  <c:v>0.40740740740740738</c:v>
                </c:pt>
                <c:pt idx="142">
                  <c:v>0.2608695652173913</c:v>
                </c:pt>
                <c:pt idx="143">
                  <c:v>0.30434782608695654</c:v>
                </c:pt>
                <c:pt idx="144">
                  <c:v>0.47826086956521735</c:v>
                </c:pt>
              </c:numCache>
            </c:numRef>
          </c:xVal>
          <c:yVal>
            <c:numRef>
              <c:f>RockEval!$K$4:$K$148</c:f>
              <c:numCache>
                <c:formatCode>General</c:formatCode>
                <c:ptCount val="145"/>
                <c:pt idx="0">
                  <c:v>7</c:v>
                </c:pt>
                <c:pt idx="1">
                  <c:v>22</c:v>
                </c:pt>
                <c:pt idx="2">
                  <c:v>11</c:v>
                </c:pt>
                <c:pt idx="3">
                  <c:v>10</c:v>
                </c:pt>
                <c:pt idx="4">
                  <c:v>13</c:v>
                </c:pt>
                <c:pt idx="5">
                  <c:v>18</c:v>
                </c:pt>
                <c:pt idx="6">
                  <c:v>11</c:v>
                </c:pt>
                <c:pt idx="7">
                  <c:v>27</c:v>
                </c:pt>
                <c:pt idx="8">
                  <c:v>17</c:v>
                </c:pt>
                <c:pt idx="9">
                  <c:v>33</c:v>
                </c:pt>
                <c:pt idx="10">
                  <c:v>26</c:v>
                </c:pt>
                <c:pt idx="11">
                  <c:v>40</c:v>
                </c:pt>
                <c:pt idx="12">
                  <c:v>40</c:v>
                </c:pt>
                <c:pt idx="13">
                  <c:v>36</c:v>
                </c:pt>
                <c:pt idx="14">
                  <c:v>20</c:v>
                </c:pt>
                <c:pt idx="15">
                  <c:v>6</c:v>
                </c:pt>
                <c:pt idx="16">
                  <c:v>17</c:v>
                </c:pt>
                <c:pt idx="17">
                  <c:v>33</c:v>
                </c:pt>
                <c:pt idx="18">
                  <c:v>6</c:v>
                </c:pt>
                <c:pt idx="19">
                  <c:v>19</c:v>
                </c:pt>
                <c:pt idx="20">
                  <c:v>9</c:v>
                </c:pt>
                <c:pt idx="21">
                  <c:v>17</c:v>
                </c:pt>
                <c:pt idx="22">
                  <c:v>23</c:v>
                </c:pt>
                <c:pt idx="23">
                  <c:v>31</c:v>
                </c:pt>
                <c:pt idx="24">
                  <c:v>5</c:v>
                </c:pt>
                <c:pt idx="25">
                  <c:v>29</c:v>
                </c:pt>
                <c:pt idx="26">
                  <c:v>16</c:v>
                </c:pt>
                <c:pt idx="27">
                  <c:v>63</c:v>
                </c:pt>
                <c:pt idx="28">
                  <c:v>8</c:v>
                </c:pt>
                <c:pt idx="29">
                  <c:v>19</c:v>
                </c:pt>
                <c:pt idx="30">
                  <c:v>9</c:v>
                </c:pt>
                <c:pt idx="31">
                  <c:v>7</c:v>
                </c:pt>
                <c:pt idx="32">
                  <c:v>8</c:v>
                </c:pt>
                <c:pt idx="33">
                  <c:v>18</c:v>
                </c:pt>
                <c:pt idx="34">
                  <c:v>3</c:v>
                </c:pt>
                <c:pt idx="35">
                  <c:v>8</c:v>
                </c:pt>
                <c:pt idx="36">
                  <c:v>11</c:v>
                </c:pt>
                <c:pt idx="37">
                  <c:v>7</c:v>
                </c:pt>
                <c:pt idx="38">
                  <c:v>14</c:v>
                </c:pt>
                <c:pt idx="39">
                  <c:v>1</c:v>
                </c:pt>
                <c:pt idx="40">
                  <c:v>4</c:v>
                </c:pt>
                <c:pt idx="41">
                  <c:v>2</c:v>
                </c:pt>
                <c:pt idx="42">
                  <c:v>4</c:v>
                </c:pt>
                <c:pt idx="43">
                  <c:v>6</c:v>
                </c:pt>
                <c:pt idx="44">
                  <c:v>5</c:v>
                </c:pt>
                <c:pt idx="45">
                  <c:v>5</c:v>
                </c:pt>
                <c:pt idx="46">
                  <c:v>4</c:v>
                </c:pt>
                <c:pt idx="47">
                  <c:v>3</c:v>
                </c:pt>
                <c:pt idx="48">
                  <c:v>5</c:v>
                </c:pt>
                <c:pt idx="49">
                  <c:v>6</c:v>
                </c:pt>
                <c:pt idx="50">
                  <c:v>9</c:v>
                </c:pt>
                <c:pt idx="51">
                  <c:v>9</c:v>
                </c:pt>
                <c:pt idx="52">
                  <c:v>16</c:v>
                </c:pt>
                <c:pt idx="53">
                  <c:v>8</c:v>
                </c:pt>
                <c:pt idx="54">
                  <c:v>5</c:v>
                </c:pt>
                <c:pt idx="55">
                  <c:v>7</c:v>
                </c:pt>
                <c:pt idx="56">
                  <c:v>6</c:v>
                </c:pt>
                <c:pt idx="57">
                  <c:v>3</c:v>
                </c:pt>
                <c:pt idx="58">
                  <c:v>2</c:v>
                </c:pt>
                <c:pt idx="59">
                  <c:v>5</c:v>
                </c:pt>
                <c:pt idx="60">
                  <c:v>7</c:v>
                </c:pt>
                <c:pt idx="61">
                  <c:v>7</c:v>
                </c:pt>
                <c:pt idx="62">
                  <c:v>6</c:v>
                </c:pt>
                <c:pt idx="63">
                  <c:v>13</c:v>
                </c:pt>
                <c:pt idx="64">
                  <c:v>7</c:v>
                </c:pt>
                <c:pt idx="65">
                  <c:v>6</c:v>
                </c:pt>
                <c:pt idx="66">
                  <c:v>6</c:v>
                </c:pt>
                <c:pt idx="67">
                  <c:v>4</c:v>
                </c:pt>
                <c:pt idx="68">
                  <c:v>12</c:v>
                </c:pt>
                <c:pt idx="69">
                  <c:v>2</c:v>
                </c:pt>
                <c:pt idx="70">
                  <c:v>3</c:v>
                </c:pt>
                <c:pt idx="71">
                  <c:v>6</c:v>
                </c:pt>
                <c:pt idx="72">
                  <c:v>12</c:v>
                </c:pt>
                <c:pt idx="73">
                  <c:v>10</c:v>
                </c:pt>
                <c:pt idx="74">
                  <c:v>2</c:v>
                </c:pt>
                <c:pt idx="75">
                  <c:v>4</c:v>
                </c:pt>
                <c:pt idx="76">
                  <c:v>4</c:v>
                </c:pt>
                <c:pt idx="77">
                  <c:v>5</c:v>
                </c:pt>
                <c:pt idx="78">
                  <c:v>3</c:v>
                </c:pt>
                <c:pt idx="79">
                  <c:v>4</c:v>
                </c:pt>
                <c:pt idx="80">
                  <c:v>16</c:v>
                </c:pt>
                <c:pt idx="81">
                  <c:v>9</c:v>
                </c:pt>
                <c:pt idx="82">
                  <c:v>8</c:v>
                </c:pt>
                <c:pt idx="83">
                  <c:v>3</c:v>
                </c:pt>
                <c:pt idx="84">
                  <c:v>2</c:v>
                </c:pt>
                <c:pt idx="85">
                  <c:v>3</c:v>
                </c:pt>
                <c:pt idx="86">
                  <c:v>6</c:v>
                </c:pt>
                <c:pt idx="87">
                  <c:v>3</c:v>
                </c:pt>
                <c:pt idx="88">
                  <c:v>6</c:v>
                </c:pt>
                <c:pt idx="89">
                  <c:v>5</c:v>
                </c:pt>
                <c:pt idx="90">
                  <c:v>2</c:v>
                </c:pt>
                <c:pt idx="91">
                  <c:v>2</c:v>
                </c:pt>
                <c:pt idx="92">
                  <c:v>5</c:v>
                </c:pt>
                <c:pt idx="93">
                  <c:v>3</c:v>
                </c:pt>
                <c:pt idx="94">
                  <c:v>3</c:v>
                </c:pt>
                <c:pt idx="95">
                  <c:v>3</c:v>
                </c:pt>
                <c:pt idx="96">
                  <c:v>2</c:v>
                </c:pt>
                <c:pt idx="97">
                  <c:v>5</c:v>
                </c:pt>
                <c:pt idx="98">
                  <c:v>3</c:v>
                </c:pt>
                <c:pt idx="99">
                  <c:v>3</c:v>
                </c:pt>
                <c:pt idx="100">
                  <c:v>40</c:v>
                </c:pt>
                <c:pt idx="101">
                  <c:v>3</c:v>
                </c:pt>
                <c:pt idx="102">
                  <c:v>4</c:v>
                </c:pt>
                <c:pt idx="103">
                  <c:v>29</c:v>
                </c:pt>
                <c:pt idx="104">
                  <c:v>3</c:v>
                </c:pt>
                <c:pt idx="105">
                  <c:v>4</c:v>
                </c:pt>
                <c:pt idx="106">
                  <c:v>3</c:v>
                </c:pt>
                <c:pt idx="107">
                  <c:v>18</c:v>
                </c:pt>
                <c:pt idx="108">
                  <c:v>5</c:v>
                </c:pt>
                <c:pt idx="109">
                  <c:v>3</c:v>
                </c:pt>
                <c:pt idx="110">
                  <c:v>4</c:v>
                </c:pt>
                <c:pt idx="111">
                  <c:v>8</c:v>
                </c:pt>
                <c:pt idx="112">
                  <c:v>7</c:v>
                </c:pt>
                <c:pt idx="113">
                  <c:v>9</c:v>
                </c:pt>
                <c:pt idx="114">
                  <c:v>13</c:v>
                </c:pt>
                <c:pt idx="115">
                  <c:v>7</c:v>
                </c:pt>
                <c:pt idx="116">
                  <c:v>5</c:v>
                </c:pt>
                <c:pt idx="117">
                  <c:v>14</c:v>
                </c:pt>
                <c:pt idx="118">
                  <c:v>7</c:v>
                </c:pt>
                <c:pt idx="119">
                  <c:v>5</c:v>
                </c:pt>
                <c:pt idx="120">
                  <c:v>4</c:v>
                </c:pt>
                <c:pt idx="121">
                  <c:v>2</c:v>
                </c:pt>
                <c:pt idx="122">
                  <c:v>13</c:v>
                </c:pt>
                <c:pt idx="123">
                  <c:v>13</c:v>
                </c:pt>
                <c:pt idx="124">
                  <c:v>4</c:v>
                </c:pt>
                <c:pt idx="125">
                  <c:v>6</c:v>
                </c:pt>
                <c:pt idx="126">
                  <c:v>10</c:v>
                </c:pt>
                <c:pt idx="127">
                  <c:v>6</c:v>
                </c:pt>
                <c:pt idx="128">
                  <c:v>2</c:v>
                </c:pt>
                <c:pt idx="129">
                  <c:v>9</c:v>
                </c:pt>
                <c:pt idx="130">
                  <c:v>5</c:v>
                </c:pt>
                <c:pt idx="131">
                  <c:v>8</c:v>
                </c:pt>
                <c:pt idx="132">
                  <c:v>6</c:v>
                </c:pt>
                <c:pt idx="133">
                  <c:v>2</c:v>
                </c:pt>
                <c:pt idx="134">
                  <c:v>14</c:v>
                </c:pt>
                <c:pt idx="135">
                  <c:v>10</c:v>
                </c:pt>
                <c:pt idx="136">
                  <c:v>4</c:v>
                </c:pt>
                <c:pt idx="137">
                  <c:v>8</c:v>
                </c:pt>
                <c:pt idx="138">
                  <c:v>6</c:v>
                </c:pt>
                <c:pt idx="139">
                  <c:v>3</c:v>
                </c:pt>
                <c:pt idx="140">
                  <c:v>12</c:v>
                </c:pt>
                <c:pt idx="141">
                  <c:v>7</c:v>
                </c:pt>
                <c:pt idx="142">
                  <c:v>4</c:v>
                </c:pt>
                <c:pt idx="143">
                  <c:v>4</c:v>
                </c:pt>
                <c:pt idx="144">
                  <c:v>6</c:v>
                </c:pt>
              </c:numCache>
            </c:numRef>
          </c:yVal>
          <c:smooth val="0"/>
          <c:extLst>
            <c:ext xmlns:c16="http://schemas.microsoft.com/office/drawing/2014/chart" uri="{C3380CC4-5D6E-409C-BE32-E72D297353CC}">
              <c16:uniqueId val="{00000000-56DD-B44E-9EFE-7ECB179EA0EB}"/>
            </c:ext>
          </c:extLst>
        </c:ser>
        <c:dLbls>
          <c:showLegendKey val="0"/>
          <c:showVal val="0"/>
          <c:showCatName val="0"/>
          <c:showSerName val="0"/>
          <c:showPercent val="0"/>
          <c:showBubbleSize val="0"/>
        </c:dLbls>
        <c:axId val="1337731408"/>
        <c:axId val="1"/>
      </c:scatterChart>
      <c:valAx>
        <c:axId val="1337731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S2/S3</a:t>
                </a:r>
              </a:p>
            </c:rich>
          </c:tx>
          <c:overlay val="0"/>
          <c:spPr>
            <a:noFill/>
            <a:ln>
              <a:noFill/>
            </a:ln>
            <a:effectLst/>
          </c:sp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AE"/>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Hydrogen</a:t>
                </a:r>
                <a:r>
                  <a:rPr lang="en-US" baseline="0"/>
                  <a:t> Index mg HC/ g TOC</a:t>
                </a:r>
                <a:endParaRPr lang="en-US"/>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E"/>
          </a:p>
        </c:txPr>
        <c:crossAx val="1337731408"/>
        <c:crosses val="autoZero"/>
        <c:crossBetween val="midCat"/>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A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chart" Target="../charts/chart4.xml"/><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800100</xdr:colOff>
      <xdr:row>2</xdr:row>
      <xdr:rowOff>25400</xdr:rowOff>
    </xdr:from>
    <xdr:to>
      <xdr:col>15</xdr:col>
      <xdr:colOff>330200</xdr:colOff>
      <xdr:row>44</xdr:row>
      <xdr:rowOff>152400</xdr:rowOff>
    </xdr:to>
    <xdr:graphicFrame macro="">
      <xdr:nvGraphicFramePr>
        <xdr:cNvPr id="1025" name="Chart 1">
          <a:extLst>
            <a:ext uri="{FF2B5EF4-FFF2-40B4-BE49-F238E27FC236}">
              <a16:creationId xmlns:a16="http://schemas.microsoft.com/office/drawing/2014/main" id="{F7E4CBF7-0689-6E48-9DDB-F8D584559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2</xdr:row>
      <xdr:rowOff>114300</xdr:rowOff>
    </xdr:from>
    <xdr:to>
      <xdr:col>10</xdr:col>
      <xdr:colOff>457200</xdr:colOff>
      <xdr:row>46</xdr:row>
      <xdr:rowOff>114300</xdr:rowOff>
    </xdr:to>
    <xdr:graphicFrame macro="">
      <xdr:nvGraphicFramePr>
        <xdr:cNvPr id="1026" name="Chart 2">
          <a:extLst>
            <a:ext uri="{FF2B5EF4-FFF2-40B4-BE49-F238E27FC236}">
              <a16:creationId xmlns:a16="http://schemas.microsoft.com/office/drawing/2014/main" id="{360E4DBB-8C0E-9D48-9538-E9D39257A4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406400</xdr:colOff>
      <xdr:row>0</xdr:row>
      <xdr:rowOff>0</xdr:rowOff>
    </xdr:from>
    <xdr:to>
      <xdr:col>10</xdr:col>
      <xdr:colOff>190500</xdr:colOff>
      <xdr:row>71</xdr:row>
      <xdr:rowOff>165100</xdr:rowOff>
    </xdr:to>
    <xdr:graphicFrame macro="">
      <xdr:nvGraphicFramePr>
        <xdr:cNvPr id="2049" name="Chart 4">
          <a:extLst>
            <a:ext uri="{FF2B5EF4-FFF2-40B4-BE49-F238E27FC236}">
              <a16:creationId xmlns:a16="http://schemas.microsoft.com/office/drawing/2014/main" id="{B9106BA8-BE37-AC48-8C5C-54408C145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27</xdr:col>
      <xdr:colOff>38100</xdr:colOff>
      <xdr:row>7</xdr:row>
      <xdr:rowOff>38100</xdr:rowOff>
    </xdr:from>
    <xdr:ext cx="2501900" cy="622300"/>
    <xdr:sp macro="" textlink="">
      <xdr:nvSpPr>
        <xdr:cNvPr id="3073" name="TextBox 1">
          <a:extLst>
            <a:ext uri="{FF2B5EF4-FFF2-40B4-BE49-F238E27FC236}">
              <a16:creationId xmlns:a16="http://schemas.microsoft.com/office/drawing/2014/main" id="{5D2C3A8C-29D6-6F43-B2B9-72C0BC3A2053}"/>
            </a:ext>
          </a:extLst>
        </xdr:cNvPr>
        <xdr:cNvSpPr>
          <a:spLocks noChangeArrowheads="1"/>
        </xdr:cNvSpPr>
      </xdr:nvSpPr>
      <xdr:spPr bwMode="auto">
        <a:xfrm>
          <a:off x="10922000" y="1181100"/>
          <a:ext cx="2489200" cy="622300"/>
        </a:xfrm>
        <a:prstGeom prst="roundRect">
          <a:avLst>
            <a:gd name="adj" fmla="val 16667"/>
          </a:avLst>
        </a:prstGeom>
        <a:solidFill>
          <a:srgbClr val="FFFFCC"/>
        </a:solidFill>
        <a:ln w="1">
          <a:solidFill>
            <a:srgbClr val="BCBCBC"/>
          </a:solidFill>
          <a:round/>
          <a:headEnd/>
          <a:tailEnd/>
        </a:ln>
        <a:effectLst>
          <a:outerShdw blurRad="63500" dist="37356" dir="2700000" rotWithShape="0">
            <a:srgbClr val="000000"/>
          </a:outerShdw>
        </a:effectLst>
      </xdr:spPr>
      <xdr:txBody>
        <a:bodyPr wrap="none" lIns="25400" tIns="25400" rIns="25400" bIns="25400" anchor="t" upright="1">
          <a:spAutoFit/>
        </a:bodyPr>
        <a:lstStyle/>
        <a:p>
          <a:pPr algn="l" rtl="0">
            <a:lnSpc>
              <a:spcPts val="1200"/>
            </a:lnSpc>
            <a:defRPr sz="1000"/>
          </a:pPr>
          <a:r>
            <a:rPr lang="en-US" sz="1100" b="0" i="0" u="none" strike="noStrike" baseline="0">
              <a:solidFill>
                <a:srgbClr val="000000"/>
              </a:solidFill>
              <a:latin typeface="Arial" charset="0"/>
              <a:cs typeface="Arial" charset="0"/>
            </a:rPr>
            <a:t>Mean = 182.84±0.13  [0.068%]  2</a:t>
          </a:r>
          <a:r>
            <a:rPr lang="en-US" sz="1100" b="0" i="0" u="none" strike="noStrike" baseline="0">
              <a:solidFill>
                <a:srgbClr val="000000"/>
              </a:solidFill>
              <a:latin typeface="Symbol" charset="2"/>
              <a:cs typeface="Arial" charset="0"/>
            </a:rPr>
            <a:t>s</a:t>
          </a:r>
          <a:endParaRPr lang="en-US" sz="1100" b="0" i="0" u="none" strike="noStrike" baseline="0">
            <a:solidFill>
              <a:srgbClr val="000000"/>
            </a:solidFill>
            <a:latin typeface="Arial" charset="0"/>
            <a:cs typeface="Arial" charset="0"/>
          </a:endParaRPr>
        </a:p>
        <a:p>
          <a:pPr algn="l" rtl="0">
            <a:lnSpc>
              <a:spcPts val="1100"/>
            </a:lnSpc>
            <a:defRPr sz="1000"/>
          </a:pPr>
          <a:r>
            <a:rPr lang="en-US" sz="1100" b="0" i="0" u="none" strike="noStrike" baseline="0">
              <a:solidFill>
                <a:srgbClr val="000000"/>
              </a:solidFill>
              <a:latin typeface="Arial" charset="0"/>
              <a:cs typeface="Arial" charset="0"/>
            </a:rPr>
            <a:t>Wtd by data-pt errs only, 0 of 8 rej.</a:t>
          </a:r>
        </a:p>
        <a:p>
          <a:pPr algn="l" rtl="0">
            <a:lnSpc>
              <a:spcPts val="1100"/>
            </a:lnSpc>
            <a:defRPr sz="1000"/>
          </a:pPr>
          <a:r>
            <a:rPr lang="en-US" sz="1100" b="0" i="0" u="none" strike="noStrike" baseline="0">
              <a:solidFill>
                <a:srgbClr val="000000"/>
              </a:solidFill>
              <a:latin typeface="Arial" charset="0"/>
              <a:cs typeface="Arial" charset="0"/>
            </a:rPr>
            <a:t>MSWD = 1.3, probability = 0.26</a:t>
          </a:r>
        </a:p>
      </xdr:txBody>
    </xdr:sp>
    <xdr:clientData/>
  </xdr:oneCellAnchor>
  <xdr:oneCellAnchor>
    <xdr:from>
      <xdr:col>27</xdr:col>
      <xdr:colOff>25400</xdr:colOff>
      <xdr:row>45</xdr:row>
      <xdr:rowOff>25400</xdr:rowOff>
    </xdr:from>
    <xdr:ext cx="2489200" cy="622300"/>
    <xdr:sp macro="" textlink="">
      <xdr:nvSpPr>
        <xdr:cNvPr id="3074" name="TextBox 2">
          <a:extLst>
            <a:ext uri="{FF2B5EF4-FFF2-40B4-BE49-F238E27FC236}">
              <a16:creationId xmlns:a16="http://schemas.microsoft.com/office/drawing/2014/main" id="{CBCA723F-3EE6-ED4A-81F1-D604B4C868DA}"/>
            </a:ext>
          </a:extLst>
        </xdr:cNvPr>
        <xdr:cNvSpPr>
          <a:spLocks noChangeArrowheads="1"/>
        </xdr:cNvSpPr>
      </xdr:nvSpPr>
      <xdr:spPr bwMode="auto">
        <a:xfrm>
          <a:off x="10909300" y="6997700"/>
          <a:ext cx="2476500" cy="622300"/>
        </a:xfrm>
        <a:prstGeom prst="roundRect">
          <a:avLst>
            <a:gd name="adj" fmla="val 16667"/>
          </a:avLst>
        </a:prstGeom>
        <a:solidFill>
          <a:srgbClr val="FFFFCC"/>
        </a:solidFill>
        <a:ln w="1">
          <a:solidFill>
            <a:srgbClr val="BCBCBC"/>
          </a:solidFill>
          <a:round/>
          <a:headEnd/>
          <a:tailEnd/>
        </a:ln>
        <a:effectLst>
          <a:outerShdw blurRad="63500" dist="37356" dir="2700000" rotWithShape="0">
            <a:srgbClr val="000000"/>
          </a:outerShdw>
        </a:effectLst>
      </xdr:spPr>
      <xdr:txBody>
        <a:bodyPr wrap="none" lIns="25400" tIns="25400" rIns="25400" bIns="25400" anchor="t" upright="1">
          <a:spAutoFit/>
        </a:bodyPr>
        <a:lstStyle/>
        <a:p>
          <a:pPr algn="l" rtl="0">
            <a:lnSpc>
              <a:spcPts val="1200"/>
            </a:lnSpc>
            <a:defRPr sz="1000"/>
          </a:pPr>
          <a:r>
            <a:rPr lang="en-US" sz="1100" b="0" i="0" u="none" strike="noStrike" baseline="0">
              <a:solidFill>
                <a:srgbClr val="000000"/>
              </a:solidFill>
              <a:latin typeface="Arial" charset="0"/>
              <a:cs typeface="Arial" charset="0"/>
            </a:rPr>
            <a:t>Mean = 183.11±0.12  [0.064%]  2</a:t>
          </a:r>
          <a:r>
            <a:rPr lang="en-US" sz="1100" b="0" i="0" u="none" strike="noStrike" baseline="0">
              <a:solidFill>
                <a:srgbClr val="000000"/>
              </a:solidFill>
              <a:latin typeface="Symbol" charset="2"/>
              <a:cs typeface="Arial" charset="0"/>
            </a:rPr>
            <a:t>s</a:t>
          </a:r>
          <a:endParaRPr lang="en-US" sz="1100" b="0" i="0" u="none" strike="noStrike" baseline="0">
            <a:solidFill>
              <a:srgbClr val="000000"/>
            </a:solidFill>
            <a:latin typeface="Arial" charset="0"/>
            <a:cs typeface="Arial" charset="0"/>
          </a:endParaRPr>
        </a:p>
        <a:p>
          <a:pPr algn="l" rtl="0">
            <a:lnSpc>
              <a:spcPts val="1100"/>
            </a:lnSpc>
            <a:defRPr sz="1000"/>
          </a:pPr>
          <a:r>
            <a:rPr lang="en-US" sz="1100" b="0" i="0" u="none" strike="noStrike" baseline="0">
              <a:solidFill>
                <a:srgbClr val="000000"/>
              </a:solidFill>
              <a:latin typeface="Arial" charset="0"/>
              <a:cs typeface="Arial" charset="0"/>
            </a:rPr>
            <a:t>Wtd by data-pt errs only, 0 of 7 rej.</a:t>
          </a:r>
        </a:p>
        <a:p>
          <a:pPr algn="l" rtl="0">
            <a:lnSpc>
              <a:spcPts val="1000"/>
            </a:lnSpc>
            <a:defRPr sz="1000"/>
          </a:pPr>
          <a:r>
            <a:rPr lang="en-US" sz="1100" b="0" i="0" u="none" strike="noStrike" baseline="0">
              <a:solidFill>
                <a:srgbClr val="000000"/>
              </a:solidFill>
              <a:latin typeface="Arial" charset="0"/>
              <a:cs typeface="Arial" charset="0"/>
            </a:rPr>
            <a:t>MSWD = 1.5, probability = 0.18</a:t>
          </a:r>
        </a:p>
      </xdr:txBody>
    </xdr:sp>
    <xdr:clientData/>
  </xdr:oneCellAnchor>
  <xdr:oneCellAnchor>
    <xdr:from>
      <xdr:col>27</xdr:col>
      <xdr:colOff>38100</xdr:colOff>
      <xdr:row>32</xdr:row>
      <xdr:rowOff>25400</xdr:rowOff>
    </xdr:from>
    <xdr:ext cx="2722034" cy="622300"/>
    <xdr:sp macro="" textlink="">
      <xdr:nvSpPr>
        <xdr:cNvPr id="3075" name="TextBox 3">
          <a:extLst>
            <a:ext uri="{FF2B5EF4-FFF2-40B4-BE49-F238E27FC236}">
              <a16:creationId xmlns:a16="http://schemas.microsoft.com/office/drawing/2014/main" id="{0FAC2E46-B152-EF41-A78A-D25D39E93026}"/>
            </a:ext>
          </a:extLst>
        </xdr:cNvPr>
        <xdr:cNvSpPr>
          <a:spLocks noChangeArrowheads="1"/>
        </xdr:cNvSpPr>
      </xdr:nvSpPr>
      <xdr:spPr bwMode="auto">
        <a:xfrm>
          <a:off x="10922000" y="5016500"/>
          <a:ext cx="2705100" cy="622300"/>
        </a:xfrm>
        <a:prstGeom prst="roundRect">
          <a:avLst>
            <a:gd name="adj" fmla="val 16667"/>
          </a:avLst>
        </a:prstGeom>
        <a:solidFill>
          <a:srgbClr val="FFFFCC"/>
        </a:solidFill>
        <a:ln w="1">
          <a:solidFill>
            <a:srgbClr val="BCBCBC"/>
          </a:solidFill>
          <a:round/>
          <a:headEnd/>
          <a:tailEnd/>
        </a:ln>
        <a:effectLst>
          <a:outerShdw blurRad="63500" dist="37356" dir="2700000" rotWithShape="0">
            <a:srgbClr val="000000"/>
          </a:outerShdw>
        </a:effectLst>
      </xdr:spPr>
      <xdr:txBody>
        <a:bodyPr wrap="none" lIns="25400" tIns="25400" rIns="25400" bIns="25400" anchor="t" upright="1">
          <a:spAutoFit/>
        </a:bodyPr>
        <a:lstStyle/>
        <a:p>
          <a:pPr algn="l" rtl="0">
            <a:lnSpc>
              <a:spcPts val="1200"/>
            </a:lnSpc>
            <a:defRPr sz="1000"/>
          </a:pPr>
          <a:r>
            <a:rPr lang="en-US" sz="1100" b="0" i="0" u="none" strike="noStrike" baseline="0">
              <a:solidFill>
                <a:srgbClr val="000000"/>
              </a:solidFill>
              <a:latin typeface="Arial" charset="0"/>
              <a:cs typeface="Arial" charset="0"/>
            </a:rPr>
            <a:t>Mean = 182.836±0.095  [0.052%]  2</a:t>
          </a:r>
          <a:r>
            <a:rPr lang="en-US" sz="1100" b="0" i="0" u="none" strike="noStrike" baseline="0">
              <a:solidFill>
                <a:srgbClr val="000000"/>
              </a:solidFill>
              <a:latin typeface="Symbol" charset="2"/>
              <a:cs typeface="Arial" charset="0"/>
            </a:rPr>
            <a:t>s</a:t>
          </a:r>
          <a:endParaRPr lang="en-US" sz="1100" b="0" i="0" u="none" strike="noStrike" baseline="0">
            <a:solidFill>
              <a:srgbClr val="000000"/>
            </a:solidFill>
            <a:latin typeface="Arial" charset="0"/>
            <a:cs typeface="Arial" charset="0"/>
          </a:endParaRPr>
        </a:p>
        <a:p>
          <a:pPr algn="l" rtl="0">
            <a:lnSpc>
              <a:spcPts val="1100"/>
            </a:lnSpc>
            <a:defRPr sz="1000"/>
          </a:pPr>
          <a:r>
            <a:rPr lang="en-US" sz="1100" b="0" i="0" u="none" strike="noStrike" baseline="0">
              <a:solidFill>
                <a:srgbClr val="000000"/>
              </a:solidFill>
              <a:latin typeface="Arial" charset="0"/>
              <a:cs typeface="Arial" charset="0"/>
            </a:rPr>
            <a:t>Wtd by data-pt errs only, 0 of 9 rej.</a:t>
          </a:r>
        </a:p>
        <a:p>
          <a:pPr algn="l" rtl="0">
            <a:lnSpc>
              <a:spcPts val="1000"/>
            </a:lnSpc>
            <a:defRPr sz="1000"/>
          </a:pPr>
          <a:r>
            <a:rPr lang="en-US" sz="1100" b="0" i="0" u="none" strike="noStrike" baseline="0">
              <a:solidFill>
                <a:srgbClr val="000000"/>
              </a:solidFill>
              <a:latin typeface="Arial" charset="0"/>
              <a:cs typeface="Arial" charset="0"/>
            </a:rPr>
            <a:t>MSWD = 0.35, probability = 0.95</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584200</xdr:colOff>
      <xdr:row>17</xdr:row>
      <xdr:rowOff>76200</xdr:rowOff>
    </xdr:from>
    <xdr:to>
      <xdr:col>15</xdr:col>
      <xdr:colOff>317500</xdr:colOff>
      <xdr:row>31</xdr:row>
      <xdr:rowOff>50800</xdr:rowOff>
    </xdr:to>
    <xdr:graphicFrame macro="">
      <xdr:nvGraphicFramePr>
        <xdr:cNvPr id="4097" name="Chart 1">
          <a:extLst>
            <a:ext uri="{FF2B5EF4-FFF2-40B4-BE49-F238E27FC236}">
              <a16:creationId xmlns:a16="http://schemas.microsoft.com/office/drawing/2014/main" id="{5DA5D9BD-4343-2548-9A13-0654E26BC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241300</xdr:colOff>
      <xdr:row>44</xdr:row>
      <xdr:rowOff>76200</xdr:rowOff>
    </xdr:from>
    <xdr:to>
      <xdr:col>28</xdr:col>
      <xdr:colOff>469900</xdr:colOff>
      <xdr:row>71</xdr:row>
      <xdr:rowOff>12700</xdr:rowOff>
    </xdr:to>
    <xdr:pic>
      <xdr:nvPicPr>
        <xdr:cNvPr id="4099" name="Picture 3">
          <a:extLst>
            <a:ext uri="{FF2B5EF4-FFF2-40B4-BE49-F238E27FC236}">
              <a16:creationId xmlns:a16="http://schemas.microsoft.com/office/drawing/2014/main" id="{4A38156F-1BD8-1849-9798-71E63AF0F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23700" y="8521700"/>
          <a:ext cx="7632700" cy="50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215900</xdr:colOff>
      <xdr:row>45</xdr:row>
      <xdr:rowOff>12700</xdr:rowOff>
    </xdr:from>
    <xdr:to>
      <xdr:col>13</xdr:col>
      <xdr:colOff>76200</xdr:colOff>
      <xdr:row>72</xdr:row>
      <xdr:rowOff>50800</xdr:rowOff>
    </xdr:to>
    <xdr:pic>
      <xdr:nvPicPr>
        <xdr:cNvPr id="4100" name="Picture 4">
          <a:extLst>
            <a:ext uri="{FF2B5EF4-FFF2-40B4-BE49-F238E27FC236}">
              <a16:creationId xmlns:a16="http://schemas.microsoft.com/office/drawing/2014/main" id="{A55B76D9-A7B9-4044-9F50-8A53D94464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51000" y="8648700"/>
          <a:ext cx="7785100" cy="518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278970</xdr:colOff>
      <xdr:row>16</xdr:row>
      <xdr:rowOff>96649</xdr:rowOff>
    </xdr:from>
    <xdr:to>
      <xdr:col>28</xdr:col>
      <xdr:colOff>489057</xdr:colOff>
      <xdr:row>43</xdr:row>
      <xdr:rowOff>33149</xdr:rowOff>
    </xdr:to>
    <xdr:pic>
      <xdr:nvPicPr>
        <xdr:cNvPr id="2" name="Picture 1">
          <a:extLst>
            <a:ext uri="{FF2B5EF4-FFF2-40B4-BE49-F238E27FC236}">
              <a16:creationId xmlns:a16="http://schemas.microsoft.com/office/drawing/2014/main" id="{C92A66A4-7C0D-094F-8F1A-81C7A34034AB}"/>
            </a:ext>
          </a:extLst>
        </xdr:cNvPr>
        <xdr:cNvPicPr>
          <a:picLocks noChangeAspect="1"/>
        </xdr:cNvPicPr>
      </xdr:nvPicPr>
      <xdr:blipFill>
        <a:blip xmlns:r="http://schemas.openxmlformats.org/officeDocument/2006/relationships" r:embed="rId4"/>
        <a:stretch>
          <a:fillRect/>
        </a:stretch>
      </xdr:blipFill>
      <xdr:spPr>
        <a:xfrm>
          <a:off x="11773546" y="3239361"/>
          <a:ext cx="7550257" cy="51671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24</xdr:col>
      <xdr:colOff>381000</xdr:colOff>
      <xdr:row>1</xdr:row>
      <xdr:rowOff>330200</xdr:rowOff>
    </xdr:from>
    <xdr:to>
      <xdr:col>34</xdr:col>
      <xdr:colOff>12700</xdr:colOff>
      <xdr:row>25</xdr:row>
      <xdr:rowOff>88900</xdr:rowOff>
    </xdr:to>
    <xdr:graphicFrame macro="">
      <xdr:nvGraphicFramePr>
        <xdr:cNvPr id="5121" name="Chart 1">
          <a:extLst>
            <a:ext uri="{FF2B5EF4-FFF2-40B4-BE49-F238E27FC236}">
              <a16:creationId xmlns:a16="http://schemas.microsoft.com/office/drawing/2014/main" id="{817F6F4F-7608-5D49-A571-A1E0B0738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406400</xdr:colOff>
      <xdr:row>26</xdr:row>
      <xdr:rowOff>38100</xdr:rowOff>
    </xdr:from>
    <xdr:to>
      <xdr:col>34</xdr:col>
      <xdr:colOff>88900</xdr:colOff>
      <xdr:row>51</xdr:row>
      <xdr:rowOff>12700</xdr:rowOff>
    </xdr:to>
    <xdr:graphicFrame macro="">
      <xdr:nvGraphicFramePr>
        <xdr:cNvPr id="5122" name="Chart 2">
          <a:extLst>
            <a:ext uri="{FF2B5EF4-FFF2-40B4-BE49-F238E27FC236}">
              <a16:creationId xmlns:a16="http://schemas.microsoft.com/office/drawing/2014/main" id="{19163E9C-11F0-8C43-889A-104EDE124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368300</xdr:colOff>
      <xdr:row>53</xdr:row>
      <xdr:rowOff>25400</xdr:rowOff>
    </xdr:from>
    <xdr:to>
      <xdr:col>34</xdr:col>
      <xdr:colOff>165100</xdr:colOff>
      <xdr:row>78</xdr:row>
      <xdr:rowOff>0</xdr:rowOff>
    </xdr:to>
    <xdr:graphicFrame macro="">
      <xdr:nvGraphicFramePr>
        <xdr:cNvPr id="5123" name="Chart 3">
          <a:extLst>
            <a:ext uri="{FF2B5EF4-FFF2-40B4-BE49-F238E27FC236}">
              <a16:creationId xmlns:a16="http://schemas.microsoft.com/office/drawing/2014/main" id="{9C6D6044-994C-C940-90A3-5E195F15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355600</xdr:colOff>
      <xdr:row>78</xdr:row>
      <xdr:rowOff>63500</xdr:rowOff>
    </xdr:from>
    <xdr:to>
      <xdr:col>34</xdr:col>
      <xdr:colOff>88900</xdr:colOff>
      <xdr:row>101</xdr:row>
      <xdr:rowOff>190500</xdr:rowOff>
    </xdr:to>
    <xdr:graphicFrame macro="">
      <xdr:nvGraphicFramePr>
        <xdr:cNvPr id="5124" name="Chart 4">
          <a:extLst>
            <a:ext uri="{FF2B5EF4-FFF2-40B4-BE49-F238E27FC236}">
              <a16:creationId xmlns:a16="http://schemas.microsoft.com/office/drawing/2014/main" id="{D0BB588C-9B19-7F49-B7ED-5EBEFF36E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doi.org/10.17605/osf.io/TQX3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8"/>
  <sheetViews>
    <sheetView showGridLines="0" zoomScale="121" zoomScaleNormal="121" workbookViewId="0">
      <selection activeCell="R8" sqref="R8"/>
    </sheetView>
  </sheetViews>
  <sheetFormatPr baseColWidth="10" defaultRowHeight="13" customHeight="1"/>
  <cols>
    <col min="1" max="1" width="10.6640625" style="37" customWidth="1"/>
    <col min="2" max="5" width="10.6640625" style="32" customWidth="1"/>
    <col min="6" max="15" width="10.83203125" style="252" customWidth="1"/>
    <col min="16" max="16384" width="10.83203125" style="1"/>
  </cols>
  <sheetData>
    <row r="1" spans="1:15" ht="14" customHeight="1">
      <c r="A1" s="2" t="s">
        <v>253</v>
      </c>
      <c r="B1" s="3" t="s">
        <v>252</v>
      </c>
      <c r="C1" s="3" t="s">
        <v>251</v>
      </c>
      <c r="D1" s="3" t="s">
        <v>250</v>
      </c>
      <c r="E1" s="4" t="s">
        <v>249</v>
      </c>
      <c r="F1" s="146"/>
      <c r="G1" s="146"/>
      <c r="H1" s="146"/>
      <c r="I1" s="146"/>
      <c r="J1" s="146"/>
      <c r="K1" s="146"/>
      <c r="L1" s="146"/>
      <c r="M1" s="146"/>
      <c r="N1" s="146"/>
      <c r="O1" s="146"/>
    </row>
    <row r="2" spans="1:15" ht="13" customHeight="1">
      <c r="A2" s="5" t="s">
        <v>248</v>
      </c>
      <c r="B2" s="6">
        <v>-0.2</v>
      </c>
      <c r="C2" s="6">
        <v>0.22</v>
      </c>
      <c r="D2" s="6">
        <v>-28.1</v>
      </c>
      <c r="E2" s="7"/>
      <c r="F2" s="146"/>
      <c r="G2" s="146"/>
      <c r="H2" s="146"/>
      <c r="I2" s="146"/>
      <c r="J2" s="146"/>
      <c r="K2" s="146"/>
      <c r="L2" s="146"/>
      <c r="M2" s="146"/>
      <c r="N2" s="146"/>
      <c r="O2" s="146"/>
    </row>
    <row r="3" spans="1:15" ht="13" customHeight="1">
      <c r="A3" s="8" t="s">
        <v>247</v>
      </c>
      <c r="B3" s="6">
        <v>0</v>
      </c>
      <c r="C3" s="9"/>
      <c r="D3" s="9"/>
      <c r="E3" s="10"/>
      <c r="F3" s="146"/>
      <c r="G3" s="146"/>
      <c r="H3" s="146"/>
      <c r="I3" s="146"/>
      <c r="J3" s="146"/>
      <c r="K3" s="146"/>
      <c r="L3" s="146"/>
      <c r="M3" s="146"/>
      <c r="N3" s="146"/>
      <c r="O3" s="146"/>
    </row>
    <row r="4" spans="1:15" ht="13" customHeight="1">
      <c r="A4" s="8" t="s">
        <v>246</v>
      </c>
      <c r="B4" s="6">
        <v>0.25</v>
      </c>
      <c r="C4" s="11">
        <v>0.56000000000000005</v>
      </c>
      <c r="D4" s="12">
        <v>-27.65</v>
      </c>
      <c r="E4" s="13">
        <v>1085.7142857142856</v>
      </c>
      <c r="F4" s="146"/>
      <c r="G4" s="146"/>
      <c r="H4" s="146"/>
      <c r="I4" s="146"/>
      <c r="J4" s="146"/>
      <c r="K4" s="146"/>
      <c r="L4" s="146"/>
      <c r="M4" s="146"/>
      <c r="N4" s="146"/>
      <c r="O4" s="146"/>
    </row>
    <row r="5" spans="1:15" ht="13" customHeight="1">
      <c r="A5" s="8" t="s">
        <v>245</v>
      </c>
      <c r="B5" s="6">
        <v>0.5</v>
      </c>
      <c r="C5" s="11">
        <v>0.49</v>
      </c>
      <c r="D5" s="14">
        <v>-26.76</v>
      </c>
      <c r="E5" s="13"/>
      <c r="F5" s="146"/>
      <c r="G5" s="146"/>
      <c r="H5" s="146"/>
      <c r="I5" s="146"/>
      <c r="J5" s="146"/>
      <c r="K5" s="146"/>
      <c r="L5" s="146"/>
      <c r="M5" s="146"/>
      <c r="N5" s="146"/>
      <c r="O5" s="146"/>
    </row>
    <row r="6" spans="1:15" ht="13" customHeight="1">
      <c r="A6" s="5" t="s">
        <v>244</v>
      </c>
      <c r="B6" s="6">
        <v>0.75</v>
      </c>
      <c r="C6" s="6">
        <v>0.55000000000000004</v>
      </c>
      <c r="D6" s="6">
        <v>-17.34</v>
      </c>
      <c r="E6" s="10"/>
      <c r="F6" s="146"/>
      <c r="G6" s="146"/>
      <c r="H6" s="146"/>
      <c r="I6" s="146"/>
      <c r="J6" s="146"/>
      <c r="K6" s="146"/>
      <c r="L6" s="146"/>
      <c r="M6" s="146"/>
      <c r="N6" s="146"/>
      <c r="O6" s="146"/>
    </row>
    <row r="7" spans="1:15" ht="13" customHeight="1">
      <c r="A7" s="8" t="s">
        <v>243</v>
      </c>
      <c r="B7" s="6">
        <v>1</v>
      </c>
      <c r="C7" s="16">
        <v>0.35</v>
      </c>
      <c r="D7" s="9"/>
      <c r="E7" s="13"/>
      <c r="F7" s="146"/>
      <c r="G7" s="146"/>
      <c r="H7" s="146"/>
      <c r="I7" s="146"/>
      <c r="J7" s="146"/>
      <c r="K7" s="146"/>
      <c r="L7" s="146"/>
      <c r="M7" s="146"/>
      <c r="N7" s="146"/>
      <c r="O7" s="146"/>
    </row>
    <row r="8" spans="1:15" ht="13" customHeight="1">
      <c r="A8" s="8" t="s">
        <v>242</v>
      </c>
      <c r="B8" s="6">
        <v>1.5</v>
      </c>
      <c r="C8" s="9"/>
      <c r="D8" s="9"/>
      <c r="E8" s="10"/>
      <c r="F8" s="146"/>
      <c r="G8" s="146"/>
      <c r="H8" s="146"/>
      <c r="I8" s="146"/>
      <c r="J8" s="146"/>
      <c r="K8" s="146"/>
      <c r="L8" s="146"/>
      <c r="M8" s="146"/>
      <c r="N8" s="146"/>
      <c r="O8" s="146"/>
    </row>
    <row r="9" spans="1:15" ht="13" customHeight="1">
      <c r="A9" s="8" t="s">
        <v>241</v>
      </c>
      <c r="B9" s="6">
        <f>B8+0.24+0.1</f>
        <v>1.84</v>
      </c>
      <c r="C9" s="9"/>
      <c r="D9" s="9"/>
      <c r="E9" s="10"/>
      <c r="F9" s="146"/>
      <c r="G9" s="146"/>
      <c r="H9" s="146"/>
      <c r="I9" s="146"/>
      <c r="J9" s="146"/>
      <c r="K9" s="146"/>
      <c r="L9" s="146"/>
      <c r="M9" s="146"/>
      <c r="N9" s="146"/>
      <c r="O9" s="146"/>
    </row>
    <row r="10" spans="1:15" ht="13" customHeight="1">
      <c r="A10" s="8" t="s">
        <v>240</v>
      </c>
      <c r="B10" s="6">
        <f>B9+0.35</f>
        <v>2.19</v>
      </c>
      <c r="C10" s="16">
        <v>0.4</v>
      </c>
      <c r="D10" s="6">
        <v>-28.77</v>
      </c>
      <c r="E10" s="13"/>
      <c r="F10" s="146"/>
      <c r="G10" s="146"/>
      <c r="H10" s="146"/>
      <c r="I10" s="146"/>
      <c r="J10" s="146"/>
      <c r="K10" s="146"/>
      <c r="L10" s="146"/>
      <c r="M10" s="146"/>
      <c r="N10" s="146"/>
      <c r="O10" s="146"/>
    </row>
    <row r="11" spans="1:15" ht="13" customHeight="1">
      <c r="A11" s="8" t="s">
        <v>239</v>
      </c>
      <c r="B11" s="6">
        <f>B10+0.18</f>
        <v>2.37</v>
      </c>
      <c r="C11" s="16">
        <v>0.46</v>
      </c>
      <c r="D11" s="6">
        <v>-28.08</v>
      </c>
      <c r="E11" s="13"/>
      <c r="F11" s="146"/>
      <c r="G11" s="146"/>
      <c r="H11" s="146"/>
      <c r="I11" s="146"/>
      <c r="J11" s="146"/>
      <c r="K11" s="146"/>
      <c r="L11" s="146"/>
      <c r="M11" s="146"/>
      <c r="N11" s="146"/>
      <c r="O11" s="146"/>
    </row>
    <row r="12" spans="1:15" ht="13" customHeight="1">
      <c r="A12" s="5" t="s">
        <v>238</v>
      </c>
      <c r="B12" s="6">
        <f>B11+0.25</f>
        <v>2.62</v>
      </c>
      <c r="C12" s="6">
        <v>0.28000000000000003</v>
      </c>
      <c r="D12" s="6">
        <v>-27.3</v>
      </c>
      <c r="E12" s="17"/>
      <c r="F12" s="146"/>
      <c r="G12" s="146"/>
      <c r="H12" s="146"/>
      <c r="I12" s="146"/>
      <c r="J12" s="146"/>
      <c r="K12" s="146"/>
      <c r="L12" s="146"/>
      <c r="M12" s="146"/>
      <c r="N12" s="146"/>
      <c r="O12" s="146"/>
    </row>
    <row r="13" spans="1:15" ht="13" customHeight="1">
      <c r="A13" s="8" t="s">
        <v>237</v>
      </c>
      <c r="B13" s="6">
        <f>B12+0.25</f>
        <v>2.87</v>
      </c>
      <c r="C13" s="16">
        <v>0.22</v>
      </c>
      <c r="D13" s="6">
        <v>-27.93</v>
      </c>
      <c r="E13" s="7"/>
      <c r="F13" s="146"/>
      <c r="G13" s="146"/>
      <c r="H13" s="146"/>
      <c r="I13" s="146"/>
      <c r="J13" s="146"/>
      <c r="K13" s="146"/>
      <c r="L13" s="146"/>
      <c r="M13" s="146"/>
      <c r="N13" s="146"/>
      <c r="O13" s="146"/>
    </row>
    <row r="14" spans="1:15" ht="14" customHeight="1">
      <c r="A14" s="8" t="s">
        <v>236</v>
      </c>
      <c r="B14" s="6">
        <f>B13+0.25</f>
        <v>3.12</v>
      </c>
      <c r="C14" s="16">
        <v>0.18</v>
      </c>
      <c r="D14" s="6">
        <v>-27.34</v>
      </c>
      <c r="E14" s="13"/>
      <c r="F14" s="146"/>
      <c r="G14" s="146"/>
      <c r="H14" s="146"/>
      <c r="I14" s="146"/>
      <c r="J14" s="146"/>
      <c r="K14" s="146"/>
      <c r="L14" s="146"/>
      <c r="M14" s="146"/>
      <c r="N14" s="146"/>
      <c r="O14" s="146"/>
    </row>
    <row r="15" spans="1:15" ht="14" customHeight="1">
      <c r="A15" s="5" t="s">
        <v>235</v>
      </c>
      <c r="B15" s="6">
        <f>B14+0.25</f>
        <v>3.37</v>
      </c>
      <c r="C15" s="6">
        <v>1.56</v>
      </c>
      <c r="D15" s="6">
        <v>-28.22</v>
      </c>
      <c r="E15" s="18"/>
      <c r="F15" s="146"/>
      <c r="G15" s="146"/>
      <c r="H15" s="146"/>
      <c r="I15" s="146"/>
      <c r="J15" s="146"/>
      <c r="K15" s="146"/>
      <c r="L15" s="146"/>
      <c r="M15" s="146"/>
      <c r="N15" s="146"/>
      <c r="O15" s="146"/>
    </row>
    <row r="16" spans="1:15" ht="14" customHeight="1">
      <c r="A16" s="8" t="s">
        <v>234</v>
      </c>
      <c r="B16" s="6">
        <f>B15+0.49</f>
        <v>3.8600000000000003</v>
      </c>
      <c r="C16" s="9"/>
      <c r="D16" s="9"/>
      <c r="E16" s="18"/>
      <c r="F16" s="146"/>
      <c r="G16" s="146"/>
      <c r="H16" s="146"/>
      <c r="I16" s="146"/>
      <c r="J16" s="146"/>
      <c r="K16" s="146"/>
      <c r="L16" s="146"/>
      <c r="M16" s="146"/>
      <c r="N16" s="146"/>
      <c r="O16" s="146"/>
    </row>
    <row r="17" spans="1:15" ht="13" customHeight="1">
      <c r="A17" s="8" t="s">
        <v>233</v>
      </c>
      <c r="B17" s="6">
        <f>B16+0.38</f>
        <v>4.24</v>
      </c>
      <c r="C17" s="11">
        <v>0.12</v>
      </c>
      <c r="D17" s="6">
        <v>-28.54</v>
      </c>
      <c r="E17" s="19"/>
      <c r="F17" s="146"/>
      <c r="G17" s="146"/>
      <c r="H17" s="146"/>
      <c r="I17" s="146"/>
      <c r="J17" s="146"/>
      <c r="K17" s="146"/>
      <c r="L17" s="146"/>
      <c r="M17" s="146"/>
      <c r="N17" s="146"/>
      <c r="O17" s="146"/>
    </row>
    <row r="18" spans="1:15" ht="14" customHeight="1">
      <c r="A18" s="5" t="s">
        <v>232</v>
      </c>
      <c r="B18" s="6">
        <f>B17+0.05+0.19</f>
        <v>4.4800000000000004</v>
      </c>
      <c r="C18" s="6">
        <v>0.3</v>
      </c>
      <c r="D18" s="6">
        <v>-27.3</v>
      </c>
      <c r="E18" s="18"/>
      <c r="F18" s="146"/>
      <c r="G18" s="146"/>
      <c r="H18" s="146"/>
      <c r="I18" s="146"/>
      <c r="J18" s="146"/>
      <c r="K18" s="146"/>
      <c r="L18" s="146"/>
      <c r="M18" s="146"/>
      <c r="N18" s="146"/>
      <c r="O18" s="146"/>
    </row>
    <row r="19" spans="1:15" ht="14" customHeight="1">
      <c r="A19" s="8" t="s">
        <v>231</v>
      </c>
      <c r="B19" s="6">
        <f>B18+0.25</f>
        <v>4.7300000000000004</v>
      </c>
      <c r="C19" s="9"/>
      <c r="D19" s="9"/>
      <c r="E19" s="18"/>
      <c r="F19" s="146"/>
      <c r="G19" s="146"/>
      <c r="H19" s="146"/>
      <c r="I19" s="146"/>
      <c r="J19" s="146"/>
      <c r="K19" s="146"/>
      <c r="L19" s="146"/>
      <c r="M19" s="146"/>
      <c r="N19" s="146"/>
      <c r="O19" s="146"/>
    </row>
    <row r="20" spans="1:15" ht="13" customHeight="1">
      <c r="A20" s="8" t="s">
        <v>230</v>
      </c>
      <c r="B20" s="6">
        <f>B19+0.55</f>
        <v>5.28</v>
      </c>
      <c r="C20" s="16">
        <v>0.1</v>
      </c>
      <c r="D20" s="12">
        <v>-28.22</v>
      </c>
      <c r="E20" s="244"/>
      <c r="F20" s="146"/>
      <c r="G20" s="146"/>
      <c r="H20" s="146"/>
      <c r="I20" s="146"/>
      <c r="J20" s="146"/>
      <c r="K20" s="146"/>
      <c r="L20" s="146"/>
      <c r="M20" s="146"/>
      <c r="N20" s="146"/>
      <c r="O20" s="146"/>
    </row>
    <row r="21" spans="1:15" ht="13" customHeight="1">
      <c r="A21" s="8" t="s">
        <v>229</v>
      </c>
      <c r="B21" s="6">
        <f>B20+0.18</f>
        <v>5.46</v>
      </c>
      <c r="C21" s="11">
        <v>0.14000000000000001</v>
      </c>
      <c r="D21" s="14">
        <v>-28.38</v>
      </c>
      <c r="E21" s="13"/>
      <c r="F21" s="146"/>
      <c r="G21" s="146"/>
      <c r="H21" s="146"/>
      <c r="I21" s="146"/>
      <c r="J21" s="146"/>
      <c r="K21" s="146"/>
      <c r="L21" s="146"/>
      <c r="M21" s="146"/>
      <c r="N21" s="146"/>
      <c r="O21" s="146"/>
    </row>
    <row r="22" spans="1:15" ht="13" customHeight="1">
      <c r="A22" s="8" t="s">
        <v>228</v>
      </c>
      <c r="B22" s="6">
        <f>B21+0.31</f>
        <v>5.77</v>
      </c>
      <c r="C22" s="16">
        <v>0.44</v>
      </c>
      <c r="D22" s="6">
        <v>-29.05</v>
      </c>
      <c r="E22" s="13"/>
      <c r="F22" s="146"/>
      <c r="G22" s="146"/>
      <c r="H22" s="249"/>
      <c r="I22" s="146"/>
      <c r="J22" s="146"/>
      <c r="K22" s="146"/>
      <c r="L22" s="249"/>
      <c r="M22" s="146"/>
      <c r="N22" s="146"/>
      <c r="O22" s="146"/>
    </row>
    <row r="23" spans="1:15" ht="14" customHeight="1">
      <c r="A23" s="5" t="s">
        <v>227</v>
      </c>
      <c r="B23" s="6">
        <f>B22+0.2</f>
        <v>5.97</v>
      </c>
      <c r="C23" s="6">
        <v>0.47</v>
      </c>
      <c r="D23" s="6">
        <v>-28.38</v>
      </c>
      <c r="E23" s="18"/>
      <c r="F23" s="146"/>
      <c r="G23" s="146"/>
      <c r="H23" s="146"/>
      <c r="I23" s="146"/>
      <c r="J23" s="146"/>
      <c r="K23" s="146"/>
      <c r="L23" s="146"/>
      <c r="M23" s="146"/>
      <c r="N23" s="146"/>
      <c r="O23" s="146"/>
    </row>
    <row r="24" spans="1:15" ht="14" customHeight="1">
      <c r="A24" s="5" t="s">
        <v>226</v>
      </c>
      <c r="B24" s="6">
        <f>B23+0.2</f>
        <v>6.17</v>
      </c>
      <c r="C24" s="11">
        <v>0.23</v>
      </c>
      <c r="D24" s="6">
        <v>-28.67</v>
      </c>
      <c r="E24" s="13"/>
      <c r="F24" s="146"/>
      <c r="G24" s="146"/>
      <c r="H24" s="146"/>
      <c r="I24" s="146"/>
      <c r="J24" s="146"/>
      <c r="K24" s="146"/>
      <c r="L24" s="146"/>
      <c r="M24" s="146"/>
      <c r="N24" s="146"/>
      <c r="O24" s="146"/>
    </row>
    <row r="25" spans="1:15" ht="13" customHeight="1">
      <c r="A25" s="8" t="s">
        <v>225</v>
      </c>
      <c r="B25" s="6">
        <f>B24+0.07+0.03</f>
        <v>6.2700000000000005</v>
      </c>
      <c r="C25" s="16">
        <v>0.15</v>
      </c>
      <c r="D25" s="6">
        <v>-28.99</v>
      </c>
      <c r="E25" s="19"/>
      <c r="F25" s="146"/>
      <c r="G25" s="146"/>
      <c r="H25" s="146"/>
      <c r="I25" s="146"/>
      <c r="J25" s="146"/>
      <c r="K25" s="146"/>
      <c r="L25" s="146"/>
      <c r="M25" s="146"/>
      <c r="N25" s="146"/>
      <c r="O25" s="146"/>
    </row>
    <row r="26" spans="1:15" ht="14" customHeight="1">
      <c r="A26" s="5" t="s">
        <v>224</v>
      </c>
      <c r="B26" s="6">
        <f>B25+0.37</f>
        <v>6.6400000000000006</v>
      </c>
      <c r="C26" s="6">
        <v>0.22</v>
      </c>
      <c r="D26" s="6">
        <v>-26.85</v>
      </c>
      <c r="E26" s="18"/>
      <c r="F26" s="146"/>
      <c r="G26" s="146"/>
      <c r="H26" s="146"/>
      <c r="I26" s="146"/>
      <c r="J26" s="146"/>
      <c r="K26" s="146"/>
      <c r="L26" s="146"/>
      <c r="M26" s="146"/>
      <c r="N26" s="146"/>
      <c r="O26" s="146"/>
    </row>
    <row r="27" spans="1:15" ht="14" customHeight="1">
      <c r="A27" s="8" t="s">
        <v>223</v>
      </c>
      <c r="B27" s="6">
        <f>B26+0.11+0.04</f>
        <v>6.7900000000000009</v>
      </c>
      <c r="C27" s="9"/>
      <c r="D27" s="9"/>
      <c r="E27" s="18"/>
      <c r="F27" s="146"/>
      <c r="G27" s="146"/>
      <c r="H27" s="146"/>
      <c r="I27" s="146"/>
      <c r="J27" s="146"/>
      <c r="K27" s="146"/>
      <c r="L27" s="146"/>
      <c r="M27" s="146"/>
      <c r="N27" s="146"/>
      <c r="O27" s="146"/>
    </row>
    <row r="28" spans="1:15" ht="13" customHeight="1">
      <c r="A28" s="8" t="s">
        <v>222</v>
      </c>
      <c r="B28" s="6">
        <f>B27+0.49+0.04</f>
        <v>7.3200000000000012</v>
      </c>
      <c r="C28" s="11">
        <v>0.18</v>
      </c>
      <c r="D28" s="6">
        <v>-29.06</v>
      </c>
      <c r="E28" s="13"/>
      <c r="F28" s="146"/>
      <c r="G28" s="146"/>
      <c r="H28" s="146"/>
      <c r="I28" s="146"/>
      <c r="J28" s="146"/>
      <c r="K28" s="146"/>
      <c r="L28" s="146"/>
      <c r="M28" s="146"/>
      <c r="N28" s="146"/>
      <c r="O28" s="146"/>
    </row>
    <row r="29" spans="1:15" ht="14" customHeight="1">
      <c r="A29" s="5" t="s">
        <v>221</v>
      </c>
      <c r="B29" s="6">
        <f>B28+0.04+0.05+0.07</f>
        <v>7.4800000000000013</v>
      </c>
      <c r="C29" s="6">
        <v>0.16</v>
      </c>
      <c r="D29" s="6">
        <v>-28.42</v>
      </c>
      <c r="E29" s="18"/>
      <c r="F29" s="146"/>
      <c r="G29" s="146"/>
      <c r="H29" s="146"/>
      <c r="I29" s="146"/>
      <c r="J29" s="146"/>
      <c r="K29" s="146"/>
      <c r="L29" s="146"/>
      <c r="M29" s="146"/>
      <c r="N29" s="146"/>
      <c r="O29" s="146"/>
    </row>
    <row r="30" spans="1:15" ht="13" customHeight="1">
      <c r="A30" s="8" t="s">
        <v>220</v>
      </c>
      <c r="B30" s="6">
        <f>B29+0.2</f>
        <v>7.6800000000000015</v>
      </c>
      <c r="C30" s="11">
        <v>0.26</v>
      </c>
      <c r="D30" s="6">
        <v>-26.61</v>
      </c>
      <c r="E30" s="13"/>
      <c r="F30" s="146"/>
      <c r="G30" s="146"/>
      <c r="H30" s="146"/>
      <c r="I30" s="146"/>
      <c r="J30" s="146"/>
      <c r="K30" s="146"/>
      <c r="L30" s="146"/>
      <c r="M30" s="146"/>
      <c r="N30" s="146"/>
      <c r="O30" s="146"/>
    </row>
    <row r="31" spans="1:15" ht="14" customHeight="1">
      <c r="A31" s="8" t="s">
        <v>219</v>
      </c>
      <c r="B31" s="6">
        <f>B30+0.14</f>
        <v>7.8200000000000012</v>
      </c>
      <c r="C31" s="9"/>
      <c r="D31" s="9"/>
      <c r="E31" s="18"/>
      <c r="F31" s="146"/>
      <c r="G31" s="146"/>
      <c r="H31" s="250"/>
      <c r="I31" s="146"/>
      <c r="J31" s="146"/>
      <c r="K31" s="146"/>
      <c r="L31" s="250"/>
      <c r="M31" s="146"/>
      <c r="N31" s="146"/>
      <c r="O31" s="146"/>
    </row>
    <row r="32" spans="1:15" ht="14" customHeight="1">
      <c r="A32" s="8" t="s">
        <v>218</v>
      </c>
      <c r="B32" s="6">
        <f>B31+0.2</f>
        <v>8.0200000000000014</v>
      </c>
      <c r="C32" s="11">
        <v>0.3</v>
      </c>
      <c r="D32" s="6">
        <v>-28.52</v>
      </c>
      <c r="E32" s="13"/>
      <c r="F32" s="146"/>
      <c r="G32" s="146"/>
      <c r="H32" s="146"/>
      <c r="I32" s="146"/>
      <c r="J32" s="146"/>
      <c r="K32" s="146"/>
      <c r="L32" s="146"/>
      <c r="M32" s="146"/>
      <c r="N32" s="146"/>
      <c r="O32" s="146"/>
    </row>
    <row r="33" spans="1:15" ht="13" customHeight="1">
      <c r="A33" s="8" t="s">
        <v>217</v>
      </c>
      <c r="B33" s="6">
        <f>B32+0.25</f>
        <v>8.2700000000000014</v>
      </c>
      <c r="C33" s="11">
        <v>0.22</v>
      </c>
      <c r="D33" s="6">
        <v>-28.15</v>
      </c>
      <c r="E33" s="13"/>
      <c r="F33" s="146"/>
      <c r="G33" s="146"/>
      <c r="H33" s="146"/>
      <c r="I33" s="146"/>
      <c r="J33" s="146"/>
      <c r="K33" s="146"/>
      <c r="L33" s="146"/>
      <c r="M33" s="146"/>
      <c r="N33" s="146"/>
      <c r="O33" s="146"/>
    </row>
    <row r="34" spans="1:15" ht="14" customHeight="1">
      <c r="A34" s="5" t="s">
        <v>216</v>
      </c>
      <c r="B34" s="6">
        <f>B33+0.2</f>
        <v>8.4700000000000006</v>
      </c>
      <c r="C34" s="6">
        <v>0.34</v>
      </c>
      <c r="D34" s="6">
        <v>-28.02</v>
      </c>
      <c r="E34" s="13"/>
      <c r="F34" s="146"/>
      <c r="G34" s="146"/>
      <c r="H34" s="146"/>
      <c r="I34" s="146"/>
      <c r="J34" s="146"/>
      <c r="K34" s="146"/>
      <c r="L34" s="146"/>
      <c r="M34" s="146"/>
      <c r="N34" s="146"/>
      <c r="O34" s="146"/>
    </row>
    <row r="35" spans="1:15" ht="13" customHeight="1">
      <c r="A35" s="8" t="s">
        <v>215</v>
      </c>
      <c r="B35" s="6">
        <f>B34+0.22</f>
        <v>8.6900000000000013</v>
      </c>
      <c r="C35" s="11">
        <v>0.55000000000000004</v>
      </c>
      <c r="D35" s="6">
        <v>-26.91</v>
      </c>
      <c r="E35" s="13">
        <v>169.09090909090907</v>
      </c>
      <c r="F35" s="146"/>
      <c r="G35" s="146"/>
      <c r="H35" s="146"/>
      <c r="I35" s="249"/>
      <c r="J35" s="146"/>
      <c r="K35" s="146"/>
      <c r="L35" s="146"/>
      <c r="M35" s="146"/>
      <c r="N35" s="146"/>
      <c r="O35" s="146"/>
    </row>
    <row r="36" spans="1:15" ht="14" customHeight="1">
      <c r="A36" s="8" t="s">
        <v>214</v>
      </c>
      <c r="B36" s="6">
        <f>B35+0.16</f>
        <v>8.8500000000000014</v>
      </c>
      <c r="C36" s="240"/>
      <c r="D36" s="9"/>
      <c r="E36" s="18"/>
      <c r="F36" s="146"/>
      <c r="G36" s="146"/>
      <c r="H36" s="146"/>
      <c r="I36" s="146"/>
      <c r="J36" s="146"/>
      <c r="K36" s="146"/>
      <c r="L36" s="146"/>
      <c r="M36" s="146"/>
      <c r="N36" s="146"/>
      <c r="O36" s="146"/>
    </row>
    <row r="37" spans="1:15" ht="14" customHeight="1">
      <c r="A37" s="5" t="s">
        <v>213</v>
      </c>
      <c r="B37" s="6">
        <f>B36+0.18</f>
        <v>9.0300000000000011</v>
      </c>
      <c r="C37" s="6">
        <v>0.38</v>
      </c>
      <c r="D37" s="6">
        <v>-28.08</v>
      </c>
      <c r="E37" s="18"/>
      <c r="F37" s="146"/>
      <c r="G37" s="146"/>
      <c r="H37" s="146"/>
      <c r="I37" s="146"/>
      <c r="J37" s="146"/>
      <c r="K37" s="146"/>
      <c r="L37" s="146"/>
      <c r="M37" s="146"/>
      <c r="N37" s="146"/>
      <c r="O37" s="146"/>
    </row>
    <row r="38" spans="1:15" ht="14" customHeight="1">
      <c r="A38" s="5" t="s">
        <v>212</v>
      </c>
      <c r="B38" s="6">
        <f>B37+0.11</f>
        <v>9.14</v>
      </c>
      <c r="C38" s="16">
        <v>0.24</v>
      </c>
      <c r="D38" s="6">
        <v>-26.968440739199998</v>
      </c>
      <c r="E38" s="13"/>
      <c r="F38" s="146"/>
      <c r="G38" s="146"/>
      <c r="H38" s="146"/>
      <c r="I38" s="146"/>
      <c r="J38" s="146"/>
      <c r="K38" s="146"/>
      <c r="L38" s="146"/>
      <c r="M38" s="146"/>
      <c r="N38" s="146"/>
      <c r="O38" s="146"/>
    </row>
    <row r="39" spans="1:15" ht="14" customHeight="1">
      <c r="A39" s="8" t="s">
        <v>211</v>
      </c>
      <c r="B39" s="6">
        <f>B37+0.2</f>
        <v>9.23</v>
      </c>
      <c r="C39" s="11">
        <v>0.37</v>
      </c>
      <c r="D39" s="6">
        <v>-27.67</v>
      </c>
      <c r="E39" s="18"/>
      <c r="F39" s="251"/>
      <c r="G39" s="146"/>
      <c r="H39" s="146"/>
      <c r="I39" s="146"/>
      <c r="J39" s="251"/>
      <c r="K39" s="146"/>
      <c r="L39" s="146"/>
      <c r="M39" s="146"/>
      <c r="N39" s="146"/>
      <c r="O39" s="146"/>
    </row>
    <row r="40" spans="1:15" ht="13" customHeight="1">
      <c r="A40" s="8" t="s">
        <v>210</v>
      </c>
      <c r="B40" s="6">
        <f>B39+0.14</f>
        <v>9.370000000000001</v>
      </c>
      <c r="C40" s="11">
        <v>0.19</v>
      </c>
      <c r="D40" s="12">
        <v>-29.305169916000001</v>
      </c>
      <c r="E40" s="13"/>
      <c r="F40" s="251"/>
      <c r="G40" s="146"/>
      <c r="H40" s="146"/>
      <c r="I40" s="146"/>
      <c r="J40" s="251"/>
      <c r="K40" s="146"/>
      <c r="L40" s="146"/>
      <c r="M40" s="146"/>
      <c r="N40" s="146"/>
      <c r="O40" s="146"/>
    </row>
    <row r="41" spans="1:15" ht="14" customHeight="1">
      <c r="A41" s="8" t="s">
        <v>209</v>
      </c>
      <c r="B41" s="6">
        <f>B40+0.2</f>
        <v>9.57</v>
      </c>
      <c r="C41" s="16">
        <v>0.87</v>
      </c>
      <c r="D41" s="20">
        <v>-28.9642834496</v>
      </c>
      <c r="E41" s="13">
        <v>105.74712643678161</v>
      </c>
      <c r="F41" s="146"/>
      <c r="G41" s="146"/>
      <c r="H41" s="146"/>
      <c r="I41" s="146"/>
      <c r="J41" s="146"/>
      <c r="K41" s="146"/>
      <c r="L41" s="146"/>
      <c r="M41" s="146"/>
      <c r="N41" s="146"/>
      <c r="O41" s="146"/>
    </row>
    <row r="42" spans="1:15" ht="13" customHeight="1">
      <c r="A42" s="8" t="s">
        <v>208</v>
      </c>
      <c r="B42" s="6">
        <f>B41+0.1</f>
        <v>9.67</v>
      </c>
      <c r="C42" s="11">
        <v>0.53</v>
      </c>
      <c r="D42" s="20">
        <v>-28.33</v>
      </c>
      <c r="E42" s="13">
        <v>111.32075471698113</v>
      </c>
      <c r="F42" s="146"/>
      <c r="G42" s="146"/>
      <c r="H42" s="146"/>
      <c r="I42" s="146"/>
      <c r="J42" s="146"/>
      <c r="K42" s="146"/>
      <c r="L42" s="146"/>
      <c r="M42" s="146"/>
      <c r="N42" s="146"/>
      <c r="O42" s="146"/>
    </row>
    <row r="43" spans="1:15" ht="14" customHeight="1">
      <c r="A43" s="8" t="s">
        <v>207</v>
      </c>
      <c r="B43" s="6">
        <f>B41+0.2</f>
        <v>9.77</v>
      </c>
      <c r="C43" s="16">
        <v>0.5</v>
      </c>
      <c r="D43" s="14">
        <v>-28.6037219888</v>
      </c>
      <c r="E43" s="18"/>
      <c r="F43" s="146"/>
      <c r="G43" s="146"/>
      <c r="H43" s="146"/>
      <c r="I43" s="146"/>
      <c r="J43" s="146"/>
      <c r="K43" s="146"/>
      <c r="L43" s="146"/>
      <c r="M43" s="146"/>
      <c r="N43" s="146"/>
      <c r="O43" s="146"/>
    </row>
    <row r="44" spans="1:15" ht="14" customHeight="1">
      <c r="A44" s="8" t="s">
        <v>206</v>
      </c>
      <c r="B44" s="6">
        <f>B42+0.25</f>
        <v>9.92</v>
      </c>
      <c r="C44" s="240"/>
      <c r="D44" s="9"/>
      <c r="E44" s="18"/>
      <c r="F44" s="146"/>
      <c r="G44" s="146"/>
      <c r="H44" s="146"/>
      <c r="I44" s="146"/>
      <c r="J44" s="146"/>
      <c r="K44" s="146"/>
      <c r="L44" s="250"/>
      <c r="M44" s="146"/>
      <c r="N44" s="146"/>
      <c r="O44" s="146"/>
    </row>
    <row r="45" spans="1:15" ht="14" customHeight="1">
      <c r="A45" s="8" t="s">
        <v>205</v>
      </c>
      <c r="B45" s="6">
        <f>B44+0.36</f>
        <v>10.28</v>
      </c>
      <c r="C45" s="11">
        <v>0.35</v>
      </c>
      <c r="D45" s="6">
        <v>-27.83</v>
      </c>
      <c r="E45" s="13"/>
      <c r="F45" s="146"/>
      <c r="G45" s="146"/>
      <c r="H45" s="146"/>
      <c r="I45" s="146"/>
      <c r="J45" s="146"/>
      <c r="K45" s="146"/>
      <c r="L45" s="146"/>
      <c r="M45" s="146"/>
      <c r="N45" s="146"/>
      <c r="O45" s="146"/>
    </row>
    <row r="46" spans="1:15" ht="13" customHeight="1">
      <c r="A46" s="8" t="s">
        <v>204</v>
      </c>
      <c r="B46" s="6">
        <f>B45+0.11</f>
        <v>10.389999999999999</v>
      </c>
      <c r="C46" s="11">
        <v>0.67</v>
      </c>
      <c r="D46" s="12">
        <v>-27.95</v>
      </c>
      <c r="E46" s="19"/>
      <c r="F46" s="146"/>
      <c r="G46" s="146"/>
      <c r="H46" s="146"/>
      <c r="I46" s="146"/>
      <c r="J46" s="146"/>
      <c r="K46" s="146"/>
      <c r="L46" s="146"/>
      <c r="M46" s="146"/>
      <c r="N46" s="146"/>
      <c r="O46" s="146"/>
    </row>
    <row r="47" spans="1:15" ht="14" customHeight="1">
      <c r="A47" s="8" t="s">
        <v>203</v>
      </c>
      <c r="B47" s="6">
        <f>B46+0.07</f>
        <v>10.459999999999999</v>
      </c>
      <c r="C47" s="16">
        <v>0.45</v>
      </c>
      <c r="D47" s="20">
        <v>-28.231681830399999</v>
      </c>
      <c r="E47" s="13"/>
      <c r="F47" s="146"/>
      <c r="G47" s="146"/>
      <c r="H47" s="146"/>
      <c r="I47" s="146"/>
      <c r="J47" s="146"/>
      <c r="K47" s="146"/>
      <c r="L47" s="146"/>
      <c r="M47" s="146"/>
      <c r="N47" s="146"/>
      <c r="O47" s="146"/>
    </row>
    <row r="48" spans="1:15" ht="14" customHeight="1">
      <c r="A48" s="8" t="s">
        <v>202</v>
      </c>
      <c r="B48" s="6">
        <f>B47+0.1</f>
        <v>10.559999999999999</v>
      </c>
      <c r="C48" s="16">
        <v>0.86</v>
      </c>
      <c r="D48" s="14">
        <v>-28.677985157599998</v>
      </c>
      <c r="E48" s="18"/>
      <c r="F48" s="146"/>
      <c r="G48" s="146"/>
      <c r="H48" s="146"/>
      <c r="I48" s="146"/>
      <c r="J48" s="146"/>
      <c r="K48" s="146"/>
      <c r="L48" s="146"/>
      <c r="M48" s="146"/>
      <c r="N48" s="146"/>
      <c r="O48" s="146"/>
    </row>
    <row r="49" spans="1:15" ht="14" customHeight="1">
      <c r="A49" s="5" t="s">
        <v>201</v>
      </c>
      <c r="B49" s="6">
        <f>B46+0.2</f>
        <v>10.589999999999998</v>
      </c>
      <c r="C49" s="6">
        <v>0.46</v>
      </c>
      <c r="D49" s="6">
        <v>-28.36</v>
      </c>
      <c r="E49" s="18"/>
      <c r="F49" s="146"/>
      <c r="G49" s="146" t="s">
        <v>200</v>
      </c>
      <c r="H49" s="146">
        <v>183.06899999999999</v>
      </c>
      <c r="I49" s="146">
        <v>182.78899999999999</v>
      </c>
      <c r="J49" s="146">
        <f>H49-I49</f>
        <v>0.28000000000000114</v>
      </c>
      <c r="K49" s="146">
        <f>J50-J49</f>
        <v>0.30599999999998317</v>
      </c>
      <c r="L49" s="146"/>
      <c r="M49" s="146"/>
      <c r="N49" s="146"/>
      <c r="O49" s="146"/>
    </row>
    <row r="50" spans="1:15" ht="14" customHeight="1">
      <c r="A50" s="5" t="s">
        <v>199</v>
      </c>
      <c r="B50" s="6">
        <f>B48+0.2</f>
        <v>10.759999999999998</v>
      </c>
      <c r="C50" s="16">
        <v>0.21</v>
      </c>
      <c r="D50" s="6">
        <v>-28.3159066208</v>
      </c>
      <c r="E50" s="13"/>
      <c r="F50" s="146"/>
      <c r="G50" s="146" t="s">
        <v>198</v>
      </c>
      <c r="H50" s="146">
        <v>183.53899999999999</v>
      </c>
      <c r="I50" s="146">
        <v>182.953</v>
      </c>
      <c r="J50" s="146">
        <f>H50-I50</f>
        <v>0.58599999999998431</v>
      </c>
      <c r="K50" s="146"/>
      <c r="L50" s="146"/>
      <c r="M50" s="146"/>
      <c r="N50" s="146"/>
      <c r="O50" s="146"/>
    </row>
    <row r="51" spans="1:15" ht="14" customHeight="1">
      <c r="A51" s="8" t="s">
        <v>197</v>
      </c>
      <c r="B51" s="6">
        <f>B49+0.2</f>
        <v>10.789999999999997</v>
      </c>
      <c r="C51" s="16">
        <v>0.38</v>
      </c>
      <c r="D51" s="6">
        <v>-27.78</v>
      </c>
      <c r="E51" s="245"/>
      <c r="F51" s="146"/>
      <c r="G51" s="146" t="s">
        <v>196</v>
      </c>
      <c r="H51" s="146">
        <v>183.995</v>
      </c>
      <c r="I51" s="146">
        <v>183.12899999999999</v>
      </c>
      <c r="J51" s="146">
        <f>H51-I51</f>
        <v>0.86600000000001387</v>
      </c>
      <c r="K51" s="146">
        <f>J51-J50</f>
        <v>0.28000000000002956</v>
      </c>
      <c r="L51" s="146"/>
      <c r="M51" s="146"/>
      <c r="N51" s="146"/>
      <c r="O51" s="146"/>
    </row>
    <row r="52" spans="1:15" ht="14" customHeight="1">
      <c r="A52" s="8" t="s">
        <v>195</v>
      </c>
      <c r="B52" s="6">
        <f>B51+0.06+0.04+0.09</f>
        <v>10.979999999999997</v>
      </c>
      <c r="C52" s="16">
        <v>0.57999999999999996</v>
      </c>
      <c r="D52" s="6">
        <v>-28.175502003199998</v>
      </c>
      <c r="E52" s="18"/>
      <c r="F52" s="146"/>
      <c r="G52" s="146"/>
      <c r="H52" s="146"/>
      <c r="I52" s="146"/>
      <c r="J52" s="146"/>
      <c r="K52" s="146"/>
      <c r="L52" s="146"/>
      <c r="M52" s="146"/>
      <c r="N52" s="146"/>
      <c r="O52" s="146"/>
    </row>
    <row r="53" spans="1:15" ht="14" customHeight="1">
      <c r="A53" s="8" t="s">
        <v>194</v>
      </c>
      <c r="B53" s="6">
        <f>B51+0.06+0.04+0.19</f>
        <v>11.079999999999997</v>
      </c>
      <c r="C53" s="9"/>
      <c r="D53" s="9"/>
      <c r="E53" s="18"/>
      <c r="F53" s="146"/>
      <c r="G53" s="146"/>
      <c r="H53" s="146"/>
      <c r="I53" s="146"/>
      <c r="J53" s="146"/>
      <c r="K53" s="146"/>
      <c r="L53" s="146"/>
      <c r="M53" s="146"/>
      <c r="N53" s="146"/>
      <c r="O53" s="146"/>
    </row>
    <row r="54" spans="1:15" ht="14" customHeight="1">
      <c r="A54" s="8" t="s">
        <v>193</v>
      </c>
      <c r="B54" s="6">
        <f>B52+0.2</f>
        <v>11.179999999999996</v>
      </c>
      <c r="C54" s="16">
        <v>0.74</v>
      </c>
      <c r="D54" s="12">
        <v>-27.415929122400001</v>
      </c>
      <c r="E54" s="13">
        <v>170.27027027027026</v>
      </c>
      <c r="F54" s="146"/>
      <c r="G54" s="146"/>
      <c r="H54" s="146"/>
      <c r="I54" s="146"/>
      <c r="J54" s="146"/>
      <c r="K54" s="146"/>
      <c r="L54" s="146"/>
      <c r="M54" s="146"/>
      <c r="N54" s="146"/>
      <c r="O54" s="146"/>
    </row>
    <row r="55" spans="1:15" ht="13" customHeight="1">
      <c r="A55" s="8" t="s">
        <v>192</v>
      </c>
      <c r="B55" s="6">
        <f>B53+0.05+0.17</f>
        <v>11.299999999999997</v>
      </c>
      <c r="C55" s="16">
        <v>0.4</v>
      </c>
      <c r="D55" s="20">
        <v>-28.24</v>
      </c>
      <c r="E55" s="13"/>
      <c r="F55" s="146"/>
      <c r="G55" s="146"/>
      <c r="H55" s="146"/>
      <c r="I55" s="146"/>
      <c r="J55" s="146"/>
      <c r="K55" s="146"/>
      <c r="L55" s="146"/>
      <c r="M55" s="146"/>
      <c r="N55" s="146"/>
      <c r="O55" s="146"/>
    </row>
    <row r="56" spans="1:15" ht="14" customHeight="1">
      <c r="A56" s="8" t="s">
        <v>191</v>
      </c>
      <c r="B56" s="6">
        <f>B55+0.12</f>
        <v>11.419999999999996</v>
      </c>
      <c r="C56" s="16">
        <v>0.37</v>
      </c>
      <c r="D56" s="14">
        <v>-28.077390604000001</v>
      </c>
      <c r="E56" s="18"/>
      <c r="F56" s="146"/>
      <c r="G56" s="146"/>
      <c r="H56" s="146"/>
      <c r="I56" s="146"/>
      <c r="J56" s="146"/>
      <c r="K56" s="146"/>
      <c r="L56" s="146"/>
      <c r="M56" s="146"/>
      <c r="N56" s="146"/>
      <c r="O56" s="146"/>
    </row>
    <row r="57" spans="1:15" ht="14" customHeight="1">
      <c r="A57" s="8" t="s">
        <v>190</v>
      </c>
      <c r="B57" s="6">
        <f>B56+0.1</f>
        <v>11.519999999999996</v>
      </c>
      <c r="C57" s="9"/>
      <c r="D57" s="9"/>
      <c r="E57" s="18"/>
      <c r="F57" s="146"/>
      <c r="G57" s="146"/>
      <c r="H57" s="146"/>
      <c r="I57" s="146"/>
      <c r="J57" s="146"/>
      <c r="K57" s="146"/>
      <c r="L57" s="146"/>
      <c r="M57" s="146"/>
      <c r="N57" s="146"/>
      <c r="O57" s="146"/>
    </row>
    <row r="58" spans="1:15" ht="14" customHeight="1">
      <c r="A58" s="8" t="s">
        <v>189</v>
      </c>
      <c r="B58" s="6">
        <f>B57+0.07</f>
        <v>11.589999999999996</v>
      </c>
      <c r="C58" s="16">
        <v>0.43</v>
      </c>
      <c r="D58" s="6">
        <v>-28.1540637272</v>
      </c>
      <c r="E58" s="18"/>
      <c r="F58" s="146"/>
      <c r="G58" s="146"/>
      <c r="H58" s="146"/>
      <c r="I58" s="146"/>
      <c r="J58" s="146"/>
      <c r="K58" s="146"/>
      <c r="L58" s="146"/>
      <c r="M58" s="146"/>
      <c r="N58" s="146"/>
      <c r="O58" s="146"/>
    </row>
    <row r="59" spans="1:15" ht="14" customHeight="1">
      <c r="A59" s="5" t="s">
        <v>188</v>
      </c>
      <c r="B59" s="6">
        <f>B58+0.07+0.08</f>
        <v>11.739999999999997</v>
      </c>
      <c r="C59" s="6">
        <v>1.42</v>
      </c>
      <c r="D59" s="6">
        <v>-27.12</v>
      </c>
      <c r="E59" s="18"/>
      <c r="F59" s="146"/>
      <c r="G59" s="146"/>
      <c r="H59" s="146"/>
      <c r="I59" s="146"/>
      <c r="J59" s="146"/>
      <c r="K59" s="146"/>
      <c r="L59" s="146"/>
      <c r="M59" s="146"/>
      <c r="N59" s="146"/>
      <c r="O59" s="146"/>
    </row>
    <row r="60" spans="1:15" ht="14" customHeight="1">
      <c r="A60" s="5" t="s">
        <v>187</v>
      </c>
      <c r="B60" s="6">
        <f>B59+0.1</f>
        <v>11.839999999999996</v>
      </c>
      <c r="C60" s="16">
        <v>0.24</v>
      </c>
      <c r="D60" s="6">
        <v>-27.834309056799999</v>
      </c>
      <c r="E60" s="246"/>
      <c r="F60" s="146"/>
      <c r="G60" s="146"/>
      <c r="H60" s="146"/>
      <c r="I60" s="146"/>
      <c r="J60" s="146"/>
      <c r="K60" s="146"/>
      <c r="L60" s="146"/>
      <c r="M60" s="146"/>
      <c r="N60" s="146"/>
      <c r="O60" s="146"/>
    </row>
    <row r="61" spans="1:15" ht="13" customHeight="1">
      <c r="A61" s="8" t="s">
        <v>186</v>
      </c>
      <c r="B61" s="6">
        <f>B60+0.1</f>
        <v>11.939999999999996</v>
      </c>
      <c r="C61" s="16">
        <v>0.36</v>
      </c>
      <c r="D61" s="6">
        <v>-28.18</v>
      </c>
      <c r="E61" s="21"/>
      <c r="F61" s="146"/>
      <c r="G61" s="146"/>
      <c r="H61" s="146"/>
      <c r="I61" s="146"/>
      <c r="J61" s="146"/>
      <c r="K61" s="146"/>
      <c r="L61" s="146"/>
      <c r="M61" s="146"/>
      <c r="N61" s="146"/>
      <c r="O61" s="146"/>
    </row>
    <row r="62" spans="1:15" ht="14" customHeight="1">
      <c r="A62" s="5" t="s">
        <v>185</v>
      </c>
      <c r="B62" s="6">
        <f>B61+0.1</f>
        <v>12.039999999999996</v>
      </c>
      <c r="C62" s="6">
        <v>0.47</v>
      </c>
      <c r="D62" s="6">
        <v>-28.08</v>
      </c>
      <c r="E62" s="18"/>
      <c r="F62" s="146"/>
      <c r="G62" s="146"/>
      <c r="H62" s="146"/>
      <c r="I62" s="146"/>
      <c r="J62" s="146"/>
      <c r="K62" s="146"/>
      <c r="L62" s="146"/>
      <c r="M62" s="146"/>
      <c r="N62" s="146"/>
      <c r="O62" s="146"/>
    </row>
    <row r="63" spans="1:15" ht="13" customHeight="1">
      <c r="A63" s="8" t="s">
        <v>184</v>
      </c>
      <c r="B63" s="6">
        <f>B62+0.1</f>
        <v>12.139999999999995</v>
      </c>
      <c r="C63" s="16">
        <v>0.36</v>
      </c>
      <c r="D63" s="6">
        <v>-28.35</v>
      </c>
      <c r="E63" s="13"/>
      <c r="F63" s="146"/>
      <c r="G63" s="146"/>
      <c r="H63" s="146"/>
      <c r="I63" s="146"/>
      <c r="J63" s="146"/>
      <c r="K63" s="146"/>
      <c r="L63" s="146"/>
      <c r="M63" s="146"/>
      <c r="N63" s="146"/>
      <c r="O63" s="146"/>
    </row>
    <row r="64" spans="1:15" ht="13" customHeight="1">
      <c r="A64" s="8" t="s">
        <v>183</v>
      </c>
      <c r="B64" s="6">
        <f>B63+0.03+0.11+0.06</f>
        <v>12.339999999999995</v>
      </c>
      <c r="C64" s="11">
        <v>2.69</v>
      </c>
      <c r="D64" s="6">
        <v>-27.99</v>
      </c>
      <c r="E64" s="13">
        <v>47.211895910780669</v>
      </c>
      <c r="F64" s="146"/>
      <c r="G64" s="146"/>
      <c r="H64" s="146"/>
      <c r="I64" s="146"/>
      <c r="J64" s="146"/>
      <c r="K64" s="146"/>
      <c r="L64" s="146"/>
      <c r="M64" s="146"/>
      <c r="N64" s="146"/>
      <c r="O64" s="146"/>
    </row>
    <row r="65" spans="1:15" ht="14" customHeight="1">
      <c r="A65" s="5" t="s">
        <v>182</v>
      </c>
      <c r="B65" s="6">
        <f>B64+0.1</f>
        <v>12.439999999999994</v>
      </c>
      <c r="C65" s="6">
        <v>1.27</v>
      </c>
      <c r="D65" s="6">
        <v>-26.79</v>
      </c>
      <c r="E65" s="18"/>
      <c r="F65" s="146"/>
      <c r="G65" s="146"/>
      <c r="H65" s="146"/>
      <c r="I65" s="146"/>
      <c r="J65" s="146"/>
      <c r="K65" s="146"/>
      <c r="L65" s="146"/>
      <c r="M65" s="146"/>
      <c r="N65" s="146"/>
      <c r="O65" s="146"/>
    </row>
    <row r="66" spans="1:15" ht="13" customHeight="1">
      <c r="A66" s="8" t="s">
        <v>181</v>
      </c>
      <c r="B66" s="6">
        <f>B65+0.1</f>
        <v>12.539999999999994</v>
      </c>
      <c r="C66" s="11">
        <v>1.08</v>
      </c>
      <c r="D66" s="6">
        <v>-28.91</v>
      </c>
      <c r="E66" s="13">
        <v>56.481481481481481</v>
      </c>
      <c r="F66" s="146"/>
      <c r="G66" s="146"/>
      <c r="H66" s="146"/>
      <c r="I66" s="146"/>
      <c r="J66" s="146"/>
      <c r="K66" s="146"/>
      <c r="L66" s="146"/>
      <c r="M66" s="146"/>
      <c r="N66" s="146"/>
      <c r="O66" s="146"/>
    </row>
    <row r="67" spans="1:15" ht="14" customHeight="1">
      <c r="A67" s="5" t="s">
        <v>180</v>
      </c>
      <c r="B67" s="6">
        <f>B66+0.1</f>
        <v>12.639999999999993</v>
      </c>
      <c r="C67" s="6">
        <v>1.07</v>
      </c>
      <c r="D67" s="6">
        <v>-28.22</v>
      </c>
      <c r="E67" s="18"/>
      <c r="F67" s="146"/>
      <c r="G67" s="146"/>
      <c r="H67" s="146"/>
      <c r="I67" s="146"/>
      <c r="J67" s="146"/>
      <c r="K67" s="146"/>
      <c r="L67" s="146"/>
      <c r="M67" s="146"/>
      <c r="N67" s="146"/>
      <c r="O67" s="146"/>
    </row>
    <row r="68" spans="1:15" ht="13" customHeight="1">
      <c r="A68" s="8" t="s">
        <v>179</v>
      </c>
      <c r="B68" s="6">
        <f>B67+0.1</f>
        <v>12.739999999999993</v>
      </c>
      <c r="C68" s="16">
        <v>1.94</v>
      </c>
      <c r="D68" s="6">
        <v>-29.15</v>
      </c>
      <c r="E68" s="13">
        <v>52.577319587628864</v>
      </c>
      <c r="F68" s="146"/>
      <c r="G68" s="146"/>
      <c r="H68" s="146"/>
      <c r="I68" s="146"/>
      <c r="J68" s="146"/>
      <c r="K68" s="146"/>
      <c r="L68" s="146"/>
      <c r="M68" s="146"/>
      <c r="N68" s="146"/>
      <c r="O68" s="146"/>
    </row>
    <row r="69" spans="1:15" ht="13" customHeight="1">
      <c r="A69" s="8" t="s">
        <v>178</v>
      </c>
      <c r="B69" s="6">
        <f>B68+0.1</f>
        <v>12.839999999999993</v>
      </c>
      <c r="C69" s="16">
        <v>1.34</v>
      </c>
      <c r="D69" s="6">
        <v>-29.06</v>
      </c>
      <c r="E69" s="13">
        <v>69.402985074626855</v>
      </c>
      <c r="F69" s="146"/>
      <c r="G69" s="146"/>
      <c r="H69" s="146"/>
      <c r="I69" s="146"/>
      <c r="J69" s="146"/>
      <c r="K69" s="146"/>
      <c r="L69" s="146"/>
      <c r="M69" s="146"/>
      <c r="N69" s="146"/>
      <c r="O69" s="146"/>
    </row>
    <row r="70" spans="1:15" ht="14" customHeight="1">
      <c r="A70" s="5" t="s">
        <v>177</v>
      </c>
      <c r="B70" s="6">
        <f>B69+0.05+0.07</f>
        <v>12.959999999999994</v>
      </c>
      <c r="C70" s="6">
        <v>1.22</v>
      </c>
      <c r="D70" s="6">
        <v>-27.93</v>
      </c>
      <c r="E70" s="18"/>
      <c r="F70" s="146"/>
      <c r="G70" s="146"/>
      <c r="H70" s="146"/>
      <c r="I70" s="146"/>
      <c r="J70" s="146"/>
      <c r="K70" s="146"/>
      <c r="L70" s="146"/>
      <c r="M70" s="146"/>
      <c r="N70" s="146"/>
      <c r="O70" s="146"/>
    </row>
    <row r="71" spans="1:15" ht="13" customHeight="1">
      <c r="A71" s="8" t="s">
        <v>176</v>
      </c>
      <c r="B71" s="6">
        <f>B70+0.11</f>
        <v>13.069999999999993</v>
      </c>
      <c r="C71" s="11">
        <v>1.1100000000000001</v>
      </c>
      <c r="D71" s="6">
        <v>-29.76</v>
      </c>
      <c r="E71" s="13">
        <v>30.630630630630627</v>
      </c>
      <c r="F71" s="146"/>
      <c r="G71" s="146"/>
      <c r="H71" s="146"/>
      <c r="I71" s="146"/>
      <c r="J71" s="146"/>
      <c r="K71" s="146"/>
      <c r="L71" s="146"/>
      <c r="M71" s="146"/>
      <c r="N71" s="146"/>
      <c r="O71" s="146"/>
    </row>
    <row r="72" spans="1:15" ht="13" customHeight="1">
      <c r="A72" s="8" t="s">
        <v>175</v>
      </c>
      <c r="B72" s="6">
        <f>B71+0.1</f>
        <v>13.169999999999993</v>
      </c>
      <c r="C72" s="16">
        <v>0.52</v>
      </c>
      <c r="D72" s="6">
        <v>-29.66</v>
      </c>
      <c r="E72" s="7"/>
      <c r="F72" s="146"/>
      <c r="G72" s="146"/>
      <c r="H72" s="146"/>
      <c r="I72" s="146"/>
      <c r="J72" s="146"/>
      <c r="K72" s="146"/>
      <c r="L72" s="146"/>
      <c r="M72" s="146"/>
      <c r="N72" s="146"/>
      <c r="O72" s="146"/>
    </row>
    <row r="73" spans="1:15" ht="14" customHeight="1">
      <c r="A73" s="8" t="s">
        <v>174</v>
      </c>
      <c r="B73" s="6">
        <f>B72+0.06</f>
        <v>13.229999999999993</v>
      </c>
      <c r="C73" s="6">
        <v>1.73</v>
      </c>
      <c r="D73" s="6">
        <v>-29.43</v>
      </c>
      <c r="E73" s="18"/>
      <c r="F73" s="146"/>
      <c r="G73" s="146"/>
      <c r="H73" s="146"/>
      <c r="I73" s="146"/>
      <c r="J73" s="146"/>
      <c r="K73" s="146"/>
      <c r="L73" s="146"/>
      <c r="M73" s="146"/>
      <c r="N73" s="146"/>
      <c r="O73" s="146"/>
    </row>
    <row r="74" spans="1:15" ht="13" customHeight="1">
      <c r="A74" s="8" t="s">
        <v>173</v>
      </c>
      <c r="B74" s="6">
        <f>B73+0.08</f>
        <v>13.309999999999993</v>
      </c>
      <c r="C74" s="11">
        <v>1.48</v>
      </c>
      <c r="D74" s="6">
        <v>-29.62</v>
      </c>
      <c r="E74" s="13">
        <v>35.135135135135137</v>
      </c>
      <c r="F74" s="146"/>
      <c r="G74" s="146"/>
      <c r="H74" s="146"/>
      <c r="I74" s="146"/>
      <c r="J74" s="146"/>
      <c r="K74" s="146"/>
      <c r="L74" s="146"/>
      <c r="M74" s="146"/>
      <c r="N74" s="146"/>
      <c r="O74" s="146"/>
    </row>
    <row r="75" spans="1:15" ht="14" customHeight="1">
      <c r="A75" s="5" t="s">
        <v>172</v>
      </c>
      <c r="B75" s="6">
        <f>B74+0.01+0.05+0.08</f>
        <v>13.449999999999994</v>
      </c>
      <c r="C75" s="6">
        <v>1.8</v>
      </c>
      <c r="D75" s="6">
        <v>-29.55</v>
      </c>
      <c r="E75" s="18"/>
      <c r="F75" s="146"/>
      <c r="G75" s="146"/>
      <c r="H75" s="146"/>
      <c r="I75" s="146"/>
      <c r="J75" s="146"/>
      <c r="K75" s="146"/>
      <c r="L75" s="146"/>
      <c r="M75" s="146"/>
      <c r="N75" s="146"/>
      <c r="O75" s="146"/>
    </row>
    <row r="76" spans="1:15" ht="14" customHeight="1">
      <c r="A76" s="8" t="s">
        <v>171</v>
      </c>
      <c r="B76" s="6">
        <f t="shared" ref="B76:B82" si="0">B75+0.1</f>
        <v>13.549999999999994</v>
      </c>
      <c r="C76" s="11">
        <v>0.78</v>
      </c>
      <c r="D76" s="12">
        <v>-30.25</v>
      </c>
      <c r="E76" s="13">
        <v>60.256410256410255</v>
      </c>
      <c r="F76" s="146"/>
      <c r="G76" s="146"/>
      <c r="H76" s="146"/>
      <c r="I76" s="146"/>
      <c r="J76" s="146"/>
      <c r="K76" s="146"/>
      <c r="L76" s="146"/>
      <c r="M76" s="146"/>
      <c r="N76" s="146"/>
      <c r="O76" s="146"/>
    </row>
    <row r="77" spans="1:15" ht="14" customHeight="1">
      <c r="A77" s="8" t="s">
        <v>170</v>
      </c>
      <c r="B77" s="6">
        <f t="shared" si="0"/>
        <v>13.649999999999993</v>
      </c>
      <c r="C77" s="16">
        <v>0.79</v>
      </c>
      <c r="D77" s="20">
        <v>-29.76</v>
      </c>
      <c r="E77" s="18"/>
      <c r="F77" s="146"/>
      <c r="G77" s="146"/>
      <c r="H77" s="146"/>
      <c r="I77" s="146"/>
      <c r="J77" s="146"/>
      <c r="K77" s="146"/>
      <c r="L77" s="146"/>
      <c r="M77" s="146"/>
      <c r="N77" s="146"/>
      <c r="O77" s="146"/>
    </row>
    <row r="78" spans="1:15" ht="14" customHeight="1">
      <c r="A78" s="8" t="s">
        <v>169</v>
      </c>
      <c r="B78" s="6">
        <f t="shared" si="0"/>
        <v>13.749999999999993</v>
      </c>
      <c r="C78" s="16">
        <v>0.7</v>
      </c>
      <c r="D78" s="20">
        <v>-29.96</v>
      </c>
      <c r="E78" s="18"/>
      <c r="F78" s="146"/>
      <c r="G78" s="146"/>
      <c r="H78" s="146"/>
      <c r="I78" s="146"/>
      <c r="J78" s="146"/>
      <c r="K78" s="146"/>
      <c r="L78" s="146"/>
      <c r="M78" s="146"/>
      <c r="N78" s="146"/>
      <c r="O78" s="146"/>
    </row>
    <row r="79" spans="1:15" ht="14" customHeight="1">
      <c r="A79" s="8" t="s">
        <v>168</v>
      </c>
      <c r="B79" s="6">
        <f t="shared" si="0"/>
        <v>13.849999999999993</v>
      </c>
      <c r="C79" s="11">
        <v>0.95</v>
      </c>
      <c r="D79" s="14">
        <v>-30.02</v>
      </c>
      <c r="E79" s="13">
        <v>41.05263157894737</v>
      </c>
      <c r="F79" s="146"/>
      <c r="G79" s="146"/>
      <c r="H79" s="146"/>
      <c r="I79" s="146"/>
      <c r="J79" s="146"/>
      <c r="K79" s="146"/>
      <c r="L79" s="146"/>
      <c r="M79" s="146"/>
      <c r="N79" s="146"/>
      <c r="O79" s="146"/>
    </row>
    <row r="80" spans="1:15" ht="14" customHeight="1">
      <c r="A80" s="5" t="s">
        <v>167</v>
      </c>
      <c r="B80" s="6">
        <f t="shared" si="0"/>
        <v>13.949999999999992</v>
      </c>
      <c r="C80" s="6">
        <v>0.79</v>
      </c>
      <c r="D80" s="6">
        <v>-27.41</v>
      </c>
      <c r="E80" s="18"/>
      <c r="F80" s="146"/>
      <c r="G80" s="146"/>
      <c r="H80" s="146"/>
      <c r="I80" s="146"/>
      <c r="J80" s="146"/>
      <c r="K80" s="146"/>
      <c r="L80" s="146"/>
      <c r="M80" s="146"/>
      <c r="N80" s="146"/>
      <c r="O80" s="146"/>
    </row>
    <row r="81" spans="1:15" ht="14" customHeight="1">
      <c r="A81" s="8" t="s">
        <v>166</v>
      </c>
      <c r="B81" s="6">
        <f t="shared" si="0"/>
        <v>14.049999999999992</v>
      </c>
      <c r="C81" s="11">
        <v>0.86</v>
      </c>
      <c r="D81" s="6">
        <v>-29.95</v>
      </c>
      <c r="E81" s="13">
        <v>46.511627906976742</v>
      </c>
      <c r="F81" s="146"/>
      <c r="G81" s="146"/>
      <c r="H81" s="146"/>
      <c r="I81" s="146"/>
      <c r="J81" s="146"/>
      <c r="K81" s="146"/>
      <c r="L81" s="146"/>
      <c r="M81" s="146"/>
      <c r="N81" s="146"/>
      <c r="O81" s="146"/>
    </row>
    <row r="82" spans="1:15" ht="14" customHeight="1">
      <c r="A82" s="8" t="s">
        <v>165</v>
      </c>
      <c r="B82" s="6">
        <f t="shared" si="0"/>
        <v>14.149999999999991</v>
      </c>
      <c r="C82" s="9"/>
      <c r="D82" s="9"/>
      <c r="E82" s="18"/>
      <c r="F82" s="146"/>
      <c r="G82" s="146"/>
      <c r="H82" s="146"/>
      <c r="I82" s="146"/>
      <c r="J82" s="146"/>
      <c r="K82" s="146"/>
      <c r="L82" s="146"/>
      <c r="M82" s="146"/>
      <c r="N82" s="146"/>
      <c r="O82" s="146"/>
    </row>
    <row r="83" spans="1:15" ht="14" customHeight="1">
      <c r="A83" s="5" t="s">
        <v>164</v>
      </c>
      <c r="B83" s="6">
        <f>B82+0.11</f>
        <v>14.259999999999991</v>
      </c>
      <c r="C83" s="6">
        <v>2.33</v>
      </c>
      <c r="D83" s="6">
        <v>-29.85</v>
      </c>
      <c r="E83" s="18"/>
      <c r="F83" s="146"/>
      <c r="G83" s="146"/>
      <c r="H83" s="146"/>
      <c r="I83" s="146"/>
      <c r="J83" s="146"/>
      <c r="K83" s="146"/>
      <c r="L83" s="146"/>
      <c r="M83" s="146"/>
      <c r="N83" s="146"/>
      <c r="O83" s="146"/>
    </row>
    <row r="84" spans="1:15" ht="14" customHeight="1">
      <c r="A84" s="8" t="s">
        <v>163</v>
      </c>
      <c r="B84" s="6">
        <f>B83+0.05+0.04</f>
        <v>14.349999999999991</v>
      </c>
      <c r="C84" s="9"/>
      <c r="D84" s="9"/>
      <c r="E84" s="18"/>
      <c r="F84" s="146"/>
      <c r="G84" s="146"/>
      <c r="H84" s="146"/>
      <c r="I84" s="146"/>
      <c r="J84" s="146"/>
      <c r="K84" s="146"/>
      <c r="L84" s="146"/>
      <c r="M84" s="146"/>
      <c r="N84" s="146"/>
      <c r="O84" s="146"/>
    </row>
    <row r="85" spans="1:15" ht="14" customHeight="1">
      <c r="A85" s="8" t="s">
        <v>162</v>
      </c>
      <c r="B85" s="6">
        <f>B84+0.1</f>
        <v>14.44999999999999</v>
      </c>
      <c r="C85" s="9"/>
      <c r="D85" s="9"/>
      <c r="E85" s="18"/>
      <c r="F85" s="146"/>
      <c r="G85" s="146"/>
      <c r="H85" s="146"/>
      <c r="I85" s="146"/>
      <c r="J85" s="146"/>
      <c r="K85" s="146"/>
      <c r="L85" s="146"/>
      <c r="M85" s="146"/>
      <c r="N85" s="146"/>
      <c r="O85" s="146"/>
    </row>
    <row r="86" spans="1:15" ht="14" customHeight="1">
      <c r="A86" s="5" t="s">
        <v>161</v>
      </c>
      <c r="B86" s="6">
        <f>B85+0.1</f>
        <v>14.54999999999999</v>
      </c>
      <c r="C86" s="6">
        <v>0.76</v>
      </c>
      <c r="D86" s="6">
        <v>-29.68</v>
      </c>
      <c r="E86" s="18"/>
      <c r="F86" s="146"/>
      <c r="G86" s="146"/>
      <c r="H86" s="146"/>
      <c r="I86" s="146"/>
      <c r="J86" s="146"/>
      <c r="K86" s="146"/>
      <c r="L86" s="146"/>
      <c r="M86" s="146"/>
      <c r="N86" s="146"/>
      <c r="O86" s="146"/>
    </row>
    <row r="87" spans="1:15" ht="13" customHeight="1">
      <c r="A87" s="8" t="s">
        <v>160</v>
      </c>
      <c r="B87" s="6">
        <f>B86+0.1</f>
        <v>14.64999999999999</v>
      </c>
      <c r="C87" s="11">
        <v>0.45</v>
      </c>
      <c r="D87" s="6">
        <v>-29.41</v>
      </c>
      <c r="E87" s="13"/>
      <c r="F87" s="146"/>
      <c r="G87" s="146"/>
      <c r="H87" s="146"/>
      <c r="I87" s="146"/>
      <c r="J87" s="146"/>
      <c r="K87" s="146"/>
      <c r="L87" s="146"/>
      <c r="M87" s="146"/>
      <c r="N87" s="146"/>
      <c r="O87" s="146"/>
    </row>
    <row r="88" spans="1:15" ht="14" customHeight="1">
      <c r="A88" s="8" t="s">
        <v>159</v>
      </c>
      <c r="B88" s="6">
        <f>B87+0.1</f>
        <v>14.749999999999989</v>
      </c>
      <c r="C88" s="11">
        <v>0.54</v>
      </c>
      <c r="D88" s="6">
        <v>-29.43</v>
      </c>
      <c r="E88" s="13">
        <v>88.888888888888886</v>
      </c>
      <c r="F88" s="146"/>
      <c r="G88" s="146"/>
      <c r="H88" s="146"/>
      <c r="I88" s="146"/>
      <c r="J88" s="146"/>
      <c r="K88" s="146"/>
      <c r="L88" s="146"/>
      <c r="M88" s="146"/>
      <c r="N88" s="146"/>
      <c r="O88" s="146"/>
    </row>
    <row r="89" spans="1:15" ht="14" customHeight="1">
      <c r="A89" s="5" t="s">
        <v>158</v>
      </c>
      <c r="B89" s="6">
        <f>B88+0.09</f>
        <v>14.839999999999989</v>
      </c>
      <c r="C89" s="6">
        <v>0.49</v>
      </c>
      <c r="D89" s="6">
        <v>-29.38</v>
      </c>
      <c r="E89" s="18"/>
      <c r="F89" s="146"/>
      <c r="G89" s="146"/>
      <c r="H89" s="146"/>
      <c r="I89" s="146"/>
      <c r="J89" s="146"/>
      <c r="K89" s="146"/>
      <c r="L89" s="146"/>
      <c r="M89" s="146"/>
      <c r="N89" s="146"/>
      <c r="O89" s="146"/>
    </row>
    <row r="90" spans="1:15" ht="14" customHeight="1">
      <c r="A90" s="8" t="s">
        <v>157</v>
      </c>
      <c r="B90" s="6">
        <f>B89+0.1</f>
        <v>14.939999999999989</v>
      </c>
      <c r="C90" s="16">
        <v>0.66</v>
      </c>
      <c r="D90" s="6">
        <v>-30.09</v>
      </c>
      <c r="E90" s="13">
        <v>56.060606060606055</v>
      </c>
      <c r="F90" s="146"/>
      <c r="G90" s="146"/>
      <c r="H90" s="146"/>
      <c r="I90" s="146"/>
      <c r="J90" s="146"/>
      <c r="K90" s="146"/>
      <c r="L90" s="146"/>
      <c r="M90" s="146"/>
      <c r="N90" s="146"/>
      <c r="O90" s="146"/>
    </row>
    <row r="91" spans="1:15" ht="14" customHeight="1">
      <c r="A91" s="8" t="s">
        <v>156</v>
      </c>
      <c r="B91" s="6">
        <f>B90+0.11</f>
        <v>15.049999999999988</v>
      </c>
      <c r="C91" s="9"/>
      <c r="D91" s="9"/>
      <c r="E91" s="18"/>
      <c r="F91" s="146"/>
      <c r="G91" s="146"/>
      <c r="H91" s="146"/>
      <c r="I91" s="146"/>
      <c r="J91" s="146"/>
      <c r="K91" s="146"/>
      <c r="L91" s="146"/>
      <c r="M91" s="146"/>
      <c r="N91" s="146"/>
      <c r="O91" s="146"/>
    </row>
    <row r="92" spans="1:15" ht="14" customHeight="1">
      <c r="A92" s="5" t="s">
        <v>155</v>
      </c>
      <c r="B92" s="6">
        <f>B91+0.1</f>
        <v>15.149999999999988</v>
      </c>
      <c r="C92" s="6">
        <v>2.31</v>
      </c>
      <c r="D92" s="6">
        <v>-29.86</v>
      </c>
      <c r="E92" s="18"/>
      <c r="F92" s="146"/>
      <c r="G92" s="146"/>
      <c r="H92" s="146"/>
      <c r="I92" s="146"/>
      <c r="J92" s="146"/>
      <c r="K92" s="146"/>
      <c r="L92" s="146"/>
      <c r="M92" s="146"/>
      <c r="N92" s="146"/>
      <c r="O92" s="146"/>
    </row>
    <row r="93" spans="1:15" ht="13" customHeight="1">
      <c r="A93" s="8" t="s">
        <v>154</v>
      </c>
      <c r="B93" s="6">
        <f>B92+0.1</f>
        <v>15.249999999999988</v>
      </c>
      <c r="C93" s="16">
        <v>1.39</v>
      </c>
      <c r="D93" s="6">
        <v>-30.03</v>
      </c>
      <c r="E93" s="21"/>
      <c r="F93" s="146"/>
      <c r="G93" s="146"/>
      <c r="H93" s="146"/>
      <c r="I93" s="146"/>
      <c r="J93" s="146"/>
      <c r="K93" s="146"/>
      <c r="L93" s="146"/>
      <c r="M93" s="146"/>
      <c r="N93" s="146"/>
      <c r="O93" s="146"/>
    </row>
    <row r="94" spans="1:15" ht="14" customHeight="1">
      <c r="A94" s="8" t="s">
        <v>153</v>
      </c>
      <c r="B94" s="6">
        <f>B93+0.11</f>
        <v>15.359999999999987</v>
      </c>
      <c r="C94" s="11">
        <v>2.42</v>
      </c>
      <c r="D94" s="6">
        <v>-29.64</v>
      </c>
      <c r="E94" s="13">
        <v>19.421487603305785</v>
      </c>
      <c r="F94" s="146"/>
      <c r="G94" s="146"/>
      <c r="H94" s="146"/>
      <c r="I94" s="146"/>
      <c r="J94" s="146"/>
      <c r="K94" s="146"/>
      <c r="L94" s="146"/>
      <c r="M94" s="146"/>
      <c r="N94" s="146"/>
      <c r="O94" s="146"/>
    </row>
    <row r="95" spans="1:15" ht="13" customHeight="1">
      <c r="A95" s="5" t="s">
        <v>152</v>
      </c>
      <c r="B95" s="6">
        <f t="shared" ref="B95:B100" si="1">B94+0.1</f>
        <v>15.459999999999987</v>
      </c>
      <c r="C95" s="6">
        <v>3.07</v>
      </c>
      <c r="D95" s="6">
        <v>-29.43</v>
      </c>
      <c r="E95" s="21"/>
      <c r="F95" s="146"/>
      <c r="G95" s="146"/>
      <c r="H95" s="146"/>
      <c r="I95" s="146"/>
      <c r="J95" s="146"/>
      <c r="K95" s="146"/>
      <c r="L95" s="146"/>
      <c r="M95" s="146"/>
      <c r="N95" s="146"/>
      <c r="O95" s="146"/>
    </row>
    <row r="96" spans="1:15" ht="14" customHeight="1">
      <c r="A96" s="8" t="s">
        <v>151</v>
      </c>
      <c r="B96" s="6">
        <f t="shared" si="1"/>
        <v>15.559999999999986</v>
      </c>
      <c r="C96" s="11">
        <v>2.85</v>
      </c>
      <c r="D96" s="6">
        <v>-29.8</v>
      </c>
      <c r="E96" s="13">
        <v>20.701754385964911</v>
      </c>
      <c r="F96" s="146"/>
      <c r="G96" s="146"/>
      <c r="H96" s="146"/>
      <c r="I96" s="146"/>
      <c r="J96" s="146"/>
      <c r="K96" s="146"/>
      <c r="L96" s="146"/>
      <c r="M96" s="146"/>
      <c r="N96" s="146"/>
      <c r="O96" s="146"/>
    </row>
    <row r="97" spans="1:15" ht="14" customHeight="1">
      <c r="A97" s="8" t="s">
        <v>150</v>
      </c>
      <c r="B97" s="6">
        <f t="shared" si="1"/>
        <v>15.659999999999986</v>
      </c>
      <c r="C97" s="16">
        <v>0.94</v>
      </c>
      <c r="D97" s="6">
        <v>-29.41</v>
      </c>
      <c r="E97" s="13">
        <v>24.468085106382979</v>
      </c>
      <c r="F97" s="146"/>
      <c r="G97" s="146"/>
      <c r="H97" s="146"/>
      <c r="I97" s="146"/>
      <c r="J97" s="146"/>
      <c r="K97" s="146"/>
      <c r="L97" s="146"/>
      <c r="M97" s="146"/>
      <c r="N97" s="146"/>
      <c r="O97" s="146"/>
    </row>
    <row r="98" spans="1:15" ht="14" customHeight="1">
      <c r="A98" s="5" t="s">
        <v>149</v>
      </c>
      <c r="B98" s="6">
        <f t="shared" si="1"/>
        <v>15.759999999999986</v>
      </c>
      <c r="C98" s="6">
        <v>1.06</v>
      </c>
      <c r="D98" s="6">
        <v>-26.78</v>
      </c>
      <c r="E98" s="18"/>
      <c r="F98" s="146"/>
      <c r="G98" s="146"/>
      <c r="H98" s="146"/>
      <c r="I98" s="146"/>
      <c r="J98" s="146"/>
      <c r="K98" s="146"/>
      <c r="L98" s="146"/>
      <c r="M98" s="146"/>
      <c r="N98" s="146"/>
      <c r="O98" s="146"/>
    </row>
    <row r="99" spans="1:15" ht="13" customHeight="1">
      <c r="A99" s="8" t="s">
        <v>148</v>
      </c>
      <c r="B99" s="6">
        <f t="shared" si="1"/>
        <v>15.859999999999985</v>
      </c>
      <c r="C99" s="11">
        <v>0.69</v>
      </c>
      <c r="D99" s="6">
        <v>-29.55</v>
      </c>
      <c r="E99" s="13">
        <v>60.869565217391312</v>
      </c>
      <c r="F99" s="146"/>
      <c r="G99" s="146"/>
      <c r="H99" s="146"/>
      <c r="I99" s="146"/>
      <c r="J99" s="146"/>
      <c r="K99" s="146"/>
      <c r="L99" s="146"/>
      <c r="M99" s="146"/>
      <c r="N99" s="146"/>
      <c r="O99" s="146"/>
    </row>
    <row r="100" spans="1:15" ht="14" customHeight="1">
      <c r="A100" s="8" t="s">
        <v>147</v>
      </c>
      <c r="B100" s="6">
        <f t="shared" si="1"/>
        <v>15.959999999999985</v>
      </c>
      <c r="C100" s="11">
        <v>0.77</v>
      </c>
      <c r="D100" s="6">
        <v>-29.14</v>
      </c>
      <c r="E100" s="13">
        <v>25.974025974025974</v>
      </c>
      <c r="F100" s="146"/>
      <c r="G100" s="146"/>
      <c r="H100" s="146"/>
      <c r="I100" s="146"/>
      <c r="J100" s="146"/>
      <c r="K100" s="146"/>
      <c r="L100" s="146"/>
      <c r="M100" s="146"/>
      <c r="N100" s="146"/>
      <c r="O100" s="146"/>
    </row>
    <row r="101" spans="1:15" ht="14" customHeight="1">
      <c r="A101" s="5" t="s">
        <v>146</v>
      </c>
      <c r="B101" s="6">
        <f>B100+0.2</f>
        <v>16.159999999999986</v>
      </c>
      <c r="C101" s="6">
        <v>1.2</v>
      </c>
      <c r="D101" s="6">
        <v>-28.79</v>
      </c>
      <c r="E101" s="18"/>
      <c r="F101" s="146"/>
      <c r="G101" s="146"/>
      <c r="H101" s="146"/>
      <c r="I101" s="146"/>
      <c r="J101" s="146"/>
      <c r="K101" s="146"/>
      <c r="L101" s="146"/>
      <c r="M101" s="146"/>
      <c r="N101" s="146"/>
      <c r="O101" s="146"/>
    </row>
    <row r="102" spans="1:15" ht="13" customHeight="1">
      <c r="A102" s="8" t="s">
        <v>145</v>
      </c>
      <c r="B102" s="6">
        <f>B101+0.1</f>
        <v>16.259999999999987</v>
      </c>
      <c r="C102" s="16">
        <v>1.83</v>
      </c>
      <c r="D102" s="6">
        <v>-28.75</v>
      </c>
      <c r="E102" s="10"/>
      <c r="F102" s="146"/>
      <c r="G102" s="146"/>
      <c r="H102" s="146"/>
      <c r="I102" s="146"/>
      <c r="J102" s="146"/>
      <c r="K102" s="146"/>
      <c r="L102" s="146"/>
      <c r="M102" s="146"/>
      <c r="N102" s="146"/>
      <c r="O102" s="146"/>
    </row>
    <row r="103" spans="1:15" ht="13" customHeight="1">
      <c r="A103" s="8" t="s">
        <v>144</v>
      </c>
      <c r="B103" s="6">
        <f>B102</f>
        <v>16.259999999999987</v>
      </c>
      <c r="C103" s="16">
        <v>1.19</v>
      </c>
      <c r="D103" s="6">
        <v>-28.87</v>
      </c>
      <c r="E103" s="10"/>
      <c r="F103" s="146"/>
      <c r="G103" s="146"/>
      <c r="H103" s="146"/>
      <c r="I103" s="146"/>
      <c r="J103" s="146"/>
      <c r="K103" s="146"/>
      <c r="L103" s="146"/>
      <c r="M103" s="146"/>
      <c r="N103" s="146"/>
      <c r="O103" s="146"/>
    </row>
    <row r="104" spans="1:15" ht="13" customHeight="1">
      <c r="A104" s="5" t="s">
        <v>143</v>
      </c>
      <c r="B104" s="6">
        <f t="shared" ref="B104:B110" si="2">B103+0.1</f>
        <v>16.359999999999989</v>
      </c>
      <c r="C104" s="6">
        <v>3.23</v>
      </c>
      <c r="D104" s="6">
        <v>-28.42</v>
      </c>
      <c r="E104" s="21"/>
      <c r="F104" s="146"/>
      <c r="G104" s="146"/>
      <c r="H104" s="146"/>
      <c r="I104" s="146"/>
      <c r="J104" s="146"/>
      <c r="K104" s="146"/>
      <c r="L104" s="146"/>
      <c r="M104" s="146"/>
      <c r="N104" s="146"/>
      <c r="O104" s="146"/>
    </row>
    <row r="105" spans="1:15" ht="14" customHeight="1">
      <c r="A105" s="8" t="s">
        <v>142</v>
      </c>
      <c r="B105" s="6">
        <f t="shared" si="2"/>
        <v>16.45999999999999</v>
      </c>
      <c r="C105" s="9"/>
      <c r="D105" s="9"/>
      <c r="E105" s="18"/>
      <c r="F105" s="146"/>
      <c r="G105" s="146"/>
      <c r="H105" s="146"/>
      <c r="I105" s="146"/>
      <c r="J105" s="146"/>
      <c r="K105" s="146"/>
      <c r="L105" s="146"/>
      <c r="M105" s="146"/>
      <c r="N105" s="146"/>
      <c r="O105" s="146"/>
    </row>
    <row r="106" spans="1:15" ht="14" customHeight="1">
      <c r="A106" s="8" t="s">
        <v>141</v>
      </c>
      <c r="B106" s="6">
        <f t="shared" si="2"/>
        <v>16.559999999999992</v>
      </c>
      <c r="C106" s="9"/>
      <c r="D106" s="9"/>
      <c r="E106" s="18"/>
      <c r="F106" s="146"/>
      <c r="G106" s="146"/>
      <c r="H106" s="146"/>
      <c r="I106" s="146"/>
      <c r="J106" s="146"/>
      <c r="K106" s="146"/>
      <c r="L106" s="146"/>
      <c r="M106" s="146"/>
      <c r="N106" s="146"/>
      <c r="O106" s="146"/>
    </row>
    <row r="107" spans="1:15" ht="14" customHeight="1">
      <c r="A107" s="5" t="s">
        <v>140</v>
      </c>
      <c r="B107" s="6">
        <f t="shared" si="2"/>
        <v>16.659999999999993</v>
      </c>
      <c r="C107" s="11">
        <v>2.08</v>
      </c>
      <c r="D107" s="6">
        <v>-28.39</v>
      </c>
      <c r="E107" s="13">
        <v>20.673076923076923</v>
      </c>
      <c r="F107" s="146"/>
      <c r="G107" s="146"/>
      <c r="H107" s="146"/>
      <c r="I107" s="146"/>
      <c r="J107" s="146"/>
      <c r="K107" s="146"/>
      <c r="L107" s="146"/>
      <c r="M107" s="146"/>
      <c r="N107" s="146"/>
      <c r="O107" s="146"/>
    </row>
    <row r="108" spans="1:15" ht="13" customHeight="1">
      <c r="A108" s="5" t="s">
        <v>139</v>
      </c>
      <c r="B108" s="6">
        <f t="shared" si="2"/>
        <v>16.759999999999994</v>
      </c>
      <c r="C108" s="6">
        <v>3.94</v>
      </c>
      <c r="D108" s="6">
        <v>-27.97</v>
      </c>
      <c r="E108" s="21"/>
      <c r="F108" s="146"/>
      <c r="G108" s="146"/>
      <c r="H108" s="146"/>
      <c r="I108" s="146"/>
      <c r="J108" s="146"/>
      <c r="K108" s="146"/>
      <c r="L108" s="146"/>
      <c r="M108" s="146"/>
      <c r="N108" s="146"/>
      <c r="O108" s="146"/>
    </row>
    <row r="109" spans="1:15" ht="14" customHeight="1">
      <c r="A109" s="8" t="s">
        <v>138</v>
      </c>
      <c r="B109" s="6">
        <f t="shared" si="2"/>
        <v>16.859999999999996</v>
      </c>
      <c r="C109" s="16">
        <v>2.58</v>
      </c>
      <c r="D109" s="12">
        <v>-28.15</v>
      </c>
      <c r="E109" s="18"/>
      <c r="F109" s="146"/>
      <c r="G109" s="146"/>
      <c r="H109" s="146"/>
      <c r="I109" s="146"/>
      <c r="J109" s="146"/>
      <c r="K109" s="146"/>
      <c r="L109" s="146"/>
      <c r="M109" s="146"/>
      <c r="N109" s="146"/>
      <c r="O109" s="146"/>
    </row>
    <row r="110" spans="1:15" ht="14" customHeight="1">
      <c r="A110" s="8" t="s">
        <v>137</v>
      </c>
      <c r="B110" s="6">
        <f t="shared" si="2"/>
        <v>16.959999999999997</v>
      </c>
      <c r="C110" s="16">
        <v>2.31</v>
      </c>
      <c r="D110" s="14">
        <v>-28.14</v>
      </c>
      <c r="E110" s="13">
        <v>19.913419913419911</v>
      </c>
      <c r="F110" s="146"/>
      <c r="G110" s="146"/>
      <c r="H110" s="146"/>
      <c r="I110" s="146"/>
      <c r="J110" s="146"/>
      <c r="K110" s="146"/>
      <c r="L110" s="146"/>
      <c r="M110" s="146"/>
      <c r="N110" s="146"/>
      <c r="O110" s="146"/>
    </row>
    <row r="111" spans="1:15" ht="14" customHeight="1">
      <c r="A111" s="8" t="s">
        <v>136</v>
      </c>
      <c r="B111" s="6">
        <f>B110+0.06</f>
        <v>17.019999999999996</v>
      </c>
      <c r="C111" s="11">
        <v>1.42</v>
      </c>
      <c r="D111" s="6">
        <v>-28.19</v>
      </c>
      <c r="E111" s="13">
        <v>33.098591549295776</v>
      </c>
      <c r="F111" s="146"/>
      <c r="G111" s="146"/>
      <c r="H111" s="146"/>
      <c r="I111" s="146"/>
      <c r="J111" s="146"/>
      <c r="K111" s="146"/>
      <c r="L111" s="146"/>
      <c r="M111" s="146"/>
      <c r="N111" s="146"/>
      <c r="O111" s="146"/>
    </row>
    <row r="112" spans="1:15" ht="13" customHeight="1">
      <c r="A112" s="5" t="s">
        <v>135</v>
      </c>
      <c r="B112" s="6">
        <f>B111+0.13</f>
        <v>17.149999999999995</v>
      </c>
      <c r="C112" s="6">
        <v>1.32</v>
      </c>
      <c r="D112" s="22">
        <v>-28.03</v>
      </c>
      <c r="E112" s="23"/>
      <c r="F112" s="146"/>
      <c r="G112" s="146"/>
      <c r="H112" s="146"/>
      <c r="I112" s="146"/>
      <c r="J112" s="146"/>
      <c r="K112" s="146"/>
      <c r="L112" s="146"/>
      <c r="M112" s="146"/>
      <c r="N112" s="146"/>
      <c r="O112" s="146"/>
    </row>
    <row r="113" spans="1:15" ht="14" customHeight="1">
      <c r="A113" s="8" t="s">
        <v>134</v>
      </c>
      <c r="B113" s="6">
        <f>B112+0.1</f>
        <v>17.249999999999996</v>
      </c>
      <c r="C113" s="11">
        <v>2.0699999999999998</v>
      </c>
      <c r="D113" s="6">
        <v>-27.81</v>
      </c>
      <c r="E113" s="13">
        <v>47.34299516908213</v>
      </c>
      <c r="F113" s="146"/>
      <c r="G113" s="146"/>
      <c r="H113" s="146"/>
      <c r="I113" s="146"/>
      <c r="J113" s="146"/>
      <c r="K113" s="146"/>
      <c r="L113" s="146"/>
      <c r="M113" s="146"/>
      <c r="N113" s="146"/>
      <c r="O113" s="146"/>
    </row>
    <row r="114" spans="1:15" ht="14" customHeight="1">
      <c r="A114" s="8" t="s">
        <v>133</v>
      </c>
      <c r="B114" s="6">
        <f>B113+0.2</f>
        <v>17.449999999999996</v>
      </c>
      <c r="C114" s="9"/>
      <c r="D114" s="6">
        <v>-27.16</v>
      </c>
      <c r="E114" s="18"/>
      <c r="F114" s="146"/>
      <c r="G114" s="146"/>
      <c r="H114" s="146"/>
      <c r="I114" s="146"/>
      <c r="J114" s="146"/>
      <c r="K114" s="146"/>
      <c r="L114" s="146"/>
      <c r="M114" s="146"/>
      <c r="N114" s="146"/>
      <c r="O114" s="146"/>
    </row>
    <row r="115" spans="1:15" ht="14" customHeight="1">
      <c r="A115" s="8" t="s">
        <v>132</v>
      </c>
      <c r="B115" s="6">
        <f>B114+0.1</f>
        <v>17.549999999999997</v>
      </c>
      <c r="C115" s="11">
        <v>1.59</v>
      </c>
      <c r="D115" s="6">
        <v>-26.97</v>
      </c>
      <c r="E115" s="18"/>
      <c r="F115" s="146"/>
      <c r="G115" s="146"/>
      <c r="H115" s="146"/>
      <c r="I115" s="146"/>
      <c r="J115" s="146"/>
      <c r="K115" s="146"/>
      <c r="L115" s="146"/>
      <c r="M115" s="146"/>
      <c r="N115" s="146"/>
      <c r="O115" s="146"/>
    </row>
    <row r="116" spans="1:15" ht="14" customHeight="1">
      <c r="A116" s="5" t="s">
        <v>132</v>
      </c>
      <c r="B116" s="6">
        <f>B115</f>
        <v>17.549999999999997</v>
      </c>
      <c r="C116" s="6">
        <v>3.12</v>
      </c>
      <c r="D116" s="6">
        <v>-26.97</v>
      </c>
      <c r="E116" s="18"/>
      <c r="F116" s="146"/>
      <c r="G116" s="146"/>
      <c r="H116" s="146"/>
      <c r="I116" s="146"/>
      <c r="J116" s="146"/>
      <c r="K116" s="146"/>
      <c r="L116" s="146"/>
      <c r="M116" s="146"/>
      <c r="N116" s="146"/>
      <c r="O116" s="146"/>
    </row>
    <row r="117" spans="1:15" ht="13" customHeight="1">
      <c r="A117" s="8" t="s">
        <v>131</v>
      </c>
      <c r="B117" s="6">
        <f>B116+0.07</f>
        <v>17.619999999999997</v>
      </c>
      <c r="C117" s="16">
        <v>1.84</v>
      </c>
      <c r="D117" s="6">
        <v>-27.3</v>
      </c>
      <c r="E117" s="13">
        <v>23.369565217391305</v>
      </c>
      <c r="F117" s="146"/>
      <c r="G117" s="146"/>
      <c r="H117" s="146"/>
      <c r="I117" s="146"/>
      <c r="J117" s="146"/>
      <c r="K117" s="146"/>
      <c r="L117" s="146"/>
      <c r="M117" s="146"/>
      <c r="N117" s="146"/>
      <c r="O117" s="146"/>
    </row>
    <row r="118" spans="1:15" ht="13" customHeight="1">
      <c r="A118" s="5" t="s">
        <v>130</v>
      </c>
      <c r="B118" s="6">
        <f>B117+0.09+0.06</f>
        <v>17.769999999999996</v>
      </c>
      <c r="C118" s="6">
        <v>4.0599999999999996</v>
      </c>
      <c r="D118" s="6">
        <v>-26.39</v>
      </c>
      <c r="E118" s="7"/>
      <c r="F118" s="146"/>
      <c r="G118" s="146"/>
      <c r="H118" s="146"/>
      <c r="I118" s="146"/>
      <c r="J118" s="146"/>
      <c r="K118" s="146"/>
      <c r="L118" s="146"/>
      <c r="M118" s="146"/>
      <c r="N118" s="146"/>
      <c r="O118" s="146"/>
    </row>
    <row r="119" spans="1:15" ht="14" customHeight="1">
      <c r="A119" s="8" t="s">
        <v>129</v>
      </c>
      <c r="B119" s="6">
        <f>B118+0.05</f>
        <v>17.819999999999997</v>
      </c>
      <c r="C119" s="16">
        <v>2.52</v>
      </c>
      <c r="D119" s="6">
        <v>-27.57</v>
      </c>
      <c r="E119" s="13">
        <v>14.682539682539682</v>
      </c>
      <c r="F119" s="146"/>
      <c r="G119" s="146"/>
      <c r="H119" s="146"/>
      <c r="I119" s="146"/>
      <c r="J119" s="146"/>
      <c r="K119" s="146"/>
      <c r="L119" s="146"/>
      <c r="M119" s="146"/>
      <c r="N119" s="146"/>
      <c r="O119" s="146"/>
    </row>
    <row r="120" spans="1:15" ht="14" customHeight="1">
      <c r="A120" s="8" t="s">
        <v>128</v>
      </c>
      <c r="B120" s="6">
        <f t="shared" ref="B120:B126" si="3">B119+0.1</f>
        <v>17.919999999999998</v>
      </c>
      <c r="C120" s="16">
        <v>2.75</v>
      </c>
      <c r="D120" s="6">
        <v>-27.6</v>
      </c>
      <c r="E120" s="18"/>
      <c r="F120" s="146"/>
      <c r="G120" s="146"/>
      <c r="H120" s="146"/>
      <c r="I120" s="146"/>
      <c r="J120" s="146"/>
      <c r="K120" s="146"/>
      <c r="L120" s="146"/>
      <c r="M120" s="146"/>
      <c r="N120" s="146"/>
      <c r="O120" s="146"/>
    </row>
    <row r="121" spans="1:15" ht="14" customHeight="1">
      <c r="A121" s="8" t="s">
        <v>127</v>
      </c>
      <c r="B121" s="6">
        <f t="shared" si="3"/>
        <v>18.02</v>
      </c>
      <c r="C121" s="11">
        <v>2.37</v>
      </c>
      <c r="D121" s="6">
        <v>-27.33</v>
      </c>
      <c r="E121" s="13">
        <v>21.940928270042193</v>
      </c>
      <c r="F121" s="250"/>
      <c r="G121" s="146"/>
      <c r="H121" s="146"/>
      <c r="I121" s="146"/>
      <c r="J121" s="146"/>
      <c r="K121" s="146"/>
      <c r="L121" s="146"/>
      <c r="M121" s="146"/>
      <c r="N121" s="146"/>
      <c r="O121" s="146"/>
    </row>
    <row r="122" spans="1:15" ht="13" customHeight="1">
      <c r="A122" s="5" t="s">
        <v>126</v>
      </c>
      <c r="B122" s="6">
        <f t="shared" si="3"/>
        <v>18.12</v>
      </c>
      <c r="C122" s="6">
        <v>3.26</v>
      </c>
      <c r="D122" s="6">
        <v>-27.14</v>
      </c>
      <c r="E122" s="21"/>
      <c r="F122" s="146"/>
      <c r="G122" s="146"/>
      <c r="H122" s="146"/>
      <c r="I122" s="146"/>
      <c r="J122" s="146"/>
      <c r="K122" s="146"/>
      <c r="L122" s="146"/>
      <c r="M122" s="146"/>
      <c r="N122" s="146"/>
      <c r="O122" s="146"/>
    </row>
    <row r="123" spans="1:15" ht="14" customHeight="1">
      <c r="A123" s="8" t="s">
        <v>125</v>
      </c>
      <c r="B123" s="6">
        <f t="shared" si="3"/>
        <v>18.220000000000002</v>
      </c>
      <c r="C123" s="11">
        <v>2.02</v>
      </c>
      <c r="D123" s="6">
        <v>-26.9</v>
      </c>
      <c r="E123" s="13">
        <v>36.138613861386141</v>
      </c>
      <c r="F123" s="146"/>
      <c r="G123" s="146"/>
      <c r="H123" s="146"/>
      <c r="I123" s="146"/>
      <c r="J123" s="146"/>
      <c r="K123" s="146"/>
      <c r="L123" s="146"/>
      <c r="M123" s="146"/>
      <c r="N123" s="146"/>
      <c r="O123" s="146"/>
    </row>
    <row r="124" spans="1:15" ht="14" customHeight="1">
      <c r="A124" s="8" t="s">
        <v>124</v>
      </c>
      <c r="B124" s="6">
        <f t="shared" si="3"/>
        <v>18.320000000000004</v>
      </c>
      <c r="C124" s="16">
        <v>2.72</v>
      </c>
      <c r="D124" s="6">
        <v>-26.93</v>
      </c>
      <c r="E124" s="13">
        <v>17.27941176470588</v>
      </c>
      <c r="F124" s="146"/>
      <c r="G124" s="146"/>
      <c r="H124" s="146"/>
      <c r="I124" s="146"/>
      <c r="J124" s="146"/>
      <c r="K124" s="146"/>
      <c r="L124" s="146"/>
      <c r="M124" s="146"/>
      <c r="N124" s="146"/>
      <c r="O124" s="146"/>
    </row>
    <row r="125" spans="1:15" ht="14" customHeight="1">
      <c r="A125" s="5" t="s">
        <v>123</v>
      </c>
      <c r="B125" s="6">
        <f t="shared" si="3"/>
        <v>18.420000000000005</v>
      </c>
      <c r="C125" s="6">
        <v>1.31</v>
      </c>
      <c r="D125" s="6">
        <v>-27.83</v>
      </c>
      <c r="E125" s="18"/>
      <c r="F125" s="146"/>
      <c r="G125" s="146"/>
      <c r="H125" s="146"/>
      <c r="I125" s="146"/>
      <c r="J125" s="146"/>
      <c r="K125" s="146"/>
      <c r="L125" s="146"/>
      <c r="M125" s="146"/>
      <c r="N125" s="146"/>
      <c r="O125" s="146"/>
    </row>
    <row r="126" spans="1:15" ht="14" customHeight="1">
      <c r="A126" s="8" t="s">
        <v>122</v>
      </c>
      <c r="B126" s="6">
        <f t="shared" si="3"/>
        <v>18.520000000000007</v>
      </c>
      <c r="C126" s="16">
        <v>2.35</v>
      </c>
      <c r="D126" s="6">
        <v>-26.37</v>
      </c>
      <c r="E126" s="13">
        <v>24.25531914893617</v>
      </c>
      <c r="F126" s="146"/>
      <c r="G126" s="146"/>
      <c r="H126" s="146"/>
      <c r="I126" s="146"/>
      <c r="J126" s="146"/>
      <c r="K126" s="146"/>
      <c r="L126" s="146"/>
      <c r="M126" s="146"/>
      <c r="N126" s="146"/>
      <c r="O126" s="146"/>
    </row>
    <row r="127" spans="1:15" ht="14" customHeight="1">
      <c r="A127" s="8" t="s">
        <v>121</v>
      </c>
      <c r="B127" s="6">
        <f>B126+0.11</f>
        <v>18.630000000000006</v>
      </c>
      <c r="C127" s="16">
        <v>0.78</v>
      </c>
      <c r="D127" s="6">
        <v>-26.69</v>
      </c>
      <c r="E127" s="18"/>
      <c r="F127" s="146"/>
      <c r="G127" s="146"/>
      <c r="H127" s="146"/>
      <c r="I127" s="146"/>
      <c r="J127" s="146"/>
      <c r="K127" s="146"/>
      <c r="L127" s="146"/>
      <c r="M127" s="146"/>
      <c r="N127" s="146"/>
      <c r="O127" s="146"/>
    </row>
    <row r="128" spans="1:15" ht="13" customHeight="1">
      <c r="A128" s="5" t="s">
        <v>120</v>
      </c>
      <c r="B128" s="6">
        <f>B127+0.1</f>
        <v>18.730000000000008</v>
      </c>
      <c r="C128" s="6">
        <v>1.41</v>
      </c>
      <c r="D128" s="6">
        <v>-26.89</v>
      </c>
      <c r="E128" s="21"/>
      <c r="F128" s="146"/>
      <c r="G128" s="146"/>
      <c r="H128" s="146"/>
      <c r="I128" s="146"/>
      <c r="J128" s="146"/>
      <c r="K128" s="146"/>
      <c r="L128" s="146"/>
      <c r="M128" s="146"/>
      <c r="N128" s="146"/>
      <c r="O128" s="146"/>
    </row>
    <row r="129" spans="1:15" ht="14" customHeight="1">
      <c r="A129" s="8" t="s">
        <v>119</v>
      </c>
      <c r="B129" s="6">
        <f>B128+0.08</f>
        <v>18.810000000000006</v>
      </c>
      <c r="C129" s="11">
        <v>1.66</v>
      </c>
      <c r="D129" s="6">
        <v>-27.71</v>
      </c>
      <c r="E129" s="13">
        <v>36.144578313253014</v>
      </c>
      <c r="F129" s="146"/>
      <c r="G129" s="146"/>
      <c r="H129" s="146"/>
      <c r="I129" s="146"/>
      <c r="J129" s="146"/>
      <c r="K129" s="146"/>
      <c r="L129" s="146"/>
      <c r="M129" s="146"/>
      <c r="N129" s="146"/>
      <c r="O129" s="146"/>
    </row>
    <row r="130" spans="1:15" ht="14" customHeight="1">
      <c r="A130" s="8" t="s">
        <v>118</v>
      </c>
      <c r="B130" s="6">
        <f>B129+0.2</f>
        <v>19.010000000000005</v>
      </c>
      <c r="C130" s="16">
        <v>0.19</v>
      </c>
      <c r="D130" s="12">
        <v>-27.51</v>
      </c>
      <c r="E130" s="18"/>
      <c r="F130" s="146"/>
      <c r="G130" s="146"/>
      <c r="H130" s="146"/>
      <c r="I130" s="146"/>
      <c r="J130" s="146"/>
      <c r="K130" s="146"/>
      <c r="L130" s="146"/>
      <c r="M130" s="146"/>
      <c r="N130" s="146"/>
      <c r="O130" s="146"/>
    </row>
    <row r="131" spans="1:15" ht="13" customHeight="1">
      <c r="A131" s="5" t="s">
        <v>117</v>
      </c>
      <c r="B131" s="6">
        <f>B130+0.12</f>
        <v>19.130000000000006</v>
      </c>
      <c r="C131" s="6">
        <v>1.34</v>
      </c>
      <c r="D131" s="24">
        <v>-27.43</v>
      </c>
      <c r="E131" s="23"/>
      <c r="F131" s="146"/>
      <c r="G131" s="146"/>
      <c r="H131" s="146"/>
      <c r="I131" s="146"/>
      <c r="J131" s="146"/>
      <c r="K131" s="146"/>
      <c r="L131" s="146"/>
      <c r="M131" s="146"/>
      <c r="N131" s="146"/>
      <c r="O131" s="146"/>
    </row>
    <row r="132" spans="1:15" ht="14" customHeight="1">
      <c r="A132" s="8" t="s">
        <v>116</v>
      </c>
      <c r="B132" s="6">
        <f>B131+0.08</f>
        <v>19.210000000000004</v>
      </c>
      <c r="C132" s="11">
        <v>1.84</v>
      </c>
      <c r="D132" s="6">
        <v>-27.11</v>
      </c>
      <c r="E132" s="13">
        <v>18.478260869565215</v>
      </c>
      <c r="F132" s="146"/>
      <c r="G132" s="146"/>
      <c r="H132" s="146"/>
      <c r="I132" s="146"/>
      <c r="J132" s="146"/>
      <c r="K132" s="146"/>
      <c r="L132" s="146"/>
      <c r="M132" s="146"/>
      <c r="N132" s="146"/>
      <c r="O132" s="146"/>
    </row>
    <row r="133" spans="1:15" ht="14" customHeight="1">
      <c r="A133" s="8" t="s">
        <v>115</v>
      </c>
      <c r="B133" s="6">
        <f>B132+0.1+0.07</f>
        <v>19.380000000000006</v>
      </c>
      <c r="C133" s="16">
        <v>1.53</v>
      </c>
      <c r="D133" s="6">
        <v>-26.89</v>
      </c>
      <c r="E133" s="13">
        <v>16.33986928104575</v>
      </c>
      <c r="F133" s="146"/>
      <c r="G133" s="146"/>
      <c r="H133" s="146"/>
      <c r="I133" s="146"/>
      <c r="J133" s="146"/>
      <c r="K133" s="146"/>
      <c r="L133" s="146"/>
      <c r="M133" s="146"/>
      <c r="N133" s="146"/>
      <c r="O133" s="146"/>
    </row>
    <row r="134" spans="1:15" ht="13" customHeight="1">
      <c r="A134" s="5" t="s">
        <v>114</v>
      </c>
      <c r="B134" s="6">
        <f>B133+0.1</f>
        <v>19.480000000000008</v>
      </c>
      <c r="C134" s="6">
        <v>3.02</v>
      </c>
      <c r="D134" s="6">
        <v>-26.53</v>
      </c>
      <c r="E134" s="21"/>
      <c r="F134" s="146"/>
      <c r="G134" s="146"/>
      <c r="H134" s="146"/>
      <c r="I134" s="146"/>
      <c r="J134" s="146"/>
      <c r="K134" s="146"/>
      <c r="L134" s="146"/>
      <c r="M134" s="146"/>
      <c r="N134" s="146"/>
      <c r="O134" s="146"/>
    </row>
    <row r="135" spans="1:15" ht="14" customHeight="1">
      <c r="A135" s="8" t="s">
        <v>113</v>
      </c>
      <c r="B135" s="6">
        <f>B134+0.1</f>
        <v>19.580000000000009</v>
      </c>
      <c r="C135" s="11">
        <v>1.43</v>
      </c>
      <c r="D135" s="6">
        <v>-27.03</v>
      </c>
      <c r="E135" s="13">
        <v>19.58041958041958</v>
      </c>
      <c r="F135" s="146"/>
      <c r="G135" s="146"/>
      <c r="H135" s="146"/>
      <c r="I135" s="146"/>
      <c r="J135" s="146"/>
      <c r="K135" s="146"/>
      <c r="L135" s="146"/>
      <c r="M135" s="146"/>
      <c r="N135" s="146"/>
      <c r="O135" s="146"/>
    </row>
    <row r="136" spans="1:15" ht="14" customHeight="1">
      <c r="A136" s="5" t="s">
        <v>112</v>
      </c>
      <c r="B136" s="6">
        <f>B135+0.2</f>
        <v>19.780000000000008</v>
      </c>
      <c r="C136" s="6">
        <v>0.24</v>
      </c>
      <c r="D136" s="6">
        <v>-26.68</v>
      </c>
      <c r="E136" s="18"/>
      <c r="F136" s="146"/>
      <c r="G136" s="146"/>
      <c r="H136" s="146"/>
      <c r="I136" s="146"/>
      <c r="J136" s="146"/>
      <c r="K136" s="146"/>
      <c r="L136" s="146"/>
      <c r="M136" s="146"/>
      <c r="N136" s="146"/>
      <c r="O136" s="146"/>
    </row>
    <row r="137" spans="1:15" ht="14" customHeight="1">
      <c r="A137" s="8" t="s">
        <v>111</v>
      </c>
      <c r="B137" s="6">
        <f>B136+0.1</f>
        <v>19.88000000000001</v>
      </c>
      <c r="C137" s="16">
        <v>2.21</v>
      </c>
      <c r="D137" s="6">
        <v>-27.33</v>
      </c>
      <c r="E137" s="18"/>
      <c r="F137" s="146"/>
      <c r="G137" s="146"/>
      <c r="H137" s="146"/>
      <c r="I137" s="146"/>
      <c r="J137" s="146"/>
      <c r="K137" s="146"/>
      <c r="L137" s="146"/>
      <c r="M137" s="146"/>
      <c r="N137" s="146"/>
      <c r="O137" s="146"/>
    </row>
    <row r="138" spans="1:15" ht="13" customHeight="1">
      <c r="A138" s="5" t="s">
        <v>110</v>
      </c>
      <c r="B138" s="6">
        <f>B137+0.12</f>
        <v>20.000000000000011</v>
      </c>
      <c r="C138" s="6">
        <v>1.18</v>
      </c>
      <c r="D138" s="6">
        <v>-26.44</v>
      </c>
      <c r="E138" s="21"/>
      <c r="F138" s="146"/>
      <c r="G138" s="146"/>
      <c r="H138" s="146"/>
      <c r="I138" s="146"/>
      <c r="J138" s="146"/>
      <c r="K138" s="146"/>
      <c r="L138" s="146"/>
      <c r="M138" s="146"/>
      <c r="N138" s="146"/>
      <c r="O138" s="146"/>
    </row>
    <row r="139" spans="1:15" ht="14" customHeight="1">
      <c r="A139" s="8" t="s">
        <v>109</v>
      </c>
      <c r="B139" s="6">
        <f>B138+0.12</f>
        <v>20.120000000000012</v>
      </c>
      <c r="C139" s="16">
        <v>1.72</v>
      </c>
      <c r="D139" s="6">
        <v>-26.83</v>
      </c>
      <c r="E139" s="13">
        <v>20.930232558139537</v>
      </c>
      <c r="F139" s="146"/>
      <c r="G139" s="146"/>
      <c r="H139" s="146"/>
      <c r="I139" s="146"/>
      <c r="J139" s="146"/>
      <c r="K139" s="146"/>
      <c r="L139" s="146"/>
      <c r="M139" s="146"/>
      <c r="N139" s="146"/>
      <c r="O139" s="146"/>
    </row>
    <row r="140" spans="1:15" ht="14" customHeight="1">
      <c r="A140" s="8" t="s">
        <v>108</v>
      </c>
      <c r="B140" s="6">
        <f>B139+0.1</f>
        <v>20.220000000000013</v>
      </c>
      <c r="C140" s="11">
        <v>1.8</v>
      </c>
      <c r="D140" s="6">
        <v>-27.27</v>
      </c>
      <c r="E140" s="13">
        <v>12.222222222222221</v>
      </c>
      <c r="F140" s="146"/>
      <c r="G140" s="146"/>
      <c r="H140" s="146"/>
      <c r="I140" s="146"/>
      <c r="J140" s="146"/>
      <c r="K140" s="146"/>
      <c r="L140" s="146"/>
      <c r="M140" s="146"/>
      <c r="N140" s="146"/>
      <c r="O140" s="146"/>
    </row>
    <row r="141" spans="1:15" ht="13" customHeight="1">
      <c r="A141" s="5" t="s">
        <v>107</v>
      </c>
      <c r="B141" s="6">
        <f>B140+0.07</f>
        <v>20.290000000000013</v>
      </c>
      <c r="C141" s="6">
        <v>2.02</v>
      </c>
      <c r="D141" s="6">
        <v>-26.87</v>
      </c>
      <c r="E141" s="21"/>
      <c r="F141" s="146"/>
      <c r="G141" s="146"/>
      <c r="H141" s="146"/>
      <c r="I141" s="146"/>
      <c r="J141" s="146"/>
      <c r="K141" s="146"/>
      <c r="L141" s="146"/>
      <c r="M141" s="146"/>
      <c r="N141" s="146"/>
      <c r="O141" s="146"/>
    </row>
    <row r="142" spans="1:15" ht="14" customHeight="1">
      <c r="A142" s="8" t="s">
        <v>106</v>
      </c>
      <c r="B142" s="6">
        <f>B141+0.1</f>
        <v>20.390000000000015</v>
      </c>
      <c r="C142" s="9"/>
      <c r="D142" s="9"/>
      <c r="E142" s="18"/>
      <c r="F142" s="146"/>
      <c r="G142" s="146"/>
      <c r="H142" s="146"/>
      <c r="I142" s="146"/>
      <c r="J142" s="146"/>
      <c r="K142" s="146"/>
      <c r="L142" s="146"/>
      <c r="M142" s="146"/>
      <c r="N142" s="146"/>
      <c r="O142" s="146"/>
    </row>
    <row r="143" spans="1:15" ht="14" customHeight="1">
      <c r="A143" s="8" t="s">
        <v>105</v>
      </c>
      <c r="B143" s="6">
        <f>B142+0.1</f>
        <v>20.490000000000016</v>
      </c>
      <c r="C143" s="16">
        <v>0.73</v>
      </c>
      <c r="D143" s="6">
        <v>-27.27</v>
      </c>
      <c r="E143" s="18"/>
      <c r="F143" s="146"/>
      <c r="G143" s="146"/>
      <c r="H143" s="146"/>
      <c r="I143" s="146"/>
      <c r="J143" s="146"/>
      <c r="K143" s="146"/>
      <c r="L143" s="146"/>
      <c r="M143" s="146"/>
      <c r="N143" s="146"/>
      <c r="O143" s="146"/>
    </row>
    <row r="144" spans="1:15" ht="14" customHeight="1">
      <c r="A144" s="5" t="s">
        <v>104</v>
      </c>
      <c r="B144" s="6">
        <f>B143+0.1</f>
        <v>20.590000000000018</v>
      </c>
      <c r="C144" s="6">
        <v>2.8</v>
      </c>
      <c r="D144" s="6">
        <v>-26.78</v>
      </c>
      <c r="E144" s="18"/>
      <c r="F144" s="146"/>
      <c r="G144" s="146"/>
      <c r="H144" s="146"/>
      <c r="I144" s="146"/>
      <c r="J144" s="146"/>
      <c r="K144" s="146"/>
      <c r="L144" s="146"/>
      <c r="M144" s="146"/>
      <c r="N144" s="146"/>
      <c r="O144" s="146"/>
    </row>
    <row r="145" spans="1:15" ht="14" customHeight="1">
      <c r="A145" s="8" t="s">
        <v>103</v>
      </c>
      <c r="B145" s="6">
        <f>B144+0.1</f>
        <v>20.690000000000019</v>
      </c>
      <c r="C145" s="16">
        <v>2.0699999999999998</v>
      </c>
      <c r="D145" s="6">
        <v>-27.19</v>
      </c>
      <c r="E145" s="13">
        <v>32.367149758454111</v>
      </c>
      <c r="F145" s="146"/>
      <c r="G145" s="146"/>
      <c r="H145" s="146"/>
      <c r="I145" s="146"/>
      <c r="J145" s="146"/>
      <c r="K145" s="146"/>
      <c r="L145" s="146"/>
      <c r="M145" s="146"/>
      <c r="N145" s="146"/>
      <c r="O145" s="146"/>
    </row>
    <row r="146" spans="1:15" ht="14" customHeight="1">
      <c r="A146" s="8" t="s">
        <v>102</v>
      </c>
      <c r="B146" s="6">
        <f>B145+0.11</f>
        <v>20.800000000000018</v>
      </c>
      <c r="C146" s="9"/>
      <c r="D146" s="9"/>
      <c r="E146" s="18"/>
      <c r="F146" s="146"/>
      <c r="G146" s="146"/>
      <c r="H146" s="146"/>
      <c r="I146" s="146"/>
      <c r="J146" s="146"/>
      <c r="K146" s="146"/>
      <c r="L146" s="146"/>
      <c r="M146" s="146"/>
      <c r="N146" s="146"/>
      <c r="O146" s="146"/>
    </row>
    <row r="147" spans="1:15" ht="14" customHeight="1">
      <c r="A147" s="5" t="s">
        <v>101</v>
      </c>
      <c r="B147" s="6">
        <f>B146+0.1</f>
        <v>20.90000000000002</v>
      </c>
      <c r="C147" s="6">
        <v>3.18</v>
      </c>
      <c r="D147" s="6">
        <v>-26.98</v>
      </c>
      <c r="E147" s="18"/>
      <c r="F147" s="146"/>
      <c r="G147" s="146"/>
      <c r="H147" s="146"/>
      <c r="I147" s="146"/>
      <c r="J147" s="146"/>
      <c r="K147" s="146"/>
      <c r="L147" s="146"/>
      <c r="M147" s="146"/>
      <c r="N147" s="146"/>
      <c r="O147" s="146"/>
    </row>
    <row r="148" spans="1:15" ht="14" customHeight="1">
      <c r="A148" s="8" t="s">
        <v>100</v>
      </c>
      <c r="B148" s="6">
        <f>B147+0.1</f>
        <v>21.000000000000021</v>
      </c>
      <c r="C148" s="16">
        <v>2.39</v>
      </c>
      <c r="D148" s="6">
        <v>-26.56</v>
      </c>
      <c r="E148" s="18"/>
      <c r="F148" s="146"/>
      <c r="G148" s="146"/>
      <c r="H148" s="146"/>
      <c r="I148" s="146"/>
      <c r="J148" s="146"/>
      <c r="K148" s="146"/>
      <c r="L148" s="146"/>
      <c r="M148" s="146"/>
      <c r="N148" s="146"/>
      <c r="O148" s="146"/>
    </row>
    <row r="149" spans="1:15" ht="14" customHeight="1">
      <c r="A149" s="8" t="s">
        <v>99</v>
      </c>
      <c r="B149" s="6">
        <f>B148+0.06+0.06</f>
        <v>21.120000000000019</v>
      </c>
      <c r="C149" s="11">
        <v>2.2000000000000002</v>
      </c>
      <c r="D149" s="6">
        <v>-27.18</v>
      </c>
      <c r="E149" s="13">
        <v>62.272727272727266</v>
      </c>
      <c r="F149" s="146"/>
      <c r="G149" s="146"/>
      <c r="H149" s="146"/>
      <c r="I149" s="146"/>
      <c r="J149" s="146"/>
      <c r="K149" s="146"/>
      <c r="L149" s="146"/>
      <c r="M149" s="146"/>
      <c r="N149" s="146"/>
      <c r="O149" s="146"/>
    </row>
    <row r="150" spans="1:15" ht="13" customHeight="1">
      <c r="A150" s="8" t="s">
        <v>98</v>
      </c>
      <c r="B150" s="6">
        <f>B149+0.1</f>
        <v>21.22000000000002</v>
      </c>
      <c r="C150" s="16">
        <v>2.12</v>
      </c>
      <c r="D150" s="6">
        <v>-26.97</v>
      </c>
      <c r="E150" s="21"/>
      <c r="F150" s="146"/>
      <c r="G150" s="146"/>
      <c r="H150" s="146"/>
      <c r="I150" s="146"/>
      <c r="J150" s="146"/>
      <c r="K150" s="146"/>
      <c r="L150" s="146"/>
      <c r="M150" s="146"/>
      <c r="N150" s="146"/>
      <c r="O150" s="146"/>
    </row>
    <row r="151" spans="1:15" ht="14" customHeight="1">
      <c r="A151" s="8" t="s">
        <v>97</v>
      </c>
      <c r="B151" s="6">
        <f>B150+0.1</f>
        <v>21.320000000000022</v>
      </c>
      <c r="C151" s="11">
        <v>2.17</v>
      </c>
      <c r="D151" s="6">
        <v>-26.01</v>
      </c>
      <c r="E151" s="13">
        <v>59.907834101382491</v>
      </c>
      <c r="F151" s="146"/>
      <c r="G151" s="146"/>
      <c r="H151" s="146"/>
      <c r="I151" s="146"/>
      <c r="J151" s="146"/>
      <c r="K151" s="146"/>
      <c r="L151" s="146"/>
      <c r="M151" s="146"/>
      <c r="N151" s="146"/>
      <c r="O151" s="146"/>
    </row>
    <row r="152" spans="1:15" ht="14" customHeight="1">
      <c r="A152" s="5" t="s">
        <v>96</v>
      </c>
      <c r="B152" s="6">
        <f>B151+0.2</f>
        <v>21.520000000000021</v>
      </c>
      <c r="C152" s="6">
        <v>2.0099999999999998</v>
      </c>
      <c r="D152" s="6">
        <v>-23.18</v>
      </c>
      <c r="E152" s="18"/>
      <c r="F152" s="146"/>
      <c r="G152" s="146"/>
      <c r="H152" s="146"/>
      <c r="I152" s="146"/>
      <c r="J152" s="146"/>
      <c r="K152" s="146"/>
      <c r="L152" s="146"/>
      <c r="M152" s="146"/>
      <c r="N152" s="146"/>
      <c r="O152" s="146"/>
    </row>
    <row r="153" spans="1:15" ht="14" customHeight="1">
      <c r="A153" s="8" t="s">
        <v>95</v>
      </c>
      <c r="B153" s="6">
        <f>B152+0.08+0.09</f>
        <v>21.690000000000019</v>
      </c>
      <c r="C153" s="11">
        <v>1.27</v>
      </c>
      <c r="D153" s="6">
        <v>-27.48</v>
      </c>
      <c r="E153" s="18"/>
      <c r="F153" s="146"/>
      <c r="G153" s="146"/>
      <c r="H153" s="146"/>
      <c r="I153" s="146"/>
      <c r="J153" s="146"/>
      <c r="K153" s="146"/>
      <c r="L153" s="146"/>
      <c r="M153" s="146"/>
      <c r="N153" s="146"/>
      <c r="O153" s="146"/>
    </row>
    <row r="154" spans="1:15" ht="14" customHeight="1">
      <c r="A154" s="8" t="s">
        <v>94</v>
      </c>
      <c r="B154" s="6">
        <f>B153+0.16+0.09</f>
        <v>21.940000000000019</v>
      </c>
      <c r="C154" s="16">
        <v>3.02</v>
      </c>
      <c r="D154" s="12">
        <v>-27.43</v>
      </c>
      <c r="E154" s="18"/>
      <c r="F154" s="146"/>
      <c r="G154" s="146"/>
      <c r="H154" s="146"/>
      <c r="I154" s="146"/>
      <c r="J154" s="146"/>
      <c r="K154" s="146"/>
      <c r="L154" s="146"/>
      <c r="M154" s="146"/>
      <c r="N154" s="146"/>
      <c r="O154" s="146"/>
    </row>
    <row r="155" spans="1:15" ht="14" customHeight="1">
      <c r="A155" s="8" t="s">
        <v>93</v>
      </c>
      <c r="B155" s="6">
        <f>B154+0.1</f>
        <v>22.04000000000002</v>
      </c>
      <c r="C155" s="16">
        <v>1.85</v>
      </c>
      <c r="D155" s="20">
        <v>-26.834168786399999</v>
      </c>
      <c r="E155" s="13">
        <v>76.21621621621621</v>
      </c>
      <c r="F155" s="146"/>
      <c r="G155" s="146"/>
      <c r="H155" s="146"/>
      <c r="I155" s="146"/>
      <c r="J155" s="146"/>
      <c r="K155" s="146"/>
      <c r="L155" s="146"/>
      <c r="M155" s="146"/>
      <c r="N155" s="146"/>
      <c r="O155" s="146"/>
    </row>
    <row r="156" spans="1:15" ht="14" customHeight="1">
      <c r="A156" s="8" t="s">
        <v>92</v>
      </c>
      <c r="B156" s="6">
        <f>B155+0.1</f>
        <v>22.140000000000022</v>
      </c>
      <c r="C156" s="16">
        <v>2.58</v>
      </c>
      <c r="D156" s="14">
        <v>-25.2586725904</v>
      </c>
      <c r="E156" s="18"/>
      <c r="F156" s="146"/>
      <c r="G156" s="146"/>
      <c r="H156" s="146"/>
      <c r="I156" s="146"/>
      <c r="J156" s="146"/>
      <c r="K156" s="146"/>
      <c r="L156" s="146"/>
      <c r="M156" s="146"/>
      <c r="N156" s="146"/>
      <c r="O156" s="146"/>
    </row>
    <row r="157" spans="1:15" ht="14" customHeight="1">
      <c r="A157" s="8" t="s">
        <v>91</v>
      </c>
      <c r="B157" s="6">
        <f>B156+0.1</f>
        <v>22.240000000000023</v>
      </c>
      <c r="C157" s="16">
        <v>2.2200000000000002</v>
      </c>
      <c r="D157" s="6">
        <v>-25.62</v>
      </c>
      <c r="E157" s="13">
        <v>65.765765765765764</v>
      </c>
      <c r="F157" s="146"/>
      <c r="G157" s="146"/>
      <c r="H157" s="146"/>
      <c r="I157" s="146"/>
      <c r="J157" s="146"/>
      <c r="K157" s="146"/>
      <c r="L157" s="146"/>
      <c r="M157" s="146"/>
      <c r="N157" s="146"/>
      <c r="O157" s="146"/>
    </row>
    <row r="158" spans="1:15" ht="14" customHeight="1">
      <c r="A158" s="8" t="s">
        <v>90</v>
      </c>
      <c r="B158" s="6">
        <f>B157+0.1</f>
        <v>22.340000000000025</v>
      </c>
      <c r="C158" s="25">
        <v>1.37</v>
      </c>
      <c r="D158" s="12">
        <v>-27.26</v>
      </c>
      <c r="E158" s="18"/>
      <c r="F158" s="146"/>
      <c r="G158" s="146"/>
      <c r="H158" s="146"/>
      <c r="I158" s="146"/>
      <c r="J158" s="146"/>
      <c r="K158" s="146"/>
      <c r="L158" s="146"/>
      <c r="M158" s="146"/>
      <c r="N158" s="146"/>
      <c r="O158" s="146"/>
    </row>
    <row r="159" spans="1:15" ht="14" customHeight="1">
      <c r="A159" s="8" t="s">
        <v>89</v>
      </c>
      <c r="B159" s="6">
        <f>B158+0.06</f>
        <v>22.400000000000023</v>
      </c>
      <c r="C159" s="16">
        <v>1.17</v>
      </c>
      <c r="D159" s="20">
        <v>-27.12</v>
      </c>
      <c r="E159" s="13">
        <v>133.76068376068378</v>
      </c>
      <c r="F159" s="146"/>
      <c r="G159" s="146"/>
      <c r="H159" s="146"/>
      <c r="I159" s="146"/>
      <c r="J159" s="146"/>
      <c r="K159" s="146"/>
      <c r="L159" s="146"/>
      <c r="M159" s="146"/>
      <c r="N159" s="146"/>
      <c r="O159" s="146"/>
    </row>
    <row r="160" spans="1:15" ht="14" customHeight="1">
      <c r="A160" s="8" t="s">
        <v>88</v>
      </c>
      <c r="B160" s="6">
        <f>B159+0.1</f>
        <v>22.500000000000025</v>
      </c>
      <c r="C160" s="16">
        <v>1.27</v>
      </c>
      <c r="D160" s="14">
        <v>-27.3134105408</v>
      </c>
      <c r="E160" s="13">
        <v>109.44881889763779</v>
      </c>
      <c r="F160" s="146"/>
      <c r="G160" s="146"/>
      <c r="H160" s="146"/>
      <c r="I160" s="146"/>
      <c r="J160" s="146"/>
      <c r="K160" s="146"/>
      <c r="L160" s="146"/>
      <c r="M160" s="146"/>
      <c r="N160" s="146"/>
      <c r="O160" s="146"/>
    </row>
    <row r="161" spans="1:15" ht="14" customHeight="1">
      <c r="A161" s="5" t="s">
        <v>87</v>
      </c>
      <c r="B161" s="6">
        <f>B160+0.1</f>
        <v>22.600000000000026</v>
      </c>
      <c r="C161" s="6">
        <v>2.46</v>
      </c>
      <c r="D161" s="6">
        <v>-26.33</v>
      </c>
      <c r="E161" s="18"/>
      <c r="F161" s="146"/>
      <c r="G161" s="146"/>
      <c r="H161" s="146"/>
      <c r="I161" s="146"/>
      <c r="J161" s="146"/>
      <c r="K161" s="146"/>
      <c r="L161" s="146"/>
      <c r="M161" s="146"/>
      <c r="N161" s="146"/>
      <c r="O161" s="146"/>
    </row>
    <row r="162" spans="1:15" ht="14" customHeight="1">
      <c r="A162" s="5" t="s">
        <v>86</v>
      </c>
      <c r="B162" s="6">
        <f>B161+0.11</f>
        <v>22.710000000000026</v>
      </c>
      <c r="C162" s="16">
        <v>2.1800000000000002</v>
      </c>
      <c r="D162" s="12">
        <v>-25.838600176</v>
      </c>
      <c r="E162" s="18"/>
      <c r="F162" s="146"/>
      <c r="G162" s="146"/>
      <c r="H162" s="146"/>
      <c r="I162" s="146"/>
      <c r="J162" s="146"/>
      <c r="K162" s="146"/>
      <c r="L162" s="146"/>
      <c r="M162" s="146"/>
      <c r="N162" s="146"/>
      <c r="O162" s="146"/>
    </row>
    <row r="163" spans="1:15" ht="14" customHeight="1">
      <c r="A163" s="8" t="s">
        <v>85</v>
      </c>
      <c r="B163" s="6">
        <f>B162+0.09</f>
        <v>22.800000000000026</v>
      </c>
      <c r="C163" s="11">
        <v>0.1</v>
      </c>
      <c r="D163" s="20">
        <v>-27.7</v>
      </c>
      <c r="E163" s="18"/>
      <c r="F163" s="146"/>
      <c r="G163" s="146"/>
      <c r="H163" s="146"/>
      <c r="I163" s="146"/>
      <c r="J163" s="146"/>
      <c r="K163" s="146"/>
      <c r="L163" s="146"/>
      <c r="M163" s="146"/>
      <c r="N163" s="146"/>
      <c r="O163" s="146"/>
    </row>
    <row r="164" spans="1:15" ht="14" customHeight="1">
      <c r="A164" s="8" t="s">
        <v>84</v>
      </c>
      <c r="B164" s="6">
        <f>B163+0.09</f>
        <v>22.890000000000025</v>
      </c>
      <c r="C164" s="16">
        <v>1.28</v>
      </c>
      <c r="D164" s="20">
        <v>-26.4875480792</v>
      </c>
      <c r="E164" s="13">
        <v>79.6875</v>
      </c>
      <c r="F164" s="146"/>
      <c r="G164" s="146"/>
      <c r="H164" s="146"/>
      <c r="I164" s="146"/>
      <c r="J164" s="146"/>
      <c r="K164" s="146"/>
      <c r="L164" s="146"/>
      <c r="M164" s="146"/>
      <c r="N164" s="146"/>
      <c r="O164" s="146"/>
    </row>
    <row r="165" spans="1:15" ht="13" customHeight="1">
      <c r="A165" s="8" t="s">
        <v>83</v>
      </c>
      <c r="B165" s="6">
        <f t="shared" ref="B165:B171" si="4">B164+0.1</f>
        <v>22.990000000000027</v>
      </c>
      <c r="C165" s="16">
        <v>1.63</v>
      </c>
      <c r="D165" s="26">
        <v>-27.25</v>
      </c>
      <c r="E165" s="27"/>
      <c r="F165" s="146"/>
      <c r="G165" s="146"/>
      <c r="H165" s="146"/>
      <c r="I165" s="146"/>
      <c r="J165" s="146"/>
      <c r="K165" s="146"/>
      <c r="L165" s="146"/>
      <c r="M165" s="146"/>
      <c r="N165" s="146"/>
      <c r="O165" s="146"/>
    </row>
    <row r="166" spans="1:15" ht="14" customHeight="1">
      <c r="A166" s="8" t="s">
        <v>82</v>
      </c>
      <c r="B166" s="6">
        <f t="shared" si="4"/>
        <v>23.090000000000028</v>
      </c>
      <c r="C166" s="16">
        <v>0.99</v>
      </c>
      <c r="D166" s="14">
        <v>-27.569164014399998</v>
      </c>
      <c r="E166" s="13">
        <v>108.08080808080808</v>
      </c>
      <c r="F166" s="146"/>
      <c r="G166" s="146"/>
      <c r="H166" s="146"/>
      <c r="I166" s="146"/>
      <c r="J166" s="146"/>
      <c r="K166" s="146"/>
      <c r="L166" s="146"/>
      <c r="M166" s="146"/>
      <c r="N166" s="146"/>
      <c r="O166" s="146"/>
    </row>
    <row r="167" spans="1:15" ht="13" customHeight="1">
      <c r="A167" s="8" t="s">
        <v>81</v>
      </c>
      <c r="B167" s="6">
        <f t="shared" si="4"/>
        <v>23.19000000000003</v>
      </c>
      <c r="C167" s="16">
        <v>0.17</v>
      </c>
      <c r="D167" s="6">
        <v>-27.44</v>
      </c>
      <c r="E167" s="21"/>
      <c r="K167" s="146"/>
      <c r="L167" s="146"/>
      <c r="M167" s="146"/>
      <c r="N167" s="146"/>
      <c r="O167" s="146"/>
    </row>
    <row r="168" spans="1:15" ht="14" customHeight="1">
      <c r="A168" s="8" t="s">
        <v>80</v>
      </c>
      <c r="B168" s="6">
        <f t="shared" si="4"/>
        <v>23.290000000000031</v>
      </c>
      <c r="C168" s="16">
        <v>1.1499999999999999</v>
      </c>
      <c r="D168" s="6">
        <v>-27.404277774400001</v>
      </c>
      <c r="E168" s="13">
        <v>128.69565217391306</v>
      </c>
      <c r="F168" s="146"/>
      <c r="G168" s="146"/>
      <c r="H168" s="146"/>
      <c r="I168" s="146"/>
      <c r="J168" s="146"/>
      <c r="K168" s="146"/>
      <c r="L168" s="146"/>
      <c r="M168" s="146"/>
      <c r="N168" s="146"/>
      <c r="O168" s="146"/>
    </row>
    <row r="169" spans="1:15" ht="13" customHeight="1">
      <c r="A169" s="8" t="s">
        <v>79</v>
      </c>
      <c r="B169" s="6">
        <f t="shared" si="4"/>
        <v>23.390000000000033</v>
      </c>
      <c r="C169" s="11">
        <v>1.1100000000000001</v>
      </c>
      <c r="D169" s="6">
        <v>-27.06</v>
      </c>
      <c r="E169" s="13">
        <v>108.1081081081081</v>
      </c>
      <c r="F169" s="146"/>
      <c r="G169" s="146"/>
      <c r="H169" s="146"/>
      <c r="I169" s="146"/>
      <c r="J169" s="146"/>
      <c r="K169" s="146"/>
      <c r="L169" s="146"/>
      <c r="M169" s="146"/>
      <c r="N169" s="146"/>
      <c r="O169" s="146"/>
    </row>
    <row r="170" spans="1:15" ht="14" customHeight="1">
      <c r="A170" s="8" t="s">
        <v>78</v>
      </c>
      <c r="B170" s="6">
        <f t="shared" si="4"/>
        <v>23.490000000000034</v>
      </c>
      <c r="C170" s="16">
        <v>1.1499999999999999</v>
      </c>
      <c r="D170" s="6">
        <v>-27.083774271199999</v>
      </c>
      <c r="E170" s="18"/>
      <c r="F170" s="146"/>
      <c r="G170" s="146"/>
      <c r="H170" s="146"/>
      <c r="I170" s="146"/>
      <c r="J170" s="146"/>
      <c r="K170" s="146"/>
      <c r="L170" s="146"/>
      <c r="M170" s="146"/>
      <c r="N170" s="146"/>
      <c r="O170" s="146"/>
    </row>
    <row r="171" spans="1:15" ht="13" customHeight="1">
      <c r="A171" s="8" t="s">
        <v>77</v>
      </c>
      <c r="B171" s="6">
        <f t="shared" si="4"/>
        <v>23.590000000000035</v>
      </c>
      <c r="C171" s="11">
        <v>0.51</v>
      </c>
      <c r="D171" s="6">
        <v>-27.2</v>
      </c>
      <c r="E171" s="13">
        <v>223.52941176470588</v>
      </c>
      <c r="F171" s="146"/>
      <c r="G171" s="146"/>
      <c r="H171" s="146"/>
      <c r="I171" s="146"/>
      <c r="J171" s="146"/>
      <c r="K171" s="146"/>
      <c r="L171" s="146"/>
      <c r="M171" s="146"/>
      <c r="N171" s="146"/>
      <c r="O171" s="146"/>
    </row>
    <row r="172" spans="1:15" ht="13" customHeight="1">
      <c r="A172" s="8" t="s">
        <v>76</v>
      </c>
      <c r="B172" s="6">
        <f>B171+0.19</f>
        <v>23.780000000000037</v>
      </c>
      <c r="C172" s="11">
        <v>1.22</v>
      </c>
      <c r="D172" s="6">
        <v>-25.99</v>
      </c>
      <c r="E172" s="13">
        <v>71.311475409836063</v>
      </c>
      <c r="F172" s="146"/>
      <c r="G172" s="146"/>
      <c r="H172" s="146"/>
      <c r="I172" s="146"/>
      <c r="J172" s="146"/>
      <c r="K172" s="146"/>
      <c r="L172" s="146"/>
      <c r="M172" s="146"/>
      <c r="N172" s="146"/>
      <c r="O172" s="146"/>
    </row>
    <row r="173" spans="1:15" ht="13" customHeight="1">
      <c r="A173" s="5" t="s">
        <v>75</v>
      </c>
      <c r="B173" s="6">
        <f>B172+0.2</f>
        <v>23.980000000000036</v>
      </c>
      <c r="C173" s="6">
        <v>1.55</v>
      </c>
      <c r="D173" s="6">
        <v>-26.79</v>
      </c>
      <c r="E173" s="7"/>
      <c r="F173" s="146"/>
      <c r="G173" s="146"/>
      <c r="H173" s="146"/>
      <c r="I173" s="146"/>
      <c r="J173" s="146"/>
      <c r="K173" s="146"/>
      <c r="L173" s="146"/>
      <c r="M173" s="146"/>
      <c r="N173" s="146"/>
      <c r="O173" s="146"/>
    </row>
    <row r="174" spans="1:15" ht="14" customHeight="1">
      <c r="A174" s="5" t="s">
        <v>74</v>
      </c>
      <c r="B174" s="6">
        <f>B173+0.19</f>
        <v>24.170000000000037</v>
      </c>
      <c r="C174" s="6">
        <v>1.51</v>
      </c>
      <c r="D174" s="6">
        <v>-27.52</v>
      </c>
      <c r="E174" s="18"/>
      <c r="F174" s="146"/>
      <c r="G174" s="146"/>
      <c r="H174" s="146"/>
      <c r="I174" s="146"/>
      <c r="J174" s="146"/>
      <c r="K174" s="146"/>
      <c r="L174" s="146"/>
      <c r="M174" s="146"/>
      <c r="N174" s="146"/>
      <c r="O174" s="146"/>
    </row>
    <row r="175" spans="1:15" ht="13" customHeight="1">
      <c r="A175" s="8" t="s">
        <v>73</v>
      </c>
      <c r="B175" s="6">
        <f>B174+0.2</f>
        <v>24.370000000000037</v>
      </c>
      <c r="C175" s="16">
        <v>1.18</v>
      </c>
      <c r="D175" s="6">
        <v>-27.05</v>
      </c>
      <c r="E175" s="28"/>
      <c r="F175" s="146"/>
      <c r="G175" s="146"/>
      <c r="H175" s="146"/>
      <c r="I175" s="146"/>
      <c r="J175" s="146"/>
      <c r="K175" s="146"/>
      <c r="L175" s="146"/>
      <c r="M175" s="146"/>
      <c r="N175" s="146"/>
      <c r="O175" s="146"/>
    </row>
    <row r="176" spans="1:15" ht="13" customHeight="1">
      <c r="A176" s="5" t="s">
        <v>72</v>
      </c>
      <c r="B176" s="6">
        <f>B175+0.2</f>
        <v>24.570000000000036</v>
      </c>
      <c r="C176" s="6">
        <v>1</v>
      </c>
      <c r="D176" s="6">
        <v>-27.44</v>
      </c>
      <c r="E176" s="7"/>
      <c r="F176" s="146"/>
      <c r="G176" s="146"/>
      <c r="H176" s="146"/>
      <c r="I176" s="146"/>
      <c r="J176" s="146"/>
      <c r="K176" s="146"/>
      <c r="L176" s="146"/>
      <c r="M176" s="146"/>
      <c r="N176" s="146"/>
      <c r="O176" s="146"/>
    </row>
    <row r="177" spans="1:15" ht="14" customHeight="1">
      <c r="A177" s="5" t="s">
        <v>71</v>
      </c>
      <c r="B177" s="6">
        <f>B176+0.25</f>
        <v>24.820000000000036</v>
      </c>
      <c r="C177" s="6">
        <v>1.31</v>
      </c>
      <c r="D177" s="6">
        <v>-27.77</v>
      </c>
      <c r="E177" s="18"/>
      <c r="F177" s="146"/>
      <c r="G177" s="146"/>
      <c r="H177" s="146"/>
      <c r="I177" s="146"/>
      <c r="J177" s="146"/>
      <c r="K177" s="146"/>
      <c r="L177" s="146"/>
      <c r="M177" s="146"/>
      <c r="N177" s="146"/>
      <c r="O177" s="146"/>
    </row>
    <row r="178" spans="1:15" ht="14" customHeight="1">
      <c r="A178" s="8" t="s">
        <v>70</v>
      </c>
      <c r="B178" s="6">
        <f t="shared" ref="B178:B195" si="5">B177+0.2</f>
        <v>25.020000000000035</v>
      </c>
      <c r="C178" s="9"/>
      <c r="D178" s="9"/>
      <c r="E178" s="18"/>
      <c r="F178" s="146"/>
      <c r="G178" s="146"/>
      <c r="H178" s="146"/>
      <c r="I178" s="146"/>
      <c r="J178" s="146"/>
      <c r="K178" s="146"/>
      <c r="L178" s="146"/>
      <c r="M178" s="146"/>
      <c r="N178" s="146"/>
      <c r="O178" s="146"/>
    </row>
    <row r="179" spans="1:15" ht="14" customHeight="1">
      <c r="A179" s="5" t="s">
        <v>69</v>
      </c>
      <c r="B179" s="6">
        <f t="shared" si="5"/>
        <v>25.220000000000034</v>
      </c>
      <c r="C179" s="6">
        <v>1.36</v>
      </c>
      <c r="D179" s="6">
        <v>-26.07</v>
      </c>
      <c r="E179" s="18"/>
      <c r="F179" s="146"/>
      <c r="G179" s="146"/>
      <c r="H179" s="146"/>
      <c r="I179" s="146"/>
      <c r="J179" s="146"/>
      <c r="K179" s="146"/>
      <c r="L179" s="146"/>
      <c r="M179" s="146"/>
      <c r="N179" s="146"/>
      <c r="O179" s="146"/>
    </row>
    <row r="180" spans="1:15" ht="14" customHeight="1">
      <c r="A180" s="5" t="s">
        <v>68</v>
      </c>
      <c r="B180" s="6">
        <f t="shared" si="5"/>
        <v>25.420000000000034</v>
      </c>
      <c r="C180" s="6">
        <v>0.43</v>
      </c>
      <c r="D180" s="6">
        <v>-27.16</v>
      </c>
      <c r="E180" s="18"/>
      <c r="F180" s="146"/>
      <c r="G180" s="146"/>
      <c r="H180" s="146"/>
      <c r="I180" s="146"/>
      <c r="J180" s="146"/>
      <c r="K180" s="146"/>
      <c r="L180" s="146"/>
      <c r="M180" s="146"/>
      <c r="N180" s="146"/>
      <c r="O180" s="146"/>
    </row>
    <row r="181" spans="1:15" ht="14" customHeight="1">
      <c r="A181" s="5" t="s">
        <v>67</v>
      </c>
      <c r="B181" s="6">
        <f t="shared" si="5"/>
        <v>25.620000000000033</v>
      </c>
      <c r="C181" s="6">
        <v>1.68</v>
      </c>
      <c r="D181" s="6">
        <v>-27.38</v>
      </c>
      <c r="E181" s="18"/>
      <c r="F181" s="146"/>
      <c r="G181" s="146"/>
      <c r="H181" s="146"/>
      <c r="I181" s="146"/>
      <c r="J181" s="146"/>
      <c r="K181" s="146"/>
      <c r="L181" s="146"/>
      <c r="M181" s="146"/>
      <c r="N181" s="146"/>
      <c r="O181" s="146"/>
    </row>
    <row r="182" spans="1:15" ht="14" customHeight="1">
      <c r="A182" s="5" t="s">
        <v>66</v>
      </c>
      <c r="B182" s="6">
        <f t="shared" si="5"/>
        <v>25.820000000000032</v>
      </c>
      <c r="C182" s="6">
        <v>1.06</v>
      </c>
      <c r="D182" s="6">
        <v>-27.48</v>
      </c>
      <c r="E182" s="18"/>
      <c r="F182" s="146"/>
      <c r="G182" s="146"/>
      <c r="H182" s="146"/>
      <c r="I182" s="146"/>
      <c r="J182" s="146"/>
      <c r="K182" s="146"/>
      <c r="L182" s="146"/>
      <c r="M182" s="146"/>
      <c r="N182" s="146"/>
      <c r="O182" s="146"/>
    </row>
    <row r="183" spans="1:15" ht="14" customHeight="1">
      <c r="A183" s="8" t="s">
        <v>65</v>
      </c>
      <c r="B183" s="6">
        <f t="shared" si="5"/>
        <v>26.020000000000032</v>
      </c>
      <c r="C183" s="16">
        <v>1.2</v>
      </c>
      <c r="D183" s="6">
        <v>-26.51</v>
      </c>
      <c r="E183" s="13">
        <v>17.5</v>
      </c>
      <c r="F183" s="146"/>
      <c r="G183" s="146"/>
      <c r="H183" s="146"/>
      <c r="I183" s="146"/>
      <c r="J183" s="146"/>
      <c r="K183" s="146"/>
      <c r="L183" s="146"/>
      <c r="M183" s="146"/>
      <c r="N183" s="146"/>
      <c r="O183" s="146"/>
    </row>
    <row r="184" spans="1:15" ht="14" customHeight="1">
      <c r="A184" s="5" t="s">
        <v>64</v>
      </c>
      <c r="B184" s="6">
        <f t="shared" si="5"/>
        <v>26.220000000000031</v>
      </c>
      <c r="C184" s="6">
        <v>0.14000000000000001</v>
      </c>
      <c r="D184" s="6">
        <v>-27.68</v>
      </c>
      <c r="E184" s="18"/>
      <c r="F184" s="146"/>
      <c r="G184" s="146"/>
      <c r="H184" s="146"/>
      <c r="I184" s="146"/>
      <c r="J184" s="146"/>
      <c r="K184" s="146"/>
      <c r="L184" s="146"/>
      <c r="M184" s="146"/>
      <c r="N184" s="146"/>
      <c r="O184" s="146"/>
    </row>
    <row r="185" spans="1:15" ht="14" customHeight="1">
      <c r="A185" s="5" t="s">
        <v>63</v>
      </c>
      <c r="B185" s="6">
        <f t="shared" si="5"/>
        <v>26.42000000000003</v>
      </c>
      <c r="C185" s="6">
        <v>1.23</v>
      </c>
      <c r="D185" s="6">
        <v>-27.6</v>
      </c>
      <c r="E185" s="18"/>
      <c r="F185" s="146"/>
      <c r="G185" s="146"/>
      <c r="H185" s="146"/>
      <c r="I185" s="146"/>
      <c r="J185" s="146"/>
      <c r="K185" s="146"/>
      <c r="L185" s="146"/>
      <c r="M185" s="146"/>
      <c r="N185" s="146"/>
      <c r="O185" s="146"/>
    </row>
    <row r="186" spans="1:15" ht="14" customHeight="1">
      <c r="A186" s="5" t="s">
        <v>62</v>
      </c>
      <c r="B186" s="6">
        <f t="shared" si="5"/>
        <v>26.620000000000029</v>
      </c>
      <c r="C186" s="6">
        <v>0.69</v>
      </c>
      <c r="D186" s="6">
        <v>-27.8</v>
      </c>
      <c r="E186" s="18"/>
      <c r="F186" s="146"/>
      <c r="G186" s="146"/>
      <c r="H186" s="146"/>
      <c r="I186" s="146"/>
      <c r="J186" s="146"/>
      <c r="K186" s="146"/>
      <c r="L186" s="146"/>
      <c r="M186" s="146"/>
      <c r="N186" s="146"/>
      <c r="O186" s="146"/>
    </row>
    <row r="187" spans="1:15" ht="14" customHeight="1">
      <c r="A187" s="8" t="s">
        <v>61</v>
      </c>
      <c r="B187" s="6">
        <f t="shared" si="5"/>
        <v>26.820000000000029</v>
      </c>
      <c r="C187" s="9"/>
      <c r="D187" s="9"/>
      <c r="E187" s="18"/>
      <c r="F187" s="146"/>
      <c r="G187" s="146"/>
      <c r="H187" s="146"/>
      <c r="I187" s="146"/>
      <c r="J187" s="146"/>
      <c r="K187" s="146"/>
      <c r="L187" s="146"/>
      <c r="M187" s="146"/>
      <c r="N187" s="146"/>
      <c r="O187" s="146"/>
    </row>
    <row r="188" spans="1:15" ht="14" customHeight="1">
      <c r="A188" s="8" t="s">
        <v>60</v>
      </c>
      <c r="B188" s="6">
        <f t="shared" si="5"/>
        <v>27.020000000000028</v>
      </c>
      <c r="C188" s="16">
        <v>0.84</v>
      </c>
      <c r="D188" s="6">
        <v>-27.34</v>
      </c>
      <c r="E188" s="13">
        <v>14.285714285714286</v>
      </c>
      <c r="F188" s="146"/>
      <c r="G188" s="146"/>
      <c r="H188" s="146"/>
      <c r="I188" s="146"/>
      <c r="J188" s="146"/>
      <c r="K188" s="146"/>
      <c r="L188" s="146"/>
      <c r="M188" s="146"/>
      <c r="N188" s="146"/>
      <c r="O188" s="146"/>
    </row>
    <row r="189" spans="1:15" ht="14" customHeight="1">
      <c r="A189" s="8" t="s">
        <v>59</v>
      </c>
      <c r="B189" s="6">
        <f t="shared" si="5"/>
        <v>27.220000000000027</v>
      </c>
      <c r="C189" s="9"/>
      <c r="D189" s="9"/>
      <c r="E189" s="18"/>
      <c r="F189" s="146"/>
      <c r="G189" s="146"/>
      <c r="H189" s="146"/>
      <c r="I189" s="146"/>
      <c r="J189" s="146"/>
      <c r="K189" s="146"/>
      <c r="L189" s="146"/>
      <c r="M189" s="146"/>
      <c r="N189" s="146"/>
      <c r="O189" s="146"/>
    </row>
    <row r="190" spans="1:15" ht="13" customHeight="1">
      <c r="A190" s="8" t="s">
        <v>58</v>
      </c>
      <c r="B190" s="6">
        <f t="shared" si="5"/>
        <v>27.420000000000027</v>
      </c>
      <c r="C190" s="16">
        <v>0.88</v>
      </c>
      <c r="D190" s="29">
        <v>-30.52</v>
      </c>
      <c r="E190" s="13">
        <v>38.636363636363633</v>
      </c>
      <c r="F190" s="146"/>
      <c r="G190" s="146"/>
      <c r="H190" s="146"/>
      <c r="I190" s="146"/>
      <c r="J190" s="146"/>
      <c r="K190" s="146"/>
      <c r="L190" s="146"/>
      <c r="M190" s="146"/>
      <c r="N190" s="146"/>
      <c r="O190" s="146"/>
    </row>
    <row r="191" spans="1:15" ht="14" customHeight="1">
      <c r="A191" s="8" t="s">
        <v>57</v>
      </c>
      <c r="B191" s="6">
        <f t="shared" si="5"/>
        <v>27.620000000000026</v>
      </c>
      <c r="C191" s="11">
        <v>0.57999999999999996</v>
      </c>
      <c r="D191" s="14">
        <v>-28.36</v>
      </c>
      <c r="E191" s="18"/>
      <c r="F191" s="146"/>
      <c r="G191" s="146"/>
      <c r="H191" s="146"/>
      <c r="I191" s="146"/>
      <c r="J191" s="146"/>
      <c r="K191" s="146"/>
      <c r="L191" s="146"/>
      <c r="M191" s="146"/>
      <c r="N191" s="146"/>
      <c r="O191" s="146"/>
    </row>
    <row r="192" spans="1:15" ht="14" customHeight="1">
      <c r="A192" s="8" t="s">
        <v>56</v>
      </c>
      <c r="B192" s="6">
        <f t="shared" si="5"/>
        <v>27.820000000000025</v>
      </c>
      <c r="C192" s="11">
        <v>0.46</v>
      </c>
      <c r="D192" s="6">
        <v>-28.09</v>
      </c>
      <c r="E192" s="13">
        <v>39.130434782608695</v>
      </c>
      <c r="F192" s="146"/>
      <c r="G192" s="146"/>
      <c r="H192" s="146"/>
      <c r="I192" s="146"/>
      <c r="J192" s="146"/>
      <c r="K192" s="146"/>
      <c r="L192" s="146"/>
      <c r="M192" s="146"/>
      <c r="N192" s="146"/>
      <c r="O192" s="146"/>
    </row>
    <row r="193" spans="1:15" ht="14" customHeight="1">
      <c r="A193" s="8" t="s">
        <v>55</v>
      </c>
      <c r="B193" s="6">
        <f t="shared" si="5"/>
        <v>28.020000000000024</v>
      </c>
      <c r="C193" s="11">
        <v>1.21</v>
      </c>
      <c r="D193" s="6">
        <v>-26.26</v>
      </c>
      <c r="E193" s="13">
        <v>36.363636363636367</v>
      </c>
      <c r="F193" s="146"/>
      <c r="G193" s="146"/>
      <c r="H193" s="146"/>
      <c r="I193" s="146"/>
      <c r="J193" s="146"/>
      <c r="K193" s="146"/>
      <c r="L193" s="146"/>
      <c r="M193" s="146"/>
      <c r="N193" s="146"/>
      <c r="O193" s="146"/>
    </row>
    <row r="194" spans="1:15" ht="14" customHeight="1">
      <c r="A194" s="8" t="s">
        <v>54</v>
      </c>
      <c r="B194" s="6">
        <f t="shared" si="5"/>
        <v>28.220000000000024</v>
      </c>
      <c r="C194" s="9"/>
      <c r="D194" s="9"/>
      <c r="E194" s="18"/>
      <c r="F194" s="146"/>
      <c r="G194" s="146"/>
      <c r="H194" s="146"/>
      <c r="I194" s="146"/>
      <c r="J194" s="146"/>
      <c r="K194" s="146"/>
      <c r="L194" s="146"/>
      <c r="M194" s="146"/>
      <c r="N194" s="146"/>
      <c r="O194" s="146"/>
    </row>
    <row r="195" spans="1:15" ht="14" customHeight="1">
      <c r="A195" s="8" t="s">
        <v>53</v>
      </c>
      <c r="B195" s="6">
        <f t="shared" si="5"/>
        <v>28.420000000000023</v>
      </c>
      <c r="C195" s="11">
        <v>1.1000000000000001</v>
      </c>
      <c r="D195" s="6">
        <v>-26.83</v>
      </c>
      <c r="E195" s="13">
        <v>44.54545454545454</v>
      </c>
      <c r="F195" s="146"/>
      <c r="G195" s="146"/>
      <c r="H195" s="146"/>
      <c r="I195" s="146"/>
      <c r="J195" s="146"/>
      <c r="K195" s="146"/>
      <c r="L195" s="146"/>
      <c r="M195" s="146"/>
      <c r="N195" s="146"/>
      <c r="O195" s="146"/>
    </row>
    <row r="196" spans="1:15" ht="14" customHeight="1">
      <c r="A196" s="8" t="s">
        <v>52</v>
      </c>
      <c r="B196" s="6">
        <f>B195+0.19</f>
        <v>28.610000000000024</v>
      </c>
      <c r="C196" s="11">
        <v>0.8</v>
      </c>
      <c r="D196" s="6">
        <v>-27.85</v>
      </c>
      <c r="E196" s="13">
        <v>51.25</v>
      </c>
      <c r="F196" s="146"/>
      <c r="G196" s="146"/>
      <c r="H196" s="146"/>
      <c r="I196" s="146"/>
      <c r="J196" s="146"/>
      <c r="K196" s="146"/>
      <c r="L196" s="146"/>
      <c r="M196" s="146"/>
      <c r="N196" s="146"/>
      <c r="O196" s="146"/>
    </row>
    <row r="197" spans="1:15" ht="14" customHeight="1">
      <c r="A197" s="5" t="s">
        <v>51</v>
      </c>
      <c r="B197" s="6">
        <f t="shared" ref="B197:B204" si="6">B196+0.2</f>
        <v>28.810000000000024</v>
      </c>
      <c r="C197" s="6">
        <v>1.05</v>
      </c>
      <c r="D197" s="6">
        <v>-27.97</v>
      </c>
      <c r="E197" s="18"/>
      <c r="F197" s="146"/>
      <c r="G197" s="146"/>
      <c r="H197" s="146"/>
      <c r="I197" s="146"/>
      <c r="J197" s="146"/>
      <c r="K197" s="146"/>
      <c r="L197" s="146"/>
      <c r="M197" s="146"/>
      <c r="N197" s="146"/>
      <c r="O197" s="146"/>
    </row>
    <row r="198" spans="1:15" ht="14" customHeight="1">
      <c r="A198" s="8" t="s">
        <v>50</v>
      </c>
      <c r="B198" s="6">
        <f t="shared" si="6"/>
        <v>29.010000000000023</v>
      </c>
      <c r="C198" s="11">
        <v>0.7</v>
      </c>
      <c r="D198" s="6">
        <v>-26.9</v>
      </c>
      <c r="E198" s="13">
        <v>25.714285714285715</v>
      </c>
      <c r="F198" s="146"/>
      <c r="G198" s="146"/>
      <c r="H198" s="146"/>
      <c r="I198" s="146"/>
      <c r="J198" s="146"/>
      <c r="K198" s="146"/>
      <c r="L198" s="146"/>
      <c r="M198" s="146"/>
      <c r="N198" s="146"/>
      <c r="O198" s="146"/>
    </row>
    <row r="199" spans="1:15" ht="14" customHeight="1">
      <c r="A199" s="8" t="s">
        <v>49</v>
      </c>
      <c r="B199" s="6">
        <f t="shared" si="6"/>
        <v>29.210000000000022</v>
      </c>
      <c r="C199" s="16">
        <v>0.73</v>
      </c>
      <c r="D199" s="6">
        <v>-27.07</v>
      </c>
      <c r="E199" s="18"/>
      <c r="F199" s="146"/>
      <c r="G199" s="146"/>
      <c r="H199" s="146"/>
      <c r="I199" s="146"/>
      <c r="J199" s="146"/>
      <c r="K199" s="146"/>
      <c r="L199" s="146"/>
      <c r="M199" s="146"/>
      <c r="N199" s="146"/>
      <c r="O199" s="146"/>
    </row>
    <row r="200" spans="1:15" ht="14" customHeight="1">
      <c r="A200" s="8" t="s">
        <v>48</v>
      </c>
      <c r="B200" s="6">
        <f t="shared" si="6"/>
        <v>29.410000000000021</v>
      </c>
      <c r="C200" s="11">
        <v>1.62</v>
      </c>
      <c r="D200" s="6">
        <v>-28.5</v>
      </c>
      <c r="E200" s="13">
        <v>12.962962962962962</v>
      </c>
      <c r="F200" s="146"/>
      <c r="G200" s="146"/>
      <c r="H200" s="146"/>
      <c r="I200" s="146"/>
      <c r="J200" s="146"/>
      <c r="K200" s="146"/>
      <c r="L200" s="146"/>
      <c r="M200" s="146"/>
      <c r="N200" s="146"/>
      <c r="O200" s="146"/>
    </row>
    <row r="201" spans="1:15" ht="14" customHeight="1">
      <c r="A201" s="5" t="s">
        <v>47</v>
      </c>
      <c r="B201" s="6">
        <f t="shared" si="6"/>
        <v>29.610000000000021</v>
      </c>
      <c r="C201" s="6">
        <v>1.53</v>
      </c>
      <c r="D201" s="6">
        <v>-27.14</v>
      </c>
      <c r="E201" s="18"/>
      <c r="F201" s="146"/>
      <c r="G201" s="146"/>
      <c r="H201" s="146"/>
      <c r="I201" s="146"/>
      <c r="J201" s="146"/>
      <c r="K201" s="146"/>
      <c r="L201" s="146"/>
      <c r="M201" s="146"/>
      <c r="N201" s="146"/>
      <c r="O201" s="146"/>
    </row>
    <row r="202" spans="1:15" ht="14" customHeight="1">
      <c r="A202" s="8" t="s">
        <v>46</v>
      </c>
      <c r="B202" s="6">
        <f t="shared" si="6"/>
        <v>29.81000000000002</v>
      </c>
      <c r="C202" s="16">
        <v>1.29</v>
      </c>
      <c r="D202" s="9"/>
      <c r="E202" s="13">
        <v>55.038759689922479</v>
      </c>
      <c r="F202" s="146"/>
      <c r="G202" s="146"/>
      <c r="H202" s="146"/>
      <c r="I202" s="146"/>
      <c r="J202" s="146"/>
      <c r="K202" s="146"/>
      <c r="L202" s="146"/>
      <c r="M202" s="146"/>
      <c r="N202" s="146"/>
      <c r="O202" s="146"/>
    </row>
    <row r="203" spans="1:15" ht="14" customHeight="1">
      <c r="A203" s="8" t="s">
        <v>45</v>
      </c>
      <c r="B203" s="6">
        <f t="shared" si="6"/>
        <v>30.010000000000019</v>
      </c>
      <c r="C203" s="9"/>
      <c r="D203" s="9"/>
      <c r="E203" s="18"/>
      <c r="F203" s="250"/>
      <c r="G203" s="146"/>
      <c r="H203" s="146"/>
      <c r="I203" s="146"/>
      <c r="J203" s="146"/>
      <c r="K203" s="250"/>
      <c r="L203" s="146"/>
      <c r="M203" s="146"/>
      <c r="N203" s="146"/>
      <c r="O203" s="146"/>
    </row>
    <row r="204" spans="1:15" ht="13" customHeight="1">
      <c r="A204" s="5" t="s">
        <v>44</v>
      </c>
      <c r="B204" s="6">
        <f t="shared" si="6"/>
        <v>30.210000000000019</v>
      </c>
      <c r="C204" s="6">
        <v>0.66</v>
      </c>
      <c r="D204" s="6">
        <v>-26.86</v>
      </c>
      <c r="E204" s="21"/>
      <c r="F204" s="146"/>
      <c r="G204" s="146"/>
      <c r="H204" s="146"/>
      <c r="I204" s="146"/>
      <c r="J204" s="146"/>
      <c r="K204" s="146"/>
      <c r="L204" s="146"/>
      <c r="M204" s="146"/>
      <c r="N204" s="146"/>
      <c r="O204" s="146"/>
    </row>
    <row r="205" spans="1:15" ht="14" customHeight="1">
      <c r="A205" s="5" t="s">
        <v>43</v>
      </c>
      <c r="B205" s="6">
        <f>B204+0.16+1.25</f>
        <v>31.620000000000019</v>
      </c>
      <c r="C205" s="6">
        <v>1.34</v>
      </c>
      <c r="D205" s="6">
        <v>-26.26</v>
      </c>
      <c r="E205" s="18"/>
      <c r="F205" s="146"/>
      <c r="G205" s="146"/>
      <c r="H205" s="146"/>
      <c r="I205" s="146"/>
      <c r="J205" s="146"/>
      <c r="K205" s="146"/>
      <c r="L205" s="146"/>
      <c r="M205" s="146"/>
      <c r="N205" s="146"/>
      <c r="O205" s="146"/>
    </row>
    <row r="206" spans="1:15" ht="14" customHeight="1">
      <c r="A206" s="8" t="s">
        <v>42</v>
      </c>
      <c r="B206" s="6">
        <f>B204+0.16+2.5+0.14</f>
        <v>33.010000000000019</v>
      </c>
      <c r="C206" s="16">
        <v>0.85</v>
      </c>
      <c r="D206" s="6">
        <v>-29.26</v>
      </c>
      <c r="E206" s="18"/>
      <c r="F206" s="146"/>
      <c r="G206" s="146"/>
      <c r="H206" s="146"/>
      <c r="I206" s="146"/>
      <c r="J206" s="146"/>
      <c r="K206" s="146"/>
      <c r="L206" s="146"/>
      <c r="M206" s="146"/>
      <c r="N206" s="146"/>
      <c r="O206" s="146"/>
    </row>
    <row r="207" spans="1:15" ht="14" customHeight="1">
      <c r="A207" s="8" t="s">
        <v>41</v>
      </c>
      <c r="B207" s="6">
        <f>B206+0.76</f>
        <v>33.770000000000017</v>
      </c>
      <c r="C207" s="16">
        <v>0.93</v>
      </c>
      <c r="D207" s="6">
        <v>-28.96</v>
      </c>
      <c r="E207" s="13">
        <v>97.849462365591393</v>
      </c>
      <c r="F207" s="146"/>
      <c r="G207" s="146"/>
      <c r="H207" s="146"/>
      <c r="I207" s="146"/>
      <c r="J207" s="146"/>
      <c r="K207" s="146"/>
      <c r="L207" s="146"/>
      <c r="M207" s="146"/>
      <c r="N207" s="146"/>
      <c r="O207" s="146"/>
    </row>
    <row r="208" spans="1:15" ht="14" customHeight="1">
      <c r="A208" s="8" t="s">
        <v>40</v>
      </c>
      <c r="B208" s="6">
        <f>B207+0.12</f>
        <v>33.890000000000015</v>
      </c>
      <c r="C208" s="11">
        <v>1.2</v>
      </c>
      <c r="D208" s="6">
        <v>-29.2</v>
      </c>
      <c r="E208" s="13">
        <v>181.66666666666669</v>
      </c>
      <c r="F208" s="146"/>
      <c r="G208" s="146"/>
      <c r="H208" s="146"/>
      <c r="I208" s="146"/>
      <c r="J208" s="146"/>
      <c r="K208" s="146"/>
      <c r="L208" s="146"/>
      <c r="M208" s="146"/>
      <c r="N208" s="146"/>
      <c r="O208" s="146"/>
    </row>
    <row r="209" spans="1:15" ht="13" customHeight="1">
      <c r="A209" s="5" t="s">
        <v>39</v>
      </c>
      <c r="B209" s="6">
        <f t="shared" ref="B209:B241" si="7">B208+0.2</f>
        <v>34.090000000000018</v>
      </c>
      <c r="C209" s="6">
        <v>0.66</v>
      </c>
      <c r="D209" s="6">
        <v>-28.68</v>
      </c>
      <c r="E209" s="21"/>
      <c r="F209" s="146"/>
      <c r="G209" s="146"/>
      <c r="H209" s="146"/>
      <c r="I209" s="146"/>
      <c r="J209" s="146"/>
      <c r="K209" s="146"/>
      <c r="L209" s="146"/>
      <c r="M209" s="146"/>
      <c r="N209" s="146"/>
      <c r="O209" s="146"/>
    </row>
    <row r="210" spans="1:15" ht="14" customHeight="1">
      <c r="A210" s="8" t="s">
        <v>38</v>
      </c>
      <c r="B210" s="6">
        <f t="shared" si="7"/>
        <v>34.29000000000002</v>
      </c>
      <c r="C210" s="16">
        <v>0.7</v>
      </c>
      <c r="D210" s="6">
        <v>-28.83</v>
      </c>
      <c r="E210" s="13">
        <v>295.71428571428572</v>
      </c>
      <c r="F210" s="146"/>
      <c r="G210" s="146"/>
      <c r="H210" s="146"/>
      <c r="I210" s="146"/>
      <c r="J210" s="146"/>
      <c r="K210" s="146"/>
      <c r="L210" s="146"/>
      <c r="M210" s="146"/>
      <c r="N210" s="146"/>
      <c r="O210" s="146"/>
    </row>
    <row r="211" spans="1:15" ht="14" customHeight="1">
      <c r="A211" s="8" t="s">
        <v>37</v>
      </c>
      <c r="B211" s="6">
        <f t="shared" si="7"/>
        <v>34.490000000000023</v>
      </c>
      <c r="C211" s="11">
        <v>0.79</v>
      </c>
      <c r="D211" s="30">
        <v>-29.03</v>
      </c>
      <c r="E211" s="18"/>
      <c r="F211" s="146"/>
      <c r="G211" s="146"/>
      <c r="H211" s="146"/>
      <c r="I211" s="146"/>
      <c r="J211" s="146"/>
      <c r="K211" s="146"/>
      <c r="L211" s="146"/>
      <c r="M211" s="146"/>
      <c r="N211" s="146"/>
      <c r="O211" s="146"/>
    </row>
    <row r="212" spans="1:15" ht="13" customHeight="1">
      <c r="A212" s="8" t="s">
        <v>36</v>
      </c>
      <c r="B212" s="6">
        <f t="shared" si="7"/>
        <v>34.690000000000026</v>
      </c>
      <c r="C212" s="9"/>
      <c r="D212" s="241">
        <v>-28.34</v>
      </c>
      <c r="E212" s="242"/>
      <c r="F212" s="146"/>
      <c r="G212" s="146"/>
      <c r="H212" s="146"/>
      <c r="I212" s="146"/>
      <c r="J212" s="146"/>
      <c r="K212" s="146"/>
      <c r="L212" s="146"/>
      <c r="M212" s="146"/>
      <c r="N212" s="146"/>
      <c r="O212" s="146"/>
    </row>
    <row r="213" spans="1:15" ht="14" customHeight="1">
      <c r="A213" s="5" t="s">
        <v>35</v>
      </c>
      <c r="B213" s="6">
        <f t="shared" si="7"/>
        <v>34.890000000000029</v>
      </c>
      <c r="C213" s="6">
        <v>1.01</v>
      </c>
      <c r="D213" s="6">
        <v>-29.03</v>
      </c>
      <c r="E213" s="18"/>
      <c r="F213" s="146"/>
      <c r="G213" s="146"/>
      <c r="H213" s="146"/>
      <c r="I213" s="146"/>
      <c r="J213" s="146"/>
      <c r="K213" s="146"/>
      <c r="L213" s="146"/>
      <c r="M213" s="146"/>
      <c r="N213" s="146"/>
      <c r="O213" s="146"/>
    </row>
    <row r="214" spans="1:15" ht="14" customHeight="1">
      <c r="A214" s="8" t="s">
        <v>34</v>
      </c>
      <c r="B214" s="6">
        <f t="shared" si="7"/>
        <v>35.090000000000032</v>
      </c>
      <c r="C214" s="11">
        <v>0.71</v>
      </c>
      <c r="D214" s="12">
        <v>-29.04</v>
      </c>
      <c r="E214" s="13">
        <v>147.88732394366198</v>
      </c>
      <c r="F214" s="146"/>
      <c r="G214" s="146"/>
      <c r="H214" s="146"/>
      <c r="I214" s="146"/>
      <c r="J214" s="146"/>
      <c r="K214" s="146"/>
      <c r="L214" s="146"/>
      <c r="M214" s="146"/>
      <c r="N214" s="146"/>
      <c r="O214" s="146"/>
    </row>
    <row r="215" spans="1:15" ht="14" customHeight="1">
      <c r="A215" s="8" t="s">
        <v>33</v>
      </c>
      <c r="B215" s="6">
        <f t="shared" si="7"/>
        <v>35.290000000000035</v>
      </c>
      <c r="C215" s="11">
        <v>1.62</v>
      </c>
      <c r="D215" s="14">
        <v>-29.08</v>
      </c>
      <c r="E215" s="13">
        <v>150</v>
      </c>
      <c r="F215" s="146"/>
      <c r="G215" s="146"/>
      <c r="H215" s="146"/>
      <c r="I215" s="146"/>
      <c r="J215" s="146"/>
      <c r="K215" s="146"/>
      <c r="L215" s="146"/>
      <c r="M215" s="146"/>
      <c r="N215" s="146"/>
      <c r="O215" s="146"/>
    </row>
    <row r="216" spans="1:15" ht="14" customHeight="1">
      <c r="A216" s="5" t="s">
        <v>32</v>
      </c>
      <c r="B216" s="6">
        <f t="shared" si="7"/>
        <v>35.490000000000038</v>
      </c>
      <c r="C216" s="6">
        <v>1.1299999999999999</v>
      </c>
      <c r="D216" s="6">
        <v>-29.46</v>
      </c>
      <c r="E216" s="18"/>
      <c r="F216" s="146"/>
      <c r="G216" s="146"/>
      <c r="H216" s="146"/>
      <c r="I216" s="146"/>
      <c r="J216" s="146"/>
      <c r="K216" s="146"/>
      <c r="L216" s="146"/>
      <c r="M216" s="146"/>
      <c r="N216" s="146"/>
      <c r="O216" s="146"/>
    </row>
    <row r="217" spans="1:15" ht="14" customHeight="1">
      <c r="A217" s="8" t="s">
        <v>31</v>
      </c>
      <c r="B217" s="6">
        <f t="shared" si="7"/>
        <v>35.69000000000004</v>
      </c>
      <c r="C217" s="9"/>
      <c r="D217" s="9"/>
      <c r="E217" s="18"/>
      <c r="F217" s="146"/>
      <c r="G217" s="146"/>
      <c r="H217" s="146"/>
      <c r="I217" s="146"/>
      <c r="J217" s="146"/>
      <c r="K217" s="146"/>
      <c r="L217" s="146"/>
      <c r="M217" s="146"/>
      <c r="N217" s="146"/>
      <c r="O217" s="146"/>
    </row>
    <row r="218" spans="1:15" ht="14" customHeight="1">
      <c r="A218" s="8" t="s">
        <v>30</v>
      </c>
      <c r="B218" s="6">
        <f t="shared" si="7"/>
        <v>35.890000000000043</v>
      </c>
      <c r="C218" s="11">
        <v>1.35</v>
      </c>
      <c r="D218" s="31">
        <v>-28.793656240000001</v>
      </c>
      <c r="E218" s="247"/>
      <c r="F218" s="146"/>
      <c r="G218" s="146"/>
      <c r="H218" s="146"/>
      <c r="I218" s="146"/>
      <c r="J218" s="146"/>
      <c r="K218" s="146"/>
      <c r="L218" s="146"/>
      <c r="M218" s="146"/>
      <c r="N218" s="146"/>
      <c r="O218" s="146"/>
    </row>
    <row r="219" spans="1:15" ht="14" customHeight="1">
      <c r="A219" s="8" t="s">
        <v>29</v>
      </c>
      <c r="B219" s="6">
        <f t="shared" si="7"/>
        <v>36.090000000000046</v>
      </c>
      <c r="C219" s="11">
        <v>1.28</v>
      </c>
      <c r="D219" s="6">
        <v>-28.7</v>
      </c>
      <c r="E219" s="13">
        <v>435.9375</v>
      </c>
      <c r="F219" s="146"/>
      <c r="G219" s="146"/>
      <c r="H219" s="146"/>
      <c r="I219" s="146"/>
      <c r="J219" s="146"/>
      <c r="K219" s="146"/>
      <c r="L219" s="146"/>
      <c r="M219" s="146"/>
      <c r="N219" s="146"/>
      <c r="O219" s="146"/>
    </row>
    <row r="220" spans="1:15" ht="14" customHeight="1">
      <c r="A220" s="5" t="s">
        <v>28</v>
      </c>
      <c r="B220" s="6">
        <f t="shared" si="7"/>
        <v>36.290000000000049</v>
      </c>
      <c r="C220" s="6">
        <v>1.33</v>
      </c>
      <c r="D220" s="6">
        <v>-28.03</v>
      </c>
      <c r="E220" s="18"/>
      <c r="F220" s="146"/>
      <c r="G220" s="146"/>
      <c r="H220" s="146"/>
      <c r="I220" s="146"/>
      <c r="J220" s="146"/>
      <c r="K220" s="146"/>
      <c r="L220" s="146"/>
      <c r="M220" s="146"/>
      <c r="N220" s="146"/>
      <c r="O220" s="146"/>
    </row>
    <row r="221" spans="1:15" ht="14" customHeight="1">
      <c r="A221" s="8" t="s">
        <v>27</v>
      </c>
      <c r="B221" s="6">
        <f t="shared" si="7"/>
        <v>36.490000000000052</v>
      </c>
      <c r="C221" s="11">
        <v>1.0900000000000001</v>
      </c>
      <c r="D221" s="12">
        <v>-29.66</v>
      </c>
      <c r="E221" s="13">
        <v>453.21100917431187</v>
      </c>
      <c r="F221" s="146"/>
      <c r="G221" s="146"/>
      <c r="H221" s="146"/>
      <c r="I221" s="146"/>
      <c r="J221" s="146"/>
      <c r="K221" s="146"/>
      <c r="L221" s="146"/>
      <c r="M221" s="146"/>
      <c r="N221" s="146"/>
      <c r="O221" s="146"/>
    </row>
    <row r="222" spans="1:15" ht="14" customHeight="1">
      <c r="A222" s="8" t="s">
        <v>26</v>
      </c>
      <c r="B222" s="6">
        <f t="shared" si="7"/>
        <v>36.690000000000055</v>
      </c>
      <c r="C222" s="11">
        <v>1.4</v>
      </c>
      <c r="D222" s="14">
        <v>-29.36</v>
      </c>
      <c r="E222" s="13">
        <v>318.57142857142861</v>
      </c>
      <c r="F222" s="146"/>
      <c r="G222" s="146"/>
      <c r="H222" s="146"/>
      <c r="I222" s="146"/>
      <c r="J222" s="146"/>
      <c r="K222" s="146"/>
      <c r="L222" s="146"/>
      <c r="M222" s="146"/>
      <c r="N222" s="146"/>
      <c r="O222" s="146"/>
    </row>
    <row r="223" spans="1:15" ht="14" customHeight="1">
      <c r="A223" s="8" t="s">
        <v>25</v>
      </c>
      <c r="B223" s="6">
        <f t="shared" si="7"/>
        <v>36.890000000000057</v>
      </c>
      <c r="C223" s="16">
        <v>1.43</v>
      </c>
      <c r="D223" s="6">
        <v>-28.49</v>
      </c>
      <c r="F223" s="146"/>
      <c r="G223" s="146"/>
      <c r="H223" s="146"/>
      <c r="I223" s="146"/>
      <c r="J223" s="146"/>
      <c r="K223" s="146"/>
      <c r="L223" s="146"/>
      <c r="M223" s="146"/>
      <c r="N223" s="146"/>
      <c r="O223" s="146"/>
    </row>
    <row r="224" spans="1:15" ht="14" customHeight="1">
      <c r="A224" s="5" t="s">
        <v>24</v>
      </c>
      <c r="B224" s="6">
        <f t="shared" si="7"/>
        <v>37.09000000000006</v>
      </c>
      <c r="C224" s="6">
        <v>1.35</v>
      </c>
      <c r="D224" s="6">
        <v>-28.2</v>
      </c>
      <c r="E224" s="18"/>
      <c r="F224" s="146"/>
      <c r="G224" s="146"/>
      <c r="H224" s="146"/>
      <c r="I224" s="146"/>
      <c r="J224" s="146"/>
      <c r="K224" s="146"/>
      <c r="L224" s="146"/>
      <c r="M224" s="146"/>
      <c r="N224" s="146"/>
      <c r="O224" s="146"/>
    </row>
    <row r="225" spans="1:15" ht="14" customHeight="1">
      <c r="A225" s="8" t="s">
        <v>23</v>
      </c>
      <c r="B225" s="6">
        <f t="shared" si="7"/>
        <v>37.290000000000063</v>
      </c>
      <c r="C225" s="11">
        <v>1.1399999999999999</v>
      </c>
      <c r="D225" s="12">
        <v>-28.92</v>
      </c>
      <c r="E225" s="13">
        <v>677.19298245614038</v>
      </c>
      <c r="F225" s="146"/>
      <c r="G225" s="146"/>
      <c r="H225" s="146"/>
      <c r="I225" s="146"/>
      <c r="J225" s="146"/>
      <c r="K225" s="146"/>
      <c r="L225" s="146"/>
      <c r="M225" s="146"/>
      <c r="N225" s="146"/>
      <c r="O225" s="146"/>
    </row>
    <row r="226" spans="1:15" ht="14" customHeight="1">
      <c r="A226" s="8" t="s">
        <v>22</v>
      </c>
      <c r="B226" s="6">
        <f t="shared" si="7"/>
        <v>37.490000000000066</v>
      </c>
      <c r="C226" s="16">
        <v>0.83</v>
      </c>
      <c r="D226" s="14">
        <v>-29.67</v>
      </c>
      <c r="E226" s="18"/>
      <c r="F226" s="146"/>
      <c r="G226" s="146"/>
      <c r="H226" s="146"/>
      <c r="I226" s="146"/>
      <c r="J226" s="146"/>
      <c r="K226" s="146"/>
      <c r="L226" s="146"/>
      <c r="M226" s="146"/>
      <c r="N226" s="146"/>
      <c r="O226" s="146"/>
    </row>
    <row r="227" spans="1:15" ht="14" customHeight="1">
      <c r="A227" s="5" t="s">
        <v>21</v>
      </c>
      <c r="B227" s="6">
        <f t="shared" si="7"/>
        <v>37.690000000000069</v>
      </c>
      <c r="C227" s="6">
        <v>1.1200000000000001</v>
      </c>
      <c r="D227" s="6">
        <v>-28.52</v>
      </c>
      <c r="E227" s="18"/>
      <c r="F227" s="146"/>
      <c r="G227" s="146"/>
      <c r="H227" s="146"/>
      <c r="I227" s="146"/>
      <c r="J227" s="146"/>
      <c r="K227" s="146"/>
      <c r="L227" s="146"/>
      <c r="M227" s="146"/>
      <c r="N227" s="146"/>
      <c r="O227" s="146"/>
    </row>
    <row r="228" spans="1:15" ht="14" customHeight="1">
      <c r="A228" s="8" t="s">
        <v>20</v>
      </c>
      <c r="B228" s="6">
        <f t="shared" si="7"/>
        <v>37.890000000000072</v>
      </c>
      <c r="C228" s="16">
        <v>1.22</v>
      </c>
      <c r="D228" s="6">
        <v>-29.1</v>
      </c>
      <c r="E228" s="13">
        <v>576.22950819672133</v>
      </c>
      <c r="F228" s="146"/>
      <c r="G228" s="146"/>
      <c r="H228" s="146"/>
      <c r="I228" s="146"/>
      <c r="J228" s="146"/>
      <c r="K228" s="146"/>
      <c r="L228" s="146"/>
      <c r="M228" s="146"/>
      <c r="N228" s="146"/>
      <c r="O228" s="146"/>
    </row>
    <row r="229" spans="1:15" ht="14" customHeight="1">
      <c r="A229" s="8" t="s">
        <v>19</v>
      </c>
      <c r="B229" s="6">
        <f t="shared" si="7"/>
        <v>38.090000000000074</v>
      </c>
      <c r="C229" s="11">
        <v>1.57</v>
      </c>
      <c r="D229" s="6">
        <v>-29.08</v>
      </c>
      <c r="E229" s="13">
        <v>491.71974522292993</v>
      </c>
      <c r="F229" s="146"/>
      <c r="G229" s="146"/>
      <c r="H229" s="146"/>
      <c r="I229" s="146"/>
      <c r="J229" s="146"/>
      <c r="K229" s="146"/>
      <c r="L229" s="146"/>
      <c r="M229" s="146"/>
      <c r="N229" s="146"/>
      <c r="O229" s="146"/>
    </row>
    <row r="230" spans="1:15" ht="14" customHeight="1">
      <c r="A230" s="5" t="s">
        <v>18</v>
      </c>
      <c r="B230" s="6">
        <f t="shared" si="7"/>
        <v>38.290000000000077</v>
      </c>
      <c r="C230" s="6">
        <v>1.59</v>
      </c>
      <c r="D230" s="6">
        <v>-28.08</v>
      </c>
      <c r="E230" s="18"/>
      <c r="F230" s="146"/>
      <c r="G230" s="146"/>
      <c r="H230" s="146"/>
      <c r="I230" s="146"/>
      <c r="J230" s="146"/>
      <c r="K230" s="146"/>
      <c r="L230" s="146"/>
      <c r="M230" s="146"/>
      <c r="N230" s="146"/>
      <c r="O230" s="146"/>
    </row>
    <row r="231" spans="1:15" ht="14" customHeight="1">
      <c r="A231" s="8" t="s">
        <v>17</v>
      </c>
      <c r="B231" s="6">
        <f t="shared" si="7"/>
        <v>38.49000000000008</v>
      </c>
      <c r="C231" s="11">
        <v>1.57</v>
      </c>
      <c r="D231" s="6">
        <v>-28.57</v>
      </c>
      <c r="E231" s="13">
        <v>422.92993630573244</v>
      </c>
      <c r="F231" s="146"/>
      <c r="G231" s="146"/>
      <c r="H231" s="146"/>
      <c r="I231" s="146"/>
      <c r="J231" s="146"/>
      <c r="K231" s="146"/>
      <c r="L231" s="146"/>
      <c r="M231" s="146"/>
      <c r="N231" s="146"/>
      <c r="O231" s="146"/>
    </row>
    <row r="232" spans="1:15" ht="14" customHeight="1">
      <c r="A232" s="8" t="s">
        <v>16</v>
      </c>
      <c r="B232" s="6">
        <f t="shared" si="7"/>
        <v>38.690000000000083</v>
      </c>
      <c r="C232" s="11">
        <v>1.44</v>
      </c>
      <c r="D232" s="6">
        <v>-28.55</v>
      </c>
      <c r="E232" s="18"/>
      <c r="F232" s="146"/>
      <c r="G232" s="146"/>
      <c r="H232" s="146"/>
      <c r="I232" s="146"/>
      <c r="J232" s="146"/>
      <c r="K232" s="146"/>
      <c r="L232" s="146"/>
      <c r="M232" s="146"/>
      <c r="N232" s="146"/>
      <c r="O232" s="146"/>
    </row>
    <row r="233" spans="1:15" ht="14" customHeight="1">
      <c r="A233" s="8" t="s">
        <v>15</v>
      </c>
      <c r="B233" s="6">
        <f t="shared" si="7"/>
        <v>38.890000000000086</v>
      </c>
      <c r="C233" s="16">
        <v>1.2</v>
      </c>
      <c r="D233" s="6">
        <v>-28.93</v>
      </c>
      <c r="E233" s="13">
        <v>420</v>
      </c>
      <c r="F233" s="146"/>
      <c r="G233" s="146"/>
      <c r="H233" s="146"/>
      <c r="I233" s="146"/>
      <c r="J233" s="146"/>
      <c r="K233" s="146"/>
      <c r="L233" s="146"/>
      <c r="M233" s="146"/>
      <c r="N233" s="146"/>
      <c r="O233" s="146"/>
    </row>
    <row r="234" spans="1:15" ht="14" customHeight="1">
      <c r="A234" s="5" t="s">
        <v>14</v>
      </c>
      <c r="B234" s="6">
        <f t="shared" si="7"/>
        <v>39.090000000000089</v>
      </c>
      <c r="C234" s="6">
        <v>0.48</v>
      </c>
      <c r="D234" s="6">
        <v>-29.79</v>
      </c>
      <c r="E234" s="18"/>
      <c r="F234" s="146"/>
      <c r="G234" s="146"/>
      <c r="H234" s="146"/>
      <c r="I234" s="146"/>
      <c r="J234" s="146"/>
      <c r="K234" s="146"/>
      <c r="L234" s="146"/>
      <c r="M234" s="146"/>
      <c r="N234" s="146"/>
      <c r="O234" s="146"/>
    </row>
    <row r="235" spans="1:15" ht="13" customHeight="1">
      <c r="A235" s="243" t="s">
        <v>13</v>
      </c>
      <c r="B235" s="6">
        <f t="shared" si="7"/>
        <v>39.290000000000092</v>
      </c>
      <c r="C235" s="10"/>
      <c r="D235" s="242"/>
      <c r="E235" s="242"/>
      <c r="F235" s="146"/>
      <c r="G235" s="146"/>
      <c r="H235" s="146"/>
      <c r="I235" s="146"/>
      <c r="J235" s="146"/>
      <c r="K235" s="146"/>
      <c r="L235" s="146"/>
      <c r="M235" s="146"/>
      <c r="N235" s="146"/>
      <c r="O235" s="146"/>
    </row>
    <row r="236" spans="1:15" ht="14" customHeight="1">
      <c r="A236" s="8" t="s">
        <v>12</v>
      </c>
      <c r="B236" s="6">
        <f t="shared" si="7"/>
        <v>39.490000000000094</v>
      </c>
      <c r="C236" s="11">
        <v>1.48</v>
      </c>
      <c r="D236" s="6">
        <v>-28.97</v>
      </c>
      <c r="E236" s="13">
        <v>511.48648648648651</v>
      </c>
      <c r="F236" s="146"/>
      <c r="G236" s="146"/>
      <c r="H236" s="146"/>
      <c r="I236" s="146"/>
      <c r="J236" s="146"/>
      <c r="K236" s="146"/>
      <c r="L236" s="146"/>
      <c r="M236" s="146"/>
      <c r="N236" s="146"/>
      <c r="O236" s="146"/>
    </row>
    <row r="237" spans="1:15" ht="14" customHeight="1">
      <c r="A237" s="5" t="s">
        <v>11</v>
      </c>
      <c r="B237" s="6">
        <f t="shared" si="7"/>
        <v>39.690000000000097</v>
      </c>
      <c r="C237" s="6">
        <v>2.11</v>
      </c>
      <c r="D237" s="6">
        <v>-28.42</v>
      </c>
      <c r="E237" s="18"/>
      <c r="F237" s="146"/>
      <c r="G237" s="146"/>
      <c r="H237" s="146"/>
      <c r="I237" s="146"/>
      <c r="J237" s="146"/>
      <c r="K237" s="146"/>
      <c r="L237" s="146"/>
      <c r="M237" s="146"/>
      <c r="N237" s="146"/>
      <c r="O237" s="146"/>
    </row>
    <row r="238" spans="1:15" ht="14" customHeight="1">
      <c r="A238" s="8" t="s">
        <v>10</v>
      </c>
      <c r="B238" s="6">
        <f t="shared" si="7"/>
        <v>39.8900000000001</v>
      </c>
      <c r="C238" s="16">
        <v>1.56</v>
      </c>
      <c r="D238" s="6">
        <v>-28.91</v>
      </c>
      <c r="E238" s="18"/>
      <c r="F238" s="146"/>
      <c r="G238" s="146"/>
      <c r="H238" s="146"/>
      <c r="I238" s="146"/>
      <c r="J238" s="146"/>
      <c r="K238" s="146"/>
      <c r="L238" s="146"/>
      <c r="M238" s="146"/>
      <c r="N238" s="146"/>
      <c r="O238" s="146"/>
    </row>
    <row r="239" spans="1:15" ht="14" customHeight="1">
      <c r="A239" s="8" t="s">
        <v>9</v>
      </c>
      <c r="B239" s="6">
        <f t="shared" si="7"/>
        <v>40.090000000000103</v>
      </c>
      <c r="C239" s="11">
        <v>1.71</v>
      </c>
      <c r="D239" s="6">
        <v>-28.97</v>
      </c>
      <c r="E239" s="13">
        <v>550.87719298245611</v>
      </c>
      <c r="F239" s="146"/>
      <c r="G239" s="146"/>
      <c r="H239" s="146"/>
      <c r="I239" s="146"/>
      <c r="J239" s="146"/>
      <c r="K239" s="146"/>
      <c r="L239" s="146"/>
      <c r="M239" s="146"/>
      <c r="N239" s="146"/>
      <c r="O239" s="146"/>
    </row>
    <row r="240" spans="1:15" ht="14" customHeight="1">
      <c r="A240" s="8" t="s">
        <v>8</v>
      </c>
      <c r="B240" s="6">
        <f t="shared" si="7"/>
        <v>40.290000000000106</v>
      </c>
      <c r="C240" s="11">
        <v>1.8</v>
      </c>
      <c r="D240" s="6">
        <v>-29.33</v>
      </c>
      <c r="E240" s="13">
        <v>455.55555555555554</v>
      </c>
      <c r="F240" s="146"/>
      <c r="G240" s="146"/>
      <c r="H240" s="146"/>
      <c r="I240" s="146"/>
      <c r="J240" s="146"/>
      <c r="K240" s="146"/>
      <c r="L240" s="146"/>
      <c r="M240" s="146"/>
      <c r="N240" s="146"/>
      <c r="O240" s="146"/>
    </row>
    <row r="241" spans="1:15" ht="14" customHeight="1">
      <c r="A241" s="5" t="s">
        <v>7</v>
      </c>
      <c r="B241" s="6">
        <f t="shared" si="7"/>
        <v>40.490000000000109</v>
      </c>
      <c r="C241" s="6">
        <v>2.13</v>
      </c>
      <c r="D241" s="6">
        <v>-28.66</v>
      </c>
      <c r="E241" s="18"/>
      <c r="F241" s="146"/>
      <c r="G241" s="146"/>
      <c r="H241" s="146"/>
      <c r="I241" s="146"/>
      <c r="J241" s="146"/>
      <c r="K241" s="146"/>
      <c r="L241" s="146"/>
      <c r="M241" s="146"/>
      <c r="N241" s="146"/>
      <c r="O241" s="146"/>
    </row>
    <row r="242" spans="1:15" ht="13" customHeight="1">
      <c r="A242" s="33"/>
      <c r="B242" s="34"/>
      <c r="C242" s="34"/>
      <c r="D242" s="34"/>
      <c r="E242" s="248"/>
      <c r="F242" s="146"/>
      <c r="G242" s="146"/>
      <c r="H242" s="146"/>
      <c r="I242" s="146"/>
      <c r="J242" s="146"/>
      <c r="K242" s="146"/>
      <c r="L242" s="146"/>
      <c r="M242" s="146"/>
      <c r="N242" s="146"/>
      <c r="O242" s="146"/>
    </row>
    <row r="243" spans="1:15" ht="13" customHeight="1">
      <c r="A243" s="35" t="s">
        <v>6</v>
      </c>
      <c r="B243" s="36" t="s">
        <v>0</v>
      </c>
      <c r="C243" s="15"/>
      <c r="D243" s="15"/>
      <c r="E243" s="13"/>
      <c r="F243" s="146"/>
      <c r="G243" s="146"/>
      <c r="H243" s="146"/>
      <c r="I243" s="146"/>
      <c r="J243" s="146"/>
      <c r="K243" s="146"/>
      <c r="L243" s="146"/>
      <c r="M243" s="146"/>
      <c r="N243" s="146"/>
      <c r="O243" s="146"/>
    </row>
    <row r="244" spans="1:15" ht="13" customHeight="1">
      <c r="A244" s="35" t="s">
        <v>5</v>
      </c>
      <c r="B244" s="36" t="s">
        <v>0</v>
      </c>
      <c r="C244" s="15"/>
      <c r="D244" s="15"/>
      <c r="E244" s="13"/>
      <c r="F244" s="146"/>
      <c r="G244" s="146"/>
      <c r="H244" s="146"/>
      <c r="I244" s="146"/>
      <c r="J244" s="146"/>
      <c r="K244" s="146"/>
      <c r="L244" s="146"/>
      <c r="M244" s="146"/>
      <c r="N244" s="146"/>
      <c r="O244" s="146"/>
    </row>
    <row r="245" spans="1:15" ht="13" customHeight="1">
      <c r="A245" s="35" t="s">
        <v>4</v>
      </c>
      <c r="B245" s="36" t="s">
        <v>0</v>
      </c>
      <c r="C245" s="15"/>
      <c r="D245" s="15"/>
      <c r="E245" s="13"/>
      <c r="F245" s="146"/>
      <c r="G245" s="146"/>
      <c r="H245" s="146"/>
      <c r="I245" s="146"/>
      <c r="J245" s="146"/>
      <c r="K245" s="146"/>
      <c r="L245" s="146"/>
      <c r="M245" s="146"/>
      <c r="N245" s="146"/>
      <c r="O245" s="146"/>
    </row>
    <row r="246" spans="1:15" ht="13" customHeight="1">
      <c r="A246" s="35" t="s">
        <v>3</v>
      </c>
      <c r="B246" s="36" t="s">
        <v>0</v>
      </c>
      <c r="C246" s="15"/>
      <c r="D246" s="15"/>
      <c r="E246" s="13"/>
      <c r="F246" s="146"/>
      <c r="G246" s="146"/>
      <c r="H246" s="146"/>
      <c r="I246" s="146"/>
      <c r="J246" s="146"/>
      <c r="K246" s="146"/>
      <c r="L246" s="146"/>
      <c r="M246" s="146"/>
      <c r="N246" s="146"/>
      <c r="O246" s="146"/>
    </row>
    <row r="247" spans="1:15" ht="13" customHeight="1">
      <c r="A247" s="35" t="s">
        <v>2</v>
      </c>
      <c r="B247" s="36" t="s">
        <v>0</v>
      </c>
      <c r="C247" s="15"/>
      <c r="D247" s="15"/>
      <c r="E247" s="13"/>
      <c r="F247" s="146"/>
      <c r="G247" s="146"/>
      <c r="H247" s="146"/>
      <c r="I247" s="146"/>
      <c r="J247" s="146"/>
      <c r="K247" s="146"/>
      <c r="L247" s="146"/>
      <c r="M247" s="146"/>
      <c r="N247" s="146"/>
      <c r="O247" s="146"/>
    </row>
    <row r="248" spans="1:15" ht="13" customHeight="1">
      <c r="A248" s="35" t="s">
        <v>1</v>
      </c>
      <c r="B248" s="36" t="s">
        <v>0</v>
      </c>
      <c r="C248" s="15"/>
      <c r="D248" s="15"/>
      <c r="E248" s="13"/>
      <c r="F248" s="146"/>
      <c r="G248" s="146"/>
      <c r="H248" s="146"/>
      <c r="I248" s="146"/>
      <c r="J248" s="146"/>
      <c r="K248" s="146"/>
      <c r="L248" s="146"/>
      <c r="M248" s="146"/>
      <c r="N248" s="146"/>
      <c r="O248" s="146"/>
    </row>
  </sheetData>
  <pageMargins left="0.75" right="0.75" top="1" bottom="1" header="0.5" footer="0.5"/>
  <pageSetup orientation="portrait"/>
  <headerFooter>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showGridLines="0" workbookViewId="0">
      <selection sqref="A1:I65536"/>
    </sheetView>
  </sheetViews>
  <sheetFormatPr baseColWidth="10" defaultColWidth="10" defaultRowHeight="13" customHeight="1"/>
  <cols>
    <col min="1" max="9" width="10" style="191" customWidth="1"/>
  </cols>
  <sheetData/>
  <pageMargins left="1" right="1" top="1" bottom="1" header="0.25" footer="0.25"/>
  <pageSetup scale="65"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IV87"/>
  <sheetViews>
    <sheetView topLeftCell="A13" zoomScale="150" workbookViewId="0">
      <selection activeCell="AF9" sqref="AF9:AH13"/>
    </sheetView>
  </sheetViews>
  <sheetFormatPr baseColWidth="10" defaultColWidth="8.83203125" defaultRowHeight="15"/>
  <cols>
    <col min="1" max="1" width="9.5" style="38" customWidth="1"/>
    <col min="2" max="2" width="3.83203125" style="38" bestFit="1" customWidth="1"/>
    <col min="3" max="3" width="4" style="38" bestFit="1" customWidth="1"/>
    <col min="4" max="4" width="4.1640625" style="38" bestFit="1" customWidth="1"/>
    <col min="5" max="5" width="4" style="38" bestFit="1" customWidth="1"/>
    <col min="6" max="6" width="8" style="38" bestFit="1" customWidth="1"/>
    <col min="7" max="7" width="5.33203125" style="38" bestFit="1" customWidth="1"/>
    <col min="8" max="8" width="3.5" style="38" bestFit="1" customWidth="1"/>
    <col min="9" max="9" width="3.6640625" style="38" bestFit="1" customWidth="1"/>
    <col min="10" max="10" width="4.33203125" style="38" bestFit="1" customWidth="1"/>
    <col min="11" max="11" width="2" style="38" customWidth="1"/>
    <col min="12" max="12" width="4.1640625" style="38" bestFit="1" customWidth="1"/>
    <col min="13" max="13" width="6.33203125" style="38" bestFit="1" customWidth="1"/>
    <col min="14" max="14" width="4.5" style="38" bestFit="1" customWidth="1"/>
    <col min="15" max="15" width="6.33203125" style="38" bestFit="1" customWidth="1"/>
    <col min="16" max="16" width="4.5" style="38" bestFit="1" customWidth="1"/>
    <col min="17" max="17" width="6.33203125" style="38" bestFit="1" customWidth="1"/>
    <col min="18" max="18" width="4.5" style="38" bestFit="1" customWidth="1"/>
    <col min="19" max="19" width="4.33203125" style="38" bestFit="1" customWidth="1"/>
    <col min="20" max="20" width="2" style="38" customWidth="1"/>
    <col min="21" max="22" width="4.5" style="38" bestFit="1" customWidth="1"/>
    <col min="23" max="23" width="4.83203125" style="38" bestFit="1" customWidth="1"/>
    <col min="24" max="24" width="4.1640625" style="38" bestFit="1" customWidth="1"/>
    <col min="25" max="25" width="5.6640625" style="38" bestFit="1" customWidth="1"/>
    <col min="26" max="26" width="4.33203125" style="38" bestFit="1" customWidth="1"/>
    <col min="27" max="27" width="19.5" style="190" bestFit="1" customWidth="1"/>
    <col min="28" max="16384" width="8.83203125" style="38"/>
  </cols>
  <sheetData>
    <row r="1" spans="1:28" ht="16">
      <c r="A1" s="127" t="s">
        <v>335</v>
      </c>
      <c r="B1" s="127"/>
      <c r="D1" s="126"/>
      <c r="E1" s="126"/>
      <c r="F1" s="126"/>
      <c r="G1" s="126"/>
      <c r="H1" s="129"/>
      <c r="I1" s="126"/>
      <c r="J1" s="132"/>
      <c r="K1" s="126"/>
      <c r="L1" s="125"/>
      <c r="M1" s="131"/>
      <c r="N1" s="125"/>
      <c r="O1" s="130"/>
      <c r="P1" s="125"/>
      <c r="Q1" s="130"/>
      <c r="R1" s="125"/>
      <c r="S1" s="125"/>
      <c r="T1" s="125"/>
      <c r="U1" s="129"/>
      <c r="V1" s="129"/>
      <c r="W1" s="126"/>
      <c r="X1" s="126"/>
      <c r="Y1" s="128"/>
      <c r="Z1" s="128"/>
      <c r="AA1" s="189"/>
    </row>
    <row r="2" spans="1:28" ht="16">
      <c r="A2" s="127"/>
      <c r="B2" s="127"/>
      <c r="C2" s="253" t="s">
        <v>334</v>
      </c>
      <c r="D2" s="253"/>
      <c r="E2" s="253"/>
      <c r="F2" s="253"/>
      <c r="G2" s="253"/>
      <c r="H2" s="253"/>
      <c r="I2" s="253"/>
      <c r="J2" s="253"/>
      <c r="K2" s="126"/>
      <c r="L2" s="254" t="s">
        <v>333</v>
      </c>
      <c r="M2" s="254"/>
      <c r="N2" s="254"/>
      <c r="O2" s="254"/>
      <c r="P2" s="254"/>
      <c r="Q2" s="254"/>
      <c r="R2" s="254"/>
      <c r="S2" s="254"/>
      <c r="T2" s="125"/>
      <c r="U2" s="255" t="s">
        <v>332</v>
      </c>
      <c r="V2" s="255"/>
      <c r="W2" s="255"/>
      <c r="X2" s="255"/>
      <c r="Y2" s="255"/>
      <c r="Z2" s="255"/>
      <c r="AA2" s="189"/>
    </row>
    <row r="3" spans="1:28" s="43" customFormat="1" ht="15.75" customHeight="1">
      <c r="A3" s="47"/>
      <c r="B3" s="47" t="s">
        <v>331</v>
      </c>
      <c r="C3" s="47" t="s">
        <v>320</v>
      </c>
      <c r="D3" s="124" t="s">
        <v>330</v>
      </c>
      <c r="E3" s="51" t="s">
        <v>329</v>
      </c>
      <c r="F3" s="114" t="s">
        <v>317</v>
      </c>
      <c r="G3" s="47" t="s">
        <v>328</v>
      </c>
      <c r="H3" s="118" t="s">
        <v>327</v>
      </c>
      <c r="I3" s="51" t="s">
        <v>316</v>
      </c>
      <c r="J3" s="123" t="s">
        <v>323</v>
      </c>
      <c r="K3" s="51"/>
      <c r="L3" s="122" t="s">
        <v>326</v>
      </c>
      <c r="M3" s="121" t="s">
        <v>324</v>
      </c>
      <c r="N3" s="57"/>
      <c r="O3" s="119" t="s">
        <v>324</v>
      </c>
      <c r="P3" s="120"/>
      <c r="Q3" s="119" t="s">
        <v>323</v>
      </c>
      <c r="R3" s="57"/>
      <c r="S3" s="57" t="s">
        <v>325</v>
      </c>
      <c r="T3" s="51"/>
      <c r="U3" s="117" t="s">
        <v>324</v>
      </c>
      <c r="V3" s="118"/>
      <c r="W3" s="116" t="s">
        <v>324</v>
      </c>
      <c r="X3" s="117"/>
      <c r="Y3" s="116" t="s">
        <v>323</v>
      </c>
      <c r="Z3" s="116"/>
      <c r="AA3" s="184"/>
    </row>
    <row r="4" spans="1:28" s="103" customFormat="1" ht="14.25" customHeight="1">
      <c r="A4" s="115" t="s">
        <v>322</v>
      </c>
      <c r="B4" s="115" t="s">
        <v>321</v>
      </c>
      <c r="C4" s="115" t="s">
        <v>319</v>
      </c>
      <c r="D4" s="105" t="s">
        <v>320</v>
      </c>
      <c r="E4" s="105" t="s">
        <v>319</v>
      </c>
      <c r="F4" s="105" t="s">
        <v>318</v>
      </c>
      <c r="G4" s="114" t="s">
        <v>317</v>
      </c>
      <c r="H4" s="50" t="s">
        <v>316</v>
      </c>
      <c r="I4" s="105" t="s">
        <v>315</v>
      </c>
      <c r="J4" s="113" t="s">
        <v>314</v>
      </c>
      <c r="K4" s="105"/>
      <c r="L4" s="112" t="s">
        <v>311</v>
      </c>
      <c r="M4" s="111" t="s">
        <v>311</v>
      </c>
      <c r="N4" s="109" t="s">
        <v>313</v>
      </c>
      <c r="O4" s="110" t="s">
        <v>310</v>
      </c>
      <c r="P4" s="109" t="s">
        <v>313</v>
      </c>
      <c r="Q4" s="110" t="s">
        <v>309</v>
      </c>
      <c r="R4" s="109" t="s">
        <v>313</v>
      </c>
      <c r="S4" s="109" t="s">
        <v>312</v>
      </c>
      <c r="T4" s="105"/>
      <c r="U4" s="108" t="s">
        <v>311</v>
      </c>
      <c r="V4" s="107" t="s">
        <v>308</v>
      </c>
      <c r="W4" s="106" t="s">
        <v>310</v>
      </c>
      <c r="X4" s="105" t="s">
        <v>308</v>
      </c>
      <c r="Y4" s="106" t="s">
        <v>309</v>
      </c>
      <c r="Z4" s="105" t="s">
        <v>308</v>
      </c>
      <c r="AA4" s="185"/>
      <c r="AB4" s="104" t="s">
        <v>455</v>
      </c>
    </row>
    <row r="5" spans="1:28" s="43" customFormat="1" ht="11" customHeight="1">
      <c r="A5" s="154" t="s">
        <v>307</v>
      </c>
      <c r="B5" s="154" t="s">
        <v>306</v>
      </c>
      <c r="C5" s="156" t="s">
        <v>304</v>
      </c>
      <c r="D5" s="156" t="s">
        <v>305</v>
      </c>
      <c r="E5" s="156" t="s">
        <v>304</v>
      </c>
      <c r="F5" s="155" t="s">
        <v>303</v>
      </c>
      <c r="G5" s="155" t="s">
        <v>303</v>
      </c>
      <c r="H5" s="155" t="s">
        <v>303</v>
      </c>
      <c r="I5" s="155" t="s">
        <v>303</v>
      </c>
      <c r="J5" s="155" t="s">
        <v>302</v>
      </c>
      <c r="K5" s="100"/>
      <c r="L5" s="101" t="s">
        <v>301</v>
      </c>
      <c r="M5" s="102" t="s">
        <v>301</v>
      </c>
      <c r="N5" s="101" t="s">
        <v>299</v>
      </c>
      <c r="O5" s="102" t="s">
        <v>301</v>
      </c>
      <c r="P5" s="101" t="s">
        <v>299</v>
      </c>
      <c r="Q5" s="102" t="s">
        <v>301</v>
      </c>
      <c r="R5" s="101" t="s">
        <v>299</v>
      </c>
      <c r="S5" s="101"/>
      <c r="T5" s="100"/>
      <c r="U5" s="100" t="s">
        <v>300</v>
      </c>
      <c r="V5" s="156" t="s">
        <v>299</v>
      </c>
      <c r="W5" s="100" t="s">
        <v>300</v>
      </c>
      <c r="X5" s="156" t="s">
        <v>299</v>
      </c>
      <c r="Y5" s="100" t="s">
        <v>300</v>
      </c>
      <c r="Z5" s="156" t="s">
        <v>299</v>
      </c>
      <c r="AA5" s="186" t="s">
        <v>645</v>
      </c>
    </row>
    <row r="6" spans="1:28" s="43" customFormat="1" ht="3.75" customHeight="1">
      <c r="A6" s="47"/>
      <c r="B6" s="47"/>
      <c r="C6" s="47"/>
      <c r="J6" s="99"/>
      <c r="L6" s="98"/>
      <c r="M6" s="63"/>
      <c r="N6" s="57"/>
      <c r="O6" s="55"/>
      <c r="P6" s="54"/>
      <c r="Q6" s="55"/>
      <c r="R6" s="54"/>
      <c r="S6" s="57"/>
      <c r="T6" s="53"/>
      <c r="U6" s="50"/>
      <c r="V6" s="50"/>
      <c r="W6" s="51"/>
      <c r="X6" s="97"/>
      <c r="Y6" s="51"/>
      <c r="Z6" s="51"/>
      <c r="AA6" s="184"/>
    </row>
    <row r="7" spans="1:28">
      <c r="A7" s="93" t="s">
        <v>298</v>
      </c>
      <c r="B7" s="92" t="s">
        <v>297</v>
      </c>
      <c r="AA7" s="190" t="s">
        <v>296</v>
      </c>
    </row>
    <row r="8" spans="1:28" s="45" customFormat="1" ht="12" customHeight="1">
      <c r="A8" s="45" t="s">
        <v>292</v>
      </c>
      <c r="B8" s="54">
        <v>0.01</v>
      </c>
      <c r="C8" s="88">
        <v>8.6331498489608727</v>
      </c>
      <c r="D8" s="54">
        <v>2.0792938254459226</v>
      </c>
      <c r="E8" s="52">
        <v>0.38538063820167612</v>
      </c>
      <c r="F8" s="90">
        <v>0.10339646095329887</v>
      </c>
      <c r="G8" s="89">
        <v>0.97597630717359973</v>
      </c>
      <c r="H8" s="88">
        <v>17.251667129910942</v>
      </c>
      <c r="I8" s="41">
        <v>0.21114818468835211</v>
      </c>
      <c r="J8" s="88">
        <v>757.58544414951336</v>
      </c>
      <c r="K8" s="41"/>
      <c r="L8" s="54">
        <v>0.65463641767325753</v>
      </c>
      <c r="M8" s="55">
        <v>4.9167789215940012E-2</v>
      </c>
      <c r="N8" s="54">
        <v>2.7746668592505821</v>
      </c>
      <c r="O8" s="55">
        <v>0.19466437213453727</v>
      </c>
      <c r="P8" s="54">
        <v>3.5621922864593327</v>
      </c>
      <c r="Q8" s="55">
        <v>2.8714715486469405E-2</v>
      </c>
      <c r="R8" s="54">
        <v>0.34665704806506414</v>
      </c>
      <c r="S8" s="54">
        <v>2.069308542723181</v>
      </c>
      <c r="T8" s="46"/>
      <c r="U8" s="41">
        <v>155.13956546783447</v>
      </c>
      <c r="V8" s="41">
        <v>64.958984111510659</v>
      </c>
      <c r="W8" s="41">
        <v>180.60139696036583</v>
      </c>
      <c r="X8" s="41">
        <v>5.893697355670489</v>
      </c>
      <c r="Y8" s="42">
        <v>182.55304964283886</v>
      </c>
      <c r="Z8" s="42">
        <v>0.62377477061146069</v>
      </c>
      <c r="AA8" s="184" t="s">
        <v>293</v>
      </c>
    </row>
    <row r="9" spans="1:28" s="45" customFormat="1" ht="12" customHeight="1">
      <c r="A9" s="45" t="s">
        <v>288</v>
      </c>
      <c r="B9" s="54">
        <v>0.01</v>
      </c>
      <c r="C9" s="88">
        <v>15.425024708648989</v>
      </c>
      <c r="D9" s="54">
        <v>1.4203085857399482</v>
      </c>
      <c r="E9" s="52">
        <v>0.60346782325032045</v>
      </c>
      <c r="F9" s="90">
        <v>0.18488024184460963</v>
      </c>
      <c r="G9" s="89">
        <v>0.97921048374532982</v>
      </c>
      <c r="H9" s="88">
        <v>17.531650540563309</v>
      </c>
      <c r="I9" s="41">
        <v>0.32564170251829966</v>
      </c>
      <c r="J9" s="88">
        <v>875.4412453397789</v>
      </c>
      <c r="K9" s="41"/>
      <c r="L9" s="54">
        <v>0.44563903579381059</v>
      </c>
      <c r="M9" s="55">
        <v>4.8988804449540679E-2</v>
      </c>
      <c r="N9" s="54">
        <v>1.6460154937182343</v>
      </c>
      <c r="O9" s="55">
        <v>0.19410238442749556</v>
      </c>
      <c r="P9" s="54">
        <v>2.0774574492536413</v>
      </c>
      <c r="Q9" s="55">
        <v>2.8736426113814773E-2</v>
      </c>
      <c r="R9" s="54">
        <v>0.20375839151224356</v>
      </c>
      <c r="S9" s="54">
        <v>1.946589075699227</v>
      </c>
      <c r="T9" s="46"/>
      <c r="U9" s="41">
        <v>146.37768268585205</v>
      </c>
      <c r="V9" s="41">
        <v>38.59638094239213</v>
      </c>
      <c r="W9" s="41">
        <v>180.12363344257642</v>
      </c>
      <c r="X9" s="41">
        <v>3.4288726296471062</v>
      </c>
      <c r="Y9" s="42">
        <v>182.7056285382719</v>
      </c>
      <c r="Z9" s="42">
        <v>0.36691236360783469</v>
      </c>
      <c r="AA9" s="184"/>
    </row>
    <row r="10" spans="1:28" s="45" customFormat="1" ht="12" customHeight="1">
      <c r="A10" s="45" t="s">
        <v>270</v>
      </c>
      <c r="B10" s="54">
        <v>0.01</v>
      </c>
      <c r="C10" s="88">
        <v>64.988775834566866</v>
      </c>
      <c r="D10" s="54">
        <v>1.5984140478591171</v>
      </c>
      <c r="E10" s="52">
        <v>2.570183211578362</v>
      </c>
      <c r="F10" s="90">
        <v>0.77945346153459405</v>
      </c>
      <c r="G10" s="89">
        <v>0.99076608569331082</v>
      </c>
      <c r="H10" s="88">
        <v>41.647066994575127</v>
      </c>
      <c r="I10" s="41">
        <v>0.60266384417166141</v>
      </c>
      <c r="J10" s="88">
        <v>1971.1015362238916</v>
      </c>
      <c r="K10" s="41"/>
      <c r="L10" s="54">
        <v>0.50843785218098758</v>
      </c>
      <c r="M10" s="55">
        <v>4.9726518221572626E-2</v>
      </c>
      <c r="N10" s="54">
        <v>0.40433810467363235</v>
      </c>
      <c r="O10" s="55">
        <v>0.19715567511365581</v>
      </c>
      <c r="P10" s="54">
        <v>0.51118448324262178</v>
      </c>
      <c r="Q10" s="55">
        <v>2.8755435963874344E-2</v>
      </c>
      <c r="R10" s="54">
        <v>8.0157124789658127E-2</v>
      </c>
      <c r="S10" s="54">
        <v>1.272059038163512</v>
      </c>
      <c r="T10" s="46"/>
      <c r="U10" s="41">
        <v>181.38229846954346</v>
      </c>
      <c r="V10" s="41">
        <v>9.4203356869771895</v>
      </c>
      <c r="W10" s="41">
        <v>182.71662945308364</v>
      </c>
      <c r="X10" s="41">
        <v>0.8548033733924969</v>
      </c>
      <c r="Y10" s="42">
        <v>182.81978079329966</v>
      </c>
      <c r="Z10" s="42">
        <v>0.14443357121876646</v>
      </c>
      <c r="AA10" s="184"/>
    </row>
    <row r="11" spans="1:28" s="45" customFormat="1" ht="12" customHeight="1">
      <c r="A11" s="45" t="s">
        <v>267</v>
      </c>
      <c r="B11" s="54">
        <v>0.01</v>
      </c>
      <c r="C11" s="88">
        <v>5.9388392648374815</v>
      </c>
      <c r="D11" s="54">
        <v>0.85016649445601589</v>
      </c>
      <c r="E11" s="52">
        <v>0.22084483269925767</v>
      </c>
      <c r="F11" s="90">
        <v>7.1232065391898386E-2</v>
      </c>
      <c r="G11" s="89">
        <v>0.95624065314851758</v>
      </c>
      <c r="H11" s="88">
        <v>7.166329338350093</v>
      </c>
      <c r="I11" s="41">
        <v>0.27043341451114755</v>
      </c>
      <c r="J11" s="88">
        <v>415.91114377849647</v>
      </c>
      <c r="K11" s="41"/>
      <c r="L11" s="54">
        <v>0.2686682510969271</v>
      </c>
      <c r="M11" s="55">
        <v>4.9374841381056279E-2</v>
      </c>
      <c r="N11" s="54">
        <v>4.0460643809486294</v>
      </c>
      <c r="O11" s="55">
        <v>0.19577132341966832</v>
      </c>
      <c r="P11" s="54">
        <v>5.1834144000322429</v>
      </c>
      <c r="Q11" s="55">
        <v>2.8756901410366548E-2</v>
      </c>
      <c r="R11" s="54">
        <v>0.50393622133964855</v>
      </c>
      <c r="S11" s="54">
        <v>2.0579337176523014</v>
      </c>
      <c r="T11" s="46"/>
      <c r="U11" s="41">
        <v>164.5737886428833</v>
      </c>
      <c r="V11" s="41">
        <v>94.553060682269802</v>
      </c>
      <c r="W11" s="41">
        <v>181.54179427633193</v>
      </c>
      <c r="X11" s="41">
        <v>8.6168153041984556</v>
      </c>
      <c r="Y11" s="42">
        <v>182.84792755537856</v>
      </c>
      <c r="Z11" s="42">
        <v>0.90807790242024999</v>
      </c>
      <c r="AA11" s="184"/>
    </row>
    <row r="12" spans="1:28" s="45" customFormat="1" ht="12" customHeight="1">
      <c r="A12" s="45" t="s">
        <v>289</v>
      </c>
      <c r="B12" s="54">
        <v>0.01</v>
      </c>
      <c r="C12" s="88">
        <v>8.2394127047492542</v>
      </c>
      <c r="D12" s="54">
        <v>0.92821148459464375</v>
      </c>
      <c r="E12" s="52">
        <v>0.29872150685584309</v>
      </c>
      <c r="F12" s="90">
        <v>9.9004148956327129E-2</v>
      </c>
      <c r="G12" s="89">
        <v>0.97057848114847989</v>
      </c>
      <c r="H12" s="88">
        <v>10.99768565874243</v>
      </c>
      <c r="I12" s="41">
        <v>0.24898260827343124</v>
      </c>
      <c r="J12" s="88">
        <v>618.59484861569706</v>
      </c>
      <c r="K12" s="41"/>
      <c r="L12" s="54">
        <v>0.29079321431725347</v>
      </c>
      <c r="M12" s="55">
        <v>4.8918237367136949E-2</v>
      </c>
      <c r="N12" s="54">
        <v>3.0310940001458833</v>
      </c>
      <c r="O12" s="55">
        <v>0.19431097707376127</v>
      </c>
      <c r="P12" s="54">
        <v>3.8304013993979802</v>
      </c>
      <c r="Q12" s="55">
        <v>2.8808806117315285E-2</v>
      </c>
      <c r="R12" s="54">
        <v>0.40291466096674017</v>
      </c>
      <c r="S12" s="54">
        <v>1.8294217684104206</v>
      </c>
      <c r="T12" s="46"/>
      <c r="U12" s="41">
        <v>142.84074306488037</v>
      </c>
      <c r="V12" s="41">
        <v>71.118698288337711</v>
      </c>
      <c r="W12" s="41">
        <v>180.30099088162328</v>
      </c>
      <c r="X12" s="41">
        <v>6.3278198972193183</v>
      </c>
      <c r="Y12" s="42">
        <v>183.17141116916173</v>
      </c>
      <c r="Z12" s="42">
        <v>0.72731386010261456</v>
      </c>
      <c r="AA12" s="184"/>
    </row>
    <row r="13" spans="1:28" s="45" customFormat="1" ht="12" customHeight="1">
      <c r="A13" s="45" t="s">
        <v>272</v>
      </c>
      <c r="B13" s="54">
        <v>0.01</v>
      </c>
      <c r="C13" s="88">
        <v>4.5760068317584981</v>
      </c>
      <c r="D13" s="54">
        <v>1.2257708932689588</v>
      </c>
      <c r="E13" s="52">
        <v>0.18988746102246642</v>
      </c>
      <c r="F13" s="90">
        <v>5.5031113124638487E-2</v>
      </c>
      <c r="G13" s="89">
        <v>0.94130878691822195</v>
      </c>
      <c r="H13" s="88">
        <v>5.670614302217543</v>
      </c>
      <c r="I13" s="41">
        <v>0.28466262988603802</v>
      </c>
      <c r="J13" s="88">
        <v>310.09752643280353</v>
      </c>
      <c r="K13" s="41"/>
      <c r="L13" s="54">
        <v>0.37285870861180798</v>
      </c>
      <c r="M13" s="55">
        <v>4.7381352568627917E-2</v>
      </c>
      <c r="N13" s="54">
        <v>5.614602933982999</v>
      </c>
      <c r="O13" s="55">
        <v>0.18836425179318145</v>
      </c>
      <c r="P13" s="54">
        <v>7.0714984611193206</v>
      </c>
      <c r="Q13" s="55">
        <v>2.8832994956247412E-2</v>
      </c>
      <c r="R13" s="54">
        <v>0.64856751805918367</v>
      </c>
      <c r="S13" s="54">
        <v>2.0607877817519795</v>
      </c>
      <c r="T13" s="46"/>
      <c r="U13" s="41">
        <v>67.488551139831543</v>
      </c>
      <c r="V13" s="41">
        <v>133.5981733916521</v>
      </c>
      <c r="W13" s="41">
        <v>175.23255642885871</v>
      </c>
      <c r="X13" s="41">
        <v>11.381257985863552</v>
      </c>
      <c r="Y13" s="42">
        <v>183.31648196045822</v>
      </c>
      <c r="Z13" s="42">
        <v>1.171704969919755</v>
      </c>
      <c r="AA13" s="184"/>
    </row>
    <row r="14" spans="1:28" s="45" customFormat="1" ht="12" customHeight="1">
      <c r="A14" s="45" t="s">
        <v>266</v>
      </c>
      <c r="B14" s="54">
        <v>0.01</v>
      </c>
      <c r="C14" s="88">
        <v>3.9389266649837924</v>
      </c>
      <c r="D14" s="54">
        <v>1.3012614641625695</v>
      </c>
      <c r="E14" s="52">
        <v>0.16246009439865003</v>
      </c>
      <c r="F14" s="90">
        <v>4.7407288033577348E-2</v>
      </c>
      <c r="G14" s="89">
        <v>0.95274485287645894</v>
      </c>
      <c r="H14" s="88">
        <v>7.3281376418670954</v>
      </c>
      <c r="I14" s="41">
        <v>0.19507373843334791</v>
      </c>
      <c r="J14" s="88">
        <v>385.14323005743682</v>
      </c>
      <c r="K14" s="41"/>
      <c r="L14" s="54">
        <v>0.41045680056319267</v>
      </c>
      <c r="M14" s="55">
        <v>4.9289667533473261E-2</v>
      </c>
      <c r="N14" s="54">
        <v>6.0927603708780564</v>
      </c>
      <c r="O14" s="55">
        <v>0.19610673221219085</v>
      </c>
      <c r="P14" s="54">
        <v>7.7965924021416164</v>
      </c>
      <c r="Q14" s="55">
        <v>2.8855947518707004E-2</v>
      </c>
      <c r="R14" s="54">
        <v>0.76766960920044069</v>
      </c>
      <c r="S14" s="54">
        <v>2.0261989773342308</v>
      </c>
      <c r="T14" s="46"/>
      <c r="U14" s="41">
        <v>160.68637371063232</v>
      </c>
      <c r="V14" s="41">
        <v>142.48819696256169</v>
      </c>
      <c r="W14" s="41">
        <v>181.82656498633622</v>
      </c>
      <c r="X14" s="41">
        <v>12.979480469250925</v>
      </c>
      <c r="Y14" s="42">
        <v>183.45731996149897</v>
      </c>
      <c r="Z14" s="42">
        <v>1.387948399485357</v>
      </c>
      <c r="AA14" s="184"/>
    </row>
    <row r="15" spans="1:28" s="45" customFormat="1" ht="12" customHeight="1">
      <c r="A15" s="45" t="s">
        <v>268</v>
      </c>
      <c r="B15" s="54">
        <v>0.01</v>
      </c>
      <c r="C15" s="88">
        <v>7.8081106738197015</v>
      </c>
      <c r="D15" s="54">
        <v>1.0064281875983596</v>
      </c>
      <c r="E15" s="52">
        <v>0.2965060276212762</v>
      </c>
      <c r="F15" s="90">
        <v>9.413860092150951E-2</v>
      </c>
      <c r="G15" s="89">
        <v>0.96247360685474725</v>
      </c>
      <c r="H15" s="88">
        <v>8.7372563830674643</v>
      </c>
      <c r="I15" s="41">
        <v>0.30450674805778288</v>
      </c>
      <c r="J15" s="88">
        <v>484.99198762730998</v>
      </c>
      <c r="K15" s="41"/>
      <c r="L15" s="54">
        <v>0.31918370481463021</v>
      </c>
      <c r="M15" s="55">
        <v>4.9588778587156761E-2</v>
      </c>
      <c r="N15" s="54">
        <v>3.273558059967864</v>
      </c>
      <c r="O15" s="55">
        <v>0.19763988291174414</v>
      </c>
      <c r="P15" s="54">
        <v>4.0957115320362636</v>
      </c>
      <c r="Q15" s="55">
        <v>2.8906126691784176E-2</v>
      </c>
      <c r="R15" s="54">
        <v>0.45422875859838274</v>
      </c>
      <c r="S15" s="54">
        <v>1.6837852454158622</v>
      </c>
      <c r="T15" s="46"/>
      <c r="U15" s="41">
        <v>174.72684383392334</v>
      </c>
      <c r="V15" s="41">
        <v>76.358407634224292</v>
      </c>
      <c r="W15" s="41">
        <v>183.12723352113099</v>
      </c>
      <c r="X15" s="41">
        <v>6.8628990314365677</v>
      </c>
      <c r="Y15" s="42">
        <v>183.77892970515828</v>
      </c>
      <c r="Z15" s="42">
        <v>0.82263461762638579</v>
      </c>
      <c r="AA15" s="184"/>
    </row>
    <row r="16" spans="1:28" s="45" customFormat="1" ht="12" customHeight="1">
      <c r="A16" s="45" t="s">
        <v>286</v>
      </c>
      <c r="B16" s="54">
        <v>0.01</v>
      </c>
      <c r="C16" s="88">
        <v>1.7385205811607105</v>
      </c>
      <c r="D16" s="54">
        <v>1.0143018110764048</v>
      </c>
      <c r="E16" s="52">
        <v>8.027769604618909E-2</v>
      </c>
      <c r="F16" s="90">
        <v>2.0975980257244946E-2</v>
      </c>
      <c r="G16" s="89">
        <v>0.89234221410373649</v>
      </c>
      <c r="H16" s="88">
        <v>2.8236439290309732</v>
      </c>
      <c r="I16" s="41">
        <v>0.20995076303178131</v>
      </c>
      <c r="J16" s="88">
        <v>169.05419193310453</v>
      </c>
      <c r="K16" s="41"/>
      <c r="L16" s="54">
        <v>0.31954029380675691</v>
      </c>
      <c r="M16" s="55">
        <v>4.9233169977630636E-2</v>
      </c>
      <c r="N16" s="54">
        <v>14.496163172412388</v>
      </c>
      <c r="O16" s="55">
        <v>0.196367506879534</v>
      </c>
      <c r="P16" s="54">
        <v>18.202630825668191</v>
      </c>
      <c r="Q16" s="55">
        <v>2.8927476665279006E-2</v>
      </c>
      <c r="R16" s="54">
        <v>1.6902346844360987</v>
      </c>
      <c r="S16" s="54">
        <v>2.0160407695368856</v>
      </c>
      <c r="T16" s="46"/>
      <c r="U16" s="41">
        <v>157.91118144989014</v>
      </c>
      <c r="V16" s="41">
        <v>339.18231691071321</v>
      </c>
      <c r="W16" s="41">
        <v>182.04791422777106</v>
      </c>
      <c r="X16" s="41">
        <v>30.336752537068488</v>
      </c>
      <c r="Y16" s="41">
        <v>183.91266242913073</v>
      </c>
      <c r="Z16" s="41">
        <v>3.063310376072919</v>
      </c>
      <c r="AA16" s="184"/>
    </row>
    <row r="17" spans="1:27" s="45" customFormat="1" ht="12" customHeight="1">
      <c r="A17" s="45" t="s">
        <v>290</v>
      </c>
      <c r="B17" s="54">
        <v>0.01</v>
      </c>
      <c r="C17" s="88">
        <v>5.6291567931901891</v>
      </c>
      <c r="D17" s="54">
        <v>1.04653232837487</v>
      </c>
      <c r="E17" s="52">
        <v>0.21895870793147151</v>
      </c>
      <c r="F17" s="90">
        <v>6.7962752402070142E-2</v>
      </c>
      <c r="G17" s="89">
        <v>0.95705574862272802</v>
      </c>
      <c r="H17" s="88">
        <v>7.6545058537111341</v>
      </c>
      <c r="I17" s="41">
        <v>0.25299966472098445</v>
      </c>
      <c r="J17" s="88">
        <v>423.80526883820079</v>
      </c>
      <c r="K17" s="41"/>
      <c r="L17" s="54">
        <v>0.33058217478217861</v>
      </c>
      <c r="M17" s="55">
        <v>4.9380267322127733E-2</v>
      </c>
      <c r="N17" s="54">
        <v>4.2319561180152983</v>
      </c>
      <c r="O17" s="55">
        <v>0.19708358221529013</v>
      </c>
      <c r="P17" s="54">
        <v>5.4246614005282279</v>
      </c>
      <c r="Q17" s="55">
        <v>2.8946478441043415E-2</v>
      </c>
      <c r="R17" s="54">
        <v>0.52728748235342737</v>
      </c>
      <c r="S17" s="54">
        <v>2.0618990430042716</v>
      </c>
      <c r="T17" s="46"/>
      <c r="U17" s="41">
        <v>164.89923000335693</v>
      </c>
      <c r="V17" s="41">
        <v>98.89247762747155</v>
      </c>
      <c r="W17" s="41">
        <v>182.65548108868455</v>
      </c>
      <c r="X17" s="41">
        <v>9.0683551214366354</v>
      </c>
      <c r="Y17" s="41">
        <v>184.03083601096972</v>
      </c>
      <c r="Z17" s="41">
        <v>0.95624376808934308</v>
      </c>
      <c r="AA17" s="184"/>
    </row>
    <row r="18" spans="1:27" s="45" customFormat="1" ht="12" customHeight="1">
      <c r="B18" s="54"/>
      <c r="C18" s="88"/>
      <c r="D18" s="54"/>
      <c r="E18" s="52"/>
      <c r="F18" s="90"/>
      <c r="G18" s="89"/>
      <c r="H18" s="88"/>
      <c r="I18" s="41"/>
      <c r="J18" s="88"/>
      <c r="K18" s="41"/>
      <c r="L18" s="54"/>
      <c r="M18" s="55"/>
      <c r="N18" s="54"/>
      <c r="O18" s="55"/>
      <c r="P18" s="54"/>
      <c r="Q18" s="55"/>
      <c r="R18" s="54"/>
      <c r="S18" s="54"/>
      <c r="T18" s="46"/>
      <c r="U18" s="41"/>
      <c r="V18" s="41"/>
      <c r="W18" s="41"/>
      <c r="X18" s="41"/>
      <c r="Y18" s="42"/>
      <c r="Z18" s="42"/>
      <c r="AA18" s="184"/>
    </row>
    <row r="19" spans="1:27" s="45" customFormat="1" ht="12" customHeight="1">
      <c r="A19" s="93" t="s">
        <v>454</v>
      </c>
      <c r="B19" s="157" t="s">
        <v>453</v>
      </c>
      <c r="C19" s="88"/>
      <c r="D19" s="54"/>
      <c r="E19" s="52"/>
      <c r="F19" s="90"/>
      <c r="G19" s="89"/>
      <c r="H19" s="88"/>
      <c r="I19" s="41"/>
      <c r="J19" s="88"/>
      <c r="K19" s="41"/>
      <c r="L19" s="54"/>
      <c r="M19" s="55"/>
      <c r="N19" s="54"/>
      <c r="O19" s="55"/>
      <c r="P19" s="54"/>
      <c r="Q19" s="55"/>
      <c r="R19" s="54"/>
      <c r="S19" s="54"/>
      <c r="T19" s="46"/>
      <c r="U19" s="41"/>
      <c r="V19" s="41"/>
      <c r="W19" s="41"/>
      <c r="X19" s="41"/>
      <c r="Y19" s="42"/>
      <c r="Z19" s="42"/>
      <c r="AA19" s="184"/>
    </row>
    <row r="20" spans="1:27" s="45" customFormat="1" ht="12" customHeight="1">
      <c r="A20" s="45" t="s">
        <v>452</v>
      </c>
      <c r="B20" s="54">
        <v>0.01</v>
      </c>
      <c r="C20" s="88">
        <v>52.851927374935471</v>
      </c>
      <c r="D20" s="54">
        <v>0.9243587439140496</v>
      </c>
      <c r="E20" s="52">
        <v>1.8226243747072104</v>
      </c>
      <c r="F20" s="90">
        <v>0.63821498804323162</v>
      </c>
      <c r="G20" s="89">
        <v>0.9903404896548782</v>
      </c>
      <c r="H20" s="88">
        <v>34.292173994505177</v>
      </c>
      <c r="I20" s="41">
        <v>0.5164386798588787</v>
      </c>
      <c r="J20" s="88">
        <v>1884.1534767019773</v>
      </c>
      <c r="K20" s="41"/>
      <c r="L20" s="54">
        <v>0.2942957344936335</v>
      </c>
      <c r="M20" s="55">
        <v>4.980557035757583E-2</v>
      </c>
      <c r="N20" s="54">
        <v>0.44167002668337019</v>
      </c>
      <c r="O20" s="55">
        <v>0.19881698558986363</v>
      </c>
      <c r="P20" s="54">
        <v>0.59689519287109871</v>
      </c>
      <c r="Q20" s="55">
        <v>2.8951714821089103E-2</v>
      </c>
      <c r="R20" s="54">
        <v>9.3188784465028318E-2</v>
      </c>
      <c r="S20" s="54">
        <v>1.5271807072579646</v>
      </c>
      <c r="T20" s="46"/>
      <c r="U20" s="41">
        <v>184.87274646759033</v>
      </c>
      <c r="V20" s="41">
        <v>10.283137251914946</v>
      </c>
      <c r="W20" s="41">
        <v>184.12471461343446</v>
      </c>
      <c r="X20" s="41">
        <v>1.0051447051093914</v>
      </c>
      <c r="Y20" s="41">
        <v>184.06651117883436</v>
      </c>
      <c r="Z20" s="41">
        <v>0.16902897168790149</v>
      </c>
      <c r="AA20" s="184" t="s">
        <v>451</v>
      </c>
    </row>
    <row r="21" spans="1:27" s="45" customFormat="1" ht="12" customHeight="1">
      <c r="A21" s="45" t="s">
        <v>450</v>
      </c>
      <c r="B21" s="54">
        <v>0.01</v>
      </c>
      <c r="C21" s="88">
        <v>104.85943864098969</v>
      </c>
      <c r="D21" s="54">
        <v>0.99516104620424117</v>
      </c>
      <c r="E21" s="52">
        <v>3.5870722803141697</v>
      </c>
      <c r="F21" s="90">
        <v>1.266346086029229</v>
      </c>
      <c r="G21" s="89">
        <v>0.99878859534619646</v>
      </c>
      <c r="H21" s="88">
        <v>280.50808072681104</v>
      </c>
      <c r="I21" s="41">
        <v>0.12742342141841526</v>
      </c>
      <c r="J21" s="88">
        <v>15023.881526999461</v>
      </c>
      <c r="K21" s="41"/>
      <c r="L21" s="54">
        <v>0.31715590002277738</v>
      </c>
      <c r="M21" s="55">
        <v>4.9860420862314805E-2</v>
      </c>
      <c r="N21" s="54">
        <v>0.22512452013243109</v>
      </c>
      <c r="O21" s="55">
        <v>0.19905368477365348</v>
      </c>
      <c r="P21" s="54">
        <v>0.29466380910992879</v>
      </c>
      <c r="Q21" s="55">
        <v>2.8954295787912743E-2</v>
      </c>
      <c r="R21" s="54">
        <v>5.0817353196149814E-2</v>
      </c>
      <c r="S21" s="54">
        <v>1.2931756396311274</v>
      </c>
      <c r="T21" s="46"/>
      <c r="U21" s="41">
        <v>187.45839595794678</v>
      </c>
      <c r="V21" s="41">
        <v>5.2389728001819478</v>
      </c>
      <c r="W21" s="41">
        <v>184.32517608426446</v>
      </c>
      <c r="X21" s="41">
        <v>0.49669330120551475</v>
      </c>
      <c r="Y21" s="41">
        <v>184.08087304769685</v>
      </c>
      <c r="Z21" s="41">
        <v>9.2182221244433829E-2</v>
      </c>
      <c r="AA21" s="184"/>
    </row>
    <row r="22" spans="1:27" s="45" customFormat="1" ht="12" customHeight="1">
      <c r="A22" s="45" t="s">
        <v>449</v>
      </c>
      <c r="B22" s="54">
        <v>0.01</v>
      </c>
      <c r="C22" s="88">
        <v>53.576146609659425</v>
      </c>
      <c r="D22" s="54">
        <v>0.8400206730053501</v>
      </c>
      <c r="E22" s="52">
        <v>1.7798060189880407</v>
      </c>
      <c r="F22" s="90">
        <v>0.64874698935842545</v>
      </c>
      <c r="G22" s="89">
        <v>0.99698824404441566</v>
      </c>
      <c r="H22" s="88">
        <v>108.46779964699412</v>
      </c>
      <c r="I22" s="41">
        <v>0.1625871740116695</v>
      </c>
      <c r="J22" s="88">
        <v>6042.9863071256259</v>
      </c>
      <c r="K22" s="41"/>
      <c r="L22" s="54">
        <v>0.26716945949085547</v>
      </c>
      <c r="M22" s="55">
        <v>4.9762000553478042E-2</v>
      </c>
      <c r="N22" s="54">
        <v>0.45414638456378442</v>
      </c>
      <c r="O22" s="55">
        <v>0.19919164135267592</v>
      </c>
      <c r="P22" s="54">
        <v>0.57796950067449593</v>
      </c>
      <c r="Q22" s="55">
        <v>2.9031669006316038E-2</v>
      </c>
      <c r="R22" s="54">
        <v>7.6843695738929199E-2</v>
      </c>
      <c r="S22" s="54">
        <v>1.5052329051588911</v>
      </c>
      <c r="T22" s="46"/>
      <c r="U22" s="41">
        <v>182.80923366546631</v>
      </c>
      <c r="V22" s="41">
        <v>10.577546035405117</v>
      </c>
      <c r="W22" s="41">
        <v>184.44199380182923</v>
      </c>
      <c r="X22" s="41">
        <v>0.97480410567687226</v>
      </c>
      <c r="Y22" s="41">
        <v>184.56954501914845</v>
      </c>
      <c r="Z22" s="41">
        <v>0.13975575875672985</v>
      </c>
      <c r="AA22" s="184"/>
    </row>
    <row r="23" spans="1:27" s="45" customFormat="1" ht="12" customHeight="1">
      <c r="A23" s="45" t="s">
        <v>448</v>
      </c>
      <c r="B23" s="54">
        <v>0.01</v>
      </c>
      <c r="C23" s="88">
        <v>43.085599968149097</v>
      </c>
      <c r="D23" s="54">
        <v>0.95432100620040794</v>
      </c>
      <c r="E23" s="52">
        <v>1.5119733058493734</v>
      </c>
      <c r="F23" s="90">
        <v>0.52334044890392584</v>
      </c>
      <c r="G23" s="89">
        <v>0.988786734665283</v>
      </c>
      <c r="H23" s="88">
        <v>29.707832785625524</v>
      </c>
      <c r="I23" s="41">
        <v>0.49237382410038882</v>
      </c>
      <c r="J23" s="88">
        <v>1623.0776189386661</v>
      </c>
      <c r="K23" s="41"/>
      <c r="L23" s="54">
        <v>0.30392044834523457</v>
      </c>
      <c r="M23" s="55">
        <v>4.9846726845071146E-2</v>
      </c>
      <c r="N23" s="54">
        <v>0.57515721726508806</v>
      </c>
      <c r="O23" s="55">
        <v>0.20015120129295358</v>
      </c>
      <c r="P23" s="54">
        <v>0.72856494679113781</v>
      </c>
      <c r="Q23" s="55">
        <v>2.9121938501836062E-2</v>
      </c>
      <c r="R23" s="54">
        <v>8.5459023506852597E-2</v>
      </c>
      <c r="S23" s="54">
        <v>1.6647618703966258</v>
      </c>
      <c r="T23" s="46"/>
      <c r="U23" s="41">
        <v>186.81108951568604</v>
      </c>
      <c r="V23" s="41">
        <v>13.38631352246129</v>
      </c>
      <c r="W23" s="41">
        <v>185.25415031116106</v>
      </c>
      <c r="X23" s="41">
        <v>1.2337308368540567</v>
      </c>
      <c r="Y23" s="41">
        <v>185.13210355065223</v>
      </c>
      <c r="Z23" s="41">
        <v>0.1558940628183145</v>
      </c>
      <c r="AA23" s="184"/>
    </row>
    <row r="24" spans="1:27" s="45" customFormat="1" ht="12" customHeight="1">
      <c r="A24" s="45" t="s">
        <v>447</v>
      </c>
      <c r="B24" s="54">
        <v>0.01</v>
      </c>
      <c r="C24" s="88">
        <v>58.421944023105368</v>
      </c>
      <c r="D24" s="54">
        <v>0.94856206332957793</v>
      </c>
      <c r="E24" s="52">
        <v>2.0554406028829666</v>
      </c>
      <c r="F24" s="90">
        <v>0.71063703910522369</v>
      </c>
      <c r="G24" s="89">
        <v>0.98811562663611885</v>
      </c>
      <c r="H24" s="88">
        <v>27.957459268116679</v>
      </c>
      <c r="I24" s="41">
        <v>0.70982664298214038</v>
      </c>
      <c r="J24" s="88">
        <v>1527.6747392553989</v>
      </c>
      <c r="K24" s="41"/>
      <c r="L24" s="54">
        <v>0.30262066360964635</v>
      </c>
      <c r="M24" s="55">
        <v>4.9949101877504967E-2</v>
      </c>
      <c r="N24" s="54">
        <v>0.53950331231915527</v>
      </c>
      <c r="O24" s="55">
        <v>0.20084864976382694</v>
      </c>
      <c r="P24" s="54">
        <v>0.66751024284236138</v>
      </c>
      <c r="Q24" s="55">
        <v>2.9163521103626952E-2</v>
      </c>
      <c r="R24" s="54">
        <v>0.14402884273325822</v>
      </c>
      <c r="S24" s="54">
        <v>0.91142646756066292</v>
      </c>
      <c r="T24" s="46"/>
      <c r="U24" s="41">
        <v>191.58542156219482</v>
      </c>
      <c r="V24" s="41">
        <v>12.545522768130315</v>
      </c>
      <c r="W24" s="41">
        <v>185.84405237004839</v>
      </c>
      <c r="X24" s="41">
        <v>1.1336225789760683</v>
      </c>
      <c r="Y24" s="41">
        <v>185.39267060090822</v>
      </c>
      <c r="Z24" s="41">
        <v>0.26310145543141183</v>
      </c>
      <c r="AA24" s="184"/>
    </row>
    <row r="25" spans="1:27" s="45" customFormat="1" ht="12" customHeight="1">
      <c r="A25" s="45" t="s">
        <v>446</v>
      </c>
      <c r="B25" s="54">
        <v>0.01</v>
      </c>
      <c r="C25" s="88">
        <v>37.450349801707851</v>
      </c>
      <c r="D25" s="54">
        <v>0.95140946377911373</v>
      </c>
      <c r="E25" s="52">
        <v>1.3151700046082286</v>
      </c>
      <c r="F25" s="90">
        <v>0.4559766142844211</v>
      </c>
      <c r="G25" s="89">
        <v>0.98930419261169456</v>
      </c>
      <c r="H25" s="88">
        <v>31.156917778722327</v>
      </c>
      <c r="I25" s="41">
        <v>0.40898509417418522</v>
      </c>
      <c r="J25" s="88">
        <v>1701.6013227668598</v>
      </c>
      <c r="K25" s="41"/>
      <c r="L25" s="54">
        <v>0.30360774531503509</v>
      </c>
      <c r="M25" s="55">
        <v>4.996746952898496E-2</v>
      </c>
      <c r="N25" s="54">
        <v>0.67626578834108186</v>
      </c>
      <c r="O25" s="55">
        <v>0.20111452831457113</v>
      </c>
      <c r="P25" s="54">
        <v>0.91811705780164776</v>
      </c>
      <c r="Q25" s="55">
        <v>2.9191392588768454E-2</v>
      </c>
      <c r="R25" s="54">
        <v>0.36777936573951975</v>
      </c>
      <c r="S25" s="54">
        <v>0.77127616765897267</v>
      </c>
      <c r="T25" s="46"/>
      <c r="U25" s="41">
        <v>192.44015216827393</v>
      </c>
      <c r="V25" s="41">
        <v>15.723317561371571</v>
      </c>
      <c r="W25" s="41">
        <v>186.06884230706058</v>
      </c>
      <c r="X25" s="41">
        <v>1.5609428101535714</v>
      </c>
      <c r="Y25" s="41">
        <v>185.56716752309114</v>
      </c>
      <c r="Z25" s="41">
        <v>0.67245655791478431</v>
      </c>
      <c r="AA25" s="184"/>
    </row>
    <row r="26" spans="1:27" s="45" customFormat="1" ht="12" customHeight="1">
      <c r="A26" s="45" t="s">
        <v>270</v>
      </c>
      <c r="B26" s="54">
        <v>0.01</v>
      </c>
      <c r="C26" s="88">
        <v>38.594869161386796</v>
      </c>
      <c r="D26" s="54">
        <v>0.79519678075919153</v>
      </c>
      <c r="E26" s="52">
        <v>1.4956227209744777</v>
      </c>
      <c r="F26" s="90">
        <v>0.47005313936803095</v>
      </c>
      <c r="G26" s="89">
        <v>0.94426912028813637</v>
      </c>
      <c r="H26" s="88">
        <v>5.4662149466101333</v>
      </c>
      <c r="I26" s="41">
        <v>2.3131795632813623</v>
      </c>
      <c r="J26" s="88">
        <v>322.76381282578205</v>
      </c>
      <c r="K26" s="41"/>
      <c r="L26" s="54">
        <v>0.25329170175164051</v>
      </c>
      <c r="M26" s="55">
        <v>4.9868766164024289E-2</v>
      </c>
      <c r="N26" s="54">
        <v>0.91901761104865798</v>
      </c>
      <c r="O26" s="55">
        <v>0.20077766779278783</v>
      </c>
      <c r="P26" s="54">
        <v>1.0690618278605972</v>
      </c>
      <c r="Q26" s="55">
        <v>2.9200178567736004E-2</v>
      </c>
      <c r="R26" s="54">
        <v>0.12341852966662024</v>
      </c>
      <c r="S26" s="54">
        <v>1.1881427572630303</v>
      </c>
      <c r="T26" s="46"/>
      <c r="U26" s="41">
        <v>187.79098987579346</v>
      </c>
      <c r="V26" s="41">
        <v>21.385337697488168</v>
      </c>
      <c r="W26" s="41">
        <v>185.78403146673463</v>
      </c>
      <c r="X26" s="41">
        <v>1.8150372251383828</v>
      </c>
      <c r="Y26" s="41">
        <v>185.62617627535425</v>
      </c>
      <c r="Z26" s="41">
        <v>0.2257273734000661</v>
      </c>
      <c r="AA26" s="184"/>
    </row>
    <row r="27" spans="1:27" s="45" customFormat="1" ht="12" customHeight="1">
      <c r="A27" s="45" t="s">
        <v>272</v>
      </c>
      <c r="B27" s="54">
        <v>0.01</v>
      </c>
      <c r="C27" s="88">
        <v>57.515451624723454</v>
      </c>
      <c r="D27" s="54">
        <v>0.85030085250932685</v>
      </c>
      <c r="E27" s="52">
        <v>1.9935053117934822</v>
      </c>
      <c r="F27" s="90">
        <v>0.70087459104116401</v>
      </c>
      <c r="G27" s="89">
        <v>0.9861714822378469</v>
      </c>
      <c r="H27" s="88">
        <v>23.406508664296901</v>
      </c>
      <c r="I27" s="41">
        <v>0.8168177252781903</v>
      </c>
      <c r="J27" s="88">
        <v>1310.6002562868084</v>
      </c>
      <c r="K27" s="41"/>
      <c r="L27" s="54">
        <v>0.27145070241037511</v>
      </c>
      <c r="M27" s="55">
        <v>4.9992956791072331E-2</v>
      </c>
      <c r="N27" s="54">
        <v>0.45991885131601917</v>
      </c>
      <c r="O27" s="55">
        <v>0.20138819169826572</v>
      </c>
      <c r="P27" s="54">
        <v>0.57588475023882957</v>
      </c>
      <c r="Q27" s="55">
        <v>2.9216211789543301E-2</v>
      </c>
      <c r="R27" s="54">
        <v>7.2627258670871886E-2</v>
      </c>
      <c r="S27" s="54">
        <v>1.4990175991285051</v>
      </c>
      <c r="T27" s="46"/>
      <c r="U27" s="41">
        <v>193.595290184021</v>
      </c>
      <c r="V27" s="41">
        <v>10.690900312012243</v>
      </c>
      <c r="W27" s="41">
        <v>186.30016205624341</v>
      </c>
      <c r="X27" s="41">
        <v>0.98020323698388978</v>
      </c>
      <c r="Y27" s="41">
        <v>185.72516275123607</v>
      </c>
      <c r="Z27" s="41">
        <v>0.13290310979557216</v>
      </c>
      <c r="AA27" s="184"/>
    </row>
    <row r="28" spans="1:27" s="45" customFormat="1" ht="12" customHeight="1">
      <c r="A28" s="45" t="s">
        <v>268</v>
      </c>
      <c r="B28" s="54">
        <v>0.01</v>
      </c>
      <c r="C28" s="88">
        <v>24.055175396757694</v>
      </c>
      <c r="D28" s="54">
        <v>0.93168122757769611</v>
      </c>
      <c r="E28" s="52">
        <v>0.87257518727536754</v>
      </c>
      <c r="F28" s="90">
        <v>0.29335089298913986</v>
      </c>
      <c r="G28" s="89">
        <v>0.9769899831967116</v>
      </c>
      <c r="H28" s="88">
        <v>14.223251879643586</v>
      </c>
      <c r="I28" s="41">
        <v>0.57318580430385446</v>
      </c>
      <c r="J28" s="88">
        <v>790.95987437084534</v>
      </c>
      <c r="K28" s="41"/>
      <c r="L28" s="54">
        <v>0.2963351367914962</v>
      </c>
      <c r="M28" s="55">
        <v>4.9795708591869464E-2</v>
      </c>
      <c r="N28" s="54">
        <v>1.0908718958908814</v>
      </c>
      <c r="O28" s="55">
        <v>0.20074290327397531</v>
      </c>
      <c r="P28" s="54">
        <v>1.3545212090283516</v>
      </c>
      <c r="Q28" s="55">
        <v>2.9237956082186784E-2</v>
      </c>
      <c r="R28" s="54">
        <v>0.13915440398136639</v>
      </c>
      <c r="S28" s="54">
        <v>1.761628325892578</v>
      </c>
      <c r="T28" s="46"/>
      <c r="U28" s="41">
        <v>184.42213535308838</v>
      </c>
      <c r="V28" s="41">
        <v>25.400207516502459</v>
      </c>
      <c r="W28" s="41">
        <v>185.75463400607205</v>
      </c>
      <c r="X28" s="41">
        <v>2.2993542856234637</v>
      </c>
      <c r="Y28" s="41">
        <v>185.8593856188584</v>
      </c>
      <c r="Z28" s="41">
        <v>0.25482754879913605</v>
      </c>
      <c r="AA28" s="184"/>
    </row>
    <row r="29" spans="1:27" s="45" customFormat="1" ht="12" customHeight="1">
      <c r="A29" s="45" t="s">
        <v>445</v>
      </c>
      <c r="B29" s="54">
        <v>0.01</v>
      </c>
      <c r="C29" s="88">
        <v>49.856763401628861</v>
      </c>
      <c r="D29" s="54">
        <v>0.857667026880783</v>
      </c>
      <c r="E29" s="52">
        <v>1.6812600922271708</v>
      </c>
      <c r="F29" s="90">
        <v>0.60882064279692738</v>
      </c>
      <c r="G29" s="89">
        <v>0.9964700485282304</v>
      </c>
      <c r="H29" s="88">
        <v>92.96364661404435</v>
      </c>
      <c r="I29" s="41">
        <v>0.1789266543829387</v>
      </c>
      <c r="J29" s="88">
        <v>5155.8782452259702</v>
      </c>
      <c r="K29" s="41"/>
      <c r="L29" s="54">
        <v>0.27357428606876127</v>
      </c>
      <c r="M29" s="55">
        <v>4.9956969839914843E-2</v>
      </c>
      <c r="N29" s="54">
        <v>0.46366667850143201</v>
      </c>
      <c r="O29" s="55">
        <v>0.20166511267142723</v>
      </c>
      <c r="P29" s="54">
        <v>0.59954037964595897</v>
      </c>
      <c r="Q29" s="55">
        <v>2.9277460951919763E-2</v>
      </c>
      <c r="R29" s="54">
        <v>7.6102120685827723E-2</v>
      </c>
      <c r="S29" s="54">
        <v>1.6465660104535105</v>
      </c>
      <c r="T29" s="46"/>
      <c r="U29" s="41">
        <v>191.92516803741455</v>
      </c>
      <c r="V29" s="41">
        <v>10.78131725434803</v>
      </c>
      <c r="W29" s="41">
        <v>186.53418172111967</v>
      </c>
      <c r="X29" s="41">
        <v>1.0216347813791731</v>
      </c>
      <c r="Y29" s="41">
        <v>186.10860725401403</v>
      </c>
      <c r="Z29" s="41">
        <v>0.13954552448168425</v>
      </c>
      <c r="AA29" s="184"/>
    </row>
    <row r="30" spans="1:27" s="45" customFormat="1" ht="12" customHeight="1">
      <c r="A30" s="45" t="s">
        <v>444</v>
      </c>
      <c r="B30" s="54">
        <v>0.01</v>
      </c>
      <c r="C30" s="88">
        <v>50.079443493365794</v>
      </c>
      <c r="D30" s="54">
        <v>0.75430779884419563</v>
      </c>
      <c r="E30" s="52">
        <v>1.6626646272562562</v>
      </c>
      <c r="F30" s="90">
        <v>0.61198828090176627</v>
      </c>
      <c r="G30" s="89">
        <v>0.99370528458615415</v>
      </c>
      <c r="H30" s="88">
        <v>50.69658605783259</v>
      </c>
      <c r="I30" s="41">
        <v>0.32161981168277631</v>
      </c>
      <c r="J30" s="88">
        <v>2891.3141903075193</v>
      </c>
      <c r="K30" s="41"/>
      <c r="L30" s="54">
        <v>0.2408870638122822</v>
      </c>
      <c r="M30" s="55">
        <v>5.0024017900678841E-2</v>
      </c>
      <c r="N30" s="54">
        <v>0.52178769121640223</v>
      </c>
      <c r="O30" s="55">
        <v>0.20208383741760158</v>
      </c>
      <c r="P30" s="54">
        <v>0.65566719852237587</v>
      </c>
      <c r="Q30" s="55">
        <v>2.9298928261400115E-2</v>
      </c>
      <c r="R30" s="54">
        <v>0.11060486521842218</v>
      </c>
      <c r="S30" s="54">
        <v>1.1711980047132178</v>
      </c>
      <c r="T30" s="46"/>
      <c r="U30" s="41">
        <v>195.01149654388428</v>
      </c>
      <c r="V30" s="41">
        <v>12.125842906650933</v>
      </c>
      <c r="W30" s="41">
        <v>186.88793415065629</v>
      </c>
      <c r="X30" s="41">
        <v>1.119206414477409</v>
      </c>
      <c r="Y30" s="41">
        <v>186.24563887708291</v>
      </c>
      <c r="Z30" s="41">
        <v>0.20295635295140224</v>
      </c>
      <c r="AA30" s="184"/>
    </row>
    <row r="31" spans="1:27" s="45" customFormat="1" ht="12" customHeight="1">
      <c r="B31" s="54"/>
      <c r="C31" s="88"/>
      <c r="D31" s="54"/>
      <c r="E31" s="52"/>
      <c r="F31" s="90"/>
      <c r="G31" s="89"/>
      <c r="H31" s="88"/>
      <c r="I31" s="41"/>
      <c r="J31" s="88"/>
      <c r="K31" s="41"/>
      <c r="L31" s="54"/>
      <c r="M31" s="55"/>
      <c r="N31" s="54"/>
      <c r="O31" s="55"/>
      <c r="P31" s="54"/>
      <c r="Q31" s="55"/>
      <c r="R31" s="54"/>
      <c r="S31" s="54"/>
      <c r="T31" s="46"/>
      <c r="U31" s="41"/>
      <c r="V31" s="41"/>
      <c r="W31" s="41"/>
      <c r="X31" s="41"/>
      <c r="Y31" s="42"/>
      <c r="Z31" s="42"/>
      <c r="AA31" s="184"/>
    </row>
    <row r="32" spans="1:27" s="45" customFormat="1">
      <c r="A32" s="93" t="s">
        <v>295</v>
      </c>
      <c r="B32" s="92" t="s">
        <v>294</v>
      </c>
      <c r="C32" s="96"/>
      <c r="D32" s="46"/>
      <c r="E32" s="46"/>
      <c r="F32" s="46"/>
      <c r="G32" s="46"/>
      <c r="H32" s="88"/>
      <c r="I32" s="41"/>
      <c r="J32" s="88"/>
      <c r="K32" s="41"/>
      <c r="L32" s="54"/>
      <c r="M32" s="95"/>
      <c r="N32" s="54"/>
      <c r="O32" s="55"/>
      <c r="P32" s="54"/>
      <c r="Q32" s="55"/>
      <c r="R32" s="54"/>
      <c r="S32" s="54"/>
      <c r="T32" s="46"/>
      <c r="U32" s="52"/>
      <c r="V32" s="52"/>
      <c r="W32" s="41"/>
      <c r="X32" s="41"/>
      <c r="Y32" s="41"/>
      <c r="Z32" s="41"/>
      <c r="AA32" s="184"/>
    </row>
    <row r="33" spans="1:27" s="45" customFormat="1" ht="12" customHeight="1">
      <c r="A33" s="45" t="s">
        <v>267</v>
      </c>
      <c r="B33" s="54">
        <v>0.01</v>
      </c>
      <c r="C33" s="88">
        <v>21.103893061695185</v>
      </c>
      <c r="D33" s="54">
        <v>0.90439200468195724</v>
      </c>
      <c r="E33" s="52">
        <v>0.71449597760375194</v>
      </c>
      <c r="F33" s="90">
        <v>0.25296795568231573</v>
      </c>
      <c r="G33" s="89">
        <v>0.99233591075407546</v>
      </c>
      <c r="H33" s="88">
        <v>43.0809804039299</v>
      </c>
      <c r="I33" s="41">
        <v>0.16208713396493632</v>
      </c>
      <c r="J33" s="88">
        <v>2374.7113865718798</v>
      </c>
      <c r="K33" s="41"/>
      <c r="L33" s="54">
        <v>0.28744050961124773</v>
      </c>
      <c r="M33" s="55">
        <v>4.9679540112850834E-2</v>
      </c>
      <c r="N33" s="54">
        <v>0.84989461313748194</v>
      </c>
      <c r="O33" s="55">
        <v>0.19685656280981673</v>
      </c>
      <c r="P33" s="54">
        <v>1.1017475818990177</v>
      </c>
      <c r="Q33" s="55">
        <v>2.8738960552273075E-2</v>
      </c>
      <c r="R33" s="54">
        <v>0.13801309574905429</v>
      </c>
      <c r="S33" s="54">
        <v>1.6789073003770383</v>
      </c>
      <c r="T33" s="46"/>
      <c r="U33" s="41">
        <v>178.95400524139404</v>
      </c>
      <c r="V33" s="41">
        <v>19.808989260516878</v>
      </c>
      <c r="W33" s="41">
        <v>182.46290178945003</v>
      </c>
      <c r="X33" s="41">
        <v>1.8400084146415414</v>
      </c>
      <c r="Y33" s="42">
        <v>182.73402224426297</v>
      </c>
      <c r="Z33" s="42">
        <v>0.24854462268161565</v>
      </c>
      <c r="AA33" s="184" t="s">
        <v>293</v>
      </c>
    </row>
    <row r="34" spans="1:27" s="45" customFormat="1" ht="12" customHeight="1">
      <c r="A34" s="45" t="s">
        <v>292</v>
      </c>
      <c r="B34" s="54">
        <v>0.01</v>
      </c>
      <c r="C34" s="88">
        <v>13.5869122690293</v>
      </c>
      <c r="D34" s="54">
        <v>0.80200520466512781</v>
      </c>
      <c r="E34" s="52">
        <v>0.4811040383406488</v>
      </c>
      <c r="F34" s="90">
        <v>0.16287555872037049</v>
      </c>
      <c r="G34" s="89">
        <v>0.96892094435845744</v>
      </c>
      <c r="H34" s="88">
        <v>10.099985897342799</v>
      </c>
      <c r="I34" s="41">
        <v>0.43342761224211934</v>
      </c>
      <c r="J34" s="88">
        <v>585.60337900590957</v>
      </c>
      <c r="K34" s="41"/>
      <c r="L34" s="54">
        <v>0.25291495440482936</v>
      </c>
      <c r="M34" s="55">
        <v>4.9259526054152639E-2</v>
      </c>
      <c r="N34" s="54">
        <v>1.9523406545752839</v>
      </c>
      <c r="O34" s="55">
        <v>0.19520672431215844</v>
      </c>
      <c r="P34" s="54">
        <v>2.246120450613323</v>
      </c>
      <c r="Q34" s="55">
        <v>2.8741092343519042E-2</v>
      </c>
      <c r="R34" s="54">
        <v>0.29641742503116553</v>
      </c>
      <c r="S34" s="54">
        <v>0.99227071953063517</v>
      </c>
      <c r="T34" s="46"/>
      <c r="U34" s="41">
        <v>159.08777713775635</v>
      </c>
      <c r="V34" s="41">
        <v>45.670391744271782</v>
      </c>
      <c r="W34" s="41">
        <v>181.06225463618438</v>
      </c>
      <c r="X34" s="41">
        <v>3.72490069246268</v>
      </c>
      <c r="Y34" s="42">
        <v>182.7501110084601</v>
      </c>
      <c r="Z34" s="42">
        <v>0.53384984139079572</v>
      </c>
      <c r="AA34" s="184" t="s">
        <v>291</v>
      </c>
    </row>
    <row r="35" spans="1:27" s="45" customFormat="1" ht="12" customHeight="1">
      <c r="A35" s="45" t="s">
        <v>290</v>
      </c>
      <c r="B35" s="54">
        <v>0.01</v>
      </c>
      <c r="C35" s="88">
        <v>17.421506130052986</v>
      </c>
      <c r="D35" s="54">
        <v>1.1720024949894301</v>
      </c>
      <c r="E35" s="52">
        <v>0.6276367364336769</v>
      </c>
      <c r="F35" s="90">
        <v>0.20888021205149981</v>
      </c>
      <c r="G35" s="89">
        <v>0.99197906134823233</v>
      </c>
      <c r="H35" s="88">
        <v>43.792693627781837</v>
      </c>
      <c r="I35" s="41">
        <v>0.14012033785000966</v>
      </c>
      <c r="J35" s="88">
        <v>2269.0611149343445</v>
      </c>
      <c r="K35" s="41"/>
      <c r="L35" s="54">
        <v>0.37266847001716552</v>
      </c>
      <c r="M35" s="55">
        <v>4.9705875474688757E-2</v>
      </c>
      <c r="N35" s="54">
        <v>1.3762078829980067</v>
      </c>
      <c r="O35" s="55">
        <v>0.19701020665004929</v>
      </c>
      <c r="P35" s="54">
        <v>1.6064588411563692</v>
      </c>
      <c r="Q35" s="55">
        <v>2.8746152442878262E-2</v>
      </c>
      <c r="R35" s="54">
        <v>0.26386420824405799</v>
      </c>
      <c r="S35" s="54">
        <v>0.89220264951026274</v>
      </c>
      <c r="T35" s="46"/>
      <c r="U35" s="41">
        <v>180.27722835540771</v>
      </c>
      <c r="V35" s="41">
        <v>32.068839574747614</v>
      </c>
      <c r="W35" s="41">
        <v>182.59324099947958</v>
      </c>
      <c r="X35" s="41">
        <v>2.6846667670072026</v>
      </c>
      <c r="Y35" s="42">
        <v>182.77234756303045</v>
      </c>
      <c r="Z35" s="42">
        <v>0.47530260046690836</v>
      </c>
      <c r="AA35" s="184"/>
    </row>
    <row r="36" spans="1:27" s="45" customFormat="1" ht="12" customHeight="1">
      <c r="A36" s="45" t="s">
        <v>270</v>
      </c>
      <c r="B36" s="54">
        <v>0.01</v>
      </c>
      <c r="C36" s="88">
        <v>30.214892791683152</v>
      </c>
      <c r="D36" s="54">
        <v>1.1034391720214043</v>
      </c>
      <c r="E36" s="52">
        <v>1.0676353238645782</v>
      </c>
      <c r="F36" s="90">
        <v>0.36233540241774287</v>
      </c>
      <c r="G36" s="89">
        <v>0.99355860446121513</v>
      </c>
      <c r="H36" s="88">
        <v>53.782834489719193</v>
      </c>
      <c r="I36" s="41">
        <v>0.19488500984098142</v>
      </c>
      <c r="J36" s="88">
        <v>2825.474680201612</v>
      </c>
      <c r="K36" s="41"/>
      <c r="L36" s="54">
        <v>0.35103636116854764</v>
      </c>
      <c r="M36" s="55">
        <v>4.973275935827861E-2</v>
      </c>
      <c r="N36" s="54">
        <v>0.61589421639077224</v>
      </c>
      <c r="O36" s="55">
        <v>0.19715221710751393</v>
      </c>
      <c r="P36" s="54">
        <v>0.79611466584950363</v>
      </c>
      <c r="Q36" s="55">
        <v>2.8751323052513836E-2</v>
      </c>
      <c r="R36" s="54">
        <v>0.11408472966215095</v>
      </c>
      <c r="S36" s="54">
        <v>1.4725548893170242</v>
      </c>
      <c r="T36" s="46"/>
      <c r="U36" s="41">
        <v>181.51462078094482</v>
      </c>
      <c r="V36" s="41">
        <v>14.348428001112929</v>
      </c>
      <c r="W36" s="41">
        <v>182.71369649626058</v>
      </c>
      <c r="X36" s="41">
        <v>1.3312444997194266</v>
      </c>
      <c r="Y36" s="42">
        <v>182.80645845798253</v>
      </c>
      <c r="Z36" s="42">
        <v>0.20553848488094542</v>
      </c>
      <c r="AA36" s="184"/>
    </row>
    <row r="37" spans="1:27" s="45" customFormat="1" ht="12" customHeight="1">
      <c r="A37" s="45" t="s">
        <v>266</v>
      </c>
      <c r="B37" s="54">
        <v>0.01</v>
      </c>
      <c r="C37" s="88">
        <v>19.236503746726999</v>
      </c>
      <c r="D37" s="54">
        <v>1.067163510207477</v>
      </c>
      <c r="E37" s="52">
        <v>0.68631740515884743</v>
      </c>
      <c r="F37" s="90">
        <v>0.23071274215345233</v>
      </c>
      <c r="G37" s="89">
        <v>0.98795837994363811</v>
      </c>
      <c r="H37" s="88">
        <v>28.418869140402911</v>
      </c>
      <c r="I37" s="41">
        <v>0.23329156599574449</v>
      </c>
      <c r="J37" s="88">
        <v>1511.4245354705786</v>
      </c>
      <c r="K37" s="41"/>
      <c r="L37" s="54">
        <v>0.34152924384953237</v>
      </c>
      <c r="M37" s="55">
        <v>5.0057474984584183E-2</v>
      </c>
      <c r="N37" s="54">
        <v>1.2054966715176889</v>
      </c>
      <c r="O37" s="55">
        <v>0.1984649303476361</v>
      </c>
      <c r="P37" s="54">
        <v>1.4232645207690826</v>
      </c>
      <c r="Q37" s="55">
        <v>2.8755012606880719E-2</v>
      </c>
      <c r="R37" s="54">
        <v>0.22165912260559004</v>
      </c>
      <c r="S37" s="54">
        <v>0.98515483538961823</v>
      </c>
      <c r="T37" s="46"/>
      <c r="U37" s="41">
        <v>196.64943218231201</v>
      </c>
      <c r="V37" s="41">
        <v>28.006650533996783</v>
      </c>
      <c r="W37" s="41">
        <v>183.82648441617528</v>
      </c>
      <c r="X37" s="41">
        <v>2.3931723695124383</v>
      </c>
      <c r="Y37" s="42">
        <v>182.83032969361648</v>
      </c>
      <c r="Z37" s="42">
        <v>0.39939756550799049</v>
      </c>
      <c r="AA37" s="184"/>
    </row>
    <row r="38" spans="1:27" s="45" customFormat="1" ht="12" customHeight="1">
      <c r="A38" s="45" t="s">
        <v>289</v>
      </c>
      <c r="B38" s="54">
        <v>0.01</v>
      </c>
      <c r="C38" s="88">
        <v>13.489647739229556</v>
      </c>
      <c r="D38" s="54">
        <v>1.2534869104641051</v>
      </c>
      <c r="E38" s="52">
        <v>0.56412934080819466</v>
      </c>
      <c r="F38" s="90">
        <v>0.1618180939817187</v>
      </c>
      <c r="G38" s="89">
        <v>0.94328578250910866</v>
      </c>
      <c r="H38" s="88">
        <v>5.9995024471588945</v>
      </c>
      <c r="I38" s="41">
        <v>0.80598031765021005</v>
      </c>
      <c r="J38" s="88">
        <v>321.91063900942379</v>
      </c>
      <c r="K38" s="41"/>
      <c r="L38" s="54">
        <v>0.39711814946856411</v>
      </c>
      <c r="M38" s="55">
        <v>4.9509985058242195E-2</v>
      </c>
      <c r="N38" s="54">
        <v>2.1397129916550499</v>
      </c>
      <c r="O38" s="55">
        <v>0.19633090351572774</v>
      </c>
      <c r="P38" s="54">
        <v>2.4241493671355281</v>
      </c>
      <c r="Q38" s="55">
        <v>2.8760378364043045E-2</v>
      </c>
      <c r="R38" s="54">
        <v>0.32158908179787582</v>
      </c>
      <c r="S38" s="54">
        <v>0.89891227364617332</v>
      </c>
      <c r="T38" s="46"/>
      <c r="U38" s="41">
        <v>171.089768409729</v>
      </c>
      <c r="V38" s="41">
        <v>49.944619936873835</v>
      </c>
      <c r="W38" s="41">
        <v>182.01684768370296</v>
      </c>
      <c r="X38" s="41">
        <v>4.0394908652601194</v>
      </c>
      <c r="Y38" s="42">
        <v>182.85955560516416</v>
      </c>
      <c r="Z38" s="42">
        <v>0.57956195254534537</v>
      </c>
      <c r="AA38" s="184"/>
    </row>
    <row r="39" spans="1:27" s="45" customFormat="1" ht="12" customHeight="1">
      <c r="A39" s="45" t="s">
        <v>288</v>
      </c>
      <c r="B39" s="54">
        <v>0.01</v>
      </c>
      <c r="C39" s="88">
        <v>96.706485878998663</v>
      </c>
      <c r="D39" s="54">
        <v>1.2705252644557503</v>
      </c>
      <c r="E39" s="52">
        <v>3.5030961081669711</v>
      </c>
      <c r="F39" s="90">
        <v>1.1601067531341345</v>
      </c>
      <c r="G39" s="89">
        <v>0.99832150922465157</v>
      </c>
      <c r="H39" s="88">
        <v>215.48329045315259</v>
      </c>
      <c r="I39" s="41">
        <v>0.16181831405251332</v>
      </c>
      <c r="J39" s="88">
        <v>10843.07418741768</v>
      </c>
      <c r="K39" s="41"/>
      <c r="L39" s="54">
        <v>0.405200251920592</v>
      </c>
      <c r="M39" s="55">
        <v>4.9869361045389596E-2</v>
      </c>
      <c r="N39" s="54">
        <v>0.2113706359499293</v>
      </c>
      <c r="O39" s="55">
        <v>0.19776323333584947</v>
      </c>
      <c r="P39" s="54">
        <v>0.29810984002833679</v>
      </c>
      <c r="Q39" s="55">
        <v>2.8761430021340517E-2</v>
      </c>
      <c r="R39" s="54">
        <v>9.4471487110377395E-2</v>
      </c>
      <c r="S39" s="54">
        <v>0.94302843009973281</v>
      </c>
      <c r="T39" s="46"/>
      <c r="U39" s="41">
        <v>187.95907497406006</v>
      </c>
      <c r="V39" s="41">
        <v>4.9185206477770835</v>
      </c>
      <c r="W39" s="41">
        <v>183.23180709332837</v>
      </c>
      <c r="X39" s="41">
        <v>0.49978221607790663</v>
      </c>
      <c r="Y39" s="42">
        <v>182.86550616325979</v>
      </c>
      <c r="Z39" s="42">
        <v>0.17026083511729839</v>
      </c>
      <c r="AA39" s="184"/>
    </row>
    <row r="40" spans="1:27" s="45" customFormat="1" ht="12" customHeight="1">
      <c r="A40" s="45" t="s">
        <v>268</v>
      </c>
      <c r="B40" s="54">
        <v>0.01</v>
      </c>
      <c r="C40" s="88">
        <v>22.644044899656112</v>
      </c>
      <c r="D40" s="54">
        <v>1.0849596607273342</v>
      </c>
      <c r="E40" s="52">
        <v>0.79465054099593735</v>
      </c>
      <c r="F40" s="90">
        <v>0.27166659692297868</v>
      </c>
      <c r="G40" s="89">
        <v>0.99442517146909637</v>
      </c>
      <c r="H40" s="88">
        <v>61.892571058598705</v>
      </c>
      <c r="I40" s="41">
        <v>0.12635046200536787</v>
      </c>
      <c r="J40" s="88">
        <v>3264.6744019317443</v>
      </c>
      <c r="K40" s="41"/>
      <c r="L40" s="54">
        <v>0.34434848447887173</v>
      </c>
      <c r="M40" s="55">
        <v>4.9607914985162753E-2</v>
      </c>
      <c r="N40" s="54">
        <v>0.83886284683410139</v>
      </c>
      <c r="O40" s="55">
        <v>0.19674450281373343</v>
      </c>
      <c r="P40" s="54">
        <v>1.067141250581032</v>
      </c>
      <c r="Q40" s="55">
        <v>2.8764071384601842E-2</v>
      </c>
      <c r="R40" s="54">
        <v>0.13565440135917686</v>
      </c>
      <c r="S40" s="54">
        <v>1.5663655271125336</v>
      </c>
      <c r="T40" s="46"/>
      <c r="U40" s="41">
        <v>175.64952373504639</v>
      </c>
      <c r="V40" s="41">
        <v>19.563911246506265</v>
      </c>
      <c r="W40" s="41">
        <v>182.36782845188489</v>
      </c>
      <c r="X40" s="41">
        <v>1.781365283303679</v>
      </c>
      <c r="Y40" s="42">
        <v>182.88687006652214</v>
      </c>
      <c r="Z40" s="42">
        <v>0.24450439162313714</v>
      </c>
      <c r="AA40" s="184"/>
    </row>
    <row r="41" spans="1:27" s="45" customFormat="1" ht="12" customHeight="1">
      <c r="A41" s="45" t="s">
        <v>287</v>
      </c>
      <c r="B41" s="54">
        <v>0.01</v>
      </c>
      <c r="C41" s="88">
        <v>10.107238013404313</v>
      </c>
      <c r="D41" s="54">
        <v>1.0383009909878604</v>
      </c>
      <c r="E41" s="52">
        <v>0.36003772650025212</v>
      </c>
      <c r="F41" s="90">
        <v>0.12148517995835348</v>
      </c>
      <c r="G41" s="89">
        <v>0.98586512853171915</v>
      </c>
      <c r="H41" s="88">
        <v>23.915474601240227</v>
      </c>
      <c r="I41" s="41">
        <v>0.1445036597787025</v>
      </c>
      <c r="J41" s="88">
        <v>1287.595719624439</v>
      </c>
      <c r="K41" s="41"/>
      <c r="L41" s="54">
        <v>0.32825140409519588</v>
      </c>
      <c r="M41" s="55">
        <v>4.9405081248007618E-2</v>
      </c>
      <c r="N41" s="54">
        <v>2.0981798391927797</v>
      </c>
      <c r="O41" s="55">
        <v>0.19630520893243047</v>
      </c>
      <c r="P41" s="54">
        <v>2.5378830500460658</v>
      </c>
      <c r="Q41" s="55">
        <v>2.8817674466438452E-2</v>
      </c>
      <c r="R41" s="54">
        <v>0.34472596205473821</v>
      </c>
      <c r="S41" s="54">
        <v>1.2329359959340684</v>
      </c>
      <c r="T41" s="46"/>
      <c r="U41" s="41">
        <v>166.0686731338501</v>
      </c>
      <c r="V41" s="41">
        <v>49.019769994723276</v>
      </c>
      <c r="W41" s="41">
        <v>181.99503923209113</v>
      </c>
      <c r="X41" s="41">
        <v>4.2285487896170588</v>
      </c>
      <c r="Y41" s="42">
        <v>183.2240159877426</v>
      </c>
      <c r="Z41" s="42">
        <v>0.62246181157873781</v>
      </c>
      <c r="AA41" s="184"/>
    </row>
    <row r="42" spans="1:27" s="45" customFormat="1" ht="12" customHeight="1">
      <c r="A42" s="45" t="s">
        <v>272</v>
      </c>
      <c r="B42" s="54">
        <v>0.01</v>
      </c>
      <c r="C42" s="88">
        <v>31.055961378391046</v>
      </c>
      <c r="D42" s="54">
        <v>0.59207254299790935</v>
      </c>
      <c r="E42" s="52">
        <v>0.97224667220624728</v>
      </c>
      <c r="F42" s="90">
        <v>0.37429122002922238</v>
      </c>
      <c r="G42" s="89">
        <v>0.99499171941667419</v>
      </c>
      <c r="H42" s="88">
        <v>61.203733731889422</v>
      </c>
      <c r="I42" s="41">
        <v>0.15630037199966573</v>
      </c>
      <c r="J42" s="88">
        <v>3633.9817023418941</v>
      </c>
      <c r="K42" s="41"/>
      <c r="L42" s="54">
        <v>0.18885956065522455</v>
      </c>
      <c r="M42" s="55">
        <v>4.9899559548729662E-2</v>
      </c>
      <c r="N42" s="54">
        <v>0.57246578319107122</v>
      </c>
      <c r="O42" s="55">
        <v>0.19880658782615318</v>
      </c>
      <c r="P42" s="54">
        <v>0.75049818218161546</v>
      </c>
      <c r="Q42" s="55">
        <v>2.8895671040882077E-2</v>
      </c>
      <c r="R42" s="54">
        <v>0.11041392014242478</v>
      </c>
      <c r="S42" s="54">
        <v>1.4947224276992004</v>
      </c>
      <c r="T42" s="46"/>
      <c r="U42" s="41">
        <v>189.14997577667236</v>
      </c>
      <c r="V42" s="41">
        <v>13.317668473329421</v>
      </c>
      <c r="W42" s="41">
        <v>184.11590779890318</v>
      </c>
      <c r="X42" s="41">
        <v>1.2637501088232241</v>
      </c>
      <c r="Y42" s="41">
        <v>183.72372799592409</v>
      </c>
      <c r="Z42" s="41">
        <v>0.19989571259181349</v>
      </c>
      <c r="AA42" s="184"/>
    </row>
    <row r="43" spans="1:27" s="45" customFormat="1" ht="12" customHeight="1">
      <c r="A43" s="45" t="s">
        <v>286</v>
      </c>
      <c r="B43" s="54">
        <v>0.01</v>
      </c>
      <c r="C43" s="88">
        <v>20.66998896662416</v>
      </c>
      <c r="D43" s="54">
        <v>0.71558869415804571</v>
      </c>
      <c r="E43" s="52">
        <v>0.67531742282802687</v>
      </c>
      <c r="F43" s="90">
        <v>0.24915871093235148</v>
      </c>
      <c r="G43" s="89">
        <v>0.99067555082589298</v>
      </c>
      <c r="H43" s="88">
        <v>33.71034669345719</v>
      </c>
      <c r="I43" s="41">
        <v>0.19455795955945385</v>
      </c>
      <c r="J43" s="88">
        <v>1951.8579232046777</v>
      </c>
      <c r="K43" s="41"/>
      <c r="L43" s="54">
        <v>0.22614109627843704</v>
      </c>
      <c r="M43" s="55">
        <v>4.9396777764272225E-2</v>
      </c>
      <c r="N43" s="54">
        <v>0.92901827908989554</v>
      </c>
      <c r="O43" s="55">
        <v>0.19683569048133981</v>
      </c>
      <c r="P43" s="54">
        <v>1.1703480794790488</v>
      </c>
      <c r="Q43" s="55">
        <v>2.8900406621231726E-2</v>
      </c>
      <c r="R43" s="54">
        <v>0.14325664328335413</v>
      </c>
      <c r="S43" s="54">
        <v>1.5721152877119482</v>
      </c>
      <c r="T43" s="46"/>
      <c r="U43" s="41">
        <v>165.57514667510986</v>
      </c>
      <c r="V43" s="41">
        <v>21.706180729801424</v>
      </c>
      <c r="W43" s="41">
        <v>182.44519407569624</v>
      </c>
      <c r="X43" s="41">
        <v>1.9544036898623349</v>
      </c>
      <c r="Y43" s="41">
        <v>183.75044968951485</v>
      </c>
      <c r="Z43" s="41">
        <v>0.25939618864205694</v>
      </c>
      <c r="AA43" s="184"/>
    </row>
    <row r="44" spans="1:27" s="45" customFormat="1" ht="12" customHeight="1">
      <c r="B44" s="54"/>
      <c r="C44" s="88"/>
      <c r="D44" s="54"/>
      <c r="E44" s="52"/>
      <c r="F44" s="90"/>
      <c r="G44" s="89"/>
      <c r="H44" s="88"/>
      <c r="I44" s="41"/>
      <c r="J44" s="88"/>
      <c r="K44" s="41"/>
      <c r="L44" s="54"/>
      <c r="M44" s="55"/>
      <c r="N44" s="54"/>
      <c r="O44" s="55"/>
      <c r="P44" s="54"/>
      <c r="Q44" s="55"/>
      <c r="R44" s="54"/>
      <c r="S44" s="54"/>
      <c r="T44" s="46"/>
      <c r="U44" s="41"/>
      <c r="V44" s="41"/>
      <c r="W44" s="41"/>
      <c r="X44" s="41"/>
      <c r="Y44" s="41"/>
      <c r="Z44" s="41"/>
      <c r="AA44" s="184"/>
    </row>
    <row r="45" spans="1:27" s="45" customFormat="1" ht="12" customHeight="1">
      <c r="A45" s="94" t="s">
        <v>644</v>
      </c>
      <c r="B45" s="92" t="s">
        <v>285</v>
      </c>
      <c r="C45" s="88"/>
      <c r="D45" s="54"/>
      <c r="E45" s="52"/>
      <c r="F45" s="90"/>
      <c r="G45" s="89"/>
      <c r="H45" s="88"/>
      <c r="I45" s="41"/>
      <c r="J45" s="88"/>
      <c r="K45" s="41"/>
      <c r="L45" s="54"/>
      <c r="M45" s="55"/>
      <c r="N45" s="54"/>
      <c r="O45" s="55"/>
      <c r="P45" s="54"/>
      <c r="Q45" s="55"/>
      <c r="R45" s="54"/>
      <c r="S45" s="54"/>
      <c r="T45" s="46"/>
      <c r="U45" s="41"/>
      <c r="V45" s="41"/>
      <c r="W45" s="41"/>
      <c r="X45" s="41"/>
      <c r="Y45" s="41"/>
      <c r="Z45" s="41"/>
      <c r="AA45" s="184"/>
    </row>
    <row r="46" spans="1:27" s="45" customFormat="1" ht="12" customHeight="1">
      <c r="A46" s="45" t="s">
        <v>274</v>
      </c>
      <c r="B46" s="54"/>
      <c r="C46" s="88"/>
      <c r="D46" s="54">
        <v>0.73566898612275899</v>
      </c>
      <c r="E46" s="52"/>
      <c r="F46" s="90"/>
      <c r="G46" s="89"/>
      <c r="H46" s="88"/>
      <c r="I46" s="52">
        <v>1.01644712245223</v>
      </c>
      <c r="J46" s="88"/>
      <c r="K46" s="41"/>
      <c r="L46" s="54"/>
      <c r="M46" s="55"/>
      <c r="N46" s="54"/>
      <c r="O46" s="55"/>
      <c r="P46" s="54"/>
      <c r="Q46" s="55"/>
      <c r="R46" s="54"/>
      <c r="S46" s="54"/>
      <c r="T46" s="46"/>
      <c r="U46" s="41">
        <v>183.16544473563101</v>
      </c>
      <c r="V46" s="41">
        <v>31.5504770267016</v>
      </c>
      <c r="W46" s="41">
        <v>184.69818404406701</v>
      </c>
      <c r="X46" s="41">
        <v>2.4236716049976099</v>
      </c>
      <c r="Y46" s="41">
        <v>184.81804475881501</v>
      </c>
      <c r="Z46" s="41">
        <v>0.25372589870942303</v>
      </c>
      <c r="AA46" s="184" t="s">
        <v>283</v>
      </c>
    </row>
    <row r="47" spans="1:27" s="45" customFormat="1" ht="12" customHeight="1">
      <c r="A47" s="45" t="s">
        <v>275</v>
      </c>
      <c r="B47" s="54"/>
      <c r="C47" s="88"/>
      <c r="D47" s="54">
        <v>0.88021787612978897</v>
      </c>
      <c r="E47" s="52"/>
      <c r="F47" s="90"/>
      <c r="G47" s="89"/>
      <c r="H47" s="88"/>
      <c r="I47" s="52">
        <v>1.0162843364118099</v>
      </c>
      <c r="J47" s="88"/>
      <c r="K47" s="41"/>
      <c r="L47" s="54"/>
      <c r="M47" s="55"/>
      <c r="N47" s="54"/>
      <c r="O47" s="55"/>
      <c r="P47" s="54"/>
      <c r="Q47" s="55"/>
      <c r="R47" s="54"/>
      <c r="S47" s="54"/>
      <c r="T47" s="46"/>
      <c r="U47" s="41">
        <v>205.73990810003301</v>
      </c>
      <c r="V47" s="41">
        <v>16.571789005628698</v>
      </c>
      <c r="W47" s="41">
        <v>185.50049875459899</v>
      </c>
      <c r="X47" s="41">
        <v>1.34028746693219</v>
      </c>
      <c r="Y47" s="41">
        <v>183.91481682901201</v>
      </c>
      <c r="Z47" s="41">
        <v>0.41422136790318598</v>
      </c>
      <c r="AA47" s="184"/>
    </row>
    <row r="48" spans="1:27" s="45" customFormat="1" ht="12" customHeight="1">
      <c r="A48" s="45" t="s">
        <v>276</v>
      </c>
      <c r="B48" s="54"/>
      <c r="C48" s="88"/>
      <c r="D48" s="54">
        <v>1.20626859000366</v>
      </c>
      <c r="E48" s="52"/>
      <c r="F48" s="90"/>
      <c r="G48" s="89"/>
      <c r="H48" s="88"/>
      <c r="I48" s="52">
        <v>0.944959344213816</v>
      </c>
      <c r="J48" s="88"/>
      <c r="K48" s="41"/>
      <c r="L48" s="54"/>
      <c r="M48" s="55"/>
      <c r="N48" s="54"/>
      <c r="O48" s="55"/>
      <c r="P48" s="54"/>
      <c r="Q48" s="55"/>
      <c r="R48" s="54"/>
      <c r="S48" s="54"/>
      <c r="T48" s="46"/>
      <c r="U48" s="41">
        <v>199.158959347441</v>
      </c>
      <c r="V48" s="41">
        <v>12.236940725021499</v>
      </c>
      <c r="W48" s="41">
        <v>184.68634995650501</v>
      </c>
      <c r="X48" s="41">
        <v>0.96969078198362502</v>
      </c>
      <c r="Y48" s="41">
        <v>183.55678279636601</v>
      </c>
      <c r="Z48" s="41">
        <v>0.15824379411557499</v>
      </c>
      <c r="AA48" s="184"/>
    </row>
    <row r="49" spans="1:256" s="45" customFormat="1" ht="12" customHeight="1">
      <c r="A49" s="45" t="s">
        <v>277</v>
      </c>
      <c r="B49" s="54"/>
      <c r="C49" s="88"/>
      <c r="D49" s="54">
        <v>0.85338982036594702</v>
      </c>
      <c r="E49" s="52"/>
      <c r="F49" s="90"/>
      <c r="G49" s="89"/>
      <c r="H49" s="88"/>
      <c r="I49" s="52">
        <v>2.2064317717391502</v>
      </c>
      <c r="J49" s="88"/>
      <c r="K49" s="41"/>
      <c r="L49" s="54"/>
      <c r="M49" s="55"/>
      <c r="N49" s="54"/>
      <c r="O49" s="55"/>
      <c r="P49" s="54"/>
      <c r="Q49" s="55"/>
      <c r="R49" s="54"/>
      <c r="S49" s="54"/>
      <c r="T49" s="46"/>
      <c r="U49" s="41">
        <v>182.61928461257099</v>
      </c>
      <c r="V49" s="41">
        <v>36.645379863491101</v>
      </c>
      <c r="W49" s="41">
        <v>183.25341884413101</v>
      </c>
      <c r="X49" s="41">
        <v>2.80225287208436</v>
      </c>
      <c r="Y49" s="42">
        <v>183.30260773191901</v>
      </c>
      <c r="Z49" s="42">
        <v>0.25231385636488601</v>
      </c>
      <c r="AA49" s="184"/>
    </row>
    <row r="50" spans="1:256" s="45" customFormat="1" ht="12" customHeight="1">
      <c r="A50" s="45" t="s">
        <v>278</v>
      </c>
      <c r="B50" s="54"/>
      <c r="C50" s="88"/>
      <c r="D50" s="54">
        <v>0.88603663116547404</v>
      </c>
      <c r="E50" s="52"/>
      <c r="F50" s="90"/>
      <c r="G50" s="89"/>
      <c r="H50" s="88"/>
      <c r="I50" s="52">
        <v>1.4161753066701901</v>
      </c>
      <c r="J50" s="88"/>
      <c r="K50" s="41"/>
      <c r="L50" s="54"/>
      <c r="M50" s="55"/>
      <c r="N50" s="54"/>
      <c r="O50" s="55"/>
      <c r="P50" s="54"/>
      <c r="Q50" s="55"/>
      <c r="R50" s="54"/>
      <c r="S50" s="54"/>
      <c r="T50" s="46"/>
      <c r="U50" s="41">
        <v>191.62917858505699</v>
      </c>
      <c r="V50" s="41">
        <v>17.551811320817801</v>
      </c>
      <c r="W50" s="41">
        <v>183.894534011856</v>
      </c>
      <c r="X50" s="41">
        <v>1.3882818564281101</v>
      </c>
      <c r="Y50" s="42">
        <v>183.29301859621501</v>
      </c>
      <c r="Z50" s="42">
        <v>0.30029395454480001</v>
      </c>
      <c r="AA50" s="184"/>
    </row>
    <row r="51" spans="1:256" s="45" customFormat="1" ht="12" customHeight="1">
      <c r="A51" s="45" t="s">
        <v>279</v>
      </c>
      <c r="B51" s="54"/>
      <c r="C51" s="88"/>
      <c r="D51" s="54">
        <v>0.88746353715650195</v>
      </c>
      <c r="E51" s="52"/>
      <c r="F51" s="90"/>
      <c r="G51" s="89"/>
      <c r="H51" s="88"/>
      <c r="I51" s="52">
        <v>1.13679862441046</v>
      </c>
      <c r="J51" s="88"/>
      <c r="K51" s="41"/>
      <c r="L51" s="54"/>
      <c r="M51" s="55"/>
      <c r="N51" s="54"/>
      <c r="O51" s="55"/>
      <c r="P51" s="54"/>
      <c r="Q51" s="55"/>
      <c r="R51" s="54"/>
      <c r="S51" s="54"/>
      <c r="T51" s="46"/>
      <c r="U51" s="41">
        <v>183.898265392356</v>
      </c>
      <c r="V51" s="41">
        <v>18.0467217941329</v>
      </c>
      <c r="W51" s="41">
        <v>183.27165723597599</v>
      </c>
      <c r="X51" s="41">
        <v>1.4131770955134499</v>
      </c>
      <c r="Y51" s="42">
        <v>183.22305437234499</v>
      </c>
      <c r="Z51" s="42">
        <v>0.29829360657638099</v>
      </c>
      <c r="AA51" s="184"/>
    </row>
    <row r="52" spans="1:256" s="45" customFormat="1" ht="12" customHeight="1">
      <c r="A52" s="45" t="s">
        <v>280</v>
      </c>
      <c r="B52" s="54"/>
      <c r="C52" s="88"/>
      <c r="D52" s="54">
        <v>0.86713304397669999</v>
      </c>
      <c r="E52" s="52"/>
      <c r="F52" s="90"/>
      <c r="G52" s="89"/>
      <c r="H52" s="88"/>
      <c r="I52" s="52">
        <v>1.7745282761247401</v>
      </c>
      <c r="J52" s="88"/>
      <c r="K52" s="41"/>
      <c r="L52" s="54"/>
      <c r="M52" s="55"/>
      <c r="N52" s="54"/>
      <c r="O52" s="55"/>
      <c r="P52" s="54"/>
      <c r="Q52" s="55"/>
      <c r="R52" s="54"/>
      <c r="S52" s="54"/>
      <c r="T52" s="46"/>
      <c r="U52" s="41">
        <v>169.40105068273601</v>
      </c>
      <c r="V52" s="41">
        <v>23.389841280003701</v>
      </c>
      <c r="W52" s="41">
        <v>182.04101288949099</v>
      </c>
      <c r="X52" s="41">
        <v>1.8255201362784499</v>
      </c>
      <c r="Y52" s="42">
        <v>183.01623029650901</v>
      </c>
      <c r="Z52" s="42">
        <v>0.45758249423821201</v>
      </c>
      <c r="AA52" s="184"/>
    </row>
    <row r="53" spans="1:256" s="45" customFormat="1" ht="12" customHeight="1">
      <c r="A53" s="45" t="s">
        <v>281</v>
      </c>
      <c r="B53" s="54"/>
      <c r="C53" s="88"/>
      <c r="D53" s="54">
        <v>0.99686322741325095</v>
      </c>
      <c r="E53" s="52"/>
      <c r="F53" s="90"/>
      <c r="G53" s="89"/>
      <c r="H53" s="88"/>
      <c r="I53" s="52">
        <v>2.2919891670883499</v>
      </c>
      <c r="J53" s="88"/>
      <c r="K53" s="41"/>
      <c r="L53" s="54"/>
      <c r="M53" s="55"/>
      <c r="N53" s="54"/>
      <c r="O53" s="55"/>
      <c r="P53" s="54"/>
      <c r="Q53" s="55"/>
      <c r="R53" s="54"/>
      <c r="S53" s="54"/>
      <c r="T53" s="46"/>
      <c r="U53" s="41">
        <v>184.23406522914999</v>
      </c>
      <c r="V53" s="41">
        <v>15.4713873370386</v>
      </c>
      <c r="W53" s="41">
        <v>183.02859653023</v>
      </c>
      <c r="X53" s="41">
        <v>1.20947059575344</v>
      </c>
      <c r="Y53" s="42">
        <v>182.93522708463701</v>
      </c>
      <c r="Z53" s="42">
        <v>0.22305086254572301</v>
      </c>
      <c r="AA53" s="184"/>
    </row>
    <row r="54" spans="1:256" s="45" customFormat="1" ht="12" customHeight="1">
      <c r="A54" s="45" t="s">
        <v>282</v>
      </c>
      <c r="B54" s="54"/>
      <c r="C54" s="88"/>
      <c r="D54" s="54">
        <v>1.5278209343687501</v>
      </c>
      <c r="E54" s="52"/>
      <c r="F54" s="90"/>
      <c r="G54" s="89"/>
      <c r="H54" s="88"/>
      <c r="I54" s="52">
        <v>0.84288902339216998</v>
      </c>
      <c r="J54" s="88"/>
      <c r="K54" s="41"/>
      <c r="L54" s="54"/>
      <c r="M54" s="55"/>
      <c r="N54" s="54"/>
      <c r="O54" s="55"/>
      <c r="P54" s="54"/>
      <c r="Q54" s="55"/>
      <c r="R54" s="54"/>
      <c r="S54" s="54"/>
      <c r="T54" s="46"/>
      <c r="U54" s="41">
        <v>184.85955381575101</v>
      </c>
      <c r="V54" s="41">
        <v>4.1756517049537702</v>
      </c>
      <c r="W54" s="41">
        <v>183.05519954450699</v>
      </c>
      <c r="X54" s="41">
        <v>0.467881945276378</v>
      </c>
      <c r="Y54" s="42">
        <v>182.915432571205</v>
      </c>
      <c r="Z54" s="42">
        <v>0.320861962714657</v>
      </c>
      <c r="AA54" s="184"/>
    </row>
    <row r="55" spans="1:256" s="45" customFormat="1" ht="12" customHeight="1">
      <c r="A55" s="45" t="s">
        <v>284</v>
      </c>
      <c r="B55" s="54"/>
      <c r="C55" s="88"/>
      <c r="D55" s="54">
        <v>0.99151867921718895</v>
      </c>
      <c r="E55" s="52"/>
      <c r="F55" s="90"/>
      <c r="G55" s="89"/>
      <c r="H55" s="88"/>
      <c r="I55" s="52">
        <v>1.48950608375839</v>
      </c>
      <c r="J55" s="88"/>
      <c r="K55" s="41"/>
      <c r="L55" s="54"/>
      <c r="M55" s="55"/>
      <c r="N55" s="54"/>
      <c r="O55" s="55"/>
      <c r="P55" s="54"/>
      <c r="Q55" s="55"/>
      <c r="R55" s="54"/>
      <c r="S55" s="54"/>
      <c r="T55" s="46"/>
      <c r="U55" s="41">
        <v>178.947459080188</v>
      </c>
      <c r="V55" s="41">
        <v>18.346989647199301</v>
      </c>
      <c r="W55" s="41">
        <v>182.534723457365</v>
      </c>
      <c r="X55" s="41">
        <v>1.6990544829043699</v>
      </c>
      <c r="Y55" s="42">
        <v>182.811965689391</v>
      </c>
      <c r="Z55" s="42">
        <v>1.03342672408931</v>
      </c>
      <c r="AA55" s="184"/>
    </row>
    <row r="57" spans="1:256">
      <c r="A57" s="93" t="s">
        <v>273</v>
      </c>
      <c r="B57" s="92" t="s">
        <v>443</v>
      </c>
    </row>
    <row r="58" spans="1:256" s="45" customFormat="1" ht="12" customHeight="1">
      <c r="A58" s="45" t="s">
        <v>272</v>
      </c>
      <c r="B58" s="54">
        <v>0.01</v>
      </c>
      <c r="C58" s="88">
        <v>9.9926647640430275</v>
      </c>
      <c r="D58" s="54">
        <v>0.85858594799627619</v>
      </c>
      <c r="E58" s="52">
        <v>0.34357268394109597</v>
      </c>
      <c r="F58" s="90">
        <v>0.1206966174444923</v>
      </c>
      <c r="G58" s="89">
        <v>0.98632544871279759</v>
      </c>
      <c r="H58" s="88">
        <v>23.748535023165417</v>
      </c>
      <c r="I58" s="41">
        <v>0.13882546325247169</v>
      </c>
      <c r="J58" s="88">
        <v>1330.939466879094</v>
      </c>
      <c r="K58" s="41"/>
      <c r="L58" s="54">
        <v>0.27344088402436939</v>
      </c>
      <c r="M58" s="55">
        <v>4.9823674270385546E-2</v>
      </c>
      <c r="N58" s="54">
        <v>2.3110019761852905</v>
      </c>
      <c r="O58" s="55">
        <v>0.19893854179509185</v>
      </c>
      <c r="P58" s="54">
        <v>2.9825301343894166</v>
      </c>
      <c r="Q58" s="55">
        <v>2.8958889509980268E-2</v>
      </c>
      <c r="R58" s="54">
        <v>0.29686251696519339</v>
      </c>
      <c r="S58" s="54">
        <v>2.0571930492827377</v>
      </c>
      <c r="T58" s="46"/>
      <c r="U58" s="41">
        <v>185.69529056549072</v>
      </c>
      <c r="V58" s="41">
        <v>53.797279116181912</v>
      </c>
      <c r="W58" s="41">
        <v>184.22766598566832</v>
      </c>
      <c r="X58" s="41">
        <v>5.0250080268890107</v>
      </c>
      <c r="Y58" s="42">
        <v>184.11310914466185</v>
      </c>
      <c r="Z58" s="42">
        <v>0.5385889651918816</v>
      </c>
      <c r="AA58" s="184" t="s">
        <v>271</v>
      </c>
    </row>
    <row r="59" spans="1:256" s="45" customFormat="1" ht="12" customHeight="1">
      <c r="A59" s="45" t="s">
        <v>270</v>
      </c>
      <c r="B59" s="54">
        <v>0.01</v>
      </c>
      <c r="C59" s="88">
        <v>16.573878321640969</v>
      </c>
      <c r="D59" s="54">
        <v>0.83792827448622464</v>
      </c>
      <c r="E59" s="52">
        <v>0.56390407566222156</v>
      </c>
      <c r="F59" s="90">
        <v>0.20135658336469628</v>
      </c>
      <c r="G59" s="89">
        <v>0.99005585363569193</v>
      </c>
      <c r="H59" s="88">
        <v>32.608598412807346</v>
      </c>
      <c r="I59" s="41">
        <v>0.167785656734597</v>
      </c>
      <c r="J59" s="88">
        <v>1830.2224578395503</v>
      </c>
      <c r="K59" s="41"/>
      <c r="L59" s="54">
        <v>0.26656829802555054</v>
      </c>
      <c r="M59" s="55">
        <v>4.9789706806679171E-2</v>
      </c>
      <c r="N59" s="54">
        <v>1.385372834828807</v>
      </c>
      <c r="O59" s="55">
        <v>0.19996346499964993</v>
      </c>
      <c r="P59" s="54">
        <v>1.7901523154209453</v>
      </c>
      <c r="Q59" s="55">
        <v>2.9127942596962064E-2</v>
      </c>
      <c r="R59" s="54">
        <v>0.17480908524137811</v>
      </c>
      <c r="S59" s="54">
        <v>2.1025869673222384</v>
      </c>
      <c r="T59" s="46"/>
      <c r="U59" s="41">
        <v>184.10742282867432</v>
      </c>
      <c r="V59" s="41">
        <v>32.259156504153118</v>
      </c>
      <c r="W59" s="41">
        <v>185.09530435786749</v>
      </c>
      <c r="X59" s="41">
        <v>3.0290226831937193</v>
      </c>
      <c r="Y59" s="41">
        <v>185.17266586525537</v>
      </c>
      <c r="Z59" s="41">
        <v>0.31895002867997019</v>
      </c>
      <c r="AA59" s="184" t="s">
        <v>269</v>
      </c>
    </row>
    <row r="60" spans="1:256" s="45" customFormat="1" ht="12" customHeight="1">
      <c r="A60" s="45" t="s">
        <v>268</v>
      </c>
      <c r="B60" s="54">
        <v>0.01</v>
      </c>
      <c r="C60" s="88">
        <v>37.450349801707851</v>
      </c>
      <c r="D60" s="54">
        <v>0.95140946377911373</v>
      </c>
      <c r="E60" s="52">
        <v>1.3151700046082286</v>
      </c>
      <c r="F60" s="90">
        <v>0.4559766142844211</v>
      </c>
      <c r="G60" s="89">
        <v>0.98930419261169456</v>
      </c>
      <c r="H60" s="88">
        <v>31.156917778722327</v>
      </c>
      <c r="I60" s="41">
        <v>0.40898509417418522</v>
      </c>
      <c r="J60" s="88">
        <v>1701.6013227668598</v>
      </c>
      <c r="K60" s="41"/>
      <c r="L60" s="54">
        <v>0.30360774531503509</v>
      </c>
      <c r="M60" s="55">
        <v>4.996746952898496E-2</v>
      </c>
      <c r="N60" s="54">
        <v>0.67626578834108186</v>
      </c>
      <c r="O60" s="55">
        <v>0.20111452831457113</v>
      </c>
      <c r="P60" s="54">
        <v>0.91811705780164776</v>
      </c>
      <c r="Q60" s="55">
        <v>2.9191392588768454E-2</v>
      </c>
      <c r="R60" s="54">
        <v>0.36777936573951975</v>
      </c>
      <c r="S60" s="54">
        <v>0.77127616765897267</v>
      </c>
      <c r="T60" s="46"/>
      <c r="U60" s="41">
        <v>192.44015216827393</v>
      </c>
      <c r="V60" s="41">
        <v>15.723317561371571</v>
      </c>
      <c r="W60" s="41">
        <v>186.06884230706058</v>
      </c>
      <c r="X60" s="41">
        <v>1.5609428101535714</v>
      </c>
      <c r="Y60" s="41">
        <v>185.56716752309114</v>
      </c>
      <c r="Z60" s="41">
        <v>0.67245655791478431</v>
      </c>
      <c r="AA60" s="184"/>
    </row>
    <row r="61" spans="1:256" s="45" customFormat="1" ht="12" customHeight="1">
      <c r="A61" s="45" t="s">
        <v>267</v>
      </c>
      <c r="B61" s="54">
        <v>0.01</v>
      </c>
      <c r="C61" s="88">
        <v>11.48198807983615</v>
      </c>
      <c r="D61" s="54">
        <v>0.82022873118312845</v>
      </c>
      <c r="E61" s="52">
        <v>0.41325559486296376</v>
      </c>
      <c r="F61" s="90">
        <v>0.14441420008674763</v>
      </c>
      <c r="G61" s="89">
        <v>0.98094090409642742</v>
      </c>
      <c r="H61" s="88">
        <v>16.752854980828815</v>
      </c>
      <c r="I61" s="41">
        <v>0.23278261175976245</v>
      </c>
      <c r="J61" s="88">
        <v>954.92462455096802</v>
      </c>
      <c r="K61" s="41"/>
      <c r="L61" s="54">
        <v>0.25878731694884372</v>
      </c>
      <c r="M61" s="55">
        <v>4.9496965610744521E-2</v>
      </c>
      <c r="N61" s="54">
        <v>2.1606004228501807</v>
      </c>
      <c r="O61" s="55">
        <v>0.20579782489200429</v>
      </c>
      <c r="P61" s="54">
        <v>2.6982984716872429</v>
      </c>
      <c r="Q61" s="55">
        <v>3.0155110905291369E-2</v>
      </c>
      <c r="R61" s="54">
        <v>0.24758199702048433</v>
      </c>
      <c r="S61" s="54">
        <v>2.0012849362385059</v>
      </c>
      <c r="T61" s="46"/>
      <c r="U61" s="41">
        <v>170.38524150848389</v>
      </c>
      <c r="V61" s="41">
        <v>50.4377841418587</v>
      </c>
      <c r="W61" s="41">
        <v>190.02024998756758</v>
      </c>
      <c r="X61" s="41">
        <v>4.676125757383276</v>
      </c>
      <c r="Y61" s="41">
        <v>191.60411909652254</v>
      </c>
      <c r="Z61" s="41">
        <v>0.46719219170977105</v>
      </c>
      <c r="AA61" s="184"/>
    </row>
    <row r="62" spans="1:256" s="45" customFormat="1" ht="12" customHeight="1">
      <c r="A62" s="45" t="s">
        <v>266</v>
      </c>
      <c r="B62" s="54">
        <v>0.01</v>
      </c>
      <c r="C62" s="88">
        <v>36.89887972975162</v>
      </c>
      <c r="D62" s="54">
        <v>0.72202551800123416</v>
      </c>
      <c r="E62" s="52">
        <v>1.9420589476337278</v>
      </c>
      <c r="F62" s="90">
        <v>0.72194971808145958</v>
      </c>
      <c r="G62" s="89">
        <v>0.99395843005562945</v>
      </c>
      <c r="H62" s="88">
        <v>52.344872800817249</v>
      </c>
      <c r="I62" s="41">
        <v>0.36405728342161775</v>
      </c>
      <c r="J62" s="88">
        <v>3012.4620202334149</v>
      </c>
      <c r="K62" s="41"/>
      <c r="L62" s="54">
        <v>0.22713809796326409</v>
      </c>
      <c r="M62" s="55">
        <v>5.1916184520149851E-2</v>
      </c>
      <c r="N62" s="54">
        <v>0.44289081155019411</v>
      </c>
      <c r="O62" s="55">
        <v>0.33578859009849465</v>
      </c>
      <c r="P62" s="54">
        <v>0.61401695245824706</v>
      </c>
      <c r="Q62" s="55">
        <v>4.6909617627307207E-2</v>
      </c>
      <c r="R62" s="54">
        <v>0.2718171891681081</v>
      </c>
      <c r="S62" s="54">
        <v>0.7631772874659547</v>
      </c>
      <c r="T62" s="46"/>
      <c r="U62" s="41">
        <v>281.03888034820557</v>
      </c>
      <c r="V62" s="41">
        <v>10.133904171365474</v>
      </c>
      <c r="W62" s="41">
        <v>293.97555125023536</v>
      </c>
      <c r="X62" s="41">
        <v>1.5672507198586723</v>
      </c>
      <c r="Y62" s="41">
        <v>295.60652855841977</v>
      </c>
      <c r="Z62" s="41">
        <v>0.78514130597893383</v>
      </c>
      <c r="AA62" s="184"/>
      <c r="AB62" s="91"/>
      <c r="AC62" s="91"/>
    </row>
    <row r="63" spans="1:256" s="45" customFormat="1" ht="12" customHeight="1">
      <c r="B63" s="54"/>
      <c r="C63" s="88"/>
      <c r="D63" s="54"/>
      <c r="E63" s="52"/>
      <c r="F63" s="90"/>
      <c r="G63" s="89"/>
      <c r="H63" s="88"/>
      <c r="I63" s="41"/>
      <c r="J63" s="88"/>
      <c r="K63" s="41"/>
      <c r="L63" s="54"/>
      <c r="M63" s="55"/>
      <c r="N63" s="54"/>
      <c r="O63" s="55"/>
      <c r="P63" s="54"/>
      <c r="Q63" s="54"/>
      <c r="R63" s="54"/>
      <c r="S63" s="54"/>
      <c r="T63" s="46"/>
      <c r="U63" s="41"/>
      <c r="V63" s="41"/>
      <c r="W63" s="41"/>
      <c r="X63" s="41"/>
      <c r="Y63" s="41"/>
      <c r="Z63" s="41"/>
      <c r="AA63" s="187"/>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52"/>
      <c r="DZ63" s="52"/>
      <c r="EA63" s="52"/>
      <c r="EB63" s="52"/>
      <c r="EC63" s="52"/>
      <c r="ED63" s="52"/>
      <c r="EE63" s="52"/>
      <c r="EF63" s="52"/>
      <c r="EG63" s="52"/>
      <c r="EH63" s="52"/>
      <c r="EI63" s="52"/>
      <c r="EJ63" s="52"/>
      <c r="EK63" s="52"/>
      <c r="EL63" s="52"/>
      <c r="EM63" s="52"/>
      <c r="EN63" s="52"/>
      <c r="EO63" s="52"/>
      <c r="EP63" s="52"/>
      <c r="EQ63" s="52"/>
      <c r="ER63" s="52"/>
      <c r="ES63" s="52"/>
      <c r="ET63" s="52"/>
      <c r="EU63" s="52"/>
      <c r="EV63" s="52"/>
      <c r="EW63" s="52"/>
      <c r="EX63" s="52"/>
      <c r="EY63" s="52"/>
      <c r="EZ63" s="52"/>
      <c r="FA63" s="52"/>
      <c r="FB63" s="52"/>
      <c r="FC63" s="52"/>
      <c r="FD63" s="52"/>
      <c r="FE63" s="52"/>
      <c r="FF63" s="52"/>
      <c r="FG63" s="52"/>
      <c r="FH63" s="52"/>
      <c r="FI63" s="52"/>
      <c r="FJ63" s="52"/>
      <c r="FK63" s="52"/>
      <c r="FL63" s="52"/>
      <c r="FM63" s="52"/>
      <c r="FN63" s="52"/>
      <c r="FO63" s="52"/>
      <c r="FP63" s="52"/>
      <c r="FQ63" s="52"/>
      <c r="FR63" s="52"/>
      <c r="FS63" s="52"/>
      <c r="FT63" s="52"/>
      <c r="FU63" s="52"/>
      <c r="FV63" s="52"/>
      <c r="FW63" s="52"/>
      <c r="FX63" s="52"/>
      <c r="FY63" s="52"/>
      <c r="FZ63" s="52"/>
      <c r="GA63" s="52"/>
      <c r="GB63" s="52"/>
      <c r="GC63" s="52"/>
      <c r="GD63" s="52"/>
      <c r="GE63" s="52"/>
      <c r="GF63" s="52"/>
      <c r="GG63" s="52"/>
      <c r="GH63" s="52"/>
      <c r="GI63" s="52"/>
      <c r="GJ63" s="52"/>
      <c r="GK63" s="52"/>
      <c r="GL63" s="52"/>
      <c r="GM63" s="52"/>
      <c r="GN63" s="52"/>
      <c r="GO63" s="52"/>
      <c r="GP63" s="52"/>
      <c r="GQ63" s="52"/>
      <c r="GR63" s="52"/>
      <c r="GS63" s="52"/>
      <c r="GT63" s="52"/>
      <c r="GU63" s="52"/>
      <c r="GV63" s="52"/>
      <c r="GW63" s="52"/>
      <c r="GX63" s="52"/>
      <c r="GY63" s="52"/>
      <c r="GZ63" s="52"/>
      <c r="HA63" s="52"/>
      <c r="HB63" s="52"/>
      <c r="HC63" s="52"/>
      <c r="HD63" s="52"/>
      <c r="HE63" s="52"/>
      <c r="HF63" s="52"/>
      <c r="HG63" s="52"/>
      <c r="HH63" s="52"/>
      <c r="HI63" s="52"/>
      <c r="HJ63" s="52"/>
      <c r="HK63" s="52"/>
      <c r="HL63" s="52"/>
      <c r="HM63" s="52"/>
      <c r="HN63" s="52"/>
      <c r="HO63" s="52"/>
      <c r="HP63" s="52"/>
      <c r="HQ63" s="52"/>
      <c r="HR63" s="52"/>
      <c r="HS63" s="52"/>
      <c r="HT63" s="52"/>
      <c r="HU63" s="52"/>
      <c r="HV63" s="52"/>
      <c r="HW63" s="52"/>
      <c r="HX63" s="52"/>
      <c r="HY63" s="52"/>
      <c r="HZ63" s="52"/>
      <c r="IA63" s="52"/>
      <c r="IB63" s="52"/>
      <c r="IC63" s="52"/>
      <c r="ID63" s="52"/>
      <c r="IE63" s="52"/>
      <c r="IF63" s="52"/>
      <c r="IG63" s="52"/>
      <c r="IH63" s="52"/>
      <c r="II63" s="52"/>
      <c r="IJ63" s="52"/>
      <c r="IK63" s="52"/>
      <c r="IL63" s="52"/>
      <c r="IM63" s="52"/>
      <c r="IN63" s="52"/>
      <c r="IO63" s="52"/>
      <c r="IP63" s="52"/>
      <c r="IQ63" s="52"/>
      <c r="IR63" s="52"/>
      <c r="IS63" s="52"/>
      <c r="IT63" s="52"/>
      <c r="IU63" s="52"/>
      <c r="IV63" s="52"/>
    </row>
    <row r="64" spans="1:256" s="45" customFormat="1" ht="3.75" customHeight="1">
      <c r="D64" s="41"/>
      <c r="E64" s="41"/>
      <c r="F64" s="41"/>
      <c r="G64" s="41"/>
      <c r="H64" s="46"/>
      <c r="I64" s="41"/>
      <c r="J64" s="88"/>
      <c r="K64" s="41"/>
      <c r="L64" s="54"/>
      <c r="M64" s="55"/>
      <c r="N64" s="54"/>
      <c r="O64" s="55"/>
      <c r="P64" s="54"/>
      <c r="Q64" s="55"/>
      <c r="R64" s="54"/>
      <c r="S64" s="54"/>
      <c r="T64" s="46"/>
      <c r="U64" s="52"/>
      <c r="V64" s="52"/>
      <c r="W64" s="46"/>
      <c r="X64" s="46"/>
      <c r="Y64" s="41"/>
      <c r="Z64" s="41"/>
      <c r="AA64" s="187"/>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c r="GX64" s="52"/>
      <c r="GY64" s="52"/>
      <c r="GZ64" s="52"/>
      <c r="HA64" s="52"/>
      <c r="HB64" s="52"/>
      <c r="HC64" s="52"/>
      <c r="HD64" s="52"/>
      <c r="HE64" s="52"/>
      <c r="HF64" s="52"/>
      <c r="HG64" s="52"/>
      <c r="HH64" s="52"/>
      <c r="HI64" s="52"/>
      <c r="HJ64" s="52"/>
      <c r="HK64" s="52"/>
      <c r="HL64" s="52"/>
      <c r="HM64" s="52"/>
      <c r="HN64" s="52"/>
      <c r="HO64" s="52"/>
      <c r="HP64" s="52"/>
      <c r="HQ64" s="52"/>
      <c r="HR64" s="52"/>
      <c r="HS64" s="52"/>
      <c r="HT64" s="52"/>
      <c r="HU64" s="52"/>
      <c r="HV64" s="52"/>
      <c r="HW64" s="52"/>
      <c r="HX64" s="52"/>
      <c r="HY64" s="52"/>
      <c r="HZ64" s="52"/>
      <c r="IA64" s="52"/>
      <c r="IB64" s="52"/>
      <c r="IC64" s="52"/>
      <c r="ID64" s="52"/>
      <c r="IE64" s="52"/>
      <c r="IF64" s="52"/>
      <c r="IG64" s="52"/>
      <c r="IH64" s="52"/>
      <c r="II64" s="52"/>
      <c r="IJ64" s="52"/>
      <c r="IK64" s="52"/>
      <c r="IL64" s="52"/>
      <c r="IM64" s="52"/>
      <c r="IN64" s="52"/>
      <c r="IO64" s="52"/>
      <c r="IP64" s="52"/>
      <c r="IQ64" s="52"/>
      <c r="IR64" s="52"/>
      <c r="IS64" s="52"/>
      <c r="IT64" s="52"/>
      <c r="IU64" s="52"/>
      <c r="IV64" s="52"/>
    </row>
    <row r="65" spans="1:256" s="45" customFormat="1" ht="3.75" customHeight="1">
      <c r="A65" s="87"/>
      <c r="B65" s="87"/>
      <c r="C65" s="87"/>
      <c r="D65" s="82"/>
      <c r="E65" s="82"/>
      <c r="F65" s="82"/>
      <c r="G65" s="82"/>
      <c r="H65" s="86"/>
      <c r="I65" s="80"/>
      <c r="J65" s="86"/>
      <c r="K65" s="80"/>
      <c r="L65" s="83"/>
      <c r="M65" s="85"/>
      <c r="N65" s="83"/>
      <c r="O65" s="84"/>
      <c r="P65" s="83"/>
      <c r="Q65" s="84"/>
      <c r="R65" s="83"/>
      <c r="S65" s="83"/>
      <c r="T65" s="82"/>
      <c r="U65" s="81"/>
      <c r="V65" s="81"/>
      <c r="W65" s="80"/>
      <c r="X65" s="80"/>
      <c r="Y65" s="80"/>
      <c r="Z65" s="80"/>
      <c r="AA65" s="187"/>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c r="GZ65" s="52"/>
      <c r="HA65" s="52"/>
      <c r="HB65" s="52"/>
      <c r="HC65" s="52"/>
      <c r="HD65" s="52"/>
      <c r="HE65" s="52"/>
      <c r="HF65" s="52"/>
      <c r="HG65" s="52"/>
      <c r="HH65" s="52"/>
      <c r="HI65" s="52"/>
      <c r="HJ65" s="52"/>
      <c r="HK65" s="52"/>
      <c r="HL65" s="52"/>
      <c r="HM65" s="52"/>
      <c r="HN65" s="52"/>
      <c r="HO65" s="52"/>
      <c r="HP65" s="52"/>
      <c r="HQ65" s="52"/>
      <c r="HR65" s="52"/>
      <c r="HS65" s="52"/>
      <c r="HT65" s="52"/>
      <c r="HU65" s="52"/>
      <c r="HV65" s="52"/>
      <c r="HW65" s="52"/>
      <c r="HX65" s="52"/>
      <c r="HY65" s="52"/>
      <c r="HZ65" s="52"/>
      <c r="IA65" s="52"/>
      <c r="IB65" s="52"/>
      <c r="IC65" s="52"/>
      <c r="ID65" s="52"/>
      <c r="IE65" s="52"/>
      <c r="IF65" s="52"/>
      <c r="IG65" s="52"/>
      <c r="IH65" s="52"/>
      <c r="II65" s="52"/>
      <c r="IJ65" s="52"/>
      <c r="IK65" s="52"/>
      <c r="IL65" s="52"/>
      <c r="IM65" s="52"/>
      <c r="IN65" s="52"/>
      <c r="IO65" s="52"/>
      <c r="IP65" s="52"/>
      <c r="IQ65" s="52"/>
      <c r="IR65" s="52"/>
      <c r="IS65" s="52"/>
      <c r="IT65" s="52"/>
      <c r="IU65" s="52"/>
      <c r="IV65" s="52"/>
    </row>
    <row r="66" spans="1:256" s="43" customFormat="1" ht="13">
      <c r="A66" s="79" t="s">
        <v>265</v>
      </c>
      <c r="B66" s="79"/>
      <c r="C66" s="79"/>
      <c r="D66" s="78"/>
      <c r="E66" s="78"/>
      <c r="F66" s="78"/>
      <c r="G66" s="78"/>
      <c r="H66" s="50"/>
      <c r="I66" s="51"/>
      <c r="J66" s="58"/>
      <c r="K66" s="51"/>
      <c r="L66" s="77"/>
      <c r="M66" s="63"/>
      <c r="N66" s="57"/>
      <c r="O66" s="62"/>
      <c r="P66" s="57"/>
      <c r="Q66" s="62"/>
      <c r="R66" s="54"/>
      <c r="S66" s="57"/>
      <c r="T66" s="76"/>
      <c r="U66" s="50"/>
      <c r="V66" s="50"/>
      <c r="W66" s="51"/>
      <c r="X66" s="51"/>
      <c r="Y66" s="51"/>
      <c r="Z66" s="51"/>
      <c r="AA66" s="187"/>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c r="GO66" s="75"/>
      <c r="GP66" s="75"/>
      <c r="GQ66" s="75"/>
      <c r="GR66" s="75"/>
      <c r="GS66" s="75"/>
      <c r="GT66" s="75"/>
      <c r="GU66" s="75"/>
      <c r="GV66" s="75"/>
      <c r="GW66" s="75"/>
      <c r="GX66" s="75"/>
      <c r="GY66" s="75"/>
      <c r="GZ66" s="75"/>
      <c r="HA66" s="75"/>
      <c r="HB66" s="75"/>
      <c r="HC66" s="75"/>
      <c r="HD66" s="75"/>
      <c r="HE66" s="75"/>
      <c r="HF66" s="75"/>
      <c r="HG66" s="75"/>
      <c r="HH66" s="75"/>
      <c r="HI66" s="75"/>
      <c r="HJ66" s="75"/>
      <c r="HK66" s="75"/>
      <c r="HL66" s="75"/>
      <c r="HM66" s="75"/>
      <c r="HN66" s="75"/>
      <c r="HO66" s="75"/>
      <c r="HP66" s="75"/>
      <c r="HQ66" s="75"/>
      <c r="HR66" s="75"/>
      <c r="HS66" s="75"/>
      <c r="HT66" s="75"/>
      <c r="HU66" s="75"/>
      <c r="HV66" s="75"/>
      <c r="HW66" s="75"/>
      <c r="HX66" s="75"/>
      <c r="HY66" s="75"/>
      <c r="HZ66" s="75"/>
      <c r="IA66" s="75"/>
      <c r="IB66" s="75"/>
      <c r="IC66" s="75"/>
      <c r="ID66" s="75"/>
      <c r="IE66" s="75"/>
      <c r="IF66" s="75"/>
      <c r="IG66" s="75"/>
      <c r="IH66" s="75"/>
      <c r="II66" s="75"/>
      <c r="IJ66" s="75"/>
      <c r="IK66" s="75"/>
      <c r="IL66" s="75"/>
      <c r="IM66" s="75"/>
      <c r="IN66" s="75"/>
      <c r="IO66" s="75"/>
      <c r="IP66" s="75"/>
      <c r="IQ66" s="75"/>
      <c r="IR66" s="75"/>
      <c r="IS66" s="75"/>
      <c r="IT66" s="75"/>
      <c r="IU66" s="75"/>
      <c r="IV66" s="75"/>
    </row>
    <row r="67" spans="1:256" s="43" customFormat="1" ht="13">
      <c r="A67" s="79" t="s">
        <v>264</v>
      </c>
      <c r="B67" s="79"/>
      <c r="C67" s="79"/>
      <c r="D67" s="78"/>
      <c r="E67" s="78"/>
      <c r="F67" s="78"/>
      <c r="G67" s="78"/>
      <c r="H67" s="50"/>
      <c r="I67" s="51"/>
      <c r="J67" s="58"/>
      <c r="K67" s="51"/>
      <c r="L67" s="77"/>
      <c r="M67" s="63"/>
      <c r="N67" s="57"/>
      <c r="O67" s="62"/>
      <c r="P67" s="57"/>
      <c r="Q67" s="62"/>
      <c r="R67" s="54"/>
      <c r="S67" s="57"/>
      <c r="T67" s="76"/>
      <c r="U67" s="50"/>
      <c r="V67" s="50"/>
      <c r="W67" s="51"/>
      <c r="X67" s="51"/>
      <c r="Y67" s="51"/>
      <c r="Z67" s="51"/>
      <c r="AA67" s="187"/>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c r="GO67" s="75"/>
      <c r="GP67" s="75"/>
      <c r="GQ67" s="75"/>
      <c r="GR67" s="75"/>
      <c r="GS67" s="75"/>
      <c r="GT67" s="75"/>
      <c r="GU67" s="75"/>
      <c r="GV67" s="75"/>
      <c r="GW67" s="75"/>
      <c r="GX67" s="75"/>
      <c r="GY67" s="75"/>
      <c r="GZ67" s="75"/>
      <c r="HA67" s="75"/>
      <c r="HB67" s="75"/>
      <c r="HC67" s="75"/>
      <c r="HD67" s="75"/>
      <c r="HE67" s="75"/>
      <c r="HF67" s="75"/>
      <c r="HG67" s="75"/>
      <c r="HH67" s="75"/>
      <c r="HI67" s="75"/>
      <c r="HJ67" s="75"/>
      <c r="HK67" s="75"/>
      <c r="HL67" s="75"/>
      <c r="HM67" s="75"/>
      <c r="HN67" s="75"/>
      <c r="HO67" s="75"/>
      <c r="HP67" s="75"/>
      <c r="HQ67" s="75"/>
      <c r="HR67" s="75"/>
      <c r="HS67" s="75"/>
      <c r="HT67" s="75"/>
      <c r="HU67" s="75"/>
      <c r="HV67" s="75"/>
      <c r="HW67" s="75"/>
      <c r="HX67" s="75"/>
      <c r="HY67" s="75"/>
      <c r="HZ67" s="75"/>
      <c r="IA67" s="75"/>
      <c r="IB67" s="75"/>
      <c r="IC67" s="75"/>
      <c r="ID67" s="75"/>
      <c r="IE67" s="75"/>
      <c r="IF67" s="75"/>
      <c r="IG67" s="75"/>
      <c r="IH67" s="75"/>
      <c r="II67" s="75"/>
      <c r="IJ67" s="75"/>
      <c r="IK67" s="75"/>
      <c r="IL67" s="75"/>
      <c r="IM67" s="75"/>
      <c r="IN67" s="75"/>
      <c r="IO67" s="75"/>
      <c r="IP67" s="75"/>
      <c r="IQ67" s="75"/>
      <c r="IR67" s="75"/>
      <c r="IS67" s="75"/>
      <c r="IT67" s="75"/>
      <c r="IU67" s="75"/>
      <c r="IV67" s="75"/>
    </row>
    <row r="68" spans="1:256" s="43" customFormat="1" ht="13">
      <c r="A68" s="74" t="s">
        <v>263</v>
      </c>
      <c r="B68" s="74"/>
      <c r="C68" s="74"/>
      <c r="D68" s="58"/>
      <c r="E68" s="58"/>
      <c r="F68" s="58"/>
      <c r="G68" s="58"/>
      <c r="H68" s="50"/>
      <c r="I68" s="51"/>
      <c r="J68" s="58"/>
      <c r="K68" s="51"/>
      <c r="L68" s="57"/>
      <c r="M68" s="63"/>
      <c r="N68" s="57"/>
      <c r="O68" s="62"/>
      <c r="P68" s="57"/>
      <c r="Q68" s="62"/>
      <c r="R68" s="54"/>
      <c r="S68" s="57"/>
      <c r="T68" s="53"/>
      <c r="U68" s="50"/>
      <c r="V68" s="50"/>
      <c r="W68" s="51"/>
      <c r="X68" s="51"/>
      <c r="Y68" s="51"/>
      <c r="Z68" s="51"/>
      <c r="AA68" s="18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47"/>
      <c r="HX68" s="47"/>
      <c r="HY68" s="47"/>
      <c r="HZ68" s="47"/>
      <c r="IA68" s="47"/>
      <c r="IB68" s="47"/>
      <c r="IC68" s="47"/>
      <c r="ID68" s="47"/>
      <c r="IE68" s="47"/>
      <c r="IF68" s="47"/>
      <c r="IG68" s="47"/>
      <c r="IH68" s="47"/>
      <c r="II68" s="47"/>
      <c r="IJ68" s="47"/>
      <c r="IK68" s="47"/>
      <c r="IL68" s="47"/>
      <c r="IM68" s="47"/>
      <c r="IN68" s="47"/>
      <c r="IO68" s="47"/>
      <c r="IP68" s="47"/>
      <c r="IQ68" s="47"/>
      <c r="IR68" s="47"/>
      <c r="IS68" s="47"/>
      <c r="IT68" s="47"/>
      <c r="IU68" s="47"/>
      <c r="IV68" s="47"/>
    </row>
    <row r="69" spans="1:256" s="43" customFormat="1" ht="13">
      <c r="A69" s="74" t="s">
        <v>262</v>
      </c>
      <c r="B69" s="74"/>
      <c r="D69" s="58"/>
      <c r="E69" s="58"/>
      <c r="F69" s="58"/>
      <c r="G69" s="58"/>
      <c r="H69" s="50"/>
      <c r="I69" s="51"/>
      <c r="J69" s="58"/>
      <c r="K69" s="51"/>
      <c r="L69" s="57"/>
      <c r="M69" s="63"/>
      <c r="N69" s="57"/>
      <c r="O69" s="62"/>
      <c r="P69" s="57"/>
      <c r="Q69" s="62"/>
      <c r="R69" s="54"/>
      <c r="S69" s="57"/>
      <c r="T69" s="53"/>
      <c r="U69" s="50"/>
      <c r="V69" s="50"/>
      <c r="W69" s="51"/>
      <c r="X69" s="51"/>
      <c r="Y69" s="51"/>
      <c r="Z69" s="51"/>
      <c r="AA69" s="187"/>
      <c r="AC69" s="47"/>
      <c r="AD69" s="47"/>
      <c r="AE69" s="41"/>
      <c r="AF69" s="41"/>
      <c r="AG69" s="52"/>
      <c r="AH69" s="47"/>
      <c r="AI69" s="47"/>
      <c r="AJ69" s="47"/>
      <c r="AK69" s="47"/>
      <c r="AL69" s="47"/>
      <c r="AM69" s="47"/>
      <c r="AN69" s="47"/>
      <c r="AO69" s="47"/>
    </row>
    <row r="70" spans="1:256" s="43" customFormat="1" ht="13">
      <c r="A70" s="43" t="s">
        <v>261</v>
      </c>
      <c r="D70" s="58"/>
      <c r="E70" s="58"/>
      <c r="F70" s="58"/>
      <c r="G70" s="58"/>
      <c r="H70" s="50"/>
      <c r="I70" s="51"/>
      <c r="J70" s="58"/>
      <c r="K70" s="51"/>
      <c r="L70" s="57"/>
      <c r="M70" s="63"/>
      <c r="N70" s="57"/>
      <c r="O70" s="62"/>
      <c r="P70" s="57"/>
      <c r="Q70" s="62"/>
      <c r="R70" s="54"/>
      <c r="S70" s="57"/>
      <c r="T70" s="53"/>
      <c r="U70" s="50"/>
      <c r="V70" s="50"/>
      <c r="W70" s="51"/>
      <c r="X70" s="51"/>
      <c r="Y70" s="51"/>
      <c r="Z70" s="51"/>
      <c r="AA70" s="187"/>
      <c r="AC70" s="47"/>
      <c r="AD70" s="47"/>
      <c r="AE70" s="41"/>
      <c r="AF70" s="41"/>
      <c r="AG70" s="52"/>
      <c r="AH70" s="47"/>
      <c r="AI70" s="47"/>
      <c r="AJ70" s="47"/>
      <c r="AK70" s="47"/>
      <c r="AL70" s="47"/>
      <c r="AM70" s="47"/>
      <c r="AN70" s="47"/>
      <c r="AO70" s="47"/>
    </row>
    <row r="71" spans="1:256" s="43" customFormat="1" ht="13">
      <c r="A71" s="43" t="s">
        <v>260</v>
      </c>
      <c r="D71" s="58"/>
      <c r="E71" s="58"/>
      <c r="F71" s="58"/>
      <c r="G71" s="58"/>
      <c r="H71" s="50"/>
      <c r="I71" s="51"/>
      <c r="J71" s="58"/>
      <c r="K71" s="51"/>
      <c r="L71" s="57"/>
      <c r="M71" s="63"/>
      <c r="N71" s="57"/>
      <c r="O71" s="62"/>
      <c r="P71" s="57"/>
      <c r="Q71" s="62"/>
      <c r="R71" s="54"/>
      <c r="S71" s="57"/>
      <c r="T71" s="53"/>
      <c r="U71" s="50"/>
      <c r="V71" s="50"/>
      <c r="W71" s="51"/>
      <c r="X71" s="51"/>
      <c r="Y71" s="51"/>
      <c r="Z71" s="51"/>
      <c r="AA71" s="187"/>
      <c r="AC71" s="47"/>
      <c r="AD71" s="47"/>
      <c r="AE71" s="41"/>
      <c r="AF71" s="41"/>
      <c r="AG71" s="52"/>
      <c r="AH71" s="47"/>
      <c r="AI71" s="47"/>
      <c r="AJ71" s="47"/>
      <c r="AK71" s="47"/>
      <c r="AL71" s="47"/>
      <c r="AM71" s="47"/>
      <c r="AN71" s="47"/>
      <c r="AO71" s="47"/>
    </row>
    <row r="72" spans="1:256" s="43" customFormat="1" ht="13">
      <c r="A72" s="43" t="s">
        <v>259</v>
      </c>
      <c r="D72" s="58"/>
      <c r="E72" s="58"/>
      <c r="F72" s="58"/>
      <c r="G72" s="58"/>
      <c r="H72" s="50"/>
      <c r="I72" s="51"/>
      <c r="J72" s="58"/>
      <c r="K72" s="51"/>
      <c r="L72" s="57"/>
      <c r="M72" s="63"/>
      <c r="N72" s="57"/>
      <c r="O72" s="62"/>
      <c r="P72" s="57"/>
      <c r="Q72" s="62"/>
      <c r="R72" s="54"/>
      <c r="S72" s="57"/>
      <c r="T72" s="53"/>
      <c r="U72" s="50"/>
      <c r="V72" s="50"/>
      <c r="W72" s="51"/>
      <c r="X72" s="51"/>
      <c r="Y72" s="51"/>
      <c r="Z72" s="51"/>
      <c r="AA72" s="187"/>
      <c r="AC72" s="47"/>
      <c r="AD72" s="47"/>
      <c r="AE72" s="41"/>
      <c r="AF72" s="41"/>
      <c r="AG72" s="52"/>
      <c r="AH72" s="47"/>
      <c r="AI72" s="47"/>
      <c r="AJ72" s="47"/>
      <c r="AK72" s="47"/>
      <c r="AL72" s="47"/>
      <c r="AM72" s="47"/>
      <c r="AN72" s="47"/>
      <c r="AO72" s="47"/>
    </row>
    <row r="73" spans="1:256" s="64" customFormat="1" ht="13">
      <c r="A73" s="43" t="s">
        <v>258</v>
      </c>
      <c r="D73" s="73"/>
      <c r="E73" s="73"/>
      <c r="F73" s="73"/>
      <c r="G73" s="73"/>
      <c r="H73" s="66"/>
      <c r="I73" s="67"/>
      <c r="J73" s="73"/>
      <c r="K73" s="67"/>
      <c r="L73" s="69"/>
      <c r="M73" s="72"/>
      <c r="N73" s="69"/>
      <c r="O73" s="71"/>
      <c r="P73" s="69"/>
      <c r="Q73" s="71"/>
      <c r="R73" s="70"/>
      <c r="S73" s="69"/>
      <c r="T73" s="68"/>
      <c r="U73" s="66"/>
      <c r="V73" s="66"/>
      <c r="W73" s="67"/>
      <c r="X73" s="67"/>
      <c r="Y73" s="67"/>
      <c r="Z73" s="67"/>
      <c r="AA73" s="188"/>
      <c r="AC73" s="60"/>
      <c r="AD73" s="60"/>
      <c r="AE73" s="65"/>
      <c r="AF73" s="65"/>
      <c r="AG73" s="61"/>
      <c r="AH73" s="60"/>
      <c r="AI73" s="60"/>
      <c r="AJ73" s="60"/>
      <c r="AK73" s="60"/>
      <c r="AL73" s="60"/>
      <c r="AM73" s="60"/>
      <c r="AN73" s="60"/>
      <c r="AO73" s="60"/>
    </row>
    <row r="74" spans="1:256" s="64" customFormat="1" ht="13">
      <c r="A74" s="43" t="s">
        <v>257</v>
      </c>
      <c r="D74" s="73"/>
      <c r="E74" s="73"/>
      <c r="F74" s="73"/>
      <c r="G74" s="73"/>
      <c r="H74" s="66"/>
      <c r="I74" s="67"/>
      <c r="J74" s="73"/>
      <c r="K74" s="67"/>
      <c r="L74" s="69"/>
      <c r="M74" s="72"/>
      <c r="N74" s="69"/>
      <c r="O74" s="71"/>
      <c r="P74" s="69"/>
      <c r="Q74" s="71"/>
      <c r="R74" s="70"/>
      <c r="S74" s="69"/>
      <c r="T74" s="68"/>
      <c r="U74" s="66"/>
      <c r="V74" s="66"/>
      <c r="W74" s="67"/>
      <c r="X74" s="67"/>
      <c r="Y74" s="67"/>
      <c r="Z74" s="67"/>
      <c r="AA74" s="188"/>
      <c r="AC74" s="60"/>
      <c r="AD74" s="60"/>
      <c r="AE74" s="65"/>
      <c r="AF74" s="65"/>
      <c r="AG74" s="61"/>
      <c r="AH74" s="60"/>
      <c r="AI74" s="60"/>
      <c r="AJ74" s="60"/>
      <c r="AK74" s="60"/>
      <c r="AL74" s="60"/>
      <c r="AM74" s="60"/>
      <c r="AN74" s="60"/>
      <c r="AO74" s="60"/>
      <c r="AQ74" s="60"/>
    </row>
    <row r="75" spans="1:256" s="43" customFormat="1" ht="13">
      <c r="A75" s="43" t="s">
        <v>256</v>
      </c>
      <c r="D75" s="58"/>
      <c r="E75" s="58"/>
      <c r="F75" s="58"/>
      <c r="G75" s="58"/>
      <c r="H75" s="50"/>
      <c r="I75" s="51"/>
      <c r="J75" s="58"/>
      <c r="K75" s="51"/>
      <c r="L75" s="57"/>
      <c r="M75" s="63"/>
      <c r="N75" s="57"/>
      <c r="O75" s="62"/>
      <c r="P75" s="57"/>
      <c r="Q75" s="62"/>
      <c r="R75" s="54"/>
      <c r="S75" s="57"/>
      <c r="T75" s="53"/>
      <c r="U75" s="50"/>
      <c r="V75" s="50"/>
      <c r="W75" s="51"/>
      <c r="X75" s="51"/>
      <c r="Y75" s="51"/>
      <c r="Z75" s="51"/>
      <c r="AA75" s="187"/>
      <c r="AC75" s="47"/>
      <c r="AD75" s="47"/>
      <c r="AE75" s="41"/>
      <c r="AF75" s="41"/>
      <c r="AG75" s="61"/>
      <c r="AH75" s="60"/>
      <c r="AI75" s="60"/>
      <c r="AJ75" s="47"/>
      <c r="AK75" s="47"/>
      <c r="AL75" s="47"/>
      <c r="AQ75" s="44"/>
    </row>
    <row r="76" spans="1:256" s="43" customFormat="1" ht="13">
      <c r="A76" s="43" t="s">
        <v>255</v>
      </c>
      <c r="D76" s="58"/>
      <c r="E76" s="58"/>
      <c r="F76" s="58"/>
      <c r="G76" s="58"/>
      <c r="H76" s="50"/>
      <c r="I76" s="51"/>
      <c r="J76" s="58"/>
      <c r="K76" s="51"/>
      <c r="L76" s="57"/>
      <c r="M76" s="56"/>
      <c r="N76" s="54"/>
      <c r="O76" s="55"/>
      <c r="P76" s="54"/>
      <c r="Q76" s="55"/>
      <c r="R76" s="54"/>
      <c r="S76" s="54"/>
      <c r="T76" s="53"/>
      <c r="U76" s="52"/>
      <c r="V76" s="52"/>
      <c r="W76" s="41"/>
      <c r="X76" s="41"/>
      <c r="Y76" s="51"/>
      <c r="Z76" s="41"/>
      <c r="AA76" s="187"/>
      <c r="AC76" s="47"/>
      <c r="AD76" s="47"/>
      <c r="AE76" s="41"/>
      <c r="AF76" s="41"/>
      <c r="AG76" s="49"/>
      <c r="AH76" s="59"/>
      <c r="AI76" s="59"/>
      <c r="AJ76" s="47"/>
      <c r="AK76" s="47"/>
      <c r="AL76" s="47"/>
      <c r="AQ76" s="44"/>
    </row>
    <row r="77" spans="1:256" s="43" customFormat="1" ht="13">
      <c r="A77" s="43" t="s">
        <v>254</v>
      </c>
      <c r="D77" s="58"/>
      <c r="E77" s="58"/>
      <c r="F77" s="58"/>
      <c r="G77" s="58"/>
      <c r="H77" s="50"/>
      <c r="I77" s="51"/>
      <c r="J77" s="58"/>
      <c r="K77" s="51"/>
      <c r="L77" s="57"/>
      <c r="M77" s="56"/>
      <c r="N77" s="54"/>
      <c r="O77" s="55"/>
      <c r="P77" s="54"/>
      <c r="Q77" s="55"/>
      <c r="R77" s="54"/>
      <c r="S77" s="54"/>
      <c r="T77" s="53"/>
      <c r="U77" s="52"/>
      <c r="V77" s="52"/>
      <c r="W77" s="41"/>
      <c r="X77" s="41"/>
      <c r="Y77" s="51"/>
      <c r="Z77" s="41"/>
      <c r="AA77" s="187"/>
      <c r="AC77" s="46"/>
      <c r="AD77" s="46"/>
      <c r="AE77" s="41"/>
      <c r="AF77" s="41"/>
      <c r="AG77" s="49"/>
      <c r="AH77" s="48"/>
      <c r="AI77" s="48"/>
      <c r="AJ77" s="46"/>
      <c r="AK77" s="47"/>
      <c r="AL77" s="46"/>
      <c r="AP77" s="45"/>
      <c r="AQ77" s="44"/>
    </row>
    <row r="85" spans="6:16">
      <c r="F85" s="42"/>
      <c r="G85" s="42"/>
      <c r="H85" s="42"/>
      <c r="I85" s="42"/>
      <c r="J85" s="42"/>
      <c r="K85" s="42"/>
      <c r="L85" s="42"/>
      <c r="M85" s="42"/>
      <c r="N85" s="42"/>
      <c r="O85" s="41"/>
      <c r="P85" s="41"/>
    </row>
    <row r="86" spans="6:16">
      <c r="F86" s="42"/>
      <c r="G86" s="42"/>
      <c r="H86" s="42"/>
      <c r="I86" s="42"/>
      <c r="J86" s="42"/>
      <c r="K86" s="42"/>
      <c r="L86" s="42"/>
      <c r="M86" s="42"/>
      <c r="N86" s="42"/>
      <c r="O86" s="41"/>
      <c r="P86" s="41"/>
    </row>
    <row r="87" spans="6:16">
      <c r="F87" s="40"/>
      <c r="G87" s="40"/>
      <c r="H87" s="40"/>
      <c r="I87" s="40"/>
      <c r="J87" s="40"/>
      <c r="K87" s="40"/>
      <c r="L87" s="40"/>
      <c r="M87" s="40"/>
      <c r="N87" s="40"/>
      <c r="O87" s="40"/>
      <c r="P87" s="40"/>
    </row>
  </sheetData>
  <mergeCells count="3">
    <mergeCell ref="C2:J2"/>
    <mergeCell ref="L2:S2"/>
    <mergeCell ref="U2:Z2"/>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tabSelected="1" topLeftCell="A2" zoomScaleNormal="100" workbookViewId="0">
      <selection activeCell="E2" sqref="E2"/>
    </sheetView>
  </sheetViews>
  <sheetFormatPr baseColWidth="10" defaultColWidth="8.83203125" defaultRowHeight="15"/>
  <cols>
    <col min="1" max="1" width="8.83203125" style="133"/>
    <col min="2" max="2" width="10" style="133" customWidth="1"/>
    <col min="3" max="4" width="8.83203125" style="133"/>
    <col min="5" max="5" width="12.5" style="133" customWidth="1"/>
    <col min="6" max="7" width="8.83203125" style="133"/>
    <col min="8" max="8" width="12" style="133" customWidth="1"/>
    <col min="9" max="14" width="8.83203125" style="133"/>
    <col min="15" max="16384" width="8.83203125" style="38"/>
  </cols>
  <sheetData>
    <row r="1" spans="1:17">
      <c r="B1" s="133" t="s">
        <v>346</v>
      </c>
      <c r="C1" s="133" t="s">
        <v>252</v>
      </c>
      <c r="D1" s="259"/>
      <c r="E1" s="133" t="s">
        <v>346</v>
      </c>
      <c r="F1" s="133" t="s">
        <v>252</v>
      </c>
      <c r="H1" s="259"/>
      <c r="I1" s="133" t="s">
        <v>346</v>
      </c>
      <c r="J1" s="133" t="s">
        <v>252</v>
      </c>
      <c r="L1" s="259"/>
      <c r="M1" s="133" t="s">
        <v>346</v>
      </c>
      <c r="N1" s="133" t="s">
        <v>252</v>
      </c>
    </row>
    <row r="2" spans="1:17" s="145" customFormat="1" ht="19.75" customHeight="1">
      <c r="B2" s="138" t="s">
        <v>345</v>
      </c>
      <c r="C2" s="138">
        <v>8.9600000000000009</v>
      </c>
      <c r="D2" s="260"/>
      <c r="E2" s="138" t="s">
        <v>644</v>
      </c>
      <c r="F2" s="138">
        <v>17.34</v>
      </c>
      <c r="G2" s="138"/>
      <c r="H2" s="260"/>
      <c r="I2" s="138" t="s">
        <v>344</v>
      </c>
      <c r="J2" s="138">
        <v>19.239999999999998</v>
      </c>
      <c r="K2" s="138"/>
      <c r="L2" s="260"/>
      <c r="M2" s="138" t="s">
        <v>343</v>
      </c>
      <c r="N2" s="138">
        <v>25.02</v>
      </c>
      <c r="Q2" s="145" t="s">
        <v>342</v>
      </c>
    </row>
    <row r="3" spans="1:17">
      <c r="B3" s="144">
        <v>184.11</v>
      </c>
      <c r="C3" s="144">
        <v>0.54</v>
      </c>
      <c r="D3" s="259"/>
      <c r="E3" s="133">
        <v>182.81</v>
      </c>
      <c r="F3" s="133">
        <v>1.03</v>
      </c>
      <c r="H3" s="259"/>
      <c r="I3" s="133">
        <v>182.73</v>
      </c>
      <c r="J3" s="133">
        <v>0.25</v>
      </c>
      <c r="L3" s="259"/>
      <c r="M3" s="133">
        <v>182.55</v>
      </c>
      <c r="N3" s="133">
        <v>0.62</v>
      </c>
      <c r="Q3" s="143" t="s">
        <v>341</v>
      </c>
    </row>
    <row r="4" spans="1:17">
      <c r="B4" s="142">
        <v>185.56716752309114</v>
      </c>
      <c r="C4" s="142">
        <v>0.67245655791478431</v>
      </c>
      <c r="D4" s="259"/>
      <c r="E4" s="133">
        <v>182.92</v>
      </c>
      <c r="F4" s="133">
        <v>0.32</v>
      </c>
      <c r="H4" s="259"/>
      <c r="I4" s="133">
        <v>182.75</v>
      </c>
      <c r="J4" s="133">
        <v>0.53</v>
      </c>
      <c r="L4" s="259"/>
      <c r="M4" s="133">
        <v>182.71</v>
      </c>
      <c r="N4" s="133">
        <v>0.37</v>
      </c>
    </row>
    <row r="5" spans="1:17">
      <c r="B5" s="142">
        <v>191.60411909652254</v>
      </c>
      <c r="C5" s="142">
        <v>0.46719219170977105</v>
      </c>
      <c r="D5" s="259"/>
      <c r="E5" s="133">
        <v>182.94</v>
      </c>
      <c r="F5" s="133">
        <v>0.22</v>
      </c>
      <c r="H5" s="259"/>
      <c r="I5" s="133">
        <v>182.77</v>
      </c>
      <c r="J5" s="133">
        <v>0.48</v>
      </c>
      <c r="L5" s="259"/>
      <c r="M5" s="133">
        <v>182.82</v>
      </c>
      <c r="N5" s="133">
        <v>0.14000000000000001</v>
      </c>
    </row>
    <row r="6" spans="1:17">
      <c r="B6" s="142">
        <v>295.60652855841977</v>
      </c>
      <c r="C6" s="142">
        <v>0.78514130597893383</v>
      </c>
      <c r="D6" s="259"/>
      <c r="E6" s="133">
        <v>183.02</v>
      </c>
      <c r="F6" s="133">
        <v>0.46</v>
      </c>
      <c r="H6" s="259"/>
      <c r="I6" s="133">
        <v>182.81</v>
      </c>
      <c r="J6" s="133">
        <v>0.21</v>
      </c>
      <c r="L6" s="259"/>
      <c r="M6" s="133">
        <v>182.85</v>
      </c>
      <c r="N6" s="133">
        <v>0.91</v>
      </c>
    </row>
    <row r="7" spans="1:17">
      <c r="D7" s="259"/>
      <c r="E7" s="133">
        <v>183.22</v>
      </c>
      <c r="F7" s="133">
        <v>0.3</v>
      </c>
      <c r="H7" s="259"/>
      <c r="I7" s="133">
        <v>182.83</v>
      </c>
      <c r="J7" s="133">
        <v>0.4</v>
      </c>
      <c r="L7" s="259"/>
      <c r="M7" s="133">
        <v>183.17</v>
      </c>
      <c r="N7" s="133">
        <v>0.73</v>
      </c>
    </row>
    <row r="8" spans="1:17">
      <c r="D8" s="259"/>
      <c r="E8" s="133">
        <v>183.29</v>
      </c>
      <c r="F8" s="133">
        <v>0.3</v>
      </c>
      <c r="H8" s="259"/>
      <c r="I8" s="133">
        <v>182.86</v>
      </c>
      <c r="J8" s="133">
        <v>0.57999999999999996</v>
      </c>
      <c r="L8" s="259"/>
      <c r="M8" s="133">
        <v>183.32</v>
      </c>
      <c r="N8" s="133">
        <v>1.17</v>
      </c>
    </row>
    <row r="9" spans="1:17">
      <c r="D9" s="259"/>
      <c r="E9" s="133">
        <v>183.3</v>
      </c>
      <c r="F9" s="133">
        <v>0.25</v>
      </c>
      <c r="H9" s="259"/>
      <c r="I9" s="133">
        <v>182.87</v>
      </c>
      <c r="J9" s="133">
        <v>0.17</v>
      </c>
      <c r="L9" s="259"/>
      <c r="M9" s="133">
        <v>183.46</v>
      </c>
      <c r="N9" s="133">
        <v>1.39</v>
      </c>
    </row>
    <row r="10" spans="1:17">
      <c r="D10" s="259"/>
      <c r="E10" s="141">
        <v>183.56</v>
      </c>
      <c r="F10" s="141">
        <v>0.16</v>
      </c>
      <c r="G10" s="141"/>
      <c r="H10" s="259"/>
      <c r="I10" s="133">
        <v>182.89</v>
      </c>
      <c r="J10" s="133">
        <v>0.24</v>
      </c>
      <c r="L10" s="259"/>
      <c r="M10" s="133">
        <v>183.78</v>
      </c>
      <c r="N10" s="133">
        <v>0.82</v>
      </c>
    </row>
    <row r="11" spans="1:17">
      <c r="D11" s="259"/>
      <c r="E11" s="141">
        <v>183.91</v>
      </c>
      <c r="F11" s="141">
        <v>0.41</v>
      </c>
      <c r="G11" s="141"/>
      <c r="H11" s="259"/>
      <c r="I11" s="133">
        <v>183.22</v>
      </c>
      <c r="J11" s="133">
        <v>0.62</v>
      </c>
      <c r="L11" s="259"/>
      <c r="M11" s="141">
        <v>183.91</v>
      </c>
      <c r="N11" s="141">
        <v>3.06</v>
      </c>
    </row>
    <row r="12" spans="1:17">
      <c r="D12" s="259"/>
      <c r="E12" s="141">
        <v>184.82</v>
      </c>
      <c r="F12" s="141">
        <v>0.25</v>
      </c>
      <c r="G12" s="141"/>
      <c r="H12" s="259"/>
      <c r="I12" s="141">
        <v>183.72</v>
      </c>
      <c r="J12" s="141">
        <v>0.2</v>
      </c>
      <c r="K12" s="141"/>
      <c r="L12" s="259"/>
      <c r="M12" s="141">
        <v>184.03</v>
      </c>
      <c r="N12" s="141">
        <v>0.96</v>
      </c>
    </row>
    <row r="13" spans="1:17">
      <c r="D13" s="259"/>
      <c r="E13" s="141">
        <v>182.81</v>
      </c>
      <c r="F13" s="141">
        <v>1.03</v>
      </c>
      <c r="G13" s="141"/>
      <c r="H13" s="259"/>
      <c r="I13" s="141">
        <v>183.75</v>
      </c>
      <c r="J13" s="141">
        <v>0.26</v>
      </c>
      <c r="K13" s="141"/>
      <c r="L13" s="259"/>
    </row>
    <row r="14" spans="1:17" s="139" customFormat="1" ht="16" thickBot="1">
      <c r="A14" s="140"/>
      <c r="B14" s="140"/>
      <c r="C14" s="140"/>
      <c r="D14" s="261"/>
      <c r="E14" s="140"/>
      <c r="F14" s="140"/>
      <c r="G14" s="140"/>
      <c r="H14" s="261"/>
      <c r="I14" s="140"/>
      <c r="J14" s="140"/>
      <c r="K14" s="140"/>
      <c r="L14" s="261"/>
      <c r="M14" s="140"/>
      <c r="N14" s="140"/>
    </row>
    <row r="15" spans="1:17">
      <c r="A15" s="135" t="s">
        <v>340</v>
      </c>
      <c r="B15" s="263" t="s">
        <v>695</v>
      </c>
      <c r="C15" s="263" t="s">
        <v>696</v>
      </c>
      <c r="D15" s="265" t="s">
        <v>697</v>
      </c>
      <c r="E15" s="135" t="s">
        <v>340</v>
      </c>
      <c r="F15" s="263" t="s">
        <v>695</v>
      </c>
      <c r="G15" s="263" t="s">
        <v>696</v>
      </c>
      <c r="H15" s="265" t="s">
        <v>697</v>
      </c>
      <c r="I15" s="135" t="s">
        <v>340</v>
      </c>
      <c r="J15" s="263" t="s">
        <v>695</v>
      </c>
      <c r="K15" s="263" t="s">
        <v>696</v>
      </c>
      <c r="L15" s="265" t="s">
        <v>697</v>
      </c>
      <c r="M15" s="135" t="s">
        <v>340</v>
      </c>
      <c r="N15" s="263" t="s">
        <v>695</v>
      </c>
      <c r="O15" s="263" t="s">
        <v>696</v>
      </c>
      <c r="P15" s="264" t="s">
        <v>697</v>
      </c>
    </row>
    <row r="16" spans="1:17">
      <c r="A16" s="258">
        <v>184.006962226409</v>
      </c>
      <c r="B16" s="258">
        <v>183.54499563458899</v>
      </c>
      <c r="C16" s="258">
        <v>184.27055372159001</v>
      </c>
      <c r="D16" s="262">
        <v>0.193870884833307</v>
      </c>
      <c r="E16" s="258">
        <v>182.983593241021</v>
      </c>
      <c r="F16" s="258">
        <v>182.69224822722501</v>
      </c>
      <c r="G16" s="258">
        <v>183.16409442344099</v>
      </c>
      <c r="H16" s="262">
        <v>0.12502519268353501</v>
      </c>
      <c r="I16" s="258">
        <v>182.79562457322299</v>
      </c>
      <c r="J16" s="258">
        <v>182.65331111924201</v>
      </c>
      <c r="K16" s="258">
        <v>182.89010758741</v>
      </c>
      <c r="L16" s="262">
        <v>6.0153756204333698E-2</v>
      </c>
      <c r="M16" s="258">
        <v>182.72229758040601</v>
      </c>
      <c r="N16" s="258">
        <v>182.35385386788599</v>
      </c>
      <c r="O16" s="258">
        <v>182.90123555728101</v>
      </c>
      <c r="P16" s="258">
        <v>0.14352449461258199</v>
      </c>
    </row>
    <row r="17" spans="2:12">
      <c r="D17" s="259"/>
      <c r="H17" s="259"/>
      <c r="L17" s="259"/>
    </row>
    <row r="20" spans="2:12">
      <c r="B20" s="38"/>
      <c r="C20" s="38"/>
      <c r="D20" s="38"/>
      <c r="E20" s="38"/>
      <c r="F20" s="38"/>
      <c r="G20" s="38"/>
      <c r="H20" s="38"/>
    </row>
    <row r="21" spans="2:12">
      <c r="B21" s="38"/>
      <c r="C21" s="38"/>
      <c r="D21" s="38"/>
      <c r="E21" s="38"/>
      <c r="F21" s="38"/>
      <c r="G21" s="38"/>
      <c r="H21" s="38"/>
    </row>
    <row r="22" spans="2:12">
      <c r="B22" s="38"/>
      <c r="C22" s="38"/>
      <c r="D22" s="38"/>
      <c r="E22" s="38"/>
      <c r="F22" s="38"/>
      <c r="G22" s="38"/>
      <c r="H22" s="38"/>
    </row>
    <row r="23" spans="2:12">
      <c r="B23" s="38"/>
      <c r="C23" s="38"/>
      <c r="D23" s="38"/>
      <c r="E23" s="38"/>
      <c r="F23" s="38"/>
      <c r="G23" s="38"/>
      <c r="H23" s="38"/>
    </row>
    <row r="25" spans="2:12">
      <c r="F25" s="135" t="s">
        <v>252</v>
      </c>
      <c r="G25" s="135" t="s">
        <v>340</v>
      </c>
      <c r="H25" s="135" t="s">
        <v>339</v>
      </c>
      <c r="I25" s="135" t="s">
        <v>338</v>
      </c>
    </row>
    <row r="26" spans="2:12">
      <c r="B26" s="39" t="s">
        <v>337</v>
      </c>
      <c r="F26" s="135">
        <v>11.08</v>
      </c>
      <c r="G26" s="137">
        <v>183.730742731188</v>
      </c>
      <c r="H26" s="136">
        <v>0.35483708188493701</v>
      </c>
      <c r="I26" s="136">
        <v>-0.50347541525763895</v>
      </c>
    </row>
    <row r="27" spans="2:12">
      <c r="B27" s="39" t="s">
        <v>336</v>
      </c>
      <c r="F27" s="135">
        <v>21.66</v>
      </c>
      <c r="G27" s="134">
        <v>182.77148346813399</v>
      </c>
      <c r="H27" s="134">
        <v>0.10954443666625401</v>
      </c>
      <c r="I27" s="134">
        <v>-0.14780761180409699</v>
      </c>
    </row>
    <row r="74" spans="1:2">
      <c r="B74" s="135" t="s">
        <v>674</v>
      </c>
    </row>
    <row r="75" spans="1:2" ht="16">
      <c r="A75" s="227" t="s">
        <v>672</v>
      </c>
    </row>
    <row r="76" spans="1:2">
      <c r="B76" s="228" t="s">
        <v>673</v>
      </c>
    </row>
  </sheetData>
  <hyperlinks>
    <hyperlink ref="B76" r:id="rId1" display="https://doi.org/10.17605/osf.io/TQX3F"/>
  </hyperlinks>
  <pageMargins left="0.7" right="0.7" top="0.75" bottom="0.75" header="0.3" footer="0.3"/>
  <pageSetup paperSize="9"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9"/>
  <sheetViews>
    <sheetView topLeftCell="A32" workbookViewId="0">
      <selection activeCell="I48" sqref="I48"/>
    </sheetView>
  </sheetViews>
  <sheetFormatPr baseColWidth="10" defaultRowHeight="13"/>
  <cols>
    <col min="1" max="1" width="25.33203125" style="146" customWidth="1"/>
    <col min="2" max="2" width="10.83203125" style="146"/>
    <col min="3" max="3" width="11.6640625" style="146" customWidth="1"/>
    <col min="4" max="4" width="24.5" style="146" customWidth="1"/>
    <col min="5" max="5" width="15.1640625" style="150" customWidth="1"/>
    <col min="6" max="6" width="15.1640625" style="151" customWidth="1"/>
    <col min="11" max="11" width="16.6640625" customWidth="1"/>
  </cols>
  <sheetData>
    <row r="2" spans="1:7" ht="29" thickBot="1">
      <c r="A2" s="216" t="s">
        <v>347</v>
      </c>
      <c r="B2" s="216" t="s">
        <v>348</v>
      </c>
      <c r="C2" s="216" t="s">
        <v>349</v>
      </c>
      <c r="D2" s="216" t="s">
        <v>350</v>
      </c>
      <c r="E2" s="217" t="s">
        <v>351</v>
      </c>
      <c r="F2" s="218" t="s">
        <v>352</v>
      </c>
    </row>
    <row r="3" spans="1:7" ht="17" thickTop="1">
      <c r="A3" s="212"/>
      <c r="B3" s="213"/>
      <c r="C3" s="213"/>
      <c r="D3" s="213"/>
      <c r="E3" s="214"/>
      <c r="F3" s="215"/>
    </row>
    <row r="4" spans="1:7" ht="28">
      <c r="A4" s="194" t="s">
        <v>354</v>
      </c>
      <c r="B4" s="195" t="s">
        <v>652</v>
      </c>
      <c r="C4" s="195" t="s">
        <v>355</v>
      </c>
      <c r="D4" s="195" t="s">
        <v>356</v>
      </c>
      <c r="E4" s="196">
        <v>182.9</v>
      </c>
      <c r="F4" s="197">
        <v>0.21</v>
      </c>
      <c r="G4">
        <v>1</v>
      </c>
    </row>
    <row r="5" spans="1:7" ht="28">
      <c r="A5" s="194" t="s">
        <v>354</v>
      </c>
      <c r="B5" s="195" t="s">
        <v>652</v>
      </c>
      <c r="C5" s="195" t="s">
        <v>357</v>
      </c>
      <c r="D5" s="195" t="s">
        <v>356</v>
      </c>
      <c r="E5" s="196">
        <v>182.65</v>
      </c>
      <c r="F5" s="197">
        <v>0.42</v>
      </c>
      <c r="G5">
        <v>1</v>
      </c>
    </row>
    <row r="6" spans="1:7" ht="28">
      <c r="A6" s="194" t="s">
        <v>354</v>
      </c>
      <c r="B6" s="195" t="s">
        <v>652</v>
      </c>
      <c r="C6" s="195" t="s">
        <v>358</v>
      </c>
      <c r="D6" s="195" t="s">
        <v>359</v>
      </c>
      <c r="E6" s="196">
        <v>182.75</v>
      </c>
      <c r="F6" s="197">
        <v>0.45</v>
      </c>
      <c r="G6">
        <v>1</v>
      </c>
    </row>
    <row r="7" spans="1:7">
      <c r="A7" s="198"/>
      <c r="B7" s="198"/>
      <c r="C7" s="198"/>
      <c r="D7" s="198"/>
      <c r="E7" s="196"/>
      <c r="F7" s="197"/>
    </row>
    <row r="8" spans="1:7">
      <c r="A8" s="198"/>
      <c r="B8" s="198"/>
      <c r="C8" s="198"/>
      <c r="D8" s="198"/>
      <c r="E8" s="196"/>
      <c r="F8" s="197"/>
    </row>
    <row r="9" spans="1:7" ht="16">
      <c r="A9" s="235" t="s">
        <v>690</v>
      </c>
      <c r="B9" t="s">
        <v>653</v>
      </c>
      <c r="C9" t="s">
        <v>360</v>
      </c>
      <c r="D9" t="s">
        <v>361</v>
      </c>
      <c r="E9">
        <v>181.31</v>
      </c>
      <c r="F9">
        <v>0.19</v>
      </c>
    </row>
    <row r="10" spans="1:7" ht="16">
      <c r="A10" s="235" t="s">
        <v>690</v>
      </c>
      <c r="B10" t="s">
        <v>653</v>
      </c>
      <c r="C10" t="s">
        <v>362</v>
      </c>
      <c r="D10" t="s">
        <v>363</v>
      </c>
      <c r="E10">
        <v>179.32</v>
      </c>
      <c r="F10">
        <v>0.18</v>
      </c>
    </row>
    <row r="11" spans="1:7" ht="16">
      <c r="A11" s="235" t="s">
        <v>690</v>
      </c>
      <c r="B11" t="s">
        <v>653</v>
      </c>
      <c r="C11" t="s">
        <v>364</v>
      </c>
      <c r="D11" t="s">
        <v>365</v>
      </c>
      <c r="E11">
        <v>183.066</v>
      </c>
      <c r="F11">
        <v>0.19</v>
      </c>
    </row>
    <row r="12" spans="1:7" ht="16">
      <c r="A12" s="235" t="s">
        <v>690</v>
      </c>
      <c r="B12" t="s">
        <v>653</v>
      </c>
      <c r="C12" t="s">
        <v>366</v>
      </c>
      <c r="D12" t="s">
        <v>365</v>
      </c>
      <c r="E12">
        <v>183.01400000000001</v>
      </c>
      <c r="F12">
        <v>5.3999999999999999E-2</v>
      </c>
    </row>
    <row r="13" spans="1:7" ht="16">
      <c r="A13" s="235" t="s">
        <v>690</v>
      </c>
      <c r="B13" t="s">
        <v>653</v>
      </c>
      <c r="C13" t="s">
        <v>367</v>
      </c>
      <c r="D13" t="s">
        <v>361</v>
      </c>
      <c r="E13">
        <v>181.34</v>
      </c>
      <c r="F13">
        <v>0.12</v>
      </c>
    </row>
    <row r="14" spans="1:7">
      <c r="A14"/>
      <c r="B14"/>
      <c r="C14"/>
      <c r="D14"/>
      <c r="E14"/>
      <c r="F14"/>
    </row>
    <row r="15" spans="1:7">
      <c r="A15"/>
      <c r="B15"/>
      <c r="C15"/>
      <c r="D15"/>
      <c r="E15"/>
      <c r="F15"/>
    </row>
    <row r="16" spans="1:7">
      <c r="A16"/>
      <c r="B16"/>
      <c r="C16"/>
      <c r="D16"/>
      <c r="E16"/>
      <c r="F16"/>
    </row>
    <row r="17" spans="1:6" ht="16">
      <c r="A17" t="s">
        <v>691</v>
      </c>
      <c r="B17" t="s">
        <v>653</v>
      </c>
      <c r="C17" t="s">
        <v>368</v>
      </c>
      <c r="D17" t="s">
        <v>369</v>
      </c>
      <c r="E17" s="235">
        <v>179.9</v>
      </c>
      <c r="F17">
        <v>1.8</v>
      </c>
    </row>
    <row r="18" spans="1:6" ht="16">
      <c r="A18" t="s">
        <v>691</v>
      </c>
      <c r="B18" t="s">
        <v>653</v>
      </c>
      <c r="C18" t="s">
        <v>370</v>
      </c>
      <c r="D18" t="s">
        <v>369</v>
      </c>
      <c r="E18" s="235">
        <v>182</v>
      </c>
      <c r="F18">
        <v>2.1</v>
      </c>
    </row>
    <row r="19" spans="1:6" ht="16">
      <c r="A19" t="s">
        <v>691</v>
      </c>
      <c r="B19" t="s">
        <v>653</v>
      </c>
      <c r="C19" t="s">
        <v>371</v>
      </c>
      <c r="D19" t="s">
        <v>372</v>
      </c>
      <c r="E19">
        <v>182.1</v>
      </c>
      <c r="F19">
        <v>2.9</v>
      </c>
    </row>
    <row r="20" spans="1:6">
      <c r="A20" s="198"/>
      <c r="B20" s="198"/>
      <c r="C20" s="198"/>
      <c r="D20" s="198"/>
      <c r="E20" s="196"/>
      <c r="F20" s="197"/>
    </row>
    <row r="21" spans="1:6">
      <c r="A21" s="198"/>
      <c r="B21" s="198"/>
      <c r="C21" s="198"/>
      <c r="D21" s="198"/>
      <c r="E21" s="196"/>
      <c r="F21" s="197"/>
    </row>
    <row r="22" spans="1:6">
      <c r="A22" s="199"/>
      <c r="B22" s="199"/>
      <c r="C22" s="199"/>
      <c r="D22" s="198"/>
      <c r="E22" s="196"/>
      <c r="F22" s="197"/>
    </row>
    <row r="23" spans="1:6" ht="16">
      <c r="A23" s="199" t="s">
        <v>373</v>
      </c>
      <c r="B23" s="195" t="s">
        <v>652</v>
      </c>
      <c r="C23" s="219" t="s">
        <v>374</v>
      </c>
      <c r="D23" s="201" t="s">
        <v>375</v>
      </c>
      <c r="E23" s="202">
        <v>182.66300000000001</v>
      </c>
      <c r="F23" s="202">
        <v>4.9000000000000002E-2</v>
      </c>
    </row>
    <row r="24" spans="1:6" ht="16">
      <c r="A24" s="194" t="s">
        <v>376</v>
      </c>
      <c r="B24" s="195" t="s">
        <v>652</v>
      </c>
      <c r="C24" s="219" t="s">
        <v>377</v>
      </c>
      <c r="D24" s="201" t="s">
        <v>378</v>
      </c>
      <c r="E24" s="200">
        <v>182.61600000000001</v>
      </c>
      <c r="F24" s="200">
        <v>4.9000000000000002E-2</v>
      </c>
    </row>
    <row r="25" spans="1:6" ht="16">
      <c r="A25" s="194" t="s">
        <v>376</v>
      </c>
      <c r="B25" s="195" t="s">
        <v>652</v>
      </c>
      <c r="C25" s="219" t="s">
        <v>379</v>
      </c>
      <c r="D25" s="201" t="s">
        <v>380</v>
      </c>
      <c r="E25" s="200">
        <v>182.63499999999999</v>
      </c>
      <c r="F25" s="200">
        <v>4.9000000000000002E-2</v>
      </c>
    </row>
    <row r="26" spans="1:6" ht="16">
      <c r="A26" s="194" t="s">
        <v>376</v>
      </c>
      <c r="B26" s="195" t="s">
        <v>652</v>
      </c>
      <c r="C26" s="219" t="s">
        <v>381</v>
      </c>
      <c r="D26" s="203" t="s">
        <v>382</v>
      </c>
      <c r="E26" s="200">
        <v>182.43</v>
      </c>
      <c r="F26" s="200">
        <v>3.5999999999999997E-2</v>
      </c>
    </row>
    <row r="27" spans="1:6" ht="16">
      <c r="A27" s="194" t="s">
        <v>376</v>
      </c>
      <c r="B27" s="195" t="s">
        <v>652</v>
      </c>
      <c r="C27" s="219" t="s">
        <v>383</v>
      </c>
      <c r="D27" s="201" t="s">
        <v>384</v>
      </c>
      <c r="E27" s="200">
        <v>182.85</v>
      </c>
      <c r="F27" s="200">
        <v>0.34</v>
      </c>
    </row>
    <row r="28" spans="1:6" ht="16">
      <c r="A28" s="194" t="s">
        <v>376</v>
      </c>
      <c r="B28" s="195" t="s">
        <v>652</v>
      </c>
      <c r="C28" s="219" t="s">
        <v>385</v>
      </c>
      <c r="D28" s="201" t="s">
        <v>380</v>
      </c>
      <c r="E28" s="200">
        <v>182.77799999999999</v>
      </c>
      <c r="F28" s="200">
        <v>3.3000000000000002E-2</v>
      </c>
    </row>
    <row r="29" spans="1:6" ht="16">
      <c r="A29" s="194" t="s">
        <v>376</v>
      </c>
      <c r="B29" s="195" t="s">
        <v>652</v>
      </c>
      <c r="C29" s="219" t="s">
        <v>386</v>
      </c>
      <c r="D29" s="201" t="s">
        <v>387</v>
      </c>
      <c r="E29" s="200">
        <v>182.74600000000001</v>
      </c>
      <c r="F29" s="200">
        <v>5.3999999999999999E-2</v>
      </c>
    </row>
    <row r="30" spans="1:6" ht="16">
      <c r="A30" s="194" t="s">
        <v>376</v>
      </c>
      <c r="B30" s="195" t="s">
        <v>652</v>
      </c>
      <c r="C30" s="219" t="s">
        <v>388</v>
      </c>
      <c r="D30" s="201" t="s">
        <v>389</v>
      </c>
      <c r="E30" s="200">
        <v>182.54</v>
      </c>
      <c r="F30" s="200">
        <v>0.2</v>
      </c>
    </row>
    <row r="31" spans="1:6" ht="16">
      <c r="A31" s="194" t="s">
        <v>376</v>
      </c>
      <c r="B31" s="195" t="s">
        <v>652</v>
      </c>
      <c r="C31" s="219" t="s">
        <v>390</v>
      </c>
      <c r="D31" s="201" t="s">
        <v>391</v>
      </c>
      <c r="E31" s="200">
        <v>182.48</v>
      </c>
      <c r="F31" s="204">
        <v>0.2</v>
      </c>
    </row>
    <row r="32" spans="1:6" ht="16">
      <c r="A32" s="194" t="s">
        <v>376</v>
      </c>
      <c r="B32" s="195" t="s">
        <v>652</v>
      </c>
      <c r="C32" s="219" t="s">
        <v>392</v>
      </c>
      <c r="D32" s="201" t="s">
        <v>393</v>
      </c>
      <c r="E32" s="200">
        <v>182.643</v>
      </c>
      <c r="F32" s="204">
        <v>5.5E-2</v>
      </c>
    </row>
    <row r="33" spans="1:12" ht="16">
      <c r="A33" s="194" t="s">
        <v>376</v>
      </c>
      <c r="B33" s="195" t="s">
        <v>652</v>
      </c>
      <c r="C33" s="219" t="s">
        <v>394</v>
      </c>
      <c r="D33" s="201" t="s">
        <v>395</v>
      </c>
      <c r="E33" s="200">
        <v>182.59</v>
      </c>
      <c r="F33" s="204">
        <v>7.9000000000000001E-2</v>
      </c>
    </row>
    <row r="34" spans="1:12" ht="16">
      <c r="A34" s="194" t="s">
        <v>376</v>
      </c>
      <c r="B34" s="195" t="s">
        <v>652</v>
      </c>
      <c r="C34" s="219" t="s">
        <v>396</v>
      </c>
      <c r="D34" s="201" t="s">
        <v>397</v>
      </c>
      <c r="E34" s="200">
        <v>182.77600000000001</v>
      </c>
      <c r="F34" s="204">
        <v>5.8999999999999997E-2</v>
      </c>
    </row>
    <row r="35" spans="1:12" ht="16">
      <c r="A35" s="194" t="s">
        <v>376</v>
      </c>
      <c r="B35" s="195" t="s">
        <v>652</v>
      </c>
      <c r="C35" s="219" t="s">
        <v>398</v>
      </c>
      <c r="D35" s="201" t="s">
        <v>399</v>
      </c>
      <c r="E35" s="200">
        <v>182.75299999999999</v>
      </c>
      <c r="F35" s="200">
        <v>3.3000000000000002E-2</v>
      </c>
    </row>
    <row r="36" spans="1:12" ht="16">
      <c r="A36" s="194" t="s">
        <v>376</v>
      </c>
      <c r="B36" s="195" t="s">
        <v>652</v>
      </c>
      <c r="C36" s="219" t="s">
        <v>400</v>
      </c>
      <c r="D36" s="203" t="s">
        <v>401</v>
      </c>
      <c r="E36" s="200">
        <v>182.54</v>
      </c>
      <c r="F36" s="200">
        <v>5.8999999999999997E-2</v>
      </c>
    </row>
    <row r="37" spans="1:12" ht="16">
      <c r="A37" s="194" t="s">
        <v>376</v>
      </c>
      <c r="B37" s="195" t="s">
        <v>652</v>
      </c>
      <c r="C37" s="219" t="s">
        <v>402</v>
      </c>
      <c r="D37" s="201" t="s">
        <v>403</v>
      </c>
      <c r="E37" s="200">
        <v>182.75</v>
      </c>
      <c r="F37" s="200">
        <v>4.8000000000000001E-2</v>
      </c>
    </row>
    <row r="38" spans="1:12" ht="16">
      <c r="A38" s="194" t="s">
        <v>376</v>
      </c>
      <c r="B38" s="195" t="s">
        <v>652</v>
      </c>
      <c r="C38" s="219" t="s">
        <v>404</v>
      </c>
      <c r="D38" s="203" t="s">
        <v>405</v>
      </c>
      <c r="E38" s="200">
        <v>182.63499999999999</v>
      </c>
      <c r="F38" s="200">
        <v>7.6999999999999999E-2</v>
      </c>
    </row>
    <row r="39" spans="1:12" ht="16">
      <c r="A39" s="194" t="s">
        <v>376</v>
      </c>
      <c r="B39" s="195" t="s">
        <v>652</v>
      </c>
      <c r="C39" s="219" t="s">
        <v>406</v>
      </c>
      <c r="D39" s="201" t="s">
        <v>407</v>
      </c>
      <c r="E39" s="200">
        <v>182.68</v>
      </c>
      <c r="F39" s="200">
        <v>3.7999999999999999E-2</v>
      </c>
    </row>
    <row r="40" spans="1:12" ht="16">
      <c r="A40" s="194" t="s">
        <v>376</v>
      </c>
      <c r="B40" s="195" t="s">
        <v>652</v>
      </c>
      <c r="C40" s="219" t="s">
        <v>408</v>
      </c>
      <c r="D40" s="203" t="s">
        <v>409</v>
      </c>
      <c r="E40" s="200">
        <v>182.68899999999999</v>
      </c>
      <c r="F40" s="237">
        <v>3.7999999999999999E-2</v>
      </c>
      <c r="G40" s="146"/>
      <c r="H40" s="146"/>
      <c r="I40" s="146"/>
      <c r="J40" s="146"/>
      <c r="K40" s="146"/>
    </row>
    <row r="41" spans="1:12" ht="16">
      <c r="A41" s="194" t="s">
        <v>376</v>
      </c>
      <c r="B41" s="195" t="s">
        <v>652</v>
      </c>
      <c r="C41" s="219" t="s">
        <v>410</v>
      </c>
      <c r="D41" s="201" t="s">
        <v>411</v>
      </c>
      <c r="E41" s="200">
        <v>182.7</v>
      </c>
      <c r="F41" s="237">
        <v>4.4999999999999998E-2</v>
      </c>
      <c r="G41" s="146"/>
      <c r="H41" s="146"/>
      <c r="I41" s="146"/>
      <c r="J41" s="146"/>
      <c r="K41" s="146"/>
    </row>
    <row r="42" spans="1:12" ht="16">
      <c r="A42" s="194" t="s">
        <v>376</v>
      </c>
      <c r="B42" s="195" t="s">
        <v>652</v>
      </c>
      <c r="C42" s="219" t="s">
        <v>412</v>
      </c>
      <c r="D42" s="201" t="s">
        <v>413</v>
      </c>
      <c r="E42" s="200">
        <v>182.62899999999999</v>
      </c>
      <c r="F42" s="237">
        <v>2.9000000000000001E-2</v>
      </c>
      <c r="G42" s="146"/>
      <c r="H42" s="146"/>
      <c r="I42" s="234"/>
      <c r="J42" s="234"/>
      <c r="K42" s="236"/>
    </row>
    <row r="43" spans="1:12" ht="16">
      <c r="A43" s="194" t="s">
        <v>376</v>
      </c>
      <c r="B43" s="199" t="s">
        <v>653</v>
      </c>
      <c r="C43" s="219" t="s">
        <v>353</v>
      </c>
      <c r="D43" s="203" t="s">
        <v>414</v>
      </c>
      <c r="E43" s="200">
        <v>183.24600000000001</v>
      </c>
      <c r="F43" s="237">
        <v>4.4999999999999998E-2</v>
      </c>
      <c r="G43" s="146"/>
      <c r="H43" s="146"/>
      <c r="I43" s="234"/>
      <c r="J43" s="234"/>
      <c r="K43" s="236"/>
    </row>
    <row r="44" spans="1:12" ht="16">
      <c r="A44" s="198"/>
      <c r="B44" s="198"/>
      <c r="C44" s="198"/>
      <c r="D44" s="198"/>
      <c r="E44" s="196"/>
      <c r="F44" s="197"/>
      <c r="G44" s="146"/>
      <c r="H44" s="233"/>
      <c r="I44" s="234"/>
      <c r="J44" s="234"/>
      <c r="K44" s="236"/>
    </row>
    <row r="45" spans="1:12" ht="16">
      <c r="A45" s="230" t="s">
        <v>692</v>
      </c>
      <c r="B45" s="199" t="s">
        <v>653</v>
      </c>
      <c r="C45" s="205" t="s">
        <v>415</v>
      </c>
      <c r="D45" s="198" t="s">
        <v>416</v>
      </c>
      <c r="E45" s="232" t="s">
        <v>683</v>
      </c>
      <c r="F45" s="232">
        <v>0.5</v>
      </c>
      <c r="G45" s="238"/>
      <c r="H45" s="146"/>
      <c r="I45" s="234"/>
      <c r="J45" s="234"/>
      <c r="K45" s="236"/>
      <c r="L45" s="230"/>
    </row>
    <row r="46" spans="1:12" ht="16">
      <c r="A46" s="230" t="s">
        <v>692</v>
      </c>
      <c r="B46" s="199" t="s">
        <v>653</v>
      </c>
      <c r="C46" s="205" t="s">
        <v>417</v>
      </c>
      <c r="D46" s="198" t="s">
        <v>416</v>
      </c>
      <c r="E46" s="232" t="s">
        <v>683</v>
      </c>
      <c r="F46" s="232" t="s">
        <v>689</v>
      </c>
      <c r="G46" s="238"/>
      <c r="H46" s="146"/>
      <c r="I46" s="234"/>
      <c r="J46" s="234"/>
      <c r="K46" s="236"/>
    </row>
    <row r="47" spans="1:12" ht="16">
      <c r="A47" s="230" t="s">
        <v>692</v>
      </c>
      <c r="B47" s="199" t="s">
        <v>653</v>
      </c>
      <c r="C47" s="205" t="s">
        <v>418</v>
      </c>
      <c r="D47" s="198" t="s">
        <v>416</v>
      </c>
      <c r="E47" s="232" t="s">
        <v>680</v>
      </c>
      <c r="F47" s="232" t="s">
        <v>685</v>
      </c>
      <c r="G47" s="238"/>
      <c r="H47" s="146"/>
      <c r="I47" s="234"/>
      <c r="J47" s="234"/>
      <c r="K47" s="236"/>
    </row>
    <row r="48" spans="1:12" ht="16">
      <c r="A48" s="230" t="s">
        <v>692</v>
      </c>
      <c r="B48" s="199" t="s">
        <v>653</v>
      </c>
      <c r="C48" s="205" t="s">
        <v>419</v>
      </c>
      <c r="D48" s="198" t="s">
        <v>416</v>
      </c>
      <c r="E48" s="232" t="s">
        <v>677</v>
      </c>
      <c r="F48" s="232" t="s">
        <v>685</v>
      </c>
      <c r="G48" s="238"/>
      <c r="H48" s="146"/>
      <c r="I48" s="234"/>
      <c r="J48" s="234"/>
      <c r="K48" s="236"/>
    </row>
    <row r="49" spans="1:11" ht="16">
      <c r="A49" s="230" t="s">
        <v>692</v>
      </c>
      <c r="B49" s="199" t="s">
        <v>653</v>
      </c>
      <c r="C49" s="195" t="s">
        <v>420</v>
      </c>
      <c r="D49" s="198" t="s">
        <v>416</v>
      </c>
      <c r="E49" s="232" t="s">
        <v>680</v>
      </c>
      <c r="F49" s="232" t="s">
        <v>684</v>
      </c>
      <c r="G49" s="238"/>
      <c r="H49" s="146"/>
      <c r="I49" s="234"/>
      <c r="J49" s="234"/>
      <c r="K49" s="236"/>
    </row>
    <row r="50" spans="1:11" ht="16">
      <c r="A50" s="230" t="s">
        <v>692</v>
      </c>
      <c r="B50" s="199" t="s">
        <v>653</v>
      </c>
      <c r="C50" s="205" t="s">
        <v>421</v>
      </c>
      <c r="D50" s="198" t="s">
        <v>416</v>
      </c>
      <c r="E50" s="232" t="s">
        <v>682</v>
      </c>
      <c r="F50" s="232" t="s">
        <v>688</v>
      </c>
      <c r="G50" s="238"/>
      <c r="H50" s="146"/>
      <c r="I50" s="234"/>
      <c r="J50" s="234"/>
      <c r="K50" s="236"/>
    </row>
    <row r="51" spans="1:11" ht="16">
      <c r="A51" s="230" t="s">
        <v>692</v>
      </c>
      <c r="B51" s="199" t="s">
        <v>653</v>
      </c>
      <c r="C51" s="205" t="s">
        <v>422</v>
      </c>
      <c r="D51" s="199" t="s">
        <v>423</v>
      </c>
      <c r="E51" s="232" t="s">
        <v>677</v>
      </c>
      <c r="F51" s="232" t="s">
        <v>684</v>
      </c>
      <c r="G51" s="238"/>
      <c r="H51" s="146"/>
      <c r="I51" s="234"/>
      <c r="J51" s="234"/>
      <c r="K51" s="236"/>
    </row>
    <row r="52" spans="1:11" ht="16">
      <c r="A52" s="230" t="s">
        <v>692</v>
      </c>
      <c r="B52" s="199" t="s">
        <v>653</v>
      </c>
      <c r="C52" s="205" t="s">
        <v>424</v>
      </c>
      <c r="D52" s="199" t="s">
        <v>423</v>
      </c>
      <c r="E52" s="232" t="s">
        <v>676</v>
      </c>
      <c r="F52" s="232" t="s">
        <v>684</v>
      </c>
      <c r="G52" s="238"/>
      <c r="H52" s="146"/>
      <c r="I52" s="234"/>
      <c r="J52" s="234"/>
      <c r="K52" s="236"/>
    </row>
    <row r="53" spans="1:11" ht="16">
      <c r="A53" s="230" t="s">
        <v>692</v>
      </c>
      <c r="B53" s="199" t="s">
        <v>653</v>
      </c>
      <c r="C53" s="205" t="s">
        <v>425</v>
      </c>
      <c r="D53" s="199" t="s">
        <v>423</v>
      </c>
      <c r="E53" s="232" t="s">
        <v>681</v>
      </c>
      <c r="F53" s="232" t="s">
        <v>685</v>
      </c>
      <c r="G53" s="238"/>
      <c r="H53" s="146"/>
      <c r="I53" s="234"/>
      <c r="J53" s="234"/>
      <c r="K53" s="236"/>
    </row>
    <row r="54" spans="1:11" ht="29">
      <c r="A54" s="230" t="s">
        <v>692</v>
      </c>
      <c r="B54" s="199" t="s">
        <v>653</v>
      </c>
      <c r="C54" s="205" t="s">
        <v>426</v>
      </c>
      <c r="D54" s="206" t="s">
        <v>427</v>
      </c>
      <c r="E54" s="232" t="s">
        <v>681</v>
      </c>
      <c r="F54" s="232" t="s">
        <v>684</v>
      </c>
      <c r="G54" s="238"/>
      <c r="H54" s="146"/>
      <c r="I54" s="234"/>
      <c r="J54" s="234"/>
      <c r="K54" s="236"/>
    </row>
    <row r="55" spans="1:11" ht="29">
      <c r="A55" s="230" t="s">
        <v>692</v>
      </c>
      <c r="B55" s="199" t="s">
        <v>653</v>
      </c>
      <c r="C55" s="205" t="s">
        <v>428</v>
      </c>
      <c r="D55" s="206" t="s">
        <v>427</v>
      </c>
      <c r="E55" s="232" t="s">
        <v>677</v>
      </c>
      <c r="F55" s="232" t="s">
        <v>687</v>
      </c>
      <c r="G55" s="238"/>
      <c r="H55" s="146"/>
      <c r="I55" s="234"/>
      <c r="J55" s="234"/>
      <c r="K55" s="236"/>
    </row>
    <row r="56" spans="1:11" ht="16">
      <c r="A56" s="230" t="s">
        <v>692</v>
      </c>
      <c r="B56" s="199" t="s">
        <v>653</v>
      </c>
      <c r="C56" s="205" t="s">
        <v>429</v>
      </c>
      <c r="D56" s="199" t="s">
        <v>430</v>
      </c>
      <c r="E56" s="232" t="s">
        <v>678</v>
      </c>
      <c r="F56" s="232">
        <v>0.6</v>
      </c>
      <c r="G56" s="238"/>
      <c r="H56" s="146"/>
      <c r="I56" s="234"/>
      <c r="J56" s="234"/>
      <c r="K56" s="236"/>
    </row>
    <row r="57" spans="1:11" ht="16">
      <c r="A57" s="230" t="s">
        <v>692</v>
      </c>
      <c r="B57" s="199" t="s">
        <v>653</v>
      </c>
      <c r="C57" s="205" t="s">
        <v>431</v>
      </c>
      <c r="D57" s="199" t="s">
        <v>430</v>
      </c>
      <c r="E57" s="232" t="s">
        <v>679</v>
      </c>
      <c r="F57" s="232" t="s">
        <v>686</v>
      </c>
      <c r="G57" s="238"/>
      <c r="H57" s="146"/>
      <c r="I57" s="146"/>
      <c r="J57" s="146"/>
      <c r="K57" s="146"/>
    </row>
    <row r="58" spans="1:11" ht="16">
      <c r="A58" s="230" t="s">
        <v>692</v>
      </c>
      <c r="B58" s="199" t="s">
        <v>653</v>
      </c>
      <c r="C58" s="205" t="s">
        <v>432</v>
      </c>
      <c r="D58" s="199" t="s">
        <v>430</v>
      </c>
      <c r="E58" s="232" t="s">
        <v>678</v>
      </c>
      <c r="F58" s="232" t="s">
        <v>685</v>
      </c>
      <c r="G58" s="238"/>
      <c r="H58" s="146"/>
      <c r="I58" s="146"/>
      <c r="J58" s="146"/>
      <c r="K58" s="146"/>
    </row>
    <row r="59" spans="1:11" ht="16">
      <c r="A59" s="198"/>
      <c r="B59" s="199"/>
      <c r="C59" s="198"/>
      <c r="D59" s="198"/>
      <c r="E59" s="196"/>
      <c r="F59" s="197"/>
      <c r="G59" s="233"/>
      <c r="H59" s="146"/>
      <c r="I59" s="146"/>
      <c r="J59" s="146"/>
      <c r="K59" s="146"/>
    </row>
    <row r="60" spans="1:11" ht="16">
      <c r="A60" s="230" t="s">
        <v>692</v>
      </c>
      <c r="B60" s="199" t="s">
        <v>653</v>
      </c>
      <c r="C60" s="229" t="s">
        <v>675</v>
      </c>
      <c r="D60" s="199" t="s">
        <v>430</v>
      </c>
      <c r="E60" s="231" t="s">
        <v>677</v>
      </c>
      <c r="F60" s="239">
        <v>0.5</v>
      </c>
      <c r="G60" s="233"/>
      <c r="H60" s="146"/>
      <c r="I60" s="146"/>
      <c r="J60" s="146"/>
      <c r="K60" s="146"/>
    </row>
    <row r="61" spans="1:11" ht="16">
      <c r="A61" s="198"/>
      <c r="B61" s="198"/>
      <c r="C61" s="198"/>
      <c r="D61" s="198"/>
      <c r="E61" s="196"/>
      <c r="F61" s="197"/>
      <c r="G61" s="233"/>
      <c r="H61" s="233"/>
      <c r="I61" s="146"/>
      <c r="J61" s="146"/>
      <c r="K61" s="146"/>
    </row>
    <row r="62" spans="1:11">
      <c r="A62" s="198"/>
      <c r="B62" s="198"/>
      <c r="C62" s="198"/>
      <c r="D62" s="198"/>
      <c r="E62" s="196"/>
      <c r="F62" s="197"/>
    </row>
    <row r="63" spans="1:11">
      <c r="A63" s="199" t="s">
        <v>433</v>
      </c>
      <c r="B63" s="199" t="s">
        <v>652</v>
      </c>
      <c r="C63" s="198" t="s">
        <v>434</v>
      </c>
      <c r="D63" s="198" t="s">
        <v>435</v>
      </c>
      <c r="E63" s="197">
        <v>182.3</v>
      </c>
      <c r="F63" s="197">
        <v>1.1000000000000001</v>
      </c>
    </row>
    <row r="64" spans="1:11">
      <c r="A64" s="199" t="s">
        <v>433</v>
      </c>
      <c r="B64" s="199" t="s">
        <v>652</v>
      </c>
      <c r="C64" s="198" t="s">
        <v>434</v>
      </c>
      <c r="D64" s="198" t="s">
        <v>436</v>
      </c>
      <c r="E64" s="196">
        <v>182.2</v>
      </c>
      <c r="F64" s="197">
        <v>0.9</v>
      </c>
    </row>
    <row r="65" spans="1:6" ht="14">
      <c r="A65" s="199" t="s">
        <v>433</v>
      </c>
      <c r="B65" s="207" t="s">
        <v>652</v>
      </c>
      <c r="C65" s="198" t="s">
        <v>437</v>
      </c>
      <c r="D65" s="206" t="s">
        <v>438</v>
      </c>
      <c r="E65" s="196">
        <v>182.2</v>
      </c>
      <c r="F65" s="197">
        <v>0.9</v>
      </c>
    </row>
    <row r="66" spans="1:6">
      <c r="A66" s="198"/>
      <c r="B66" s="207"/>
      <c r="C66" s="198"/>
      <c r="D66" s="207"/>
      <c r="E66" s="196"/>
      <c r="F66" s="197"/>
    </row>
    <row r="67" spans="1:6" ht="16">
      <c r="A67" s="198"/>
      <c r="B67" s="207"/>
      <c r="C67" s="198"/>
      <c r="D67" s="198"/>
      <c r="E67" s="197"/>
      <c r="F67" s="208"/>
    </row>
    <row r="68" spans="1:6">
      <c r="A68" s="198" t="s">
        <v>439</v>
      </c>
      <c r="B68" s="199" t="s">
        <v>653</v>
      </c>
      <c r="C68" s="198" t="s">
        <v>441</v>
      </c>
      <c r="D68" s="207"/>
      <c r="E68" s="197">
        <v>183.3</v>
      </c>
      <c r="F68" s="197">
        <v>0.11</v>
      </c>
    </row>
    <row r="69" spans="1:6">
      <c r="A69" s="198" t="s">
        <v>439</v>
      </c>
      <c r="B69" s="199" t="s">
        <v>653</v>
      </c>
      <c r="C69" s="198" t="s">
        <v>440</v>
      </c>
      <c r="D69" s="209"/>
      <c r="E69" s="196">
        <v>183.36</v>
      </c>
      <c r="F69" s="197">
        <v>0.17</v>
      </c>
    </row>
    <row r="70" spans="1:6">
      <c r="A70" s="198" t="s">
        <v>439</v>
      </c>
      <c r="B70" s="199" t="s">
        <v>653</v>
      </c>
      <c r="C70" s="198" t="s">
        <v>442</v>
      </c>
      <c r="D70" s="209"/>
      <c r="E70" s="196">
        <v>183.04</v>
      </c>
      <c r="F70" s="197">
        <v>0.06</v>
      </c>
    </row>
    <row r="71" spans="1:6">
      <c r="A71" s="198"/>
      <c r="B71" s="198"/>
      <c r="C71" s="198"/>
      <c r="D71" s="198"/>
      <c r="E71" s="196"/>
      <c r="F71" s="196"/>
    </row>
    <row r="72" spans="1:6">
      <c r="A72" s="198"/>
      <c r="B72" s="198"/>
      <c r="C72" s="198"/>
      <c r="D72" s="198"/>
      <c r="E72" s="196"/>
      <c r="F72" s="196"/>
    </row>
    <row r="73" spans="1:6">
      <c r="A73" s="198"/>
      <c r="B73" s="198"/>
      <c r="C73" s="198"/>
      <c r="D73" s="198"/>
      <c r="E73" s="196"/>
      <c r="F73" s="196"/>
    </row>
    <row r="74" spans="1:6" ht="28">
      <c r="A74" s="198" t="s">
        <v>646</v>
      </c>
      <c r="B74" s="199" t="s">
        <v>653</v>
      </c>
      <c r="C74" s="198" t="s">
        <v>647</v>
      </c>
      <c r="D74" s="210" t="s">
        <v>648</v>
      </c>
      <c r="E74" s="211">
        <v>183.14699999999999</v>
      </c>
      <c r="F74" s="196">
        <v>5.8999999999999997E-2</v>
      </c>
    </row>
    <row r="75" spans="1:6" ht="28">
      <c r="A75" s="198" t="s">
        <v>646</v>
      </c>
      <c r="B75" s="199" t="s">
        <v>653</v>
      </c>
      <c r="C75" s="198" t="s">
        <v>649</v>
      </c>
      <c r="D75" s="210" t="s">
        <v>648</v>
      </c>
      <c r="E75" s="196">
        <v>183.18199999999999</v>
      </c>
      <c r="F75" s="196">
        <v>7.2999999999999995E-2</v>
      </c>
    </row>
    <row r="76" spans="1:6">
      <c r="A76" s="198" t="s">
        <v>646</v>
      </c>
      <c r="B76" s="199" t="s">
        <v>653</v>
      </c>
      <c r="C76" s="198" t="s">
        <v>650</v>
      </c>
      <c r="D76" s="198"/>
      <c r="E76" s="196">
        <v>183.18199999999999</v>
      </c>
      <c r="F76" s="196">
        <v>0.11600000000000001</v>
      </c>
    </row>
    <row r="77" spans="1:6" ht="28">
      <c r="A77" s="198" t="s">
        <v>646</v>
      </c>
      <c r="B77" s="199" t="s">
        <v>653</v>
      </c>
      <c r="C77" s="198" t="s">
        <v>432</v>
      </c>
      <c r="D77" s="210" t="s">
        <v>651</v>
      </c>
      <c r="E77" s="196">
        <v>183.18700000000001</v>
      </c>
      <c r="F77" s="196">
        <v>0.13300000000000001</v>
      </c>
    </row>
    <row r="78" spans="1:6">
      <c r="F78" s="150"/>
    </row>
    <row r="79" spans="1:6">
      <c r="F79" s="150"/>
    </row>
    <row r="80" spans="1:6">
      <c r="A80" s="226" t="s">
        <v>671</v>
      </c>
      <c r="F80" s="150"/>
    </row>
    <row r="81" spans="1:6" ht="13" customHeight="1">
      <c r="A81" s="224" t="s">
        <v>669</v>
      </c>
      <c r="B81" s="221"/>
      <c r="C81" s="221"/>
      <c r="D81" s="221"/>
      <c r="E81" s="221"/>
      <c r="F81" s="221"/>
    </row>
    <row r="82" spans="1:6" ht="16">
      <c r="A82" s="222" t="s">
        <v>665</v>
      </c>
      <c r="B82" s="221"/>
      <c r="C82" s="221"/>
      <c r="D82" s="221"/>
      <c r="E82" s="221"/>
      <c r="F82" s="221"/>
    </row>
    <row r="83" spans="1:6" ht="16">
      <c r="A83" s="225" t="s">
        <v>663</v>
      </c>
      <c r="B83" s="221"/>
      <c r="C83" s="221"/>
      <c r="D83" s="221"/>
      <c r="E83" s="221"/>
      <c r="F83" s="221"/>
    </row>
    <row r="84" spans="1:6" ht="16">
      <c r="A84" s="225" t="s">
        <v>664</v>
      </c>
      <c r="B84" s="221"/>
      <c r="C84" s="221"/>
      <c r="D84" s="221"/>
      <c r="E84" s="221"/>
      <c r="F84" s="221"/>
    </row>
    <row r="85" spans="1:6" ht="16">
      <c r="A85" s="222" t="s">
        <v>670</v>
      </c>
      <c r="B85" s="221"/>
      <c r="C85" s="221"/>
      <c r="D85" s="221"/>
      <c r="E85" s="221"/>
      <c r="F85" s="221"/>
    </row>
    <row r="86" spans="1:6" ht="16">
      <c r="A86" s="225" t="s">
        <v>666</v>
      </c>
      <c r="B86" s="221"/>
      <c r="C86" s="221"/>
      <c r="D86" s="221"/>
      <c r="E86" s="221"/>
      <c r="F86" s="221"/>
    </row>
    <row r="87" spans="1:6" ht="16">
      <c r="A87" s="223" t="s">
        <v>668</v>
      </c>
      <c r="B87" s="221"/>
      <c r="C87" s="221"/>
      <c r="D87" s="221"/>
      <c r="E87" s="221"/>
      <c r="F87" s="221"/>
    </row>
    <row r="88" spans="1:6" ht="16">
      <c r="A88" s="225" t="s">
        <v>693</v>
      </c>
      <c r="B88" s="221"/>
      <c r="C88" s="221"/>
      <c r="D88" s="221"/>
      <c r="E88" s="221"/>
      <c r="F88" s="221"/>
    </row>
    <row r="89" spans="1:6" ht="16">
      <c r="A89" s="225" t="s">
        <v>667</v>
      </c>
      <c r="B89" s="221"/>
      <c r="C89" s="221"/>
      <c r="D89" s="221"/>
      <c r="E89" s="221"/>
      <c r="F89" s="221"/>
    </row>
    <row r="90" spans="1:6" ht="16">
      <c r="A90" s="222" t="s">
        <v>694</v>
      </c>
      <c r="B90" s="221"/>
      <c r="C90" s="221"/>
      <c r="D90" s="221"/>
      <c r="E90" s="221"/>
      <c r="F90" s="221"/>
    </row>
    <row r="91" spans="1:6">
      <c r="A91" s="221"/>
      <c r="B91" s="221"/>
      <c r="C91" s="221"/>
      <c r="D91" s="221"/>
      <c r="E91" s="221"/>
      <c r="F91" s="221"/>
    </row>
    <row r="92" spans="1:6">
      <c r="A92" s="221"/>
      <c r="B92" s="221"/>
      <c r="C92" s="221"/>
      <c r="D92" s="221"/>
      <c r="E92" s="221"/>
      <c r="F92" s="221"/>
    </row>
    <row r="93" spans="1:6">
      <c r="A93" s="221"/>
      <c r="B93" s="221"/>
      <c r="C93" s="221"/>
      <c r="D93" s="221"/>
      <c r="E93" s="221"/>
      <c r="F93" s="221"/>
    </row>
    <row r="94" spans="1:6">
      <c r="A94" s="221"/>
      <c r="B94" s="221"/>
      <c r="C94" s="221"/>
      <c r="D94" s="221"/>
      <c r="E94" s="221"/>
      <c r="F94" s="221"/>
    </row>
    <row r="95" spans="1:6">
      <c r="A95" s="221"/>
      <c r="B95" s="221"/>
      <c r="C95" s="221"/>
      <c r="D95" s="221"/>
      <c r="E95" s="221"/>
      <c r="F95" s="221"/>
    </row>
    <row r="96" spans="1:6">
      <c r="A96" s="221"/>
      <c r="B96" s="221"/>
      <c r="C96" s="221"/>
      <c r="D96" s="221"/>
      <c r="E96" s="221"/>
      <c r="F96" s="221"/>
    </row>
    <row r="97" spans="1:6">
      <c r="A97" s="221"/>
      <c r="B97" s="221"/>
      <c r="C97" s="221"/>
      <c r="D97" s="221"/>
      <c r="E97" s="221"/>
      <c r="F97" s="221"/>
    </row>
    <row r="98" spans="1:6">
      <c r="A98" s="221"/>
      <c r="B98" s="221"/>
      <c r="C98" s="221"/>
      <c r="D98" s="221"/>
      <c r="E98" s="221"/>
      <c r="F98" s="221"/>
    </row>
    <row r="99" spans="1:6">
      <c r="A99" s="221"/>
      <c r="B99" s="221"/>
      <c r="C99" s="221"/>
      <c r="D99" s="221"/>
      <c r="E99" s="221"/>
      <c r="F99" s="221"/>
    </row>
    <row r="100" spans="1:6">
      <c r="A100" s="221"/>
      <c r="B100" s="221"/>
      <c r="C100" s="221"/>
      <c r="D100" s="221"/>
      <c r="E100" s="221"/>
      <c r="F100" s="221"/>
    </row>
    <row r="101" spans="1:6">
      <c r="A101" s="221"/>
      <c r="B101" s="221"/>
      <c r="C101" s="221"/>
      <c r="D101" s="221"/>
      <c r="E101" s="221"/>
      <c r="F101" s="221"/>
    </row>
    <row r="102" spans="1:6">
      <c r="A102" s="221"/>
      <c r="B102" s="221"/>
      <c r="C102" s="221"/>
      <c r="D102" s="221"/>
      <c r="E102" s="221"/>
      <c r="F102" s="221"/>
    </row>
    <row r="103" spans="1:6">
      <c r="A103" s="221"/>
      <c r="B103" s="221"/>
      <c r="C103" s="221"/>
      <c r="D103" s="221"/>
      <c r="E103" s="221"/>
      <c r="F103" s="221"/>
    </row>
    <row r="104" spans="1:6">
      <c r="A104" s="221"/>
      <c r="B104" s="221"/>
      <c r="C104" s="221"/>
      <c r="D104" s="221"/>
      <c r="E104" s="221"/>
      <c r="F104" s="221"/>
    </row>
    <row r="105" spans="1:6">
      <c r="A105" s="221"/>
      <c r="B105" s="221"/>
      <c r="C105" s="221"/>
      <c r="D105" s="221"/>
      <c r="E105" s="221"/>
      <c r="F105" s="221"/>
    </row>
    <row r="106" spans="1:6">
      <c r="A106" s="221"/>
      <c r="B106" s="221"/>
      <c r="C106" s="221"/>
      <c r="D106" s="221"/>
      <c r="E106" s="221"/>
      <c r="F106" s="221"/>
    </row>
    <row r="107" spans="1:6">
      <c r="A107" s="221"/>
      <c r="B107" s="221"/>
      <c r="C107" s="221"/>
      <c r="D107" s="221"/>
      <c r="E107" s="221"/>
      <c r="F107" s="221"/>
    </row>
    <row r="108" spans="1:6">
      <c r="A108" s="221"/>
      <c r="B108" s="221"/>
      <c r="C108" s="221"/>
      <c r="D108" s="221"/>
      <c r="E108" s="221"/>
      <c r="F108" s="221"/>
    </row>
    <row r="109" spans="1:6">
      <c r="A109" s="221"/>
      <c r="B109" s="221"/>
      <c r="C109" s="221"/>
      <c r="D109" s="221"/>
      <c r="E109" s="221"/>
      <c r="F109" s="221"/>
    </row>
    <row r="110" spans="1:6">
      <c r="A110" s="221"/>
      <c r="B110" s="221"/>
      <c r="C110" s="221"/>
      <c r="D110" s="221"/>
      <c r="E110" s="221"/>
      <c r="F110" s="221"/>
    </row>
    <row r="111" spans="1:6">
      <c r="A111" s="221"/>
      <c r="B111" s="221"/>
      <c r="C111" s="221"/>
      <c r="D111" s="221"/>
      <c r="E111" s="221"/>
      <c r="F111" s="221"/>
    </row>
    <row r="112" spans="1:6">
      <c r="A112" s="221"/>
      <c r="B112" s="221"/>
      <c r="C112" s="221"/>
      <c r="D112" s="221"/>
      <c r="E112" s="221"/>
      <c r="F112" s="221"/>
    </row>
    <row r="113" spans="1:6">
      <c r="A113" s="221"/>
      <c r="B113" s="221"/>
      <c r="C113" s="221"/>
      <c r="D113" s="221"/>
      <c r="E113" s="221"/>
      <c r="F113" s="221"/>
    </row>
    <row r="114" spans="1:6">
      <c r="A114" s="221"/>
      <c r="B114" s="221"/>
      <c r="C114" s="221"/>
      <c r="D114" s="221"/>
      <c r="E114" s="221"/>
      <c r="F114" s="221"/>
    </row>
    <row r="115" spans="1:6">
      <c r="A115" s="221"/>
      <c r="B115" s="221"/>
      <c r="C115" s="221"/>
      <c r="D115" s="221"/>
      <c r="E115" s="221"/>
      <c r="F115" s="221"/>
    </row>
    <row r="116" spans="1:6" ht="16">
      <c r="A116" s="220"/>
      <c r="B116" s="147"/>
      <c r="C116" s="147"/>
      <c r="D116" s="149"/>
      <c r="E116" s="152"/>
      <c r="F116" s="150"/>
    </row>
    <row r="117" spans="1:6">
      <c r="A117" s="147"/>
      <c r="B117" s="147"/>
      <c r="C117" s="147"/>
      <c r="D117" s="147"/>
      <c r="E117" s="153"/>
      <c r="F117" s="150"/>
    </row>
    <row r="118" spans="1:6">
      <c r="A118" s="147"/>
      <c r="B118" s="147"/>
      <c r="C118" s="147"/>
      <c r="D118" s="147"/>
      <c r="E118" s="153"/>
      <c r="F118" s="150"/>
    </row>
    <row r="119" spans="1:6">
      <c r="A119" s="147"/>
      <c r="B119" s="148"/>
      <c r="C119" s="147"/>
      <c r="D119" s="148"/>
      <c r="E119" s="152"/>
      <c r="F119" s="150"/>
    </row>
    <row r="120" spans="1:6">
      <c r="A120" s="147"/>
      <c r="B120" s="148"/>
      <c r="C120" s="147"/>
      <c r="D120" s="148"/>
      <c r="E120" s="152"/>
      <c r="F120" s="150"/>
    </row>
    <row r="121" spans="1:6">
      <c r="A121" s="147"/>
      <c r="B121" s="148"/>
      <c r="C121" s="147"/>
      <c r="D121" s="148"/>
      <c r="E121" s="152"/>
      <c r="F121" s="150"/>
    </row>
    <row r="122" spans="1:6">
      <c r="A122" s="147"/>
      <c r="B122" s="148"/>
      <c r="C122" s="147"/>
      <c r="D122" s="148"/>
      <c r="E122" s="152"/>
      <c r="F122" s="150"/>
    </row>
    <row r="123" spans="1:6">
      <c r="A123" s="147"/>
      <c r="B123" s="147"/>
      <c r="C123" s="147"/>
      <c r="D123" s="147"/>
      <c r="E123" s="153"/>
      <c r="F123" s="150"/>
    </row>
    <row r="124" spans="1:6">
      <c r="A124" s="147"/>
      <c r="B124" s="148"/>
      <c r="C124" s="147"/>
      <c r="D124" s="148"/>
      <c r="E124" s="152"/>
      <c r="F124" s="150"/>
    </row>
    <row r="125" spans="1:6">
      <c r="F125" s="150"/>
    </row>
    <row r="202" spans="6:6">
      <c r="F202" s="150"/>
    </row>
    <row r="203" spans="6:6">
      <c r="F203" s="150"/>
    </row>
    <row r="204" spans="6:6">
      <c r="F204" s="150"/>
    </row>
    <row r="205" spans="6:6">
      <c r="F205" s="150"/>
    </row>
    <row r="206" spans="6:6">
      <c r="F206" s="150"/>
    </row>
    <row r="207" spans="6:6">
      <c r="F207" s="150"/>
    </row>
    <row r="208" spans="6:6">
      <c r="F208" s="150"/>
    </row>
    <row r="209" spans="6:6">
      <c r="F209" s="15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3"/>
  <sheetViews>
    <sheetView zoomScale="98" zoomScaleNormal="98" workbookViewId="0">
      <selection activeCell="D163" sqref="D163"/>
    </sheetView>
  </sheetViews>
  <sheetFormatPr baseColWidth="10" defaultColWidth="8.83203125" defaultRowHeight="15"/>
  <cols>
    <col min="1" max="1" width="14.5" style="182" customWidth="1"/>
    <col min="2" max="2" width="13.33203125" style="38" bestFit="1" customWidth="1"/>
    <col min="3" max="3" width="15.33203125" style="38" customWidth="1"/>
    <col min="4" max="4" width="15.1640625" style="38" bestFit="1" customWidth="1"/>
    <col min="5" max="5" width="10.5" style="38" bestFit="1" customWidth="1"/>
    <col min="6" max="6" width="10.5" style="38" customWidth="1"/>
    <col min="7" max="7" width="11.5" style="38" bestFit="1" customWidth="1"/>
    <col min="8" max="8" width="11.1640625" style="38" bestFit="1" customWidth="1"/>
    <col min="9" max="9" width="9" style="38" bestFit="1" customWidth="1"/>
    <col min="10" max="10" width="9.83203125" style="38" bestFit="1" customWidth="1"/>
    <col min="11" max="11" width="13.33203125" style="38" bestFit="1" customWidth="1"/>
    <col min="12" max="12" width="13.6640625" style="38" bestFit="1" customWidth="1"/>
    <col min="13" max="13" width="10.5" style="38" bestFit="1" customWidth="1"/>
    <col min="14" max="14" width="11" style="38" bestFit="1" customWidth="1"/>
    <col min="15" max="15" width="11.5" style="38" bestFit="1" customWidth="1"/>
    <col min="16" max="16" width="13.83203125" style="38" bestFit="1" customWidth="1"/>
    <col min="17" max="17" width="8.83203125" style="38"/>
    <col min="18" max="18" width="12.5" style="38" bestFit="1" customWidth="1"/>
    <col min="19" max="19" width="11.5" style="38" bestFit="1" customWidth="1"/>
    <col min="20" max="21" width="8.83203125" style="38"/>
    <col min="22" max="22" width="12.83203125" style="38" bestFit="1" customWidth="1"/>
    <col min="23" max="23" width="13.1640625" style="38" bestFit="1" customWidth="1"/>
    <col min="24" max="24" width="11.6640625" style="38" bestFit="1" customWidth="1"/>
    <col min="25" max="16384" width="8.83203125" style="38"/>
  </cols>
  <sheetData>
    <row r="1" spans="1:25">
      <c r="B1" s="133"/>
      <c r="D1" s="170" t="s">
        <v>573</v>
      </c>
      <c r="E1" s="168" t="s">
        <v>572</v>
      </c>
      <c r="F1" s="176" t="s">
        <v>571</v>
      </c>
      <c r="G1" s="168" t="s">
        <v>570</v>
      </c>
      <c r="H1" s="169" t="s">
        <v>569</v>
      </c>
      <c r="I1" s="168" t="s">
        <v>568</v>
      </c>
      <c r="J1" s="168" t="s">
        <v>567</v>
      </c>
      <c r="K1" s="168" t="s">
        <v>566</v>
      </c>
      <c r="L1" s="168" t="s">
        <v>565</v>
      </c>
      <c r="M1" s="168" t="s">
        <v>564</v>
      </c>
      <c r="N1" s="168" t="s">
        <v>563</v>
      </c>
      <c r="O1" s="168" t="s">
        <v>562</v>
      </c>
      <c r="P1" s="168" t="s">
        <v>561</v>
      </c>
      <c r="Q1" s="168" t="s">
        <v>560</v>
      </c>
      <c r="R1" s="168" t="s">
        <v>559</v>
      </c>
      <c r="S1" s="168" t="s">
        <v>558</v>
      </c>
      <c r="T1" s="168" t="s">
        <v>557</v>
      </c>
      <c r="U1" s="168" t="s">
        <v>556</v>
      </c>
      <c r="V1" s="168" t="s">
        <v>555</v>
      </c>
      <c r="W1" s="168" t="s">
        <v>554</v>
      </c>
      <c r="X1" s="167" t="s">
        <v>553</v>
      </c>
      <c r="Y1" s="133"/>
    </row>
    <row r="2" spans="1:25" ht="33" thickBot="1">
      <c r="B2" s="133"/>
      <c r="D2" s="166" t="s">
        <v>552</v>
      </c>
      <c r="E2" s="165" t="s">
        <v>552</v>
      </c>
      <c r="F2" s="177"/>
      <c r="G2" s="165" t="s">
        <v>551</v>
      </c>
      <c r="H2" s="165" t="s">
        <v>551</v>
      </c>
      <c r="I2" s="165" t="s">
        <v>550</v>
      </c>
      <c r="J2" s="165"/>
      <c r="K2" s="165" t="s">
        <v>549</v>
      </c>
      <c r="L2" s="165" t="s">
        <v>548</v>
      </c>
      <c r="M2" s="165" t="s">
        <v>545</v>
      </c>
      <c r="N2" s="165" t="s">
        <v>545</v>
      </c>
      <c r="O2" s="165" t="s">
        <v>546</v>
      </c>
      <c r="P2" s="165" t="s">
        <v>546</v>
      </c>
      <c r="Q2" s="165"/>
      <c r="R2" s="165" t="s">
        <v>547</v>
      </c>
      <c r="S2" s="165" t="s">
        <v>546</v>
      </c>
      <c r="T2" s="165" t="s">
        <v>545</v>
      </c>
      <c r="U2" s="165" t="s">
        <v>545</v>
      </c>
      <c r="V2" s="165"/>
      <c r="W2" s="165" t="s">
        <v>545</v>
      </c>
      <c r="X2" s="164" t="s">
        <v>545</v>
      </c>
    </row>
    <row r="3" spans="1:25" ht="48">
      <c r="A3" s="183" t="s">
        <v>544</v>
      </c>
      <c r="B3" s="171" t="s">
        <v>252</v>
      </c>
      <c r="C3" s="171" t="s">
        <v>543</v>
      </c>
      <c r="D3" s="174" t="s">
        <v>542</v>
      </c>
      <c r="E3" s="174" t="s">
        <v>541</v>
      </c>
      <c r="F3" s="178"/>
      <c r="G3" s="174" t="s">
        <v>534</v>
      </c>
      <c r="H3" s="174" t="s">
        <v>540</v>
      </c>
      <c r="I3" s="174"/>
      <c r="J3" s="174"/>
      <c r="K3" s="174" t="s">
        <v>539</v>
      </c>
      <c r="L3" s="174" t="s">
        <v>538</v>
      </c>
      <c r="M3" s="174" t="s">
        <v>537</v>
      </c>
      <c r="N3" s="174" t="s">
        <v>536</v>
      </c>
      <c r="O3" s="174" t="s">
        <v>534</v>
      </c>
      <c r="P3" s="174" t="s">
        <v>535</v>
      </c>
      <c r="Q3" s="174"/>
      <c r="R3" s="174" t="s">
        <v>534</v>
      </c>
      <c r="S3" s="174" t="s">
        <v>533</v>
      </c>
      <c r="T3" s="174" t="s">
        <v>532</v>
      </c>
      <c r="U3" s="174" t="s">
        <v>531</v>
      </c>
      <c r="V3" s="174"/>
      <c r="W3" s="174" t="s">
        <v>530</v>
      </c>
      <c r="X3" s="174" t="s">
        <v>529</v>
      </c>
      <c r="Y3" s="172"/>
    </row>
    <row r="4" spans="1:25" s="172" customFormat="1">
      <c r="A4" s="181" t="s">
        <v>614</v>
      </c>
      <c r="B4" s="162">
        <v>0.25</v>
      </c>
      <c r="C4" s="163">
        <v>63.8</v>
      </c>
      <c r="D4" s="173">
        <v>0.04</v>
      </c>
      <c r="E4" s="173">
        <v>0.04</v>
      </c>
      <c r="F4" s="179">
        <f t="shared" ref="F4:F35" si="0">E4/G4</f>
        <v>0.22222222222222224</v>
      </c>
      <c r="G4" s="173">
        <v>0.18</v>
      </c>
      <c r="H4" s="175">
        <v>14.6</v>
      </c>
      <c r="I4" s="173">
        <v>0.44</v>
      </c>
      <c r="J4" s="173">
        <v>346</v>
      </c>
      <c r="K4" s="173">
        <v>7</v>
      </c>
      <c r="L4" s="173">
        <v>32</v>
      </c>
      <c r="M4" s="173">
        <v>0.56000000000000005</v>
      </c>
      <c r="N4" s="173">
        <v>1.21</v>
      </c>
      <c r="O4" s="173">
        <v>0.02</v>
      </c>
      <c r="P4" s="173">
        <v>0.1</v>
      </c>
      <c r="Q4" s="173">
        <v>384</v>
      </c>
      <c r="R4" s="173">
        <v>14.69</v>
      </c>
      <c r="S4" s="173">
        <v>3.6</v>
      </c>
      <c r="T4" s="173">
        <v>0.01</v>
      </c>
      <c r="U4" s="173">
        <v>0.55000000000000004</v>
      </c>
      <c r="V4" s="173">
        <v>1264</v>
      </c>
      <c r="W4" s="173">
        <v>0.4</v>
      </c>
      <c r="X4" s="173">
        <v>0.81</v>
      </c>
      <c r="Y4" s="38"/>
    </row>
    <row r="5" spans="1:25">
      <c r="A5" s="181" t="s">
        <v>609</v>
      </c>
      <c r="B5" s="162">
        <v>0.5</v>
      </c>
      <c r="C5" s="163">
        <v>61.1</v>
      </c>
      <c r="D5" s="162">
        <v>0.09</v>
      </c>
      <c r="E5" s="162">
        <v>0.11</v>
      </c>
      <c r="F5" s="180">
        <f t="shared" si="0"/>
        <v>0.15068493150684931</v>
      </c>
      <c r="G5" s="162">
        <v>0.73</v>
      </c>
      <c r="H5" s="163">
        <v>5</v>
      </c>
      <c r="I5" s="162">
        <v>0.45</v>
      </c>
      <c r="J5" s="162">
        <v>412</v>
      </c>
      <c r="K5" s="162">
        <v>22</v>
      </c>
      <c r="L5" s="162">
        <v>149</v>
      </c>
      <c r="M5" s="162">
        <v>0.49</v>
      </c>
      <c r="N5" s="162">
        <v>0.52</v>
      </c>
      <c r="O5" s="162">
        <v>0.06</v>
      </c>
      <c r="P5" s="162">
        <v>0.2</v>
      </c>
      <c r="Q5" s="162">
        <v>450</v>
      </c>
      <c r="R5" s="162">
        <v>11.81</v>
      </c>
      <c r="S5" s="162">
        <v>3.01</v>
      </c>
      <c r="T5" s="162">
        <v>0.04</v>
      </c>
      <c r="U5" s="162">
        <v>0.45</v>
      </c>
      <c r="V5" s="162">
        <v>1264</v>
      </c>
      <c r="W5" s="162">
        <v>0.14000000000000001</v>
      </c>
      <c r="X5" s="162">
        <v>0.38</v>
      </c>
    </row>
    <row r="6" spans="1:25">
      <c r="A6" s="181" t="s">
        <v>524</v>
      </c>
      <c r="B6" s="159">
        <v>1</v>
      </c>
      <c r="C6" s="160">
        <v>85</v>
      </c>
      <c r="D6" s="158">
        <v>0.03</v>
      </c>
      <c r="E6" s="158">
        <v>0.04</v>
      </c>
      <c r="F6" s="180">
        <f t="shared" si="0"/>
        <v>0.14814814814814814</v>
      </c>
      <c r="G6" s="158">
        <v>0.27</v>
      </c>
      <c r="H6" s="159">
        <v>5.2</v>
      </c>
      <c r="I6" s="159">
        <v>0.4</v>
      </c>
      <c r="J6" s="159">
        <v>336</v>
      </c>
      <c r="K6" s="159">
        <v>11</v>
      </c>
      <c r="L6" s="159">
        <v>77</v>
      </c>
      <c r="M6" s="159">
        <v>0.35</v>
      </c>
      <c r="N6" s="159">
        <v>0.48</v>
      </c>
      <c r="O6" s="158">
        <v>0.06</v>
      </c>
      <c r="P6" s="158">
        <v>0</v>
      </c>
      <c r="Q6" s="159">
        <v>374</v>
      </c>
      <c r="R6" s="158">
        <v>7.7</v>
      </c>
      <c r="S6" s="158">
        <v>2.73</v>
      </c>
      <c r="T6" s="159">
        <v>0.02</v>
      </c>
      <c r="U6" s="158">
        <v>0.33</v>
      </c>
      <c r="V6" s="159">
        <v>1264</v>
      </c>
      <c r="W6" s="158">
        <v>0.14000000000000001</v>
      </c>
      <c r="X6" s="158">
        <v>0.34</v>
      </c>
    </row>
    <row r="7" spans="1:25">
      <c r="A7" s="181" t="s">
        <v>518</v>
      </c>
      <c r="B7" s="159">
        <v>2.2400000000000002</v>
      </c>
      <c r="C7" s="160">
        <v>86.8</v>
      </c>
      <c r="D7" s="159">
        <v>0.03</v>
      </c>
      <c r="E7" s="158">
        <v>0.04</v>
      </c>
      <c r="F7" s="180">
        <f t="shared" si="0"/>
        <v>0.33333333333333337</v>
      </c>
      <c r="G7" s="158">
        <v>0.12</v>
      </c>
      <c r="H7" s="158">
        <v>3.5</v>
      </c>
      <c r="I7" s="159">
        <v>0.41</v>
      </c>
      <c r="J7" s="159">
        <v>370</v>
      </c>
      <c r="K7" s="159">
        <v>10</v>
      </c>
      <c r="L7" s="159">
        <v>30</v>
      </c>
      <c r="M7" s="159">
        <v>0.4</v>
      </c>
      <c r="N7" s="159">
        <v>0.21</v>
      </c>
      <c r="O7" s="159">
        <v>0.05</v>
      </c>
      <c r="P7" s="158">
        <v>0</v>
      </c>
      <c r="Q7" s="159">
        <v>408</v>
      </c>
      <c r="R7" s="158">
        <v>9.3699999999999992</v>
      </c>
      <c r="S7" s="158">
        <v>3.08</v>
      </c>
      <c r="T7" s="159">
        <v>0.01</v>
      </c>
      <c r="U7" s="159">
        <v>0.39</v>
      </c>
      <c r="V7" s="159">
        <v>1264</v>
      </c>
      <c r="W7" s="158">
        <v>0.1</v>
      </c>
      <c r="X7" s="158">
        <v>0.12</v>
      </c>
    </row>
    <row r="8" spans="1:25">
      <c r="A8" s="181" t="s">
        <v>517</v>
      </c>
      <c r="B8" s="159">
        <v>2.42</v>
      </c>
      <c r="C8" s="160">
        <v>87.1</v>
      </c>
      <c r="D8" s="159">
        <v>0.04</v>
      </c>
      <c r="E8" s="158">
        <v>0.06</v>
      </c>
      <c r="F8" s="180">
        <f t="shared" si="0"/>
        <v>0.27272727272727271</v>
      </c>
      <c r="G8" s="158">
        <v>0.22</v>
      </c>
      <c r="H8" s="158">
        <v>2.9</v>
      </c>
      <c r="I8" s="159">
        <v>0.42</v>
      </c>
      <c r="J8" s="159">
        <v>373</v>
      </c>
      <c r="K8" s="159">
        <v>13</v>
      </c>
      <c r="L8" s="159">
        <v>48</v>
      </c>
      <c r="M8" s="159">
        <v>0.46</v>
      </c>
      <c r="N8" s="159">
        <v>0.27</v>
      </c>
      <c r="O8" s="159">
        <v>0.03</v>
      </c>
      <c r="P8" s="158">
        <v>0.1</v>
      </c>
      <c r="Q8" s="159">
        <v>411</v>
      </c>
      <c r="R8" s="158">
        <v>10.26</v>
      </c>
      <c r="S8" s="158">
        <v>3.73</v>
      </c>
      <c r="T8" s="159">
        <v>0.02</v>
      </c>
      <c r="U8" s="159">
        <v>0.44</v>
      </c>
      <c r="V8" s="159">
        <v>1264</v>
      </c>
      <c r="W8" s="158">
        <v>0.08</v>
      </c>
      <c r="X8" s="158">
        <v>0.19</v>
      </c>
    </row>
    <row r="9" spans="1:25">
      <c r="A9" s="181" t="s">
        <v>506</v>
      </c>
      <c r="B9" s="159">
        <v>2.87</v>
      </c>
      <c r="C9" s="160">
        <v>91.5</v>
      </c>
      <c r="D9" s="158">
        <v>0.05</v>
      </c>
      <c r="E9" s="158">
        <v>0.04</v>
      </c>
      <c r="F9" s="180">
        <f t="shared" si="0"/>
        <v>0.08</v>
      </c>
      <c r="G9" s="158">
        <v>0.5</v>
      </c>
      <c r="H9" s="159">
        <v>2.5</v>
      </c>
      <c r="I9" s="159">
        <v>0.55000000000000004</v>
      </c>
      <c r="J9" s="159">
        <v>436</v>
      </c>
      <c r="K9" s="159">
        <v>18</v>
      </c>
      <c r="L9" s="159">
        <v>227</v>
      </c>
      <c r="M9" s="159">
        <v>0.22</v>
      </c>
      <c r="N9" s="159">
        <v>0.14000000000000001</v>
      </c>
      <c r="O9" s="158">
        <v>0.04</v>
      </c>
      <c r="P9" s="158">
        <v>0.1</v>
      </c>
      <c r="Q9" s="159">
        <v>474</v>
      </c>
      <c r="R9" s="158">
        <v>5.9</v>
      </c>
      <c r="S9" s="158">
        <v>0.88</v>
      </c>
      <c r="T9" s="159">
        <v>0.02</v>
      </c>
      <c r="U9" s="158">
        <v>0.2</v>
      </c>
      <c r="V9" s="159">
        <v>1264</v>
      </c>
      <c r="W9" s="158">
        <v>7.0000000000000007E-2</v>
      </c>
      <c r="X9" s="158">
        <v>7.0000000000000007E-2</v>
      </c>
    </row>
    <row r="10" spans="1:25">
      <c r="A10" s="181" t="s">
        <v>495</v>
      </c>
      <c r="B10" s="159">
        <v>3.12</v>
      </c>
      <c r="C10" s="160">
        <v>93.8</v>
      </c>
      <c r="D10" s="158">
        <v>0.03</v>
      </c>
      <c r="E10" s="158">
        <v>0.02</v>
      </c>
      <c r="F10" s="180">
        <f t="shared" si="0"/>
        <v>7.1428571428571425E-2</v>
      </c>
      <c r="G10" s="158">
        <v>0.28000000000000003</v>
      </c>
      <c r="H10" s="159">
        <v>1.8</v>
      </c>
      <c r="I10" s="159">
        <v>0.56000000000000005</v>
      </c>
      <c r="J10" s="159">
        <v>394</v>
      </c>
      <c r="K10" s="159">
        <v>11</v>
      </c>
      <c r="L10" s="159">
        <v>156</v>
      </c>
      <c r="M10" s="159">
        <v>0.18</v>
      </c>
      <c r="N10" s="159">
        <v>0.14000000000000001</v>
      </c>
      <c r="O10" s="158">
        <v>0.02</v>
      </c>
      <c r="P10" s="158">
        <v>0</v>
      </c>
      <c r="Q10" s="159">
        <v>432</v>
      </c>
      <c r="R10" s="158">
        <v>4.1500000000000004</v>
      </c>
      <c r="S10" s="158">
        <v>1.4</v>
      </c>
      <c r="T10" s="159">
        <v>0.01</v>
      </c>
      <c r="U10" s="158">
        <v>0.17</v>
      </c>
      <c r="V10" s="159">
        <v>1264</v>
      </c>
      <c r="W10" s="158">
        <v>0.05</v>
      </c>
      <c r="X10" s="158">
        <v>0.09</v>
      </c>
    </row>
    <row r="11" spans="1:25">
      <c r="A11" s="181" t="s">
        <v>583</v>
      </c>
      <c r="B11" s="162">
        <v>3.37</v>
      </c>
      <c r="C11" s="160">
        <v>82.6</v>
      </c>
      <c r="D11" s="162">
        <v>0.05</v>
      </c>
      <c r="E11" s="162">
        <v>0.04</v>
      </c>
      <c r="F11" s="180">
        <f t="shared" si="0"/>
        <v>0.10810810810810811</v>
      </c>
      <c r="G11" s="162">
        <v>0.37</v>
      </c>
      <c r="H11" s="162">
        <v>5.7</v>
      </c>
      <c r="I11" s="162">
        <v>0.54</v>
      </c>
      <c r="J11" s="162">
        <v>401</v>
      </c>
      <c r="K11" s="162">
        <v>27</v>
      </c>
      <c r="L11" s="162">
        <v>247</v>
      </c>
      <c r="M11" s="162">
        <v>0.15</v>
      </c>
      <c r="N11" s="162">
        <v>0.38</v>
      </c>
      <c r="O11" s="162">
        <v>0.04</v>
      </c>
      <c r="P11" s="163">
        <v>0</v>
      </c>
      <c r="Q11" s="162">
        <v>439</v>
      </c>
      <c r="R11" s="162">
        <v>3.22</v>
      </c>
      <c r="S11" s="162">
        <v>0.95</v>
      </c>
      <c r="T11" s="162">
        <v>0.02</v>
      </c>
      <c r="U11" s="162">
        <v>0.13</v>
      </c>
      <c r="V11" s="159">
        <v>1264</v>
      </c>
      <c r="W11" s="162">
        <v>0.16</v>
      </c>
      <c r="X11" s="162">
        <v>0.22</v>
      </c>
    </row>
    <row r="12" spans="1:25">
      <c r="A12" s="181" t="s">
        <v>468</v>
      </c>
      <c r="B12" s="159">
        <v>4</v>
      </c>
      <c r="C12" s="159">
        <v>102.2</v>
      </c>
      <c r="D12" s="159">
        <v>0.01</v>
      </c>
      <c r="E12" s="159">
        <v>0.04</v>
      </c>
      <c r="F12" s="180">
        <f t="shared" si="0"/>
        <v>0.19047619047619049</v>
      </c>
      <c r="G12" s="159">
        <v>0.21</v>
      </c>
      <c r="H12" s="159">
        <v>3.5</v>
      </c>
      <c r="I12" s="159">
        <v>0.17</v>
      </c>
      <c r="J12" s="162">
        <v>353</v>
      </c>
      <c r="K12" s="159">
        <v>17</v>
      </c>
      <c r="L12" s="159">
        <v>88</v>
      </c>
      <c r="M12" s="159">
        <v>0.24</v>
      </c>
      <c r="N12" s="159">
        <v>0.99</v>
      </c>
      <c r="O12" s="159">
        <v>0.03</v>
      </c>
      <c r="P12" s="159">
        <v>0</v>
      </c>
      <c r="Q12" s="159">
        <v>391</v>
      </c>
      <c r="R12" s="159">
        <v>5.95</v>
      </c>
      <c r="S12" s="159">
        <v>1.66</v>
      </c>
      <c r="T12" s="161">
        <v>0.01</v>
      </c>
      <c r="U12" s="161">
        <v>0.23</v>
      </c>
      <c r="V12" s="159">
        <v>1264</v>
      </c>
      <c r="W12" s="159">
        <v>0.1</v>
      </c>
      <c r="X12" s="159">
        <v>0.9</v>
      </c>
    </row>
    <row r="13" spans="1:25">
      <c r="A13" s="181" t="s">
        <v>604</v>
      </c>
      <c r="B13" s="162">
        <v>4.3899999999999997</v>
      </c>
      <c r="C13" s="160">
        <v>88.3</v>
      </c>
      <c r="D13" s="162">
        <v>0.05</v>
      </c>
      <c r="E13" s="162">
        <v>0.04</v>
      </c>
      <c r="F13" s="180">
        <f t="shared" si="0"/>
        <v>8.5106382978723416E-2</v>
      </c>
      <c r="G13" s="162">
        <v>0.47</v>
      </c>
      <c r="H13" s="162">
        <v>19.3</v>
      </c>
      <c r="I13" s="162">
        <v>0.57999999999999996</v>
      </c>
      <c r="J13" s="162">
        <v>400</v>
      </c>
      <c r="K13" s="162">
        <v>33</v>
      </c>
      <c r="L13" s="162">
        <v>392</v>
      </c>
      <c r="M13" s="162">
        <v>0.12</v>
      </c>
      <c r="N13" s="162">
        <v>0.73</v>
      </c>
      <c r="O13" s="162">
        <v>0.12</v>
      </c>
      <c r="P13" s="163">
        <v>0</v>
      </c>
      <c r="Q13" s="162">
        <v>438</v>
      </c>
      <c r="R13" s="162">
        <v>2.33</v>
      </c>
      <c r="S13" s="162">
        <v>0.61</v>
      </c>
      <c r="T13" s="162">
        <v>0.03</v>
      </c>
      <c r="U13" s="162">
        <v>0.09</v>
      </c>
      <c r="V13" s="159">
        <v>1264</v>
      </c>
      <c r="W13" s="162">
        <v>0.53</v>
      </c>
      <c r="X13" s="162">
        <v>0.21</v>
      </c>
    </row>
    <row r="14" spans="1:25">
      <c r="A14" s="181" t="s">
        <v>461</v>
      </c>
      <c r="B14" s="159">
        <v>5</v>
      </c>
      <c r="C14" s="159">
        <v>106.7</v>
      </c>
      <c r="D14" s="159">
        <v>0.01</v>
      </c>
      <c r="E14" s="159">
        <v>0.05</v>
      </c>
      <c r="F14" s="180">
        <f t="shared" si="0"/>
        <v>0.1388888888888889</v>
      </c>
      <c r="G14" s="159">
        <v>0.36</v>
      </c>
      <c r="H14" s="159">
        <v>7.8</v>
      </c>
      <c r="I14" s="159">
        <v>0.19</v>
      </c>
      <c r="J14" s="162">
        <v>416</v>
      </c>
      <c r="K14" s="159">
        <v>26</v>
      </c>
      <c r="L14" s="159">
        <v>189</v>
      </c>
      <c r="M14" s="159">
        <v>0.19</v>
      </c>
      <c r="N14" s="159">
        <v>9.16</v>
      </c>
      <c r="O14" s="159">
        <v>0.05</v>
      </c>
      <c r="P14" s="159">
        <v>0.1</v>
      </c>
      <c r="Q14" s="159">
        <v>454</v>
      </c>
      <c r="R14" s="159">
        <v>5.5</v>
      </c>
      <c r="S14" s="159">
        <v>0.42</v>
      </c>
      <c r="T14" s="161">
        <v>0.02</v>
      </c>
      <c r="U14" s="161">
        <v>0.17</v>
      </c>
      <c r="V14" s="159">
        <v>1264</v>
      </c>
      <c r="W14" s="159">
        <v>0.21</v>
      </c>
      <c r="X14" s="159">
        <v>8.94</v>
      </c>
    </row>
    <row r="15" spans="1:25">
      <c r="A15" s="181" t="s">
        <v>508</v>
      </c>
      <c r="B15" s="159">
        <v>5.3</v>
      </c>
      <c r="C15" s="160">
        <v>90.8</v>
      </c>
      <c r="D15" s="159">
        <v>0.05</v>
      </c>
      <c r="E15" s="158">
        <v>0.04</v>
      </c>
      <c r="F15" s="180">
        <f t="shared" si="0"/>
        <v>0.13793103448275865</v>
      </c>
      <c r="G15" s="158">
        <v>0.28999999999999998</v>
      </c>
      <c r="H15" s="158">
        <v>12.4</v>
      </c>
      <c r="I15" s="159">
        <v>0.54</v>
      </c>
      <c r="J15" s="159">
        <v>461</v>
      </c>
      <c r="K15" s="159">
        <v>40</v>
      </c>
      <c r="L15" s="159">
        <v>290</v>
      </c>
      <c r="M15" s="159">
        <v>0.1</v>
      </c>
      <c r="N15" s="159">
        <v>0.57999999999999996</v>
      </c>
      <c r="O15" s="159">
        <v>0.04</v>
      </c>
      <c r="P15" s="158">
        <v>0</v>
      </c>
      <c r="Q15" s="159">
        <v>499</v>
      </c>
      <c r="R15" s="158">
        <v>2.4500000000000002</v>
      </c>
      <c r="S15" s="158">
        <v>0.26</v>
      </c>
      <c r="T15" s="159">
        <v>0.02</v>
      </c>
      <c r="U15" s="159">
        <v>0.08</v>
      </c>
      <c r="V15" s="159">
        <v>1264</v>
      </c>
      <c r="W15" s="158">
        <v>0.34</v>
      </c>
      <c r="X15" s="158">
        <v>0.24</v>
      </c>
    </row>
    <row r="16" spans="1:25">
      <c r="A16" s="181" t="s">
        <v>482</v>
      </c>
      <c r="B16" s="159">
        <v>5.46</v>
      </c>
      <c r="C16" s="160">
        <v>97.9</v>
      </c>
      <c r="D16" s="158">
        <v>0.03</v>
      </c>
      <c r="E16" s="158">
        <v>0.06</v>
      </c>
      <c r="F16" s="180">
        <f t="shared" si="0"/>
        <v>0.20689655172413793</v>
      </c>
      <c r="G16" s="158">
        <v>0.28999999999999998</v>
      </c>
      <c r="H16" s="159">
        <v>11.3</v>
      </c>
      <c r="I16" s="159">
        <v>0.31</v>
      </c>
      <c r="J16" s="159">
        <v>610</v>
      </c>
      <c r="K16" s="159">
        <v>40</v>
      </c>
      <c r="L16" s="159">
        <v>193</v>
      </c>
      <c r="M16" s="159">
        <v>0.15</v>
      </c>
      <c r="N16" s="159">
        <v>3.69</v>
      </c>
      <c r="O16" s="158">
        <v>0.04</v>
      </c>
      <c r="P16" s="158">
        <v>0</v>
      </c>
      <c r="Q16" s="159">
        <v>648</v>
      </c>
      <c r="R16" s="158">
        <v>4.51</v>
      </c>
      <c r="S16" s="158">
        <v>0.3</v>
      </c>
      <c r="T16" s="159">
        <v>0.02</v>
      </c>
      <c r="U16" s="158">
        <v>0.13</v>
      </c>
      <c r="V16" s="159">
        <v>1264</v>
      </c>
      <c r="W16" s="158">
        <v>0.31</v>
      </c>
      <c r="X16" s="158">
        <v>3.38</v>
      </c>
    </row>
    <row r="17" spans="1:25">
      <c r="A17" s="181" t="s">
        <v>576</v>
      </c>
      <c r="B17" s="162">
        <v>5.56</v>
      </c>
      <c r="C17" s="160">
        <v>81.099999999999994</v>
      </c>
      <c r="D17" s="162">
        <v>0.05</v>
      </c>
      <c r="E17" s="162">
        <v>0.05</v>
      </c>
      <c r="F17" s="180">
        <f t="shared" si="0"/>
        <v>0.125</v>
      </c>
      <c r="G17" s="162">
        <v>0.4</v>
      </c>
      <c r="H17" s="162">
        <v>12.8</v>
      </c>
      <c r="I17" s="162">
        <v>0.51</v>
      </c>
      <c r="J17" s="162">
        <v>338</v>
      </c>
      <c r="K17" s="162">
        <v>36</v>
      </c>
      <c r="L17" s="162">
        <v>286</v>
      </c>
      <c r="M17" s="162">
        <v>0.14000000000000001</v>
      </c>
      <c r="N17" s="162">
        <v>1.19</v>
      </c>
      <c r="O17" s="162">
        <v>0.1</v>
      </c>
      <c r="P17" s="163">
        <v>0.1</v>
      </c>
      <c r="Q17" s="162">
        <v>376</v>
      </c>
      <c r="R17" s="162">
        <v>3.43</v>
      </c>
      <c r="S17" s="162">
        <v>0.56000000000000005</v>
      </c>
      <c r="T17" s="162">
        <v>0.03</v>
      </c>
      <c r="U17" s="162">
        <v>0.11</v>
      </c>
      <c r="V17" s="159">
        <v>1264</v>
      </c>
      <c r="W17" s="162">
        <v>0.35</v>
      </c>
      <c r="X17" s="162">
        <v>0.83</v>
      </c>
    </row>
    <row r="18" spans="1:25">
      <c r="A18" s="181" t="s">
        <v>519</v>
      </c>
      <c r="B18" s="159">
        <v>5.89</v>
      </c>
      <c r="C18" s="160">
        <v>86.6</v>
      </c>
      <c r="D18" s="159">
        <v>0.08</v>
      </c>
      <c r="E18" s="158">
        <v>0.09</v>
      </c>
      <c r="F18" s="180">
        <f t="shared" si="0"/>
        <v>0.17307692307692307</v>
      </c>
      <c r="G18" s="158">
        <v>0.52</v>
      </c>
      <c r="H18" s="158">
        <v>5.3</v>
      </c>
      <c r="I18" s="159">
        <v>0.47</v>
      </c>
      <c r="J18" s="159">
        <v>405</v>
      </c>
      <c r="K18" s="159">
        <v>20</v>
      </c>
      <c r="L18" s="159">
        <v>118</v>
      </c>
      <c r="M18" s="159">
        <v>0.44</v>
      </c>
      <c r="N18" s="159">
        <v>0.34</v>
      </c>
      <c r="O18" s="159">
        <v>0.15</v>
      </c>
      <c r="P18" s="158">
        <v>0.1</v>
      </c>
      <c r="Q18" s="159">
        <v>443</v>
      </c>
      <c r="R18" s="158">
        <v>10.09</v>
      </c>
      <c r="S18" s="158">
        <v>2.72</v>
      </c>
      <c r="T18" s="159">
        <v>0.04</v>
      </c>
      <c r="U18" s="159">
        <v>0.4</v>
      </c>
      <c r="V18" s="159">
        <v>1264</v>
      </c>
      <c r="W18" s="158">
        <v>0.15</v>
      </c>
      <c r="X18" s="158">
        <v>0.2</v>
      </c>
    </row>
    <row r="19" spans="1:25">
      <c r="A19" s="181" t="s">
        <v>477</v>
      </c>
      <c r="B19" s="159">
        <v>6</v>
      </c>
      <c r="C19" s="159">
        <v>100.9</v>
      </c>
      <c r="D19" s="159">
        <v>0.02</v>
      </c>
      <c r="E19" s="159">
        <v>0.05</v>
      </c>
      <c r="F19" s="180">
        <f t="shared" si="0"/>
        <v>0.16129032258064518</v>
      </c>
      <c r="G19" s="159">
        <v>0.31</v>
      </c>
      <c r="H19" s="159">
        <v>3.9</v>
      </c>
      <c r="I19" s="159">
        <v>0.33</v>
      </c>
      <c r="J19" s="162">
        <v>400</v>
      </c>
      <c r="K19" s="159">
        <v>6</v>
      </c>
      <c r="L19" s="159">
        <v>36</v>
      </c>
      <c r="M19" s="159">
        <v>0.87</v>
      </c>
      <c r="N19" s="159">
        <v>2.46</v>
      </c>
      <c r="O19" s="159">
        <v>0.73</v>
      </c>
      <c r="P19" s="159">
        <v>0.5</v>
      </c>
      <c r="Q19" s="159">
        <v>438</v>
      </c>
      <c r="R19" s="159">
        <v>22.14</v>
      </c>
      <c r="S19" s="159">
        <v>4.92</v>
      </c>
      <c r="T19" s="161">
        <v>0.06</v>
      </c>
      <c r="U19" s="161">
        <v>0.81</v>
      </c>
      <c r="V19" s="159">
        <v>1264</v>
      </c>
      <c r="W19" s="159">
        <v>0.12</v>
      </c>
      <c r="X19" s="159">
        <v>2.35</v>
      </c>
    </row>
    <row r="20" spans="1:25">
      <c r="A20" s="181" t="s">
        <v>639</v>
      </c>
      <c r="B20" s="162">
        <v>6.29</v>
      </c>
      <c r="C20" s="163">
        <v>73.7</v>
      </c>
      <c r="D20" s="162">
        <v>0.03</v>
      </c>
      <c r="E20" s="162">
        <v>0.04</v>
      </c>
      <c r="F20" s="180">
        <f t="shared" si="0"/>
        <v>0.2857142857142857</v>
      </c>
      <c r="G20" s="162">
        <v>0.14000000000000001</v>
      </c>
      <c r="H20" s="163">
        <v>7</v>
      </c>
      <c r="I20" s="162">
        <v>0.45</v>
      </c>
      <c r="J20" s="162">
        <v>456</v>
      </c>
      <c r="K20" s="162">
        <v>17</v>
      </c>
      <c r="L20" s="162">
        <v>61</v>
      </c>
      <c r="M20" s="162">
        <v>0.23</v>
      </c>
      <c r="N20" s="162">
        <v>0.55000000000000004</v>
      </c>
      <c r="O20" s="162">
        <v>0.02</v>
      </c>
      <c r="P20" s="162">
        <v>0</v>
      </c>
      <c r="Q20" s="162">
        <v>494</v>
      </c>
      <c r="R20" s="162">
        <v>5.4</v>
      </c>
      <c r="S20" s="162">
        <v>1.71</v>
      </c>
      <c r="T20" s="162">
        <v>0.01</v>
      </c>
      <c r="U20" s="162">
        <v>0.22</v>
      </c>
      <c r="V20" s="162">
        <v>1264</v>
      </c>
      <c r="W20" s="162">
        <v>0.19</v>
      </c>
      <c r="X20" s="162">
        <v>0.36</v>
      </c>
    </row>
    <row r="21" spans="1:25">
      <c r="A21" s="181" t="s">
        <v>593</v>
      </c>
      <c r="B21" s="162">
        <v>6.29</v>
      </c>
      <c r="C21" s="160">
        <v>84.4</v>
      </c>
      <c r="D21" s="162">
        <v>0.05</v>
      </c>
      <c r="E21" s="162">
        <v>0.06</v>
      </c>
      <c r="F21" s="180">
        <f t="shared" si="0"/>
        <v>0.16216216216216217</v>
      </c>
      <c r="G21" s="162">
        <v>0.37</v>
      </c>
      <c r="H21" s="162">
        <v>3.7</v>
      </c>
      <c r="I21" s="162">
        <v>0.48</v>
      </c>
      <c r="J21" s="162">
        <v>487</v>
      </c>
      <c r="K21" s="162">
        <v>33</v>
      </c>
      <c r="L21" s="162">
        <v>206</v>
      </c>
      <c r="M21" s="162">
        <v>0.18</v>
      </c>
      <c r="N21" s="162">
        <v>0.43</v>
      </c>
      <c r="O21" s="162">
        <v>0.03</v>
      </c>
      <c r="P21" s="163">
        <v>0</v>
      </c>
      <c r="Q21" s="162">
        <v>525</v>
      </c>
      <c r="R21" s="162">
        <v>4.53</v>
      </c>
      <c r="S21" s="162">
        <v>0.91</v>
      </c>
      <c r="T21" s="162">
        <v>0.02</v>
      </c>
      <c r="U21" s="162">
        <v>0.16</v>
      </c>
      <c r="V21" s="159">
        <v>1264</v>
      </c>
      <c r="W21" s="162">
        <v>0.1</v>
      </c>
      <c r="X21" s="162">
        <v>0.33</v>
      </c>
    </row>
    <row r="22" spans="1:25">
      <c r="A22" s="181" t="s">
        <v>481</v>
      </c>
      <c r="B22" s="159">
        <v>7</v>
      </c>
      <c r="C22" s="159">
        <v>98.4</v>
      </c>
      <c r="D22" s="159">
        <v>0.01</v>
      </c>
      <c r="E22" s="159">
        <v>0.03</v>
      </c>
      <c r="F22" s="180">
        <f t="shared" si="0"/>
        <v>0.13043478260869565</v>
      </c>
      <c r="G22" s="159">
        <v>0.23</v>
      </c>
      <c r="H22" s="159">
        <v>3.4</v>
      </c>
      <c r="I22" s="159">
        <v>0.19</v>
      </c>
      <c r="J22" s="162">
        <v>414</v>
      </c>
      <c r="K22" s="159">
        <v>6</v>
      </c>
      <c r="L22" s="159">
        <v>46</v>
      </c>
      <c r="M22" s="159">
        <v>0.5</v>
      </c>
      <c r="N22" s="159">
        <v>0.82</v>
      </c>
      <c r="O22" s="159">
        <v>0.03</v>
      </c>
      <c r="P22" s="159">
        <v>0</v>
      </c>
      <c r="Q22" s="159">
        <v>452</v>
      </c>
      <c r="R22" s="159">
        <v>12.33</v>
      </c>
      <c r="S22" s="159">
        <v>3.49</v>
      </c>
      <c r="T22" s="161">
        <v>0.01</v>
      </c>
      <c r="U22" s="161">
        <v>0.49</v>
      </c>
      <c r="V22" s="159">
        <v>1264</v>
      </c>
      <c r="W22" s="159">
        <v>0.09</v>
      </c>
      <c r="X22" s="159">
        <v>0.73</v>
      </c>
    </row>
    <row r="23" spans="1:25">
      <c r="A23" s="181" t="s">
        <v>619</v>
      </c>
      <c r="B23" s="162">
        <v>7.77</v>
      </c>
      <c r="C23" s="163">
        <v>64.7</v>
      </c>
      <c r="D23" s="162">
        <v>0.04</v>
      </c>
      <c r="E23" s="162">
        <v>0.05</v>
      </c>
      <c r="F23" s="180">
        <f t="shared" si="0"/>
        <v>0.17241379310344829</v>
      </c>
      <c r="G23" s="162">
        <v>0.28999999999999998</v>
      </c>
      <c r="H23" s="163">
        <v>6.6</v>
      </c>
      <c r="I23" s="162">
        <v>0.47</v>
      </c>
      <c r="J23" s="162">
        <v>362</v>
      </c>
      <c r="K23" s="162">
        <v>19</v>
      </c>
      <c r="L23" s="162">
        <v>112</v>
      </c>
      <c r="M23" s="162">
        <v>0.26</v>
      </c>
      <c r="N23" s="162">
        <v>1.08</v>
      </c>
      <c r="O23" s="162">
        <v>0.05</v>
      </c>
      <c r="P23" s="162">
        <v>0</v>
      </c>
      <c r="Q23" s="162">
        <v>400</v>
      </c>
      <c r="R23" s="162">
        <v>6.88</v>
      </c>
      <c r="S23" s="162">
        <v>1.24</v>
      </c>
      <c r="T23" s="162">
        <v>0.02</v>
      </c>
      <c r="U23" s="162">
        <v>0.24</v>
      </c>
      <c r="V23" s="162">
        <v>1264</v>
      </c>
      <c r="W23" s="162">
        <v>0.18</v>
      </c>
      <c r="X23" s="162">
        <v>0.9</v>
      </c>
    </row>
    <row r="24" spans="1:25">
      <c r="A24" s="181" t="s">
        <v>479</v>
      </c>
      <c r="B24" s="159">
        <v>8</v>
      </c>
      <c r="C24" s="159">
        <v>99.7</v>
      </c>
      <c r="D24" s="159">
        <v>0.01</v>
      </c>
      <c r="E24" s="159">
        <v>0.04</v>
      </c>
      <c r="F24" s="180">
        <f t="shared" si="0"/>
        <v>7.2727272727272724E-2</v>
      </c>
      <c r="G24" s="159">
        <v>0.55000000000000004</v>
      </c>
      <c r="H24" s="159">
        <v>1.7</v>
      </c>
      <c r="I24" s="159">
        <v>0.21</v>
      </c>
      <c r="J24" s="162">
        <v>346</v>
      </c>
      <c r="K24" s="159">
        <v>9</v>
      </c>
      <c r="L24" s="159">
        <v>122</v>
      </c>
      <c r="M24" s="159">
        <v>0.45</v>
      </c>
      <c r="N24" s="159">
        <v>0.27</v>
      </c>
      <c r="O24" s="159">
        <v>0.05</v>
      </c>
      <c r="P24" s="159">
        <v>0</v>
      </c>
      <c r="Q24" s="159">
        <v>384</v>
      </c>
      <c r="R24" s="159">
        <v>11.85</v>
      </c>
      <c r="S24" s="159">
        <v>2.66</v>
      </c>
      <c r="T24" s="161">
        <v>0.02</v>
      </c>
      <c r="U24" s="161">
        <v>0.43</v>
      </c>
      <c r="V24" s="159">
        <v>1264</v>
      </c>
      <c r="W24" s="159">
        <v>0.05</v>
      </c>
      <c r="X24" s="159">
        <v>0.22</v>
      </c>
    </row>
    <row r="25" spans="1:25">
      <c r="A25" s="181" t="s">
        <v>597</v>
      </c>
      <c r="B25" s="162">
        <v>8.1</v>
      </c>
      <c r="C25" s="160">
        <v>85.2</v>
      </c>
      <c r="D25" s="162">
        <v>0.04</v>
      </c>
      <c r="E25" s="162">
        <v>0.05</v>
      </c>
      <c r="F25" s="180">
        <f t="shared" si="0"/>
        <v>0.2</v>
      </c>
      <c r="G25" s="162">
        <v>0.25</v>
      </c>
      <c r="H25" s="162">
        <v>4.3</v>
      </c>
      <c r="I25" s="162">
        <v>0.45</v>
      </c>
      <c r="J25" s="162">
        <v>479</v>
      </c>
      <c r="K25" s="162">
        <v>17</v>
      </c>
      <c r="L25" s="162">
        <v>83</v>
      </c>
      <c r="M25" s="162">
        <v>0.3</v>
      </c>
      <c r="N25" s="162">
        <v>0.82</v>
      </c>
      <c r="O25" s="162">
        <v>0.04</v>
      </c>
      <c r="P25" s="163">
        <v>0</v>
      </c>
      <c r="Q25" s="162">
        <v>517</v>
      </c>
      <c r="R25" s="162">
        <v>7.29</v>
      </c>
      <c r="S25" s="162">
        <v>1.86</v>
      </c>
      <c r="T25" s="162">
        <v>0.02</v>
      </c>
      <c r="U25" s="162">
        <v>0.28000000000000003</v>
      </c>
      <c r="V25" s="159">
        <v>1264</v>
      </c>
      <c r="W25" s="162">
        <v>0.12</v>
      </c>
      <c r="X25" s="162">
        <v>0.71</v>
      </c>
    </row>
    <row r="26" spans="1:25">
      <c r="A26" s="181" t="s">
        <v>636</v>
      </c>
      <c r="B26" s="162">
        <v>8.36</v>
      </c>
      <c r="C26" s="163">
        <v>70.3</v>
      </c>
      <c r="D26" s="162">
        <v>0.05</v>
      </c>
      <c r="E26" s="162">
        <v>0.05</v>
      </c>
      <c r="F26" s="180">
        <f t="shared" si="0"/>
        <v>0.23809523809523811</v>
      </c>
      <c r="G26" s="162">
        <v>0.21</v>
      </c>
      <c r="H26" s="163">
        <v>2.1</v>
      </c>
      <c r="I26" s="162">
        <v>0.51</v>
      </c>
      <c r="J26" s="162">
        <v>452</v>
      </c>
      <c r="K26" s="162">
        <v>23</v>
      </c>
      <c r="L26" s="162">
        <v>95</v>
      </c>
      <c r="M26" s="162">
        <v>0.22</v>
      </c>
      <c r="N26" s="162">
        <v>0.37</v>
      </c>
      <c r="O26" s="162">
        <v>0.04</v>
      </c>
      <c r="P26" s="162">
        <v>0</v>
      </c>
      <c r="Q26" s="162">
        <v>490</v>
      </c>
      <c r="R26" s="162">
        <v>4.96</v>
      </c>
      <c r="S26" s="162">
        <v>1.43</v>
      </c>
      <c r="T26" s="162">
        <v>0.02</v>
      </c>
      <c r="U26" s="162">
        <v>0.2</v>
      </c>
      <c r="V26" s="162">
        <v>1264</v>
      </c>
      <c r="W26" s="162">
        <v>0.06</v>
      </c>
      <c r="X26" s="162">
        <v>0.31</v>
      </c>
      <c r="Y26" s="133"/>
    </row>
    <row r="27" spans="1:25">
      <c r="A27" s="181" t="s">
        <v>640</v>
      </c>
      <c r="B27" s="162">
        <v>8.56</v>
      </c>
      <c r="C27" s="163">
        <v>73.8</v>
      </c>
      <c r="D27" s="162">
        <v>0.03</v>
      </c>
      <c r="E27" s="162">
        <v>0.05</v>
      </c>
      <c r="F27" s="180">
        <f t="shared" si="0"/>
        <v>0.27777777777777779</v>
      </c>
      <c r="G27" s="162">
        <v>0.18</v>
      </c>
      <c r="H27" s="163">
        <v>1.2</v>
      </c>
      <c r="I27" s="162">
        <v>0.41</v>
      </c>
      <c r="J27" s="162">
        <v>494</v>
      </c>
      <c r="K27" s="162">
        <v>31</v>
      </c>
      <c r="L27" s="162">
        <v>112</v>
      </c>
      <c r="M27" s="162">
        <v>0.16</v>
      </c>
      <c r="N27" s="162">
        <v>0.13</v>
      </c>
      <c r="O27" s="162">
        <v>0.02</v>
      </c>
      <c r="P27" s="162">
        <v>0</v>
      </c>
      <c r="Q27" s="162">
        <v>532</v>
      </c>
      <c r="R27" s="162">
        <v>4.3499999999999996</v>
      </c>
      <c r="S27" s="162">
        <v>0.64</v>
      </c>
      <c r="T27" s="162">
        <v>0.01</v>
      </c>
      <c r="U27" s="162">
        <v>0.15</v>
      </c>
      <c r="V27" s="162">
        <v>1264</v>
      </c>
      <c r="W27" s="162">
        <v>0.03</v>
      </c>
      <c r="X27" s="162">
        <v>0.1</v>
      </c>
    </row>
    <row r="28" spans="1:25">
      <c r="A28" s="181" t="s">
        <v>606</v>
      </c>
      <c r="B28" s="162">
        <v>8.7799999999999994</v>
      </c>
      <c r="C28" s="160">
        <v>88.7</v>
      </c>
      <c r="D28" s="162">
        <v>0.02</v>
      </c>
      <c r="E28" s="162">
        <v>0.03</v>
      </c>
      <c r="F28" s="180">
        <f t="shared" si="0"/>
        <v>0.23076923076923075</v>
      </c>
      <c r="G28" s="162">
        <v>0.13</v>
      </c>
      <c r="H28" s="162">
        <v>3.7</v>
      </c>
      <c r="I28" s="162">
        <v>0.33</v>
      </c>
      <c r="J28" s="162">
        <v>342</v>
      </c>
      <c r="K28" s="162">
        <v>5</v>
      </c>
      <c r="L28" s="162">
        <v>24</v>
      </c>
      <c r="M28" s="162">
        <v>0.55000000000000004</v>
      </c>
      <c r="N28" s="162">
        <v>0.27</v>
      </c>
      <c r="O28" s="162">
        <v>0.02</v>
      </c>
      <c r="P28" s="163">
        <v>0</v>
      </c>
      <c r="Q28" s="162">
        <v>380</v>
      </c>
      <c r="R28" s="162">
        <v>13.21</v>
      </c>
      <c r="S28" s="162">
        <v>4.3099999999999996</v>
      </c>
      <c r="T28" s="162">
        <v>0.01</v>
      </c>
      <c r="U28" s="162">
        <v>0.54</v>
      </c>
      <c r="V28" s="159">
        <v>1264</v>
      </c>
      <c r="W28" s="162">
        <v>0.1</v>
      </c>
      <c r="X28" s="162">
        <v>0.17</v>
      </c>
    </row>
    <row r="29" spans="1:25">
      <c r="A29" s="181" t="s">
        <v>476</v>
      </c>
      <c r="B29" s="159">
        <v>9</v>
      </c>
      <c r="C29" s="160">
        <v>101</v>
      </c>
      <c r="D29" s="159">
        <v>0.02</v>
      </c>
      <c r="E29" s="159">
        <v>0.25</v>
      </c>
      <c r="F29" s="180">
        <f t="shared" si="0"/>
        <v>0.23364485981308411</v>
      </c>
      <c r="G29" s="159">
        <v>1.07</v>
      </c>
      <c r="H29" s="159">
        <v>3</v>
      </c>
      <c r="I29" s="159">
        <v>0.08</v>
      </c>
      <c r="J29" s="162">
        <v>364</v>
      </c>
      <c r="K29" s="159">
        <v>29</v>
      </c>
      <c r="L29" s="159">
        <v>124</v>
      </c>
      <c r="M29" s="159">
        <v>0.86</v>
      </c>
      <c r="N29" s="159">
        <v>1.18</v>
      </c>
      <c r="O29" s="159">
        <v>0.14000000000000001</v>
      </c>
      <c r="P29" s="159">
        <v>0.2</v>
      </c>
      <c r="Q29" s="159">
        <v>402</v>
      </c>
      <c r="R29" s="159">
        <v>23.61</v>
      </c>
      <c r="S29" s="159">
        <v>3.82</v>
      </c>
      <c r="T29" s="161">
        <v>0.06</v>
      </c>
      <c r="U29" s="161">
        <v>0.8</v>
      </c>
      <c r="V29" s="159">
        <v>1264</v>
      </c>
      <c r="W29" s="159">
        <v>0.09</v>
      </c>
      <c r="X29" s="159">
        <v>1.1000000000000001</v>
      </c>
    </row>
    <row r="30" spans="1:25">
      <c r="A30" s="181" t="s">
        <v>641</v>
      </c>
      <c r="B30" s="162">
        <v>9.41</v>
      </c>
      <c r="C30" s="163">
        <v>74.400000000000006</v>
      </c>
      <c r="D30" s="162">
        <v>7.0000000000000007E-2</v>
      </c>
      <c r="E30" s="162">
        <v>0.06</v>
      </c>
      <c r="F30" s="180">
        <f t="shared" si="0"/>
        <v>0.20689655172413793</v>
      </c>
      <c r="G30" s="162">
        <v>0.28999999999999998</v>
      </c>
      <c r="H30" s="163">
        <v>1.7</v>
      </c>
      <c r="I30" s="162">
        <v>0.53</v>
      </c>
      <c r="J30" s="162">
        <v>485</v>
      </c>
      <c r="K30" s="162">
        <v>16</v>
      </c>
      <c r="L30" s="162">
        <v>78</v>
      </c>
      <c r="M30" s="162">
        <v>0.37</v>
      </c>
      <c r="N30" s="162">
        <v>0.37</v>
      </c>
      <c r="O30" s="162">
        <v>0.05</v>
      </c>
      <c r="P30" s="162">
        <v>0</v>
      </c>
      <c r="Q30" s="162">
        <v>523</v>
      </c>
      <c r="R30" s="162">
        <v>8.8000000000000007</v>
      </c>
      <c r="S30" s="162">
        <v>2.58</v>
      </c>
      <c r="T30" s="162">
        <v>0.02</v>
      </c>
      <c r="U30" s="162">
        <v>0.35</v>
      </c>
      <c r="V30" s="162">
        <v>1264</v>
      </c>
      <c r="W30" s="162">
        <v>0.05</v>
      </c>
      <c r="X30" s="162">
        <v>0.33</v>
      </c>
    </row>
    <row r="31" spans="1:25">
      <c r="A31" s="181" t="s">
        <v>623</v>
      </c>
      <c r="B31" s="162">
        <v>9.5399999999999991</v>
      </c>
      <c r="C31" s="163">
        <v>65.5</v>
      </c>
      <c r="D31" s="162">
        <v>0.08</v>
      </c>
      <c r="E31" s="162">
        <v>0.12</v>
      </c>
      <c r="F31" s="180">
        <f t="shared" si="0"/>
        <v>0.42857142857142849</v>
      </c>
      <c r="G31" s="162">
        <v>0.28000000000000003</v>
      </c>
      <c r="H31" s="163">
        <v>4.8</v>
      </c>
      <c r="I31" s="162">
        <v>0.4</v>
      </c>
      <c r="J31" s="162">
        <v>480</v>
      </c>
      <c r="K31" s="162">
        <v>63</v>
      </c>
      <c r="L31" s="162">
        <v>147</v>
      </c>
      <c r="M31" s="162">
        <v>0.19</v>
      </c>
      <c r="N31" s="162">
        <v>7.69</v>
      </c>
      <c r="O31" s="162">
        <v>7.0000000000000007E-2</v>
      </c>
      <c r="P31" s="162">
        <v>0.1</v>
      </c>
      <c r="Q31" s="162">
        <v>518</v>
      </c>
      <c r="R31" s="162">
        <v>5.1100000000000003</v>
      </c>
      <c r="S31" s="162">
        <v>0.48</v>
      </c>
      <c r="T31" s="162">
        <v>0.03</v>
      </c>
      <c r="U31" s="162">
        <v>0.16</v>
      </c>
      <c r="V31" s="162">
        <v>1264</v>
      </c>
      <c r="W31" s="162">
        <v>0.13</v>
      </c>
      <c r="X31" s="162">
        <v>7.55</v>
      </c>
    </row>
    <row r="32" spans="1:25">
      <c r="A32" s="181" t="s">
        <v>626</v>
      </c>
      <c r="B32" s="162">
        <v>9.75</v>
      </c>
      <c r="C32" s="163">
        <v>65.599999999999994</v>
      </c>
      <c r="D32" s="162">
        <v>0.04</v>
      </c>
      <c r="E32" s="162">
        <v>0.04</v>
      </c>
      <c r="F32" s="180">
        <f t="shared" si="0"/>
        <v>0.15384615384615385</v>
      </c>
      <c r="G32" s="162">
        <v>0.26</v>
      </c>
      <c r="H32" s="163">
        <v>6.6</v>
      </c>
      <c r="I32" s="162">
        <v>0.47</v>
      </c>
      <c r="J32" s="162">
        <v>381</v>
      </c>
      <c r="K32" s="162">
        <v>8</v>
      </c>
      <c r="L32" s="162">
        <v>49</v>
      </c>
      <c r="M32" s="162">
        <v>0.53</v>
      </c>
      <c r="N32" s="162">
        <v>3.59</v>
      </c>
      <c r="O32" s="162">
        <v>0.02</v>
      </c>
      <c r="P32" s="162">
        <v>0</v>
      </c>
      <c r="Q32" s="162">
        <v>419</v>
      </c>
      <c r="R32" s="162">
        <v>14.06</v>
      </c>
      <c r="S32" s="162">
        <v>3.21</v>
      </c>
      <c r="T32" s="162">
        <v>0.01</v>
      </c>
      <c r="U32" s="162">
        <v>0.52</v>
      </c>
      <c r="V32" s="162">
        <v>1264</v>
      </c>
      <c r="W32" s="162">
        <v>0.18</v>
      </c>
      <c r="X32" s="162">
        <v>3.41</v>
      </c>
    </row>
    <row r="33" spans="1:24">
      <c r="A33" s="181" t="s">
        <v>463</v>
      </c>
      <c r="B33" s="159">
        <v>10</v>
      </c>
      <c r="C33" s="159">
        <v>105.2</v>
      </c>
      <c r="D33" s="159">
        <v>0.01</v>
      </c>
      <c r="E33" s="159">
        <v>0.04</v>
      </c>
      <c r="F33" s="180">
        <f t="shared" si="0"/>
        <v>9.7560975609756101E-2</v>
      </c>
      <c r="G33" s="159">
        <v>0.41</v>
      </c>
      <c r="H33" s="159">
        <v>3.8</v>
      </c>
      <c r="I33" s="159">
        <v>0.18</v>
      </c>
      <c r="J33" s="162">
        <v>406</v>
      </c>
      <c r="K33" s="159">
        <v>19</v>
      </c>
      <c r="L33" s="159">
        <v>195</v>
      </c>
      <c r="M33" s="159">
        <v>0.21</v>
      </c>
      <c r="N33" s="159">
        <v>6.11</v>
      </c>
      <c r="O33" s="159">
        <v>0.13</v>
      </c>
      <c r="P33" s="159">
        <v>0.1</v>
      </c>
      <c r="Q33" s="159">
        <v>444</v>
      </c>
      <c r="R33" s="159">
        <v>5.97</v>
      </c>
      <c r="S33" s="159">
        <v>0.79</v>
      </c>
      <c r="T33" s="161">
        <v>0.02</v>
      </c>
      <c r="U33" s="161">
        <v>0.19</v>
      </c>
      <c r="V33" s="159">
        <v>1264</v>
      </c>
      <c r="W33" s="159">
        <v>0.11</v>
      </c>
      <c r="X33" s="159">
        <v>6</v>
      </c>
    </row>
    <row r="34" spans="1:24">
      <c r="A34" s="181" t="s">
        <v>634</v>
      </c>
      <c r="B34" s="162">
        <v>10.41</v>
      </c>
      <c r="C34" s="163">
        <v>69.3</v>
      </c>
      <c r="D34" s="162">
        <v>0.02</v>
      </c>
      <c r="E34" s="162">
        <v>0.03</v>
      </c>
      <c r="F34" s="180">
        <f t="shared" si="0"/>
        <v>0.1764705882352941</v>
      </c>
      <c r="G34" s="162">
        <v>0.17</v>
      </c>
      <c r="H34" s="163">
        <v>6.2</v>
      </c>
      <c r="I34" s="162">
        <v>0.45</v>
      </c>
      <c r="J34" s="162">
        <v>430</v>
      </c>
      <c r="K34" s="162">
        <v>9</v>
      </c>
      <c r="L34" s="162">
        <v>49</v>
      </c>
      <c r="M34" s="162">
        <v>0.35</v>
      </c>
      <c r="N34" s="162">
        <v>1.06</v>
      </c>
      <c r="O34" s="162">
        <v>0.01</v>
      </c>
      <c r="P34" s="162">
        <v>0</v>
      </c>
      <c r="Q34" s="162">
        <v>468</v>
      </c>
      <c r="R34" s="162">
        <v>8.69</v>
      </c>
      <c r="S34" s="162">
        <v>2.2200000000000002</v>
      </c>
      <c r="T34" s="162">
        <v>0.01</v>
      </c>
      <c r="U34" s="162">
        <v>0.34</v>
      </c>
      <c r="V34" s="162">
        <v>1264</v>
      </c>
      <c r="W34" s="162">
        <v>0.17</v>
      </c>
      <c r="X34" s="162">
        <v>0.89</v>
      </c>
    </row>
    <row r="35" spans="1:24">
      <c r="A35" s="181" t="s">
        <v>585</v>
      </c>
      <c r="B35" s="162">
        <v>10.52</v>
      </c>
      <c r="C35" s="160">
        <v>82.8</v>
      </c>
      <c r="D35" s="162">
        <v>0.05</v>
      </c>
      <c r="E35" s="162">
        <v>0.05</v>
      </c>
      <c r="F35" s="180">
        <f t="shared" si="0"/>
        <v>7.0422535211267609E-2</v>
      </c>
      <c r="G35" s="162">
        <v>0.71</v>
      </c>
      <c r="H35" s="162">
        <v>1.2</v>
      </c>
      <c r="I35" s="162">
        <v>0.48</v>
      </c>
      <c r="J35" s="162">
        <v>491</v>
      </c>
      <c r="K35" s="162">
        <v>7</v>
      </c>
      <c r="L35" s="162">
        <v>106</v>
      </c>
      <c r="M35" s="162">
        <v>0.67</v>
      </c>
      <c r="N35" s="162">
        <v>0.04</v>
      </c>
      <c r="O35" s="162">
        <v>0.05</v>
      </c>
      <c r="P35" s="163">
        <v>0.1</v>
      </c>
      <c r="Q35" s="162">
        <v>529</v>
      </c>
      <c r="R35" s="162">
        <v>18.059999999999999</v>
      </c>
      <c r="S35" s="162">
        <v>3.51</v>
      </c>
      <c r="T35" s="162">
        <v>0.03</v>
      </c>
      <c r="U35" s="162">
        <v>0.64</v>
      </c>
      <c r="V35" s="159">
        <v>1264</v>
      </c>
      <c r="W35" s="162">
        <v>0.03</v>
      </c>
      <c r="X35" s="162">
        <v>0.01</v>
      </c>
    </row>
    <row r="36" spans="1:24">
      <c r="A36" s="181" t="s">
        <v>632</v>
      </c>
      <c r="B36" s="162">
        <v>10.72</v>
      </c>
      <c r="C36" s="163">
        <v>67.900000000000006</v>
      </c>
      <c r="D36" s="162">
        <v>0.02</v>
      </c>
      <c r="E36" s="162">
        <v>0.03</v>
      </c>
      <c r="F36" s="180">
        <f t="shared" ref="F36:F67" si="1">E36/G36</f>
        <v>7.8947368421052627E-2</v>
      </c>
      <c r="G36" s="162">
        <v>0.38</v>
      </c>
      <c r="H36" s="163">
        <v>2.1</v>
      </c>
      <c r="I36" s="162">
        <v>0.38</v>
      </c>
      <c r="J36" s="162">
        <v>500</v>
      </c>
      <c r="K36" s="162">
        <v>8</v>
      </c>
      <c r="L36" s="162">
        <v>95</v>
      </c>
      <c r="M36" s="162">
        <v>0.4</v>
      </c>
      <c r="N36" s="162">
        <v>0.37</v>
      </c>
      <c r="O36" s="162">
        <v>0.04</v>
      </c>
      <c r="P36" s="162">
        <v>0</v>
      </c>
      <c r="Q36" s="162">
        <v>538</v>
      </c>
      <c r="R36" s="162">
        <v>10.199999999999999</v>
      </c>
      <c r="S36" s="162">
        <v>2.25</v>
      </c>
      <c r="T36" s="162">
        <v>0.02</v>
      </c>
      <c r="U36" s="162">
        <v>0.38</v>
      </c>
      <c r="V36" s="162">
        <v>1264</v>
      </c>
      <c r="W36" s="162">
        <v>0.06</v>
      </c>
      <c r="X36" s="162">
        <v>0.32</v>
      </c>
    </row>
    <row r="37" spans="1:24">
      <c r="A37" s="181" t="s">
        <v>457</v>
      </c>
      <c r="B37" s="159">
        <v>10.79</v>
      </c>
      <c r="C37" s="160">
        <v>111.6</v>
      </c>
      <c r="D37" s="158">
        <v>0.03</v>
      </c>
      <c r="E37" s="158">
        <v>7.0000000000000007E-2</v>
      </c>
      <c r="F37" s="180">
        <f t="shared" si="1"/>
        <v>0.10937500000000001</v>
      </c>
      <c r="G37" s="158">
        <v>0.64</v>
      </c>
      <c r="H37" s="159">
        <v>3.6</v>
      </c>
      <c r="I37" s="159">
        <v>0.27</v>
      </c>
      <c r="J37" s="159">
        <v>485</v>
      </c>
      <c r="K37" s="159">
        <v>18</v>
      </c>
      <c r="L37" s="159">
        <v>168</v>
      </c>
      <c r="M37" s="159">
        <v>0.38</v>
      </c>
      <c r="N37" s="159">
        <v>5.79</v>
      </c>
      <c r="O37" s="158">
        <v>0.09</v>
      </c>
      <c r="P37" s="158">
        <v>0.1</v>
      </c>
      <c r="Q37" s="159">
        <v>523</v>
      </c>
      <c r="R37" s="158">
        <v>10.72</v>
      </c>
      <c r="S37" s="158">
        <v>1.32</v>
      </c>
      <c r="T37" s="159">
        <v>0.03</v>
      </c>
      <c r="U37" s="158">
        <v>0.35</v>
      </c>
      <c r="V37" s="159">
        <v>1264</v>
      </c>
      <c r="W37" s="158">
        <v>0.1</v>
      </c>
      <c r="X37" s="158">
        <v>5.69</v>
      </c>
    </row>
    <row r="38" spans="1:24">
      <c r="A38" s="181" t="s">
        <v>475</v>
      </c>
      <c r="B38" s="159">
        <v>11</v>
      </c>
      <c r="C38" s="160">
        <v>101</v>
      </c>
      <c r="D38" s="159">
        <v>0.01</v>
      </c>
      <c r="E38" s="159">
        <v>0.02</v>
      </c>
      <c r="F38" s="180">
        <f t="shared" si="1"/>
        <v>6.0606060606060608E-2</v>
      </c>
      <c r="G38" s="159">
        <v>0.33</v>
      </c>
      <c r="H38" s="159">
        <v>3.3</v>
      </c>
      <c r="I38" s="159">
        <v>0.24</v>
      </c>
      <c r="J38" s="162">
        <v>431</v>
      </c>
      <c r="K38" s="159">
        <v>3</v>
      </c>
      <c r="L38" s="159">
        <v>57</v>
      </c>
      <c r="M38" s="159">
        <v>0.57999999999999996</v>
      </c>
      <c r="N38" s="159">
        <v>2.74</v>
      </c>
      <c r="O38" s="159">
        <v>0.01</v>
      </c>
      <c r="P38" s="159">
        <v>0</v>
      </c>
      <c r="Q38" s="159">
        <v>469</v>
      </c>
      <c r="R38" s="159">
        <v>14.88</v>
      </c>
      <c r="S38" s="159">
        <v>3.85</v>
      </c>
      <c r="T38" s="161">
        <v>0.01</v>
      </c>
      <c r="U38" s="161">
        <v>0.56999999999999995</v>
      </c>
      <c r="V38" s="159">
        <v>1264</v>
      </c>
      <c r="W38" s="159">
        <v>0.09</v>
      </c>
      <c r="X38" s="159">
        <v>2.65</v>
      </c>
    </row>
    <row r="39" spans="1:24">
      <c r="A39" s="181" t="s">
        <v>502</v>
      </c>
      <c r="B39" s="159">
        <v>11.3</v>
      </c>
      <c r="C39" s="160">
        <v>91.9</v>
      </c>
      <c r="D39" s="158">
        <v>0.02</v>
      </c>
      <c r="E39" s="158">
        <v>0.03</v>
      </c>
      <c r="F39" s="180">
        <f t="shared" si="1"/>
        <v>0.1</v>
      </c>
      <c r="G39" s="158">
        <v>0.3</v>
      </c>
      <c r="H39" s="159">
        <v>2.2000000000000002</v>
      </c>
      <c r="I39" s="159">
        <v>0.45</v>
      </c>
      <c r="J39" s="159">
        <v>351</v>
      </c>
      <c r="K39" s="159">
        <v>8</v>
      </c>
      <c r="L39" s="159">
        <v>75</v>
      </c>
      <c r="M39" s="159">
        <v>0.4</v>
      </c>
      <c r="N39" s="159">
        <v>1.04</v>
      </c>
      <c r="O39" s="158">
        <v>0.04</v>
      </c>
      <c r="P39" s="158">
        <v>0</v>
      </c>
      <c r="Q39" s="159">
        <v>389</v>
      </c>
      <c r="R39" s="158">
        <v>10.54</v>
      </c>
      <c r="S39" s="158">
        <v>2.37</v>
      </c>
      <c r="T39" s="159">
        <v>0.01</v>
      </c>
      <c r="U39" s="158">
        <v>0.39</v>
      </c>
      <c r="V39" s="159">
        <v>1264</v>
      </c>
      <c r="W39" s="158">
        <v>0.06</v>
      </c>
      <c r="X39" s="158">
        <v>0.98</v>
      </c>
    </row>
    <row r="40" spans="1:24" ht="14" customHeight="1">
      <c r="A40" s="181" t="s">
        <v>500</v>
      </c>
      <c r="B40" s="159">
        <v>11.94</v>
      </c>
      <c r="C40" s="160">
        <v>92.3</v>
      </c>
      <c r="D40" s="158">
        <v>0.01</v>
      </c>
      <c r="E40" s="158">
        <v>0.04</v>
      </c>
      <c r="F40" s="180">
        <f t="shared" si="1"/>
        <v>0.19047619047619049</v>
      </c>
      <c r="G40" s="158">
        <v>0.21</v>
      </c>
      <c r="H40" s="159">
        <v>1.3</v>
      </c>
      <c r="I40" s="159">
        <v>0.21</v>
      </c>
      <c r="J40" s="159">
        <v>407</v>
      </c>
      <c r="K40" s="159">
        <v>11</v>
      </c>
      <c r="L40" s="159">
        <v>58</v>
      </c>
      <c r="M40" s="159">
        <v>0.36</v>
      </c>
      <c r="N40" s="159">
        <v>0.11</v>
      </c>
      <c r="O40" s="158">
        <v>0.33</v>
      </c>
      <c r="P40" s="158">
        <v>0.1</v>
      </c>
      <c r="Q40" s="159">
        <v>445</v>
      </c>
      <c r="R40" s="158">
        <v>10.02</v>
      </c>
      <c r="S40" s="158">
        <v>1.5</v>
      </c>
      <c r="T40" s="159">
        <v>0.03</v>
      </c>
      <c r="U40" s="158">
        <v>0.33</v>
      </c>
      <c r="V40" s="159">
        <v>1264</v>
      </c>
      <c r="W40" s="158">
        <v>0.04</v>
      </c>
      <c r="X40" s="158">
        <v>0.08</v>
      </c>
    </row>
    <row r="41" spans="1:24">
      <c r="A41" s="181" t="s">
        <v>473</v>
      </c>
      <c r="B41" s="159">
        <v>12</v>
      </c>
      <c r="C41" s="159">
        <v>101.2</v>
      </c>
      <c r="D41" s="159">
        <v>0.02</v>
      </c>
      <c r="E41" s="159">
        <v>0.05</v>
      </c>
      <c r="F41" s="180">
        <f t="shared" si="1"/>
        <v>0.1388888888888889</v>
      </c>
      <c r="G41" s="159">
        <v>0.36</v>
      </c>
      <c r="H41" s="159">
        <v>2.7</v>
      </c>
      <c r="I41" s="159">
        <v>0.31</v>
      </c>
      <c r="J41" s="162">
        <v>328</v>
      </c>
      <c r="K41" s="159">
        <v>7</v>
      </c>
      <c r="L41" s="159">
        <v>49</v>
      </c>
      <c r="M41" s="159">
        <v>0.74</v>
      </c>
      <c r="N41" s="159">
        <v>1.38</v>
      </c>
      <c r="O41" s="159">
        <v>0.09</v>
      </c>
      <c r="P41" s="159">
        <v>0</v>
      </c>
      <c r="Q41" s="159">
        <v>366</v>
      </c>
      <c r="R41" s="159">
        <v>19.32</v>
      </c>
      <c r="S41" s="159">
        <v>4.43</v>
      </c>
      <c r="T41" s="161">
        <v>0.02</v>
      </c>
      <c r="U41" s="161">
        <v>0.72</v>
      </c>
      <c r="V41" s="159">
        <v>1264</v>
      </c>
      <c r="W41" s="159">
        <v>7.0000000000000007E-2</v>
      </c>
      <c r="X41" s="159">
        <v>1.3</v>
      </c>
    </row>
    <row r="42" spans="1:24">
      <c r="A42" s="181" t="s">
        <v>511</v>
      </c>
      <c r="B42" s="159">
        <v>12.14</v>
      </c>
      <c r="C42" s="160">
        <v>90.5</v>
      </c>
      <c r="D42" s="158">
        <v>0.05</v>
      </c>
      <c r="E42" s="158">
        <v>0.05</v>
      </c>
      <c r="F42" s="180">
        <f t="shared" si="1"/>
        <v>0.23809523809523811</v>
      </c>
      <c r="G42" s="158">
        <v>0.21</v>
      </c>
      <c r="H42" s="159">
        <v>1.6</v>
      </c>
      <c r="I42" s="159">
        <v>0.49</v>
      </c>
      <c r="J42" s="159">
        <v>454</v>
      </c>
      <c r="K42" s="159">
        <v>14</v>
      </c>
      <c r="L42" s="159">
        <v>58</v>
      </c>
      <c r="M42" s="159">
        <v>0.36</v>
      </c>
      <c r="N42" s="159">
        <v>0.14000000000000001</v>
      </c>
      <c r="O42" s="158">
        <v>0.09</v>
      </c>
      <c r="P42" s="158">
        <v>0</v>
      </c>
      <c r="Q42" s="159">
        <v>492</v>
      </c>
      <c r="R42" s="158">
        <v>10.39</v>
      </c>
      <c r="S42" s="158">
        <v>1.49</v>
      </c>
      <c r="T42" s="159">
        <v>0.02</v>
      </c>
      <c r="U42" s="158">
        <v>0.34</v>
      </c>
      <c r="V42" s="159">
        <v>1264</v>
      </c>
      <c r="W42" s="158">
        <v>0.04</v>
      </c>
      <c r="X42" s="158">
        <v>0.1</v>
      </c>
    </row>
    <row r="43" spans="1:24">
      <c r="A43" s="181" t="s">
        <v>588</v>
      </c>
      <c r="B43" s="162">
        <v>12.52</v>
      </c>
      <c r="C43" s="160">
        <v>83.1</v>
      </c>
      <c r="D43" s="162">
        <v>0.06</v>
      </c>
      <c r="E43" s="162">
        <v>0.04</v>
      </c>
      <c r="F43" s="180">
        <f t="shared" si="1"/>
        <v>0.14285714285714285</v>
      </c>
      <c r="G43" s="162">
        <v>0.28000000000000003</v>
      </c>
      <c r="H43" s="162">
        <v>3</v>
      </c>
      <c r="I43" s="162">
        <v>0.62</v>
      </c>
      <c r="J43" s="162">
        <v>445</v>
      </c>
      <c r="K43" s="162">
        <v>1</v>
      </c>
      <c r="L43" s="162">
        <v>10</v>
      </c>
      <c r="M43" s="162">
        <v>2.69</v>
      </c>
      <c r="N43" s="162">
        <v>0.27</v>
      </c>
      <c r="O43" s="162">
        <v>0.05</v>
      </c>
      <c r="P43" s="163">
        <v>0.1</v>
      </c>
      <c r="Q43" s="162">
        <v>483</v>
      </c>
      <c r="R43" s="162">
        <v>67.680000000000007</v>
      </c>
      <c r="S43" s="162">
        <v>19.21</v>
      </c>
      <c r="T43" s="162">
        <v>0.02</v>
      </c>
      <c r="U43" s="162">
        <v>2.67</v>
      </c>
      <c r="V43" s="159">
        <v>1264</v>
      </c>
      <c r="W43" s="162">
        <v>0.08</v>
      </c>
      <c r="X43" s="162">
        <v>0.18</v>
      </c>
    </row>
    <row r="44" spans="1:24">
      <c r="A44" s="181" t="s">
        <v>629</v>
      </c>
      <c r="B44" s="162">
        <v>12.72</v>
      </c>
      <c r="C44" s="163">
        <v>66.099999999999994</v>
      </c>
      <c r="D44" s="162">
        <v>0.03</v>
      </c>
      <c r="E44" s="162">
        <v>0.04</v>
      </c>
      <c r="F44" s="180">
        <f t="shared" si="1"/>
        <v>0.26666666666666666</v>
      </c>
      <c r="G44" s="162">
        <v>0.15</v>
      </c>
      <c r="H44" s="163">
        <v>0.5</v>
      </c>
      <c r="I44" s="162">
        <v>0.45</v>
      </c>
      <c r="J44" s="162">
        <v>483</v>
      </c>
      <c r="K44" s="162">
        <v>4</v>
      </c>
      <c r="L44" s="162">
        <v>14</v>
      </c>
      <c r="M44" s="162">
        <v>1.08</v>
      </c>
      <c r="N44" s="162">
        <v>0.03</v>
      </c>
      <c r="O44" s="162">
        <v>0.02</v>
      </c>
      <c r="P44" s="162">
        <v>0</v>
      </c>
      <c r="Q44" s="162">
        <v>521</v>
      </c>
      <c r="R44" s="162">
        <v>27.02</v>
      </c>
      <c r="S44" s="162">
        <v>7.74</v>
      </c>
      <c r="T44" s="162">
        <v>0.01</v>
      </c>
      <c r="U44" s="162">
        <v>1.07</v>
      </c>
      <c r="V44" s="162">
        <v>1264</v>
      </c>
      <c r="W44" s="162">
        <v>0.01</v>
      </c>
      <c r="X44" s="162">
        <v>0.02</v>
      </c>
    </row>
    <row r="45" spans="1:24">
      <c r="A45" s="181" t="s">
        <v>525</v>
      </c>
      <c r="B45" s="159">
        <v>12.92</v>
      </c>
      <c r="C45" s="160">
        <v>84.7</v>
      </c>
      <c r="D45" s="159">
        <v>0.04</v>
      </c>
      <c r="E45" s="158">
        <v>0.04</v>
      </c>
      <c r="F45" s="180">
        <f t="shared" si="1"/>
        <v>0.30769230769230771</v>
      </c>
      <c r="G45" s="158">
        <v>0.13</v>
      </c>
      <c r="H45" s="158">
        <v>4.5999999999999996</v>
      </c>
      <c r="I45" s="159">
        <v>0.52</v>
      </c>
      <c r="J45" s="159">
        <v>463</v>
      </c>
      <c r="K45" s="159">
        <v>2</v>
      </c>
      <c r="L45" s="159">
        <v>7</v>
      </c>
      <c r="M45" s="159">
        <v>1.94</v>
      </c>
      <c r="N45" s="159">
        <v>0.68</v>
      </c>
      <c r="O45" s="159">
        <v>0.02</v>
      </c>
      <c r="P45" s="158">
        <v>0.1</v>
      </c>
      <c r="Q45" s="159">
        <v>501</v>
      </c>
      <c r="R45" s="158">
        <v>49.26</v>
      </c>
      <c r="S45" s="158">
        <v>13.88</v>
      </c>
      <c r="T45" s="159">
        <v>0.01</v>
      </c>
      <c r="U45" s="159">
        <v>1.93</v>
      </c>
      <c r="V45" s="159">
        <v>1264</v>
      </c>
      <c r="W45" s="158">
        <v>0.13</v>
      </c>
      <c r="X45" s="158">
        <v>0.55000000000000004</v>
      </c>
    </row>
    <row r="46" spans="1:24">
      <c r="A46" s="181" t="s">
        <v>523</v>
      </c>
      <c r="B46" s="159">
        <v>13.02</v>
      </c>
      <c r="C46" s="160">
        <v>85.5</v>
      </c>
      <c r="D46" s="159">
        <v>0.06</v>
      </c>
      <c r="E46" s="158">
        <v>0.06</v>
      </c>
      <c r="F46" s="180">
        <f t="shared" si="1"/>
        <v>0.6</v>
      </c>
      <c r="G46" s="158">
        <v>0.1</v>
      </c>
      <c r="H46" s="158">
        <v>3.7</v>
      </c>
      <c r="I46" s="159">
        <v>0.5</v>
      </c>
      <c r="J46" s="159">
        <v>341</v>
      </c>
      <c r="K46" s="159">
        <v>4</v>
      </c>
      <c r="L46" s="159">
        <v>7</v>
      </c>
      <c r="M46" s="159">
        <v>1.34</v>
      </c>
      <c r="N46" s="159">
        <v>0.49</v>
      </c>
      <c r="O46" s="159">
        <v>0.02</v>
      </c>
      <c r="P46" s="158">
        <v>0.1</v>
      </c>
      <c r="Q46" s="159">
        <v>379</v>
      </c>
      <c r="R46" s="158">
        <v>34.06</v>
      </c>
      <c r="S46" s="158">
        <v>9.2100000000000009</v>
      </c>
      <c r="T46" s="159">
        <v>0.02</v>
      </c>
      <c r="U46" s="159">
        <v>1.32</v>
      </c>
      <c r="V46" s="159">
        <v>1264</v>
      </c>
      <c r="W46" s="158">
        <v>0.1</v>
      </c>
      <c r="X46" s="158">
        <v>0.39</v>
      </c>
    </row>
    <row r="47" spans="1:24">
      <c r="A47" s="181" t="s">
        <v>510</v>
      </c>
      <c r="B47" s="159">
        <v>13.17</v>
      </c>
      <c r="C47" s="160">
        <v>90.5</v>
      </c>
      <c r="D47" s="158">
        <v>0.04</v>
      </c>
      <c r="E47" s="158">
        <v>0.03</v>
      </c>
      <c r="F47" s="180">
        <f t="shared" si="1"/>
        <v>9.6774193548387094E-2</v>
      </c>
      <c r="G47" s="158">
        <v>0.31</v>
      </c>
      <c r="H47" s="159">
        <v>6.4</v>
      </c>
      <c r="I47" s="159">
        <v>0.56000000000000005</v>
      </c>
      <c r="J47" s="159">
        <v>315</v>
      </c>
      <c r="K47" s="159">
        <v>6</v>
      </c>
      <c r="L47" s="159">
        <v>60</v>
      </c>
      <c r="M47" s="159">
        <v>0.52</v>
      </c>
      <c r="N47" s="159">
        <v>6.68</v>
      </c>
      <c r="O47" s="158">
        <v>0.05</v>
      </c>
      <c r="P47" s="158">
        <v>0</v>
      </c>
      <c r="Q47" s="159">
        <v>353</v>
      </c>
      <c r="R47" s="158">
        <v>14.35</v>
      </c>
      <c r="S47" s="158">
        <v>2.54</v>
      </c>
      <c r="T47" s="159">
        <v>0.02</v>
      </c>
      <c r="U47" s="158">
        <v>0.5</v>
      </c>
      <c r="V47" s="159">
        <v>1264</v>
      </c>
      <c r="W47" s="158">
        <v>0.17</v>
      </c>
      <c r="X47" s="158">
        <v>6.5</v>
      </c>
    </row>
    <row r="48" spans="1:24">
      <c r="A48" s="181" t="s">
        <v>596</v>
      </c>
      <c r="B48" s="162">
        <v>13.22</v>
      </c>
      <c r="C48" s="160">
        <v>85.1</v>
      </c>
      <c r="D48" s="162">
        <v>0.03</v>
      </c>
      <c r="E48" s="162">
        <v>0.05</v>
      </c>
      <c r="F48" s="180">
        <f t="shared" si="1"/>
        <v>0.27777777777777779</v>
      </c>
      <c r="G48" s="162">
        <v>0.18</v>
      </c>
      <c r="H48" s="162">
        <v>7</v>
      </c>
      <c r="I48" s="162">
        <v>0.36</v>
      </c>
      <c r="J48" s="162">
        <v>342</v>
      </c>
      <c r="K48" s="162">
        <v>5</v>
      </c>
      <c r="L48" s="162">
        <v>16</v>
      </c>
      <c r="M48" s="162">
        <v>1.1100000000000001</v>
      </c>
      <c r="N48" s="162">
        <v>4.5199999999999996</v>
      </c>
      <c r="O48" s="162">
        <v>0.03</v>
      </c>
      <c r="P48" s="163">
        <v>0</v>
      </c>
      <c r="Q48" s="162">
        <v>380</v>
      </c>
      <c r="R48" s="162">
        <v>29.2</v>
      </c>
      <c r="S48" s="162">
        <v>7.04</v>
      </c>
      <c r="T48" s="162">
        <v>0.01</v>
      </c>
      <c r="U48" s="162">
        <v>1.1000000000000001</v>
      </c>
      <c r="V48" s="159">
        <v>1264</v>
      </c>
      <c r="W48" s="162">
        <v>0.19</v>
      </c>
      <c r="X48" s="162">
        <v>4.33</v>
      </c>
    </row>
    <row r="49" spans="1:25">
      <c r="A49" s="181" t="s">
        <v>600</v>
      </c>
      <c r="B49" s="162">
        <v>13.5</v>
      </c>
      <c r="C49" s="160">
        <v>85.7</v>
      </c>
      <c r="D49" s="162">
        <v>0.08</v>
      </c>
      <c r="E49" s="162">
        <v>7.0000000000000007E-2</v>
      </c>
      <c r="F49" s="180">
        <f t="shared" si="1"/>
        <v>0.58333333333333337</v>
      </c>
      <c r="G49" s="162">
        <v>0.12</v>
      </c>
      <c r="H49" s="162">
        <v>5.5</v>
      </c>
      <c r="I49" s="162">
        <v>0.5</v>
      </c>
      <c r="J49" s="162">
        <v>471</v>
      </c>
      <c r="K49" s="162">
        <v>5</v>
      </c>
      <c r="L49" s="162">
        <v>8</v>
      </c>
      <c r="M49" s="162">
        <v>1.48</v>
      </c>
      <c r="N49" s="162">
        <v>0.76</v>
      </c>
      <c r="O49" s="162">
        <v>0.02</v>
      </c>
      <c r="P49" s="163">
        <v>0.1</v>
      </c>
      <c r="Q49" s="162">
        <v>509</v>
      </c>
      <c r="R49" s="162">
        <v>38.090000000000003</v>
      </c>
      <c r="S49" s="162">
        <v>9.89</v>
      </c>
      <c r="T49" s="162">
        <v>0.02</v>
      </c>
      <c r="U49" s="162">
        <v>1.46</v>
      </c>
      <c r="V49" s="159">
        <v>1264</v>
      </c>
      <c r="W49" s="162">
        <v>0.15</v>
      </c>
      <c r="X49" s="162">
        <v>0.61</v>
      </c>
    </row>
    <row r="50" spans="1:25">
      <c r="A50" s="181" t="s">
        <v>607</v>
      </c>
      <c r="B50" s="162">
        <v>13.75</v>
      </c>
      <c r="C50" s="160">
        <v>90.1</v>
      </c>
      <c r="D50" s="162">
        <v>0.02</v>
      </c>
      <c r="E50" s="162">
        <v>0.03</v>
      </c>
      <c r="F50" s="180">
        <f t="shared" si="1"/>
        <v>0.3</v>
      </c>
      <c r="G50" s="162">
        <v>0.1</v>
      </c>
      <c r="H50" s="162">
        <v>3.9</v>
      </c>
      <c r="I50" s="162">
        <v>0.32</v>
      </c>
      <c r="J50" s="162">
        <v>349</v>
      </c>
      <c r="K50" s="162">
        <v>4</v>
      </c>
      <c r="L50" s="162">
        <v>13</v>
      </c>
      <c r="M50" s="162">
        <v>0.78</v>
      </c>
      <c r="N50" s="162">
        <v>0.52</v>
      </c>
      <c r="O50" s="162">
        <v>0.02</v>
      </c>
      <c r="P50" s="163">
        <v>0</v>
      </c>
      <c r="Q50" s="162">
        <v>387</v>
      </c>
      <c r="R50" s="162">
        <v>21.22</v>
      </c>
      <c r="S50" s="162">
        <v>4.43</v>
      </c>
      <c r="T50" s="162">
        <v>0.01</v>
      </c>
      <c r="U50" s="162">
        <v>0.77</v>
      </c>
      <c r="V50" s="159">
        <v>1264</v>
      </c>
      <c r="W50" s="162">
        <v>0.11</v>
      </c>
      <c r="X50" s="162">
        <v>0.41</v>
      </c>
    </row>
    <row r="51" spans="1:25">
      <c r="A51" s="181" t="s">
        <v>486</v>
      </c>
      <c r="B51" s="159">
        <v>13.75</v>
      </c>
      <c r="C51" s="160">
        <v>96.9</v>
      </c>
      <c r="D51" s="158">
        <v>0.01</v>
      </c>
      <c r="E51" s="158">
        <v>0.02</v>
      </c>
      <c r="F51" s="180">
        <f t="shared" si="1"/>
        <v>0.22222222222222224</v>
      </c>
      <c r="G51" s="158">
        <v>0.09</v>
      </c>
      <c r="H51" s="159">
        <v>2.9</v>
      </c>
      <c r="I51" s="159">
        <v>0.38</v>
      </c>
      <c r="J51" s="159">
        <v>468</v>
      </c>
      <c r="K51" s="159">
        <v>3</v>
      </c>
      <c r="L51" s="159">
        <v>13</v>
      </c>
      <c r="M51" s="159">
        <v>0.7</v>
      </c>
      <c r="N51" s="159">
        <v>0.48</v>
      </c>
      <c r="O51" s="158">
        <v>0.01</v>
      </c>
      <c r="P51" s="158">
        <v>0</v>
      </c>
      <c r="Q51" s="159">
        <v>506</v>
      </c>
      <c r="R51" s="158">
        <v>19.010000000000002</v>
      </c>
      <c r="S51" s="158">
        <v>4.04</v>
      </c>
      <c r="T51" s="159">
        <v>0.01</v>
      </c>
      <c r="U51" s="158">
        <v>0.69</v>
      </c>
      <c r="V51" s="159">
        <v>1264</v>
      </c>
      <c r="W51" s="158">
        <v>0.08</v>
      </c>
      <c r="X51" s="158">
        <v>0.4</v>
      </c>
    </row>
    <row r="52" spans="1:25">
      <c r="A52" s="181" t="s">
        <v>610</v>
      </c>
      <c r="B52" s="162">
        <v>14.05</v>
      </c>
      <c r="C52" s="163">
        <v>62.3</v>
      </c>
      <c r="D52" s="162">
        <v>0.04</v>
      </c>
      <c r="E52" s="162">
        <v>0.05</v>
      </c>
      <c r="F52" s="180">
        <f t="shared" si="1"/>
        <v>0.35714285714285715</v>
      </c>
      <c r="G52" s="162">
        <v>0.14000000000000001</v>
      </c>
      <c r="H52" s="163">
        <v>4.5</v>
      </c>
      <c r="I52" s="162">
        <v>0.44</v>
      </c>
      <c r="J52" s="162">
        <v>465</v>
      </c>
      <c r="K52" s="162">
        <v>5</v>
      </c>
      <c r="L52" s="162">
        <v>15</v>
      </c>
      <c r="M52" s="162">
        <v>0.95</v>
      </c>
      <c r="N52" s="162">
        <v>0.66</v>
      </c>
      <c r="O52" s="162">
        <v>0.01</v>
      </c>
      <c r="P52" s="162">
        <v>0</v>
      </c>
      <c r="Q52" s="162">
        <v>503</v>
      </c>
      <c r="R52" s="162">
        <v>25.19</v>
      </c>
      <c r="S52" s="162">
        <v>5.89</v>
      </c>
      <c r="T52" s="162">
        <v>0.01</v>
      </c>
      <c r="U52" s="162">
        <v>0.94</v>
      </c>
      <c r="V52" s="162">
        <v>1264</v>
      </c>
      <c r="W52" s="162">
        <v>0.12</v>
      </c>
      <c r="X52" s="162">
        <v>0.54</v>
      </c>
    </row>
    <row r="53" spans="1:25">
      <c r="A53" s="181" t="s">
        <v>603</v>
      </c>
      <c r="B53" s="162">
        <v>14.25</v>
      </c>
      <c r="C53" s="160">
        <v>86.9</v>
      </c>
      <c r="D53" s="162">
        <v>0.04</v>
      </c>
      <c r="E53" s="162">
        <v>0.05</v>
      </c>
      <c r="F53" s="180">
        <f t="shared" si="1"/>
        <v>0.26315789473684209</v>
      </c>
      <c r="G53" s="162">
        <v>0.19</v>
      </c>
      <c r="H53" s="162">
        <v>2.2000000000000002</v>
      </c>
      <c r="I53" s="162">
        <v>0.46</v>
      </c>
      <c r="J53" s="162">
        <v>470</v>
      </c>
      <c r="K53" s="162">
        <v>6</v>
      </c>
      <c r="L53" s="162">
        <v>22</v>
      </c>
      <c r="M53" s="162">
        <v>0.86</v>
      </c>
      <c r="N53" s="162">
        <v>0.27</v>
      </c>
      <c r="O53" s="162">
        <v>0.06</v>
      </c>
      <c r="P53" s="163">
        <v>0</v>
      </c>
      <c r="Q53" s="162">
        <v>508</v>
      </c>
      <c r="R53" s="162">
        <v>22.99</v>
      </c>
      <c r="S53" s="162">
        <v>4.8499999999999996</v>
      </c>
      <c r="T53" s="162">
        <v>0.02</v>
      </c>
      <c r="U53" s="162">
        <v>0.84</v>
      </c>
      <c r="V53" s="159">
        <v>1264</v>
      </c>
      <c r="W53" s="162">
        <v>0.06</v>
      </c>
      <c r="X53" s="162">
        <v>0.21</v>
      </c>
    </row>
    <row r="54" spans="1:25">
      <c r="A54" s="181" t="s">
        <v>631</v>
      </c>
      <c r="B54" s="162">
        <v>14.84</v>
      </c>
      <c r="C54" s="163">
        <v>67.5</v>
      </c>
      <c r="D54" s="162">
        <v>0.04</v>
      </c>
      <c r="E54" s="162">
        <v>0.04</v>
      </c>
      <c r="F54" s="180">
        <f t="shared" si="1"/>
        <v>0.33333333333333337</v>
      </c>
      <c r="G54" s="162">
        <v>0.12</v>
      </c>
      <c r="H54" s="163">
        <v>5</v>
      </c>
      <c r="I54" s="162">
        <v>0.5</v>
      </c>
      <c r="J54" s="162">
        <v>468</v>
      </c>
      <c r="K54" s="162">
        <v>9</v>
      </c>
      <c r="L54" s="162">
        <v>27</v>
      </c>
      <c r="M54" s="162">
        <v>0.45</v>
      </c>
      <c r="N54" s="162">
        <v>0.79</v>
      </c>
      <c r="O54" s="162">
        <v>0.01</v>
      </c>
      <c r="P54" s="162">
        <v>0</v>
      </c>
      <c r="Q54" s="162">
        <v>506</v>
      </c>
      <c r="R54" s="162">
        <v>12.64</v>
      </c>
      <c r="S54" s="162">
        <v>2.41</v>
      </c>
      <c r="T54" s="162">
        <v>0.01</v>
      </c>
      <c r="U54" s="162">
        <v>0.44</v>
      </c>
      <c r="V54" s="162">
        <v>1264</v>
      </c>
      <c r="W54" s="162">
        <v>0.14000000000000001</v>
      </c>
      <c r="X54" s="162">
        <v>0.66</v>
      </c>
    </row>
    <row r="55" spans="1:25">
      <c r="A55" s="181" t="s">
        <v>601</v>
      </c>
      <c r="B55" s="162">
        <v>14.95</v>
      </c>
      <c r="C55" s="160">
        <v>86</v>
      </c>
      <c r="D55" s="162">
        <v>0.02</v>
      </c>
      <c r="E55" s="162">
        <v>0.05</v>
      </c>
      <c r="F55" s="180">
        <f t="shared" si="1"/>
        <v>0.25</v>
      </c>
      <c r="G55" s="162">
        <v>0.2</v>
      </c>
      <c r="H55" s="162">
        <v>5.2</v>
      </c>
      <c r="I55" s="162">
        <v>0.28000000000000003</v>
      </c>
      <c r="J55" s="162">
        <v>339</v>
      </c>
      <c r="K55" s="162">
        <v>9</v>
      </c>
      <c r="L55" s="162">
        <v>37</v>
      </c>
      <c r="M55" s="162">
        <v>0.54</v>
      </c>
      <c r="N55" s="162">
        <v>0.53</v>
      </c>
      <c r="O55" s="162">
        <v>0.11</v>
      </c>
      <c r="P55" s="163">
        <v>0</v>
      </c>
      <c r="Q55" s="162">
        <v>377</v>
      </c>
      <c r="R55" s="162">
        <v>14.78</v>
      </c>
      <c r="S55" s="162">
        <v>2.77</v>
      </c>
      <c r="T55" s="162">
        <v>0.02</v>
      </c>
      <c r="U55" s="162">
        <v>0.52</v>
      </c>
      <c r="V55" s="159">
        <v>1264</v>
      </c>
      <c r="W55" s="162">
        <v>0.14000000000000001</v>
      </c>
      <c r="X55" s="162">
        <v>0.39</v>
      </c>
    </row>
    <row r="56" spans="1:25">
      <c r="A56" s="181" t="s">
        <v>464</v>
      </c>
      <c r="B56" s="159">
        <v>15</v>
      </c>
      <c r="C56" s="159">
        <v>104.6</v>
      </c>
      <c r="D56" s="159">
        <v>0.02</v>
      </c>
      <c r="E56" s="159">
        <v>0.06</v>
      </c>
      <c r="F56" s="180">
        <f t="shared" si="1"/>
        <v>0.21428571428571425</v>
      </c>
      <c r="G56" s="159">
        <v>0.28000000000000003</v>
      </c>
      <c r="H56" s="159">
        <v>1.3</v>
      </c>
      <c r="I56" s="159">
        <v>0.21</v>
      </c>
      <c r="J56" s="162">
        <v>351</v>
      </c>
      <c r="K56" s="159">
        <v>16</v>
      </c>
      <c r="L56" s="159">
        <v>76</v>
      </c>
      <c r="M56" s="159">
        <v>0.37</v>
      </c>
      <c r="N56" s="159">
        <v>0.19</v>
      </c>
      <c r="O56" s="159">
        <v>0.09</v>
      </c>
      <c r="P56" s="159">
        <v>0</v>
      </c>
      <c r="Q56" s="159">
        <v>389</v>
      </c>
      <c r="R56" s="159">
        <v>10.59</v>
      </c>
      <c r="S56" s="159">
        <v>1.5</v>
      </c>
      <c r="T56" s="161">
        <v>0.02</v>
      </c>
      <c r="U56" s="161">
        <v>0.35</v>
      </c>
      <c r="V56" s="159">
        <v>1264</v>
      </c>
      <c r="W56" s="159">
        <v>0.04</v>
      </c>
      <c r="X56" s="159">
        <v>0.15</v>
      </c>
    </row>
    <row r="57" spans="1:25">
      <c r="A57" s="181" t="s">
        <v>520</v>
      </c>
      <c r="B57" s="159">
        <v>15.13</v>
      </c>
      <c r="C57" s="160">
        <v>86.5</v>
      </c>
      <c r="D57" s="159">
        <v>0.04</v>
      </c>
      <c r="E57" s="158">
        <v>0.05</v>
      </c>
      <c r="F57" s="180">
        <f t="shared" si="1"/>
        <v>0.41666666666666669</v>
      </c>
      <c r="G57" s="158">
        <v>0.12</v>
      </c>
      <c r="H57" s="158">
        <v>3.5</v>
      </c>
      <c r="I57" s="159">
        <v>0.41</v>
      </c>
      <c r="J57" s="159">
        <v>455</v>
      </c>
      <c r="K57" s="159">
        <v>8</v>
      </c>
      <c r="L57" s="159">
        <v>18</v>
      </c>
      <c r="M57" s="159">
        <v>0.66</v>
      </c>
      <c r="N57" s="159">
        <v>0.37</v>
      </c>
      <c r="O57" s="159">
        <v>0.05</v>
      </c>
      <c r="P57" s="158">
        <v>0</v>
      </c>
      <c r="Q57" s="159">
        <v>493</v>
      </c>
      <c r="R57" s="158">
        <v>18.059999999999999</v>
      </c>
      <c r="S57" s="158">
        <v>3.67</v>
      </c>
      <c r="T57" s="159">
        <v>0.01</v>
      </c>
      <c r="U57" s="159">
        <v>0.65</v>
      </c>
      <c r="V57" s="159">
        <v>1264</v>
      </c>
      <c r="W57" s="158">
        <v>0.1</v>
      </c>
      <c r="X57" s="158">
        <v>0.27</v>
      </c>
    </row>
    <row r="58" spans="1:25" s="133" customFormat="1">
      <c r="A58" s="181" t="s">
        <v>480</v>
      </c>
      <c r="B58" s="159">
        <v>15.25</v>
      </c>
      <c r="C58" s="160">
        <v>98.7</v>
      </c>
      <c r="D58" s="158">
        <v>7.0000000000000007E-2</v>
      </c>
      <c r="E58" s="158">
        <v>7.0000000000000007E-2</v>
      </c>
      <c r="F58" s="180">
        <f t="shared" si="1"/>
        <v>0.53846153846153855</v>
      </c>
      <c r="G58" s="158">
        <v>0.13</v>
      </c>
      <c r="H58" s="159">
        <v>4.9000000000000004</v>
      </c>
      <c r="I58" s="159">
        <v>0.5</v>
      </c>
      <c r="J58" s="159">
        <v>306</v>
      </c>
      <c r="K58" s="159">
        <v>5</v>
      </c>
      <c r="L58" s="159">
        <v>9</v>
      </c>
      <c r="M58" s="159">
        <v>1.39</v>
      </c>
      <c r="N58" s="159">
        <v>2.19</v>
      </c>
      <c r="O58" s="158">
        <v>0.03</v>
      </c>
      <c r="P58" s="158">
        <v>0</v>
      </c>
      <c r="Q58" s="159">
        <v>344</v>
      </c>
      <c r="R58" s="158">
        <v>35.31</v>
      </c>
      <c r="S58" s="158">
        <v>9.66</v>
      </c>
      <c r="T58" s="159">
        <v>0.02</v>
      </c>
      <c r="U58" s="158">
        <v>1.37</v>
      </c>
      <c r="V58" s="159">
        <v>1264</v>
      </c>
      <c r="W58" s="158">
        <v>0.13</v>
      </c>
      <c r="X58" s="158">
        <v>2.06</v>
      </c>
      <c r="Y58" s="38"/>
    </row>
    <row r="59" spans="1:25" s="133" customFormat="1">
      <c r="A59" s="181" t="s">
        <v>480</v>
      </c>
      <c r="B59" s="162">
        <v>15.45</v>
      </c>
      <c r="C59" s="160">
        <v>84.2</v>
      </c>
      <c r="D59" s="162">
        <v>0.09</v>
      </c>
      <c r="E59" s="162">
        <v>0.11</v>
      </c>
      <c r="F59" s="180">
        <f t="shared" si="1"/>
        <v>0.47826086956521735</v>
      </c>
      <c r="G59" s="162">
        <v>0.23</v>
      </c>
      <c r="H59" s="162">
        <v>4.9000000000000004</v>
      </c>
      <c r="I59" s="162">
        <v>0.46</v>
      </c>
      <c r="J59" s="162">
        <v>347</v>
      </c>
      <c r="K59" s="162">
        <v>7</v>
      </c>
      <c r="L59" s="162">
        <v>15</v>
      </c>
      <c r="M59" s="162">
        <v>1.49</v>
      </c>
      <c r="N59" s="162">
        <v>2.34</v>
      </c>
      <c r="O59" s="162">
        <v>0.05</v>
      </c>
      <c r="P59" s="163">
        <v>0</v>
      </c>
      <c r="Q59" s="162">
        <v>385</v>
      </c>
      <c r="R59" s="162">
        <v>36.99</v>
      </c>
      <c r="S59" s="162">
        <v>10.52</v>
      </c>
      <c r="T59" s="162">
        <v>0.03</v>
      </c>
      <c r="U59" s="162">
        <v>1.46</v>
      </c>
      <c r="V59" s="159">
        <v>1264</v>
      </c>
      <c r="W59" s="162">
        <v>0.13</v>
      </c>
      <c r="X59" s="162">
        <v>2.2000000000000002</v>
      </c>
      <c r="Y59" s="38"/>
    </row>
    <row r="60" spans="1:25" s="133" customFormat="1">
      <c r="A60" s="181" t="s">
        <v>612</v>
      </c>
      <c r="B60" s="162">
        <v>15.56</v>
      </c>
      <c r="C60" s="163">
        <v>63</v>
      </c>
      <c r="D60" s="162">
        <v>0.15</v>
      </c>
      <c r="E60" s="162">
        <v>0.15</v>
      </c>
      <c r="F60" s="180">
        <f t="shared" si="1"/>
        <v>0.78947368421052633</v>
      </c>
      <c r="G60" s="162">
        <v>0.19</v>
      </c>
      <c r="H60" s="163">
        <v>6.4</v>
      </c>
      <c r="I60" s="162">
        <v>0.5</v>
      </c>
      <c r="J60" s="162">
        <v>320</v>
      </c>
      <c r="K60" s="162">
        <v>6</v>
      </c>
      <c r="L60" s="162">
        <v>8</v>
      </c>
      <c r="M60" s="162">
        <v>2.42</v>
      </c>
      <c r="N60" s="162">
        <v>1.61</v>
      </c>
      <c r="O60" s="162">
        <v>0.05</v>
      </c>
      <c r="P60" s="162">
        <v>0.1</v>
      </c>
      <c r="Q60" s="162">
        <v>358</v>
      </c>
      <c r="R60" s="162">
        <v>60.15</v>
      </c>
      <c r="S60" s="162">
        <v>17.53</v>
      </c>
      <c r="T60" s="162">
        <v>0.03</v>
      </c>
      <c r="U60" s="162">
        <v>2.39</v>
      </c>
      <c r="V60" s="162">
        <v>1264</v>
      </c>
      <c r="W60" s="162">
        <v>0.18</v>
      </c>
      <c r="X60" s="162">
        <v>1.44</v>
      </c>
      <c r="Y60" s="38"/>
    </row>
    <row r="61" spans="1:25" s="133" customFormat="1">
      <c r="A61" s="181" t="s">
        <v>459</v>
      </c>
      <c r="B61" s="159">
        <v>15.66</v>
      </c>
      <c r="C61" s="160">
        <v>108.8</v>
      </c>
      <c r="D61" s="158">
        <v>0.02</v>
      </c>
      <c r="E61" s="158">
        <v>0.03</v>
      </c>
      <c r="F61" s="180">
        <f t="shared" si="1"/>
        <v>0.2</v>
      </c>
      <c r="G61" s="158">
        <v>0.15</v>
      </c>
      <c r="H61" s="159">
        <v>1.4</v>
      </c>
      <c r="I61" s="159">
        <v>0.34</v>
      </c>
      <c r="J61" s="159">
        <v>356</v>
      </c>
      <c r="K61" s="159">
        <v>3</v>
      </c>
      <c r="L61" s="159">
        <v>16</v>
      </c>
      <c r="M61" s="159">
        <v>0.94</v>
      </c>
      <c r="N61" s="159">
        <v>0.18</v>
      </c>
      <c r="O61" s="158">
        <v>0.06</v>
      </c>
      <c r="P61" s="158">
        <v>0</v>
      </c>
      <c r="Q61" s="159">
        <v>394</v>
      </c>
      <c r="R61" s="158">
        <v>24.82</v>
      </c>
      <c r="S61" s="158">
        <v>5.84</v>
      </c>
      <c r="T61" s="159">
        <v>0.01</v>
      </c>
      <c r="U61" s="158">
        <v>0.93</v>
      </c>
      <c r="V61" s="159">
        <v>1264</v>
      </c>
      <c r="W61" s="158">
        <v>0.04</v>
      </c>
      <c r="X61" s="158">
        <v>0.14000000000000001</v>
      </c>
      <c r="Y61" s="38"/>
    </row>
    <row r="62" spans="1:25">
      <c r="A62" s="181" t="s">
        <v>586</v>
      </c>
      <c r="B62" s="162">
        <v>15.76</v>
      </c>
      <c r="C62" s="163">
        <v>66.3</v>
      </c>
      <c r="D62" s="162">
        <v>0.05</v>
      </c>
      <c r="E62" s="162">
        <v>0.05</v>
      </c>
      <c r="F62" s="180">
        <f t="shared" si="1"/>
        <v>0.22727272727272729</v>
      </c>
      <c r="G62" s="162">
        <v>0.22</v>
      </c>
      <c r="H62" s="163">
        <v>9.3000000000000007</v>
      </c>
      <c r="I62" s="162">
        <v>0.48</v>
      </c>
      <c r="J62" s="162">
        <v>289</v>
      </c>
      <c r="K62" s="162">
        <v>2</v>
      </c>
      <c r="L62" s="162">
        <v>10</v>
      </c>
      <c r="M62" s="162">
        <v>2.15</v>
      </c>
      <c r="N62" s="162">
        <v>7.25</v>
      </c>
      <c r="O62" s="162">
        <v>0.01</v>
      </c>
      <c r="P62" s="162">
        <v>0.1</v>
      </c>
      <c r="Q62" s="162">
        <v>327</v>
      </c>
      <c r="R62" s="162">
        <v>56.31</v>
      </c>
      <c r="S62" s="162">
        <v>13.79</v>
      </c>
      <c r="T62" s="162">
        <v>0.02</v>
      </c>
      <c r="U62" s="162">
        <v>2.13</v>
      </c>
      <c r="V62" s="162">
        <v>1264</v>
      </c>
      <c r="W62" s="162">
        <v>0.26</v>
      </c>
      <c r="X62" s="162">
        <v>6.99</v>
      </c>
    </row>
    <row r="63" spans="1:25">
      <c r="A63" s="181" t="s">
        <v>586</v>
      </c>
      <c r="B63" s="162">
        <v>15.76</v>
      </c>
      <c r="C63" s="160">
        <v>82.9</v>
      </c>
      <c r="D63" s="162">
        <v>0.17</v>
      </c>
      <c r="E63" s="162">
        <v>0.13</v>
      </c>
      <c r="F63" s="180">
        <f t="shared" si="1"/>
        <v>0.35135135135135137</v>
      </c>
      <c r="G63" s="162">
        <v>0.37</v>
      </c>
      <c r="H63" s="162">
        <v>9.6</v>
      </c>
      <c r="I63" s="162">
        <v>0.56999999999999995</v>
      </c>
      <c r="J63" s="162">
        <v>304</v>
      </c>
      <c r="K63" s="162">
        <v>5</v>
      </c>
      <c r="L63" s="162">
        <v>13</v>
      </c>
      <c r="M63" s="162">
        <v>2.85</v>
      </c>
      <c r="N63" s="162">
        <v>3.5</v>
      </c>
      <c r="O63" s="162">
        <v>0.1</v>
      </c>
      <c r="P63" s="163">
        <v>0</v>
      </c>
      <c r="Q63" s="162">
        <v>342</v>
      </c>
      <c r="R63" s="162">
        <v>75.61</v>
      </c>
      <c r="S63" s="162">
        <v>17.55</v>
      </c>
      <c r="T63" s="162">
        <v>0.04</v>
      </c>
      <c r="U63" s="162">
        <v>2.81</v>
      </c>
      <c r="V63" s="159">
        <v>1264</v>
      </c>
      <c r="W63" s="162">
        <v>0.26</v>
      </c>
      <c r="X63" s="162">
        <v>3.24</v>
      </c>
    </row>
    <row r="64" spans="1:25">
      <c r="A64" s="181" t="s">
        <v>469</v>
      </c>
      <c r="B64" s="159">
        <v>16</v>
      </c>
      <c r="C64" s="159">
        <v>101.8</v>
      </c>
      <c r="D64" s="159">
        <v>0.01</v>
      </c>
      <c r="E64" s="159">
        <v>0.03</v>
      </c>
      <c r="F64" s="180">
        <f t="shared" si="1"/>
        <v>0.13043478260869565</v>
      </c>
      <c r="G64" s="159">
        <v>0.23</v>
      </c>
      <c r="H64" s="159">
        <v>1.4</v>
      </c>
      <c r="I64" s="159">
        <v>0.24</v>
      </c>
      <c r="J64" s="162">
        <v>352</v>
      </c>
      <c r="K64" s="159">
        <v>7</v>
      </c>
      <c r="L64" s="159">
        <v>53</v>
      </c>
      <c r="M64" s="159">
        <v>0.43</v>
      </c>
      <c r="N64" s="159">
        <v>0.31</v>
      </c>
      <c r="O64" s="159">
        <v>0.05</v>
      </c>
      <c r="P64" s="159">
        <v>0</v>
      </c>
      <c r="Q64" s="159">
        <v>390</v>
      </c>
      <c r="R64" s="159">
        <v>12.37</v>
      </c>
      <c r="S64" s="159">
        <v>1.97</v>
      </c>
      <c r="T64" s="161">
        <v>0.01</v>
      </c>
      <c r="U64" s="161">
        <v>0.42</v>
      </c>
      <c r="V64" s="159">
        <v>1264</v>
      </c>
      <c r="W64" s="159">
        <v>0.04</v>
      </c>
      <c r="X64" s="159">
        <v>0.27</v>
      </c>
    </row>
    <row r="65" spans="1:25">
      <c r="A65" s="181" t="s">
        <v>628</v>
      </c>
      <c r="B65" s="162">
        <v>16.059999999999999</v>
      </c>
      <c r="C65" s="163">
        <v>66</v>
      </c>
      <c r="D65" s="162">
        <v>7.0000000000000007E-2</v>
      </c>
      <c r="E65" s="162">
        <v>0.05</v>
      </c>
      <c r="F65" s="180">
        <f t="shared" si="1"/>
        <v>0.55555555555555558</v>
      </c>
      <c r="G65" s="162">
        <v>0.09</v>
      </c>
      <c r="H65" s="163">
        <v>2.5</v>
      </c>
      <c r="I65" s="162">
        <v>0.56999999999999995</v>
      </c>
      <c r="J65" s="162">
        <v>476</v>
      </c>
      <c r="K65" s="162">
        <v>7</v>
      </c>
      <c r="L65" s="162">
        <v>13</v>
      </c>
      <c r="M65" s="162">
        <v>0.69</v>
      </c>
      <c r="N65" s="162">
        <v>0.36</v>
      </c>
      <c r="O65" s="162">
        <v>0.03</v>
      </c>
      <c r="P65" s="162">
        <v>0</v>
      </c>
      <c r="Q65" s="162">
        <v>514</v>
      </c>
      <c r="R65" s="162">
        <v>18.190000000000001</v>
      </c>
      <c r="S65" s="162">
        <v>4.1100000000000003</v>
      </c>
      <c r="T65" s="162">
        <v>0.01</v>
      </c>
      <c r="U65" s="162">
        <v>0.68</v>
      </c>
      <c r="V65" s="162">
        <v>1264</v>
      </c>
      <c r="W65" s="162">
        <v>7.0000000000000007E-2</v>
      </c>
      <c r="X65" s="162">
        <v>0.28999999999999998</v>
      </c>
    </row>
    <row r="66" spans="1:25">
      <c r="A66" s="181" t="s">
        <v>627</v>
      </c>
      <c r="B66" s="162">
        <v>16.16</v>
      </c>
      <c r="C66" s="163">
        <v>66</v>
      </c>
      <c r="D66" s="162">
        <v>0.04</v>
      </c>
      <c r="E66" s="162">
        <v>0.05</v>
      </c>
      <c r="F66" s="180">
        <f t="shared" si="1"/>
        <v>0.41666666666666669</v>
      </c>
      <c r="G66" s="162">
        <v>0.12</v>
      </c>
      <c r="H66" s="163">
        <v>3.3</v>
      </c>
      <c r="I66" s="162">
        <v>0.45</v>
      </c>
      <c r="J66" s="162">
        <v>467</v>
      </c>
      <c r="K66" s="162">
        <v>6</v>
      </c>
      <c r="L66" s="162">
        <v>16</v>
      </c>
      <c r="M66" s="162">
        <v>0.77</v>
      </c>
      <c r="N66" s="162">
        <v>0.44</v>
      </c>
      <c r="O66" s="162">
        <v>0.05</v>
      </c>
      <c r="P66" s="162">
        <v>0</v>
      </c>
      <c r="Q66" s="162">
        <v>505</v>
      </c>
      <c r="R66" s="162">
        <v>19.96</v>
      </c>
      <c r="S66" s="162">
        <v>5.08</v>
      </c>
      <c r="T66" s="162">
        <v>0.01</v>
      </c>
      <c r="U66" s="162">
        <v>0.76</v>
      </c>
      <c r="V66" s="162">
        <v>1264</v>
      </c>
      <c r="W66" s="162">
        <v>0.09</v>
      </c>
      <c r="X66" s="162">
        <v>0.35</v>
      </c>
    </row>
    <row r="67" spans="1:25">
      <c r="A67" s="181" t="s">
        <v>526</v>
      </c>
      <c r="B67" s="159">
        <v>16.36</v>
      </c>
      <c r="C67" s="160">
        <v>83.7</v>
      </c>
      <c r="D67" s="159">
        <v>0.18</v>
      </c>
      <c r="E67" s="158">
        <v>0.15</v>
      </c>
      <c r="F67" s="180">
        <f t="shared" si="1"/>
        <v>0.68181818181818177</v>
      </c>
      <c r="G67" s="158">
        <v>0.22</v>
      </c>
      <c r="H67" s="158">
        <v>3.4</v>
      </c>
      <c r="I67" s="159">
        <v>0.53</v>
      </c>
      <c r="J67" s="159">
        <v>492</v>
      </c>
      <c r="K67" s="159">
        <v>13</v>
      </c>
      <c r="L67" s="159">
        <v>18</v>
      </c>
      <c r="M67" s="159">
        <v>1.19</v>
      </c>
      <c r="N67" s="159">
        <v>6.52</v>
      </c>
      <c r="O67" s="159">
        <v>0.01</v>
      </c>
      <c r="P67" s="158">
        <v>0.1</v>
      </c>
      <c r="Q67" s="159">
        <v>530</v>
      </c>
      <c r="R67" s="158">
        <v>29.4</v>
      </c>
      <c r="S67" s="158">
        <v>8.08</v>
      </c>
      <c r="T67" s="159">
        <v>0.04</v>
      </c>
      <c r="U67" s="159">
        <v>1.1499999999999999</v>
      </c>
      <c r="V67" s="159">
        <v>1264</v>
      </c>
      <c r="W67" s="158">
        <v>0.09</v>
      </c>
      <c r="X67" s="158">
        <v>6.42</v>
      </c>
    </row>
    <row r="68" spans="1:25">
      <c r="A68" s="181" t="s">
        <v>515</v>
      </c>
      <c r="B68" s="159">
        <v>16.36</v>
      </c>
      <c r="C68" s="160">
        <v>87.3</v>
      </c>
      <c r="D68" s="159">
        <v>0.11</v>
      </c>
      <c r="E68" s="158">
        <v>0.12</v>
      </c>
      <c r="F68" s="180">
        <f t="shared" ref="F68:F99" si="2">E68/G68</f>
        <v>0.38709677419354838</v>
      </c>
      <c r="G68" s="158">
        <v>0.31</v>
      </c>
      <c r="H68" s="158">
        <v>3.1</v>
      </c>
      <c r="I68" s="159">
        <v>0.48</v>
      </c>
      <c r="J68" s="159">
        <v>300</v>
      </c>
      <c r="K68" s="159">
        <v>7</v>
      </c>
      <c r="L68" s="159">
        <v>17</v>
      </c>
      <c r="M68" s="159">
        <v>1.83</v>
      </c>
      <c r="N68" s="159">
        <v>6.8</v>
      </c>
      <c r="O68" s="159">
        <v>0.02</v>
      </c>
      <c r="P68" s="158">
        <v>0.1</v>
      </c>
      <c r="Q68" s="159">
        <v>338</v>
      </c>
      <c r="R68" s="158">
        <v>49.28</v>
      </c>
      <c r="S68" s="158">
        <v>10.79</v>
      </c>
      <c r="T68" s="159">
        <v>0.03</v>
      </c>
      <c r="U68" s="159">
        <v>1.8</v>
      </c>
      <c r="V68" s="159">
        <v>1264</v>
      </c>
      <c r="W68" s="158">
        <v>0.09</v>
      </c>
      <c r="X68" s="158">
        <v>6.71</v>
      </c>
    </row>
    <row r="69" spans="1:25">
      <c r="A69" s="181" t="s">
        <v>456</v>
      </c>
      <c r="B69" s="159">
        <v>16.690000000000001</v>
      </c>
      <c r="C69" s="160">
        <v>111.9</v>
      </c>
      <c r="D69" s="158">
        <v>0.15</v>
      </c>
      <c r="E69" s="158">
        <v>0.14000000000000001</v>
      </c>
      <c r="F69" s="180">
        <f t="shared" si="2"/>
        <v>0.70000000000000007</v>
      </c>
      <c r="G69" s="158">
        <v>0.2</v>
      </c>
      <c r="H69" s="159">
        <v>2.2999999999999998</v>
      </c>
      <c r="I69" s="159">
        <v>0.51</v>
      </c>
      <c r="J69" s="159">
        <v>507</v>
      </c>
      <c r="K69" s="159">
        <v>6</v>
      </c>
      <c r="L69" s="159">
        <v>9</v>
      </c>
      <c r="M69" s="159">
        <v>2.31</v>
      </c>
      <c r="N69" s="159">
        <v>0.56999999999999995</v>
      </c>
      <c r="O69" s="158">
        <v>0.02</v>
      </c>
      <c r="P69" s="158">
        <v>0.1</v>
      </c>
      <c r="Q69" s="159">
        <v>545</v>
      </c>
      <c r="R69" s="158">
        <v>53.57</v>
      </c>
      <c r="S69" s="158">
        <v>19.25</v>
      </c>
      <c r="T69" s="159">
        <v>0.03</v>
      </c>
      <c r="U69" s="158">
        <v>2.2799999999999998</v>
      </c>
      <c r="V69" s="159">
        <v>1264</v>
      </c>
      <c r="W69" s="158">
        <v>0.06</v>
      </c>
      <c r="X69" s="158">
        <v>0.51</v>
      </c>
    </row>
    <row r="70" spans="1:25">
      <c r="A70" s="181" t="s">
        <v>575</v>
      </c>
      <c r="B70" s="162">
        <v>16.760000000000002</v>
      </c>
      <c r="C70" s="160">
        <v>80.7</v>
      </c>
      <c r="D70" s="162">
        <v>0.19</v>
      </c>
      <c r="E70" s="162">
        <v>0.12</v>
      </c>
      <c r="F70" s="180">
        <f t="shared" si="2"/>
        <v>0.27272727272727271</v>
      </c>
      <c r="G70" s="162">
        <v>0.44</v>
      </c>
      <c r="H70" s="162">
        <v>7.4</v>
      </c>
      <c r="I70" s="162">
        <v>0.61</v>
      </c>
      <c r="J70" s="162">
        <v>300</v>
      </c>
      <c r="K70" s="162">
        <v>6</v>
      </c>
      <c r="L70" s="162">
        <v>21</v>
      </c>
      <c r="M70" s="162">
        <v>2.08</v>
      </c>
      <c r="N70" s="162">
        <v>5.05</v>
      </c>
      <c r="O70" s="162">
        <v>0.1</v>
      </c>
      <c r="P70" s="163">
        <v>0.1</v>
      </c>
      <c r="Q70" s="162">
        <v>338</v>
      </c>
      <c r="R70" s="162">
        <v>55.23</v>
      </c>
      <c r="S70" s="162">
        <v>12.46</v>
      </c>
      <c r="T70" s="162">
        <v>0.04</v>
      </c>
      <c r="U70" s="162">
        <v>2.04</v>
      </c>
      <c r="V70" s="159">
        <v>1264</v>
      </c>
      <c r="W70" s="162">
        <v>0.2</v>
      </c>
      <c r="X70" s="162">
        <v>4.8499999999999996</v>
      </c>
      <c r="Y70" s="133"/>
    </row>
    <row r="71" spans="1:25">
      <c r="A71" s="181" t="s">
        <v>489</v>
      </c>
      <c r="B71" s="159">
        <v>16.86</v>
      </c>
      <c r="C71" s="160">
        <v>95.4</v>
      </c>
      <c r="D71" s="158">
        <v>0.12</v>
      </c>
      <c r="E71" s="158">
        <v>0.11</v>
      </c>
      <c r="F71" s="180">
        <f t="shared" si="2"/>
        <v>0.37931034482758624</v>
      </c>
      <c r="G71" s="158">
        <v>0.28999999999999998</v>
      </c>
      <c r="H71" s="159">
        <v>5.4</v>
      </c>
      <c r="I71" s="159">
        <v>0.52</v>
      </c>
      <c r="J71" s="159">
        <v>306</v>
      </c>
      <c r="K71" s="159">
        <v>4</v>
      </c>
      <c r="L71" s="159">
        <v>11</v>
      </c>
      <c r="M71" s="159">
        <v>2.58</v>
      </c>
      <c r="N71" s="159">
        <v>1.9</v>
      </c>
      <c r="O71" s="158">
        <v>7.0000000000000007E-2</v>
      </c>
      <c r="P71" s="158">
        <v>0.1</v>
      </c>
      <c r="Q71" s="159">
        <v>344</v>
      </c>
      <c r="R71" s="158">
        <v>66.739999999999995</v>
      </c>
      <c r="S71" s="158">
        <v>16.920000000000002</v>
      </c>
      <c r="T71" s="159">
        <v>0.03</v>
      </c>
      <c r="U71" s="158">
        <v>2.5499999999999998</v>
      </c>
      <c r="V71" s="159">
        <v>1264</v>
      </c>
      <c r="W71" s="158">
        <v>0.15</v>
      </c>
      <c r="X71" s="158">
        <v>1.76</v>
      </c>
    </row>
    <row r="72" spans="1:25">
      <c r="A72" s="181" t="s">
        <v>460</v>
      </c>
      <c r="B72" s="159">
        <v>17</v>
      </c>
      <c r="C72" s="159">
        <v>107.3</v>
      </c>
      <c r="D72" s="159">
        <v>0.01</v>
      </c>
      <c r="E72" s="159">
        <v>0.03</v>
      </c>
      <c r="F72" s="180">
        <f t="shared" si="2"/>
        <v>0.11538461538461538</v>
      </c>
      <c r="G72" s="159">
        <v>0.26</v>
      </c>
      <c r="H72" s="159">
        <v>6.6</v>
      </c>
      <c r="I72" s="159">
        <v>0.22</v>
      </c>
      <c r="J72" s="162">
        <v>440</v>
      </c>
      <c r="K72" s="159">
        <v>12</v>
      </c>
      <c r="L72" s="159">
        <v>108</v>
      </c>
      <c r="M72" s="159">
        <v>0.24</v>
      </c>
      <c r="N72" s="159">
        <v>4.6500000000000004</v>
      </c>
      <c r="O72" s="159">
        <v>0.03</v>
      </c>
      <c r="P72" s="159">
        <v>0</v>
      </c>
      <c r="Q72" s="159">
        <v>478</v>
      </c>
      <c r="R72" s="159">
        <v>6.73</v>
      </c>
      <c r="S72" s="159">
        <v>1.24</v>
      </c>
      <c r="T72" s="161">
        <v>0.01</v>
      </c>
      <c r="U72" s="161">
        <v>0.23</v>
      </c>
      <c r="V72" s="159">
        <v>1264</v>
      </c>
      <c r="W72" s="159">
        <v>0.18</v>
      </c>
      <c r="X72" s="159">
        <v>4.47</v>
      </c>
    </row>
    <row r="73" spans="1:25">
      <c r="A73" s="181" t="s">
        <v>616</v>
      </c>
      <c r="B73" s="162">
        <v>17.13</v>
      </c>
      <c r="C73" s="163">
        <v>64.400000000000006</v>
      </c>
      <c r="D73" s="162">
        <v>0.03</v>
      </c>
      <c r="E73" s="162">
        <v>0.03</v>
      </c>
      <c r="F73" s="180">
        <f t="shared" si="2"/>
        <v>0.3</v>
      </c>
      <c r="G73" s="162">
        <v>0.1</v>
      </c>
      <c r="H73" s="163">
        <v>3.9</v>
      </c>
      <c r="I73" s="162">
        <v>0.48</v>
      </c>
      <c r="J73" s="162">
        <v>356</v>
      </c>
      <c r="K73" s="162">
        <v>2</v>
      </c>
      <c r="L73" s="162">
        <v>7</v>
      </c>
      <c r="M73" s="162">
        <v>1.42</v>
      </c>
      <c r="N73" s="162">
        <v>0.53</v>
      </c>
      <c r="O73" s="162">
        <v>0.02</v>
      </c>
      <c r="P73" s="162">
        <v>0.1</v>
      </c>
      <c r="Q73" s="162">
        <v>394</v>
      </c>
      <c r="R73" s="162">
        <v>36.11</v>
      </c>
      <c r="S73" s="162">
        <v>9.94</v>
      </c>
      <c r="T73" s="162">
        <v>0.01</v>
      </c>
      <c r="U73" s="162">
        <v>1.41</v>
      </c>
      <c r="V73" s="162">
        <v>1264</v>
      </c>
      <c r="W73" s="162">
        <v>0.11</v>
      </c>
      <c r="X73" s="162">
        <v>0.42</v>
      </c>
    </row>
    <row r="74" spans="1:25">
      <c r="A74" s="181" t="s">
        <v>590</v>
      </c>
      <c r="B74" s="162">
        <v>17.36</v>
      </c>
      <c r="C74" s="160">
        <v>84.1</v>
      </c>
      <c r="D74" s="162">
        <v>0.06</v>
      </c>
      <c r="E74" s="162">
        <v>7.0000000000000007E-2</v>
      </c>
      <c r="F74" s="180">
        <f t="shared" si="2"/>
        <v>0.25925925925925924</v>
      </c>
      <c r="G74" s="162">
        <v>0.27</v>
      </c>
      <c r="H74" s="162">
        <v>1.5</v>
      </c>
      <c r="I74" s="162">
        <v>0.46</v>
      </c>
      <c r="J74" s="162">
        <v>461</v>
      </c>
      <c r="K74" s="162">
        <v>3</v>
      </c>
      <c r="L74" s="162">
        <v>13</v>
      </c>
      <c r="M74" s="162">
        <v>2.0699999999999998</v>
      </c>
      <c r="N74" s="162">
        <v>0.28000000000000003</v>
      </c>
      <c r="O74" s="162">
        <v>7.0000000000000007E-2</v>
      </c>
      <c r="P74" s="163">
        <v>0</v>
      </c>
      <c r="Q74" s="162">
        <v>499</v>
      </c>
      <c r="R74" s="162">
        <v>53.79</v>
      </c>
      <c r="S74" s="162">
        <v>13.44</v>
      </c>
      <c r="T74" s="162">
        <v>0.02</v>
      </c>
      <c r="U74" s="162">
        <v>2.0499999999999998</v>
      </c>
      <c r="V74" s="159">
        <v>1264</v>
      </c>
      <c r="W74" s="162">
        <v>0.04</v>
      </c>
      <c r="X74" s="162">
        <v>0.24</v>
      </c>
    </row>
    <row r="75" spans="1:25">
      <c r="A75" s="181" t="s">
        <v>591</v>
      </c>
      <c r="B75" s="162">
        <v>17.54</v>
      </c>
      <c r="C75" s="160">
        <v>84.1</v>
      </c>
      <c r="D75" s="162">
        <v>7.0000000000000007E-2</v>
      </c>
      <c r="E75" s="162">
        <v>0.09</v>
      </c>
      <c r="F75" s="180">
        <f t="shared" si="2"/>
        <v>0.44999999999999996</v>
      </c>
      <c r="G75" s="162">
        <v>0.2</v>
      </c>
      <c r="H75" s="162">
        <v>7.3</v>
      </c>
      <c r="I75" s="162">
        <v>0.44</v>
      </c>
      <c r="J75" s="162">
        <v>339</v>
      </c>
      <c r="K75" s="162">
        <v>6</v>
      </c>
      <c r="L75" s="162">
        <v>13</v>
      </c>
      <c r="M75" s="162">
        <v>1.59</v>
      </c>
      <c r="N75" s="162">
        <v>0.98</v>
      </c>
      <c r="O75" s="162">
        <v>0.09</v>
      </c>
      <c r="P75" s="163">
        <v>0</v>
      </c>
      <c r="Q75" s="162">
        <v>377</v>
      </c>
      <c r="R75" s="162">
        <v>41.88</v>
      </c>
      <c r="S75" s="162">
        <v>10.11</v>
      </c>
      <c r="T75" s="162">
        <v>0.02</v>
      </c>
      <c r="U75" s="162">
        <v>1.57</v>
      </c>
      <c r="V75" s="159">
        <v>1264</v>
      </c>
      <c r="W75" s="162">
        <v>0.2</v>
      </c>
      <c r="X75" s="162">
        <v>0.78</v>
      </c>
    </row>
    <row r="76" spans="1:25">
      <c r="A76" s="181" t="s">
        <v>499</v>
      </c>
      <c r="B76" s="159">
        <v>17.62</v>
      </c>
      <c r="C76" s="160">
        <v>92.5</v>
      </c>
      <c r="D76" s="158">
        <v>0.19</v>
      </c>
      <c r="E76" s="158">
        <v>0.22</v>
      </c>
      <c r="F76" s="180">
        <f t="shared" si="2"/>
        <v>0.45833333333333337</v>
      </c>
      <c r="G76" s="158">
        <v>0.48</v>
      </c>
      <c r="H76" s="159">
        <v>4.0999999999999996</v>
      </c>
      <c r="I76" s="159">
        <v>0.47</v>
      </c>
      <c r="J76" s="159">
        <v>489</v>
      </c>
      <c r="K76" s="159">
        <v>12</v>
      </c>
      <c r="L76" s="159">
        <v>26</v>
      </c>
      <c r="M76" s="159">
        <v>1.84</v>
      </c>
      <c r="N76" s="159">
        <v>6.44</v>
      </c>
      <c r="O76" s="158">
        <v>0.03</v>
      </c>
      <c r="P76" s="158">
        <v>0.1</v>
      </c>
      <c r="Q76" s="159">
        <v>527</v>
      </c>
      <c r="R76" s="158">
        <v>50.28</v>
      </c>
      <c r="S76" s="158">
        <v>9.69</v>
      </c>
      <c r="T76" s="159">
        <v>0.05</v>
      </c>
      <c r="U76" s="158">
        <v>1.79</v>
      </c>
      <c r="V76" s="159">
        <v>1264</v>
      </c>
      <c r="W76" s="158">
        <v>0.11</v>
      </c>
      <c r="X76" s="158">
        <v>6.32</v>
      </c>
    </row>
    <row r="77" spans="1:25">
      <c r="A77" s="181" t="s">
        <v>512</v>
      </c>
      <c r="B77" s="159">
        <v>17.82</v>
      </c>
      <c r="C77" s="160">
        <v>90.2</v>
      </c>
      <c r="D77" s="158">
        <v>0.18</v>
      </c>
      <c r="E77" s="158">
        <v>0.24</v>
      </c>
      <c r="F77" s="180">
        <f t="shared" si="2"/>
        <v>0.6</v>
      </c>
      <c r="G77" s="158">
        <v>0.4</v>
      </c>
      <c r="H77" s="159">
        <v>3.7</v>
      </c>
      <c r="I77" s="159">
        <v>0.43</v>
      </c>
      <c r="J77" s="159">
        <v>490</v>
      </c>
      <c r="K77" s="159">
        <v>10</v>
      </c>
      <c r="L77" s="159">
        <v>16</v>
      </c>
      <c r="M77" s="159">
        <v>2.52</v>
      </c>
      <c r="N77" s="159">
        <v>6.53</v>
      </c>
      <c r="O77" s="158">
        <v>0.03</v>
      </c>
      <c r="P77" s="158">
        <v>0.1</v>
      </c>
      <c r="Q77" s="159">
        <v>528</v>
      </c>
      <c r="R77" s="158">
        <v>66.930000000000007</v>
      </c>
      <c r="S77" s="158">
        <v>15.05</v>
      </c>
      <c r="T77" s="159">
        <v>0.05</v>
      </c>
      <c r="U77" s="158">
        <v>2.4700000000000002</v>
      </c>
      <c r="V77" s="159">
        <v>1264</v>
      </c>
      <c r="W77" s="158">
        <v>0.1</v>
      </c>
      <c r="X77" s="158">
        <v>6.43</v>
      </c>
    </row>
    <row r="78" spans="1:25">
      <c r="A78" s="181" t="s">
        <v>509</v>
      </c>
      <c r="B78" s="159">
        <v>17.920000000000002</v>
      </c>
      <c r="C78" s="160">
        <v>90.5</v>
      </c>
      <c r="D78" s="158">
        <v>0.05</v>
      </c>
      <c r="E78" s="158">
        <v>0.06</v>
      </c>
      <c r="F78" s="180">
        <f t="shared" si="2"/>
        <v>0.33333333333333331</v>
      </c>
      <c r="G78" s="158">
        <v>0.18</v>
      </c>
      <c r="H78" s="159">
        <v>7.4</v>
      </c>
      <c r="I78" s="159">
        <v>0.45</v>
      </c>
      <c r="J78" s="159">
        <v>313</v>
      </c>
      <c r="K78" s="159">
        <v>2</v>
      </c>
      <c r="L78" s="159">
        <v>7</v>
      </c>
      <c r="M78" s="159">
        <v>2.75</v>
      </c>
      <c r="N78" s="159">
        <v>1.7</v>
      </c>
      <c r="O78" s="158">
        <v>0.01</v>
      </c>
      <c r="P78" s="158">
        <v>0.1</v>
      </c>
      <c r="Q78" s="159">
        <v>351</v>
      </c>
      <c r="R78" s="158">
        <v>73.349999999999994</v>
      </c>
      <c r="S78" s="158">
        <v>16.98</v>
      </c>
      <c r="T78" s="159">
        <v>0.02</v>
      </c>
      <c r="U78" s="158">
        <v>2.73</v>
      </c>
      <c r="V78" s="159">
        <v>1264</v>
      </c>
      <c r="W78" s="158">
        <v>0.2</v>
      </c>
      <c r="X78" s="158">
        <v>1.5</v>
      </c>
    </row>
    <row r="79" spans="1:25">
      <c r="A79" s="181" t="s">
        <v>582</v>
      </c>
      <c r="B79" s="162">
        <v>18.079999999999998</v>
      </c>
      <c r="C79" s="160">
        <v>82.6</v>
      </c>
      <c r="D79" s="162">
        <v>7.0000000000000007E-2</v>
      </c>
      <c r="E79" s="162">
        <v>0.1</v>
      </c>
      <c r="F79" s="180">
        <f t="shared" si="2"/>
        <v>0.625</v>
      </c>
      <c r="G79" s="162">
        <v>0.16</v>
      </c>
      <c r="H79" s="162">
        <v>6.6</v>
      </c>
      <c r="I79" s="162">
        <v>0.42</v>
      </c>
      <c r="J79" s="162">
        <v>332</v>
      </c>
      <c r="K79" s="162">
        <v>4</v>
      </c>
      <c r="L79" s="162">
        <v>7</v>
      </c>
      <c r="M79" s="162">
        <v>2.37</v>
      </c>
      <c r="N79" s="162">
        <v>1.1000000000000001</v>
      </c>
      <c r="O79" s="162">
        <v>0.06</v>
      </c>
      <c r="P79" s="163">
        <v>0.1</v>
      </c>
      <c r="Q79" s="162">
        <v>370</v>
      </c>
      <c r="R79" s="162">
        <v>60.54</v>
      </c>
      <c r="S79" s="162">
        <v>16.32</v>
      </c>
      <c r="T79" s="162">
        <v>0.02</v>
      </c>
      <c r="U79" s="162">
        <v>2.35</v>
      </c>
      <c r="V79" s="159">
        <v>1264</v>
      </c>
      <c r="W79" s="162">
        <v>0.18</v>
      </c>
      <c r="X79" s="162">
        <v>0.92</v>
      </c>
    </row>
    <row r="80" spans="1:25">
      <c r="A80" s="181" t="s">
        <v>611</v>
      </c>
      <c r="B80" s="162">
        <v>18.28</v>
      </c>
      <c r="C80" s="163">
        <v>62.3</v>
      </c>
      <c r="D80" s="162">
        <v>0.1</v>
      </c>
      <c r="E80" s="162">
        <v>0.09</v>
      </c>
      <c r="F80" s="180">
        <f t="shared" si="2"/>
        <v>0.33333333333333331</v>
      </c>
      <c r="G80" s="162">
        <v>0.27</v>
      </c>
      <c r="H80" s="163">
        <v>6</v>
      </c>
      <c r="I80" s="162">
        <v>0.54</v>
      </c>
      <c r="J80" s="162">
        <v>299</v>
      </c>
      <c r="K80" s="162">
        <v>4</v>
      </c>
      <c r="L80" s="162">
        <v>13</v>
      </c>
      <c r="M80" s="162">
        <v>2.02</v>
      </c>
      <c r="N80" s="162">
        <v>4.0999999999999996</v>
      </c>
      <c r="O80" s="162">
        <v>0.02</v>
      </c>
      <c r="P80" s="162">
        <v>0.1</v>
      </c>
      <c r="Q80" s="162">
        <v>337</v>
      </c>
      <c r="R80" s="162">
        <v>52.9</v>
      </c>
      <c r="S80" s="162">
        <v>12.91</v>
      </c>
      <c r="T80" s="162">
        <v>0.03</v>
      </c>
      <c r="U80" s="162">
        <v>1.99</v>
      </c>
      <c r="V80" s="162">
        <v>1264</v>
      </c>
      <c r="W80" s="162">
        <v>0.17</v>
      </c>
      <c r="X80" s="162">
        <v>3.93</v>
      </c>
    </row>
    <row r="81" spans="1:25">
      <c r="A81" s="181" t="s">
        <v>513</v>
      </c>
      <c r="B81" s="159">
        <v>18.32</v>
      </c>
      <c r="C81" s="160">
        <v>89.2</v>
      </c>
      <c r="D81" s="158">
        <v>0.11</v>
      </c>
      <c r="E81" s="158">
        <v>0.13</v>
      </c>
      <c r="F81" s="180">
        <f t="shared" si="2"/>
        <v>0.48148148148148145</v>
      </c>
      <c r="G81" s="158">
        <v>0.27</v>
      </c>
      <c r="H81" s="159">
        <v>5.6</v>
      </c>
      <c r="I81" s="159">
        <v>0.46</v>
      </c>
      <c r="J81" s="159">
        <v>305</v>
      </c>
      <c r="K81" s="159">
        <v>5</v>
      </c>
      <c r="L81" s="159">
        <v>10</v>
      </c>
      <c r="M81" s="159">
        <v>2.72</v>
      </c>
      <c r="N81" s="159">
        <v>4.22</v>
      </c>
      <c r="O81" s="158">
        <v>0.05</v>
      </c>
      <c r="P81" s="158">
        <v>0.1</v>
      </c>
      <c r="Q81" s="159">
        <v>343</v>
      </c>
      <c r="R81" s="158">
        <v>72.37</v>
      </c>
      <c r="S81" s="158">
        <v>16.73</v>
      </c>
      <c r="T81" s="159">
        <v>0.03</v>
      </c>
      <c r="U81" s="158">
        <v>2.69</v>
      </c>
      <c r="V81" s="159">
        <v>1264</v>
      </c>
      <c r="W81" s="158">
        <v>0.15</v>
      </c>
      <c r="X81" s="158">
        <v>4.07</v>
      </c>
    </row>
    <row r="82" spans="1:25">
      <c r="A82" s="181" t="s">
        <v>528</v>
      </c>
      <c r="B82" s="159">
        <v>18.52</v>
      </c>
      <c r="C82" s="160">
        <v>83.6</v>
      </c>
      <c r="D82" s="158">
        <v>0.06</v>
      </c>
      <c r="E82" s="158">
        <v>0.08</v>
      </c>
      <c r="F82" s="180">
        <f t="shared" si="2"/>
        <v>0.61538461538461542</v>
      </c>
      <c r="G82" s="158">
        <v>0.13</v>
      </c>
      <c r="H82" s="159">
        <v>6.1</v>
      </c>
      <c r="I82" s="159">
        <v>0.42</v>
      </c>
      <c r="J82" s="159">
        <v>308</v>
      </c>
      <c r="K82" s="159">
        <v>3</v>
      </c>
      <c r="L82" s="159">
        <v>6</v>
      </c>
      <c r="M82" s="159">
        <v>2.35</v>
      </c>
      <c r="N82" s="159">
        <v>0.66</v>
      </c>
      <c r="O82" s="158">
        <v>0.02</v>
      </c>
      <c r="P82" s="158">
        <v>0.1</v>
      </c>
      <c r="Q82" s="159">
        <v>346</v>
      </c>
      <c r="R82" s="158">
        <v>55.89</v>
      </c>
      <c r="S82" s="158">
        <v>19</v>
      </c>
      <c r="T82" s="159">
        <v>0.02</v>
      </c>
      <c r="U82" s="158">
        <v>2.33</v>
      </c>
      <c r="V82" s="159">
        <v>1264</v>
      </c>
      <c r="W82" s="158">
        <v>0.17</v>
      </c>
      <c r="X82" s="158">
        <v>0.49</v>
      </c>
    </row>
    <row r="83" spans="1:25">
      <c r="A83" s="181" t="s">
        <v>594</v>
      </c>
      <c r="B83" s="162">
        <v>18.86</v>
      </c>
      <c r="C83" s="160">
        <v>84.6</v>
      </c>
      <c r="D83" s="162">
        <v>0.09</v>
      </c>
      <c r="E83" s="162">
        <v>7.0000000000000007E-2</v>
      </c>
      <c r="F83" s="180">
        <f t="shared" si="2"/>
        <v>0.38888888888888895</v>
      </c>
      <c r="G83" s="162">
        <v>0.18</v>
      </c>
      <c r="H83" s="162">
        <v>6.3</v>
      </c>
      <c r="I83" s="162">
        <v>0.54</v>
      </c>
      <c r="J83" s="162">
        <v>340</v>
      </c>
      <c r="K83" s="162">
        <v>4</v>
      </c>
      <c r="L83" s="162">
        <v>11</v>
      </c>
      <c r="M83" s="162">
        <v>1.66</v>
      </c>
      <c r="N83" s="162">
        <v>0.64</v>
      </c>
      <c r="O83" s="162">
        <v>0.05</v>
      </c>
      <c r="P83" s="163">
        <v>0</v>
      </c>
      <c r="Q83" s="162">
        <v>378</v>
      </c>
      <c r="R83" s="162">
        <v>42.29</v>
      </c>
      <c r="S83" s="162">
        <v>11.53</v>
      </c>
      <c r="T83" s="162">
        <v>0.02</v>
      </c>
      <c r="U83" s="162">
        <v>1.64</v>
      </c>
      <c r="V83" s="159">
        <v>1264</v>
      </c>
      <c r="W83" s="162">
        <v>0.17</v>
      </c>
      <c r="X83" s="162">
        <v>0.47</v>
      </c>
    </row>
    <row r="84" spans="1:25">
      <c r="A84" s="181" t="s">
        <v>522</v>
      </c>
      <c r="B84" s="159">
        <v>19.059999999999999</v>
      </c>
      <c r="C84" s="160">
        <v>85.5</v>
      </c>
      <c r="D84" s="159">
        <v>0.03</v>
      </c>
      <c r="E84" s="158">
        <v>0.03</v>
      </c>
      <c r="F84" s="180">
        <f t="shared" si="2"/>
        <v>0.1875</v>
      </c>
      <c r="G84" s="158">
        <v>0.16</v>
      </c>
      <c r="H84" s="158">
        <v>6.4</v>
      </c>
      <c r="I84" s="159">
        <v>0.43</v>
      </c>
      <c r="J84" s="159">
        <v>478</v>
      </c>
      <c r="K84" s="159">
        <v>16</v>
      </c>
      <c r="L84" s="159">
        <v>84</v>
      </c>
      <c r="M84" s="159">
        <v>0.19</v>
      </c>
      <c r="N84" s="159">
        <v>4.6500000000000004</v>
      </c>
      <c r="O84" s="159">
        <v>0.01</v>
      </c>
      <c r="P84" s="158">
        <v>0</v>
      </c>
      <c r="Q84" s="159">
        <v>516</v>
      </c>
      <c r="R84" s="158">
        <v>6.3</v>
      </c>
      <c r="S84" s="158">
        <v>0.3</v>
      </c>
      <c r="T84" s="159">
        <v>0.01</v>
      </c>
      <c r="U84" s="159">
        <v>0.18</v>
      </c>
      <c r="V84" s="159">
        <v>1264</v>
      </c>
      <c r="W84" s="158">
        <v>0.17</v>
      </c>
      <c r="X84" s="158">
        <v>4.47</v>
      </c>
    </row>
    <row r="85" spans="1:25">
      <c r="A85" s="181" t="s">
        <v>608</v>
      </c>
      <c r="B85" s="162">
        <v>19.260000000000002</v>
      </c>
      <c r="C85" s="160">
        <v>90.3</v>
      </c>
      <c r="D85" s="162">
        <v>0.21</v>
      </c>
      <c r="E85" s="162">
        <v>0.17</v>
      </c>
      <c r="F85" s="180">
        <f t="shared" si="2"/>
        <v>0.62962962962962965</v>
      </c>
      <c r="G85" s="162">
        <v>0.27</v>
      </c>
      <c r="H85" s="162">
        <v>8.6999999999999993</v>
      </c>
      <c r="I85" s="162">
        <v>0.56000000000000005</v>
      </c>
      <c r="J85" s="162">
        <v>315</v>
      </c>
      <c r="K85" s="162">
        <v>9</v>
      </c>
      <c r="L85" s="162">
        <v>15</v>
      </c>
      <c r="M85" s="162">
        <v>1.84</v>
      </c>
      <c r="N85" s="162">
        <v>2.48</v>
      </c>
      <c r="O85" s="162">
        <v>0.09</v>
      </c>
      <c r="P85" s="163">
        <v>0</v>
      </c>
      <c r="Q85" s="162">
        <v>353</v>
      </c>
      <c r="R85" s="162">
        <v>47.64</v>
      </c>
      <c r="S85" s="162">
        <v>11.64</v>
      </c>
      <c r="T85" s="162">
        <v>0.04</v>
      </c>
      <c r="U85" s="162">
        <v>1.8</v>
      </c>
      <c r="V85" s="159">
        <v>1264</v>
      </c>
      <c r="W85" s="162">
        <v>0.24</v>
      </c>
      <c r="X85" s="162">
        <v>2.2400000000000002</v>
      </c>
    </row>
    <row r="86" spans="1:25">
      <c r="A86" s="181" t="s">
        <v>494</v>
      </c>
      <c r="B86" s="159">
        <v>19.38</v>
      </c>
      <c r="C86" s="160">
        <v>94</v>
      </c>
      <c r="D86" s="158">
        <v>0.1</v>
      </c>
      <c r="E86" s="158">
        <v>0.12</v>
      </c>
      <c r="F86" s="180">
        <f t="shared" si="2"/>
        <v>0.41379310344827586</v>
      </c>
      <c r="G86" s="158">
        <v>0.28999999999999998</v>
      </c>
      <c r="H86" s="159">
        <v>4.9000000000000004</v>
      </c>
      <c r="I86" s="159">
        <v>0.44</v>
      </c>
      <c r="J86" s="159">
        <v>500</v>
      </c>
      <c r="K86" s="159">
        <v>8</v>
      </c>
      <c r="L86" s="159">
        <v>19</v>
      </c>
      <c r="M86" s="159">
        <v>1.53</v>
      </c>
      <c r="N86" s="159">
        <v>5.88</v>
      </c>
      <c r="O86" s="158">
        <v>0.08</v>
      </c>
      <c r="P86" s="158">
        <v>0</v>
      </c>
      <c r="Q86" s="159">
        <v>538</v>
      </c>
      <c r="R86" s="158">
        <v>38.520000000000003</v>
      </c>
      <c r="S86" s="158">
        <v>10.54</v>
      </c>
      <c r="T86" s="159">
        <v>0.03</v>
      </c>
      <c r="U86" s="158">
        <v>1.5</v>
      </c>
      <c r="V86" s="159">
        <v>1264</v>
      </c>
      <c r="W86" s="158">
        <v>0.13</v>
      </c>
      <c r="X86" s="158">
        <v>5.75</v>
      </c>
    </row>
    <row r="87" spans="1:25">
      <c r="A87" s="181" t="s">
        <v>620</v>
      </c>
      <c r="B87" s="162">
        <v>19.66</v>
      </c>
      <c r="C87" s="163">
        <v>65.2</v>
      </c>
      <c r="D87" s="162">
        <v>0.02</v>
      </c>
      <c r="E87" s="162">
        <v>0.05</v>
      </c>
      <c r="F87" s="180">
        <f t="shared" si="2"/>
        <v>0.1</v>
      </c>
      <c r="G87" s="162">
        <v>0.5</v>
      </c>
      <c r="H87" s="163">
        <v>1</v>
      </c>
      <c r="I87" s="162">
        <v>0.3</v>
      </c>
      <c r="J87" s="162">
        <v>507</v>
      </c>
      <c r="K87" s="162">
        <v>3</v>
      </c>
      <c r="L87" s="162">
        <v>35</v>
      </c>
      <c r="M87" s="162">
        <v>1.43</v>
      </c>
      <c r="N87" s="162">
        <v>0.05</v>
      </c>
      <c r="O87" s="162">
        <v>0.06</v>
      </c>
      <c r="P87" s="162">
        <v>0.1</v>
      </c>
      <c r="Q87" s="162">
        <v>545</v>
      </c>
      <c r="R87" s="162">
        <v>36.700000000000003</v>
      </c>
      <c r="S87" s="162">
        <v>9.67</v>
      </c>
      <c r="T87" s="162">
        <v>0.02</v>
      </c>
      <c r="U87" s="162">
        <v>1.41</v>
      </c>
      <c r="V87" s="162">
        <v>1264</v>
      </c>
      <c r="W87" s="162">
        <v>0.03</v>
      </c>
      <c r="X87" s="162">
        <v>0.02</v>
      </c>
    </row>
    <row r="88" spans="1:25">
      <c r="A88" s="181" t="s">
        <v>498</v>
      </c>
      <c r="B88" s="159">
        <v>19.88</v>
      </c>
      <c r="C88" s="160">
        <v>92.9</v>
      </c>
      <c r="D88" s="158">
        <v>0.03</v>
      </c>
      <c r="E88" s="158">
        <v>0.04</v>
      </c>
      <c r="F88" s="180">
        <f t="shared" si="2"/>
        <v>0.2857142857142857</v>
      </c>
      <c r="G88" s="158">
        <v>0.14000000000000001</v>
      </c>
      <c r="H88" s="159">
        <v>1.3</v>
      </c>
      <c r="I88" s="159">
        <v>0.45</v>
      </c>
      <c r="J88" s="159">
        <v>338</v>
      </c>
      <c r="K88" s="159">
        <v>2</v>
      </c>
      <c r="L88" s="159">
        <v>6</v>
      </c>
      <c r="M88" s="159">
        <v>2.21</v>
      </c>
      <c r="N88" s="159">
        <v>0.3</v>
      </c>
      <c r="O88" s="158">
        <v>0.02</v>
      </c>
      <c r="P88" s="158">
        <v>0.1</v>
      </c>
      <c r="Q88" s="159">
        <v>376</v>
      </c>
      <c r="R88" s="158">
        <v>51.36</v>
      </c>
      <c r="S88" s="158">
        <v>18.61</v>
      </c>
      <c r="T88" s="159">
        <v>0.01</v>
      </c>
      <c r="U88" s="158">
        <v>2.2000000000000002</v>
      </c>
      <c r="V88" s="159">
        <v>1264</v>
      </c>
      <c r="W88" s="158">
        <v>0.04</v>
      </c>
      <c r="X88" s="158">
        <v>0.27</v>
      </c>
    </row>
    <row r="89" spans="1:25">
      <c r="A89" s="181" t="s">
        <v>505</v>
      </c>
      <c r="B89" s="159">
        <v>20.12</v>
      </c>
      <c r="C89" s="160">
        <v>91.5</v>
      </c>
      <c r="D89" s="158">
        <v>0.06</v>
      </c>
      <c r="E89" s="158">
        <v>0.06</v>
      </c>
      <c r="F89" s="180">
        <f t="shared" si="2"/>
        <v>0.1818181818181818</v>
      </c>
      <c r="G89" s="158">
        <v>0.33</v>
      </c>
      <c r="H89" s="159">
        <v>3.8</v>
      </c>
      <c r="I89" s="159">
        <v>0.49</v>
      </c>
      <c r="J89" s="159">
        <v>296</v>
      </c>
      <c r="K89" s="159">
        <v>3</v>
      </c>
      <c r="L89" s="159">
        <v>19</v>
      </c>
      <c r="M89" s="159">
        <v>1.72</v>
      </c>
      <c r="N89" s="159">
        <v>1.74</v>
      </c>
      <c r="O89" s="158">
        <v>0.05</v>
      </c>
      <c r="P89" s="158">
        <v>0.1</v>
      </c>
      <c r="Q89" s="159">
        <v>334</v>
      </c>
      <c r="R89" s="158">
        <v>43.19</v>
      </c>
      <c r="S89" s="158">
        <v>12.09</v>
      </c>
      <c r="T89" s="159">
        <v>0.02</v>
      </c>
      <c r="U89" s="158">
        <v>1.7</v>
      </c>
      <c r="V89" s="159">
        <v>1264</v>
      </c>
      <c r="W89" s="158">
        <v>0.11</v>
      </c>
      <c r="X89" s="158">
        <v>1.63</v>
      </c>
    </row>
    <row r="90" spans="1:25">
      <c r="A90" s="181" t="s">
        <v>621</v>
      </c>
      <c r="B90" s="162">
        <v>20.36</v>
      </c>
      <c r="C90" s="163">
        <v>65.5</v>
      </c>
      <c r="D90" s="162">
        <v>0.12</v>
      </c>
      <c r="E90" s="162">
        <v>0.1</v>
      </c>
      <c r="F90" s="180">
        <f t="shared" si="2"/>
        <v>0.3125</v>
      </c>
      <c r="G90" s="162">
        <v>0.32</v>
      </c>
      <c r="H90" s="163">
        <v>4.2</v>
      </c>
      <c r="I90" s="162">
        <v>0.53</v>
      </c>
      <c r="J90" s="162">
        <v>319</v>
      </c>
      <c r="K90" s="162">
        <v>6</v>
      </c>
      <c r="L90" s="162">
        <v>18</v>
      </c>
      <c r="M90" s="162">
        <v>1.8</v>
      </c>
      <c r="N90" s="162">
        <v>7.03</v>
      </c>
      <c r="O90" s="162">
        <v>0.01</v>
      </c>
      <c r="P90" s="162">
        <v>0.1</v>
      </c>
      <c r="Q90" s="162">
        <v>357</v>
      </c>
      <c r="R90" s="162">
        <v>50.52</v>
      </c>
      <c r="S90" s="162">
        <v>9.15</v>
      </c>
      <c r="T90" s="162">
        <v>0.03</v>
      </c>
      <c r="U90" s="162">
        <v>1.77</v>
      </c>
      <c r="V90" s="162">
        <v>1264</v>
      </c>
      <c r="W90" s="162">
        <v>0.12</v>
      </c>
      <c r="X90" s="162">
        <v>6.91</v>
      </c>
    </row>
    <row r="91" spans="1:25">
      <c r="A91" s="181" t="s">
        <v>474</v>
      </c>
      <c r="B91" s="159">
        <v>20.49</v>
      </c>
      <c r="C91" s="160">
        <v>101.1</v>
      </c>
      <c r="D91" s="158">
        <v>0.02</v>
      </c>
      <c r="E91" s="158">
        <v>0.02</v>
      </c>
      <c r="F91" s="180">
        <f t="shared" si="2"/>
        <v>3.6363636363636362E-2</v>
      </c>
      <c r="G91" s="158">
        <v>0.55000000000000004</v>
      </c>
      <c r="H91" s="159">
        <v>2.8</v>
      </c>
      <c r="I91" s="159">
        <v>0.46</v>
      </c>
      <c r="J91" s="159">
        <v>502</v>
      </c>
      <c r="K91" s="159">
        <v>3</v>
      </c>
      <c r="L91" s="159">
        <v>75</v>
      </c>
      <c r="M91" s="159">
        <v>0.73</v>
      </c>
      <c r="N91" s="159">
        <v>0.6</v>
      </c>
      <c r="O91" s="158">
        <v>0.04</v>
      </c>
      <c r="P91" s="158">
        <v>0</v>
      </c>
      <c r="Q91" s="159">
        <v>540</v>
      </c>
      <c r="R91" s="158">
        <v>21.12</v>
      </c>
      <c r="S91" s="158">
        <v>2.92</v>
      </c>
      <c r="T91" s="159">
        <v>0.02</v>
      </c>
      <c r="U91" s="158">
        <v>0.71</v>
      </c>
      <c r="V91" s="159">
        <v>1264</v>
      </c>
      <c r="W91" s="158">
        <v>0.08</v>
      </c>
      <c r="X91" s="158">
        <v>0.52</v>
      </c>
    </row>
    <row r="92" spans="1:25">
      <c r="A92" s="181" t="s">
        <v>496</v>
      </c>
      <c r="B92" s="159">
        <v>20.9</v>
      </c>
      <c r="C92" s="160">
        <v>93.5</v>
      </c>
      <c r="D92" s="158">
        <v>0.11</v>
      </c>
      <c r="E92" s="158">
        <v>0.12</v>
      </c>
      <c r="F92" s="180">
        <f t="shared" si="2"/>
        <v>0.46153846153846151</v>
      </c>
      <c r="G92" s="158">
        <v>0.26</v>
      </c>
      <c r="H92" s="159">
        <v>3.4</v>
      </c>
      <c r="I92" s="159">
        <v>0.49</v>
      </c>
      <c r="J92" s="159">
        <v>306</v>
      </c>
      <c r="K92" s="159">
        <v>6</v>
      </c>
      <c r="L92" s="159">
        <v>13</v>
      </c>
      <c r="M92" s="159">
        <v>2.0699999999999998</v>
      </c>
      <c r="N92" s="159">
        <v>0.55000000000000004</v>
      </c>
      <c r="O92" s="158">
        <v>0.08</v>
      </c>
      <c r="P92" s="158">
        <v>0.1</v>
      </c>
      <c r="Q92" s="159">
        <v>344</v>
      </c>
      <c r="R92" s="158">
        <v>51.11</v>
      </c>
      <c r="S92" s="158">
        <v>15.2</v>
      </c>
      <c r="T92" s="159">
        <v>0.03</v>
      </c>
      <c r="U92" s="158">
        <v>2.04</v>
      </c>
      <c r="V92" s="159">
        <v>1264</v>
      </c>
      <c r="W92" s="158">
        <v>0.09</v>
      </c>
      <c r="X92" s="158">
        <v>0.45</v>
      </c>
    </row>
    <row r="93" spans="1:25">
      <c r="A93" s="181" t="s">
        <v>462</v>
      </c>
      <c r="B93" s="159">
        <v>21</v>
      </c>
      <c r="C93" s="160">
        <v>105.7</v>
      </c>
      <c r="D93" s="158">
        <v>0.12</v>
      </c>
      <c r="E93" s="158">
        <v>0.12</v>
      </c>
      <c r="F93" s="180">
        <f t="shared" si="2"/>
        <v>0.24</v>
      </c>
      <c r="G93" s="158">
        <v>0.5</v>
      </c>
      <c r="H93" s="159">
        <v>4.2</v>
      </c>
      <c r="I93" s="159">
        <v>0.51</v>
      </c>
      <c r="J93" s="159">
        <v>302</v>
      </c>
      <c r="K93" s="159">
        <v>5</v>
      </c>
      <c r="L93" s="159">
        <v>21</v>
      </c>
      <c r="M93" s="159">
        <v>2.39</v>
      </c>
      <c r="N93" s="159">
        <v>1.61</v>
      </c>
      <c r="O93" s="158">
        <v>0.09</v>
      </c>
      <c r="P93" s="158">
        <v>0.1</v>
      </c>
      <c r="Q93" s="159">
        <v>340</v>
      </c>
      <c r="R93" s="158">
        <v>59.76</v>
      </c>
      <c r="S93" s="158">
        <v>16.8</v>
      </c>
      <c r="T93" s="159">
        <v>0.04</v>
      </c>
      <c r="U93" s="158">
        <v>2.35</v>
      </c>
      <c r="V93" s="159">
        <v>1264</v>
      </c>
      <c r="W93" s="158">
        <v>0.12</v>
      </c>
      <c r="X93" s="158">
        <v>1.5</v>
      </c>
    </row>
    <row r="94" spans="1:25">
      <c r="A94" s="181" t="s">
        <v>587</v>
      </c>
      <c r="B94" s="162">
        <v>21.26</v>
      </c>
      <c r="C94" s="160">
        <v>82.9</v>
      </c>
      <c r="D94" s="162">
        <v>0.08</v>
      </c>
      <c r="E94" s="162">
        <v>0.05</v>
      </c>
      <c r="F94" s="180">
        <f t="shared" si="2"/>
        <v>0.14285714285714288</v>
      </c>
      <c r="G94" s="162">
        <v>0.35</v>
      </c>
      <c r="H94" s="162">
        <v>1.5</v>
      </c>
      <c r="I94" s="162">
        <v>0.62</v>
      </c>
      <c r="J94" s="162">
        <v>263</v>
      </c>
      <c r="K94" s="162">
        <v>2</v>
      </c>
      <c r="L94" s="162">
        <v>16</v>
      </c>
      <c r="M94" s="162">
        <v>2.2000000000000002</v>
      </c>
      <c r="N94" s="162">
        <v>0.3</v>
      </c>
      <c r="O94" s="162">
        <v>0.05</v>
      </c>
      <c r="P94" s="163">
        <v>0.1</v>
      </c>
      <c r="Q94" s="162">
        <v>301</v>
      </c>
      <c r="R94" s="162">
        <v>56.36</v>
      </c>
      <c r="S94" s="162">
        <v>14.91</v>
      </c>
      <c r="T94" s="162">
        <v>0.02</v>
      </c>
      <c r="U94" s="162">
        <v>2.1800000000000002</v>
      </c>
      <c r="V94" s="159">
        <v>1264</v>
      </c>
      <c r="W94" s="162">
        <v>0.04</v>
      </c>
      <c r="X94" s="162">
        <v>0.26</v>
      </c>
    </row>
    <row r="95" spans="1:25">
      <c r="A95" s="181" t="s">
        <v>577</v>
      </c>
      <c r="B95" s="162">
        <v>21.46</v>
      </c>
      <c r="C95" s="160">
        <v>82</v>
      </c>
      <c r="D95" s="162">
        <v>0.03</v>
      </c>
      <c r="E95" s="162">
        <v>0.05</v>
      </c>
      <c r="F95" s="180">
        <f t="shared" si="2"/>
        <v>0.23809523809523811</v>
      </c>
      <c r="G95" s="162">
        <v>0.21</v>
      </c>
      <c r="H95" s="162">
        <v>10.3</v>
      </c>
      <c r="I95" s="162">
        <v>0.36</v>
      </c>
      <c r="J95" s="162">
        <v>343</v>
      </c>
      <c r="K95" s="162">
        <v>2</v>
      </c>
      <c r="L95" s="162">
        <v>10</v>
      </c>
      <c r="M95" s="162">
        <v>2.17</v>
      </c>
      <c r="N95" s="162">
        <v>1.52</v>
      </c>
      <c r="O95" s="162">
        <v>0.06</v>
      </c>
      <c r="P95" s="163">
        <v>0</v>
      </c>
      <c r="Q95" s="162">
        <v>381</v>
      </c>
      <c r="R95" s="162">
        <v>55.18</v>
      </c>
      <c r="S95" s="162">
        <v>15.45</v>
      </c>
      <c r="T95" s="162">
        <v>0.01</v>
      </c>
      <c r="U95" s="162">
        <v>2.16</v>
      </c>
      <c r="V95" s="159">
        <v>1264</v>
      </c>
      <c r="W95" s="162">
        <v>0.28000000000000003</v>
      </c>
      <c r="X95" s="162">
        <v>1.24</v>
      </c>
    </row>
    <row r="96" spans="1:25">
      <c r="A96" s="181" t="s">
        <v>638</v>
      </c>
      <c r="B96" s="162">
        <v>21.83</v>
      </c>
      <c r="C96" s="163">
        <v>71.3</v>
      </c>
      <c r="D96" s="162">
        <v>0.09</v>
      </c>
      <c r="E96" s="162">
        <v>0.06</v>
      </c>
      <c r="F96" s="180">
        <f t="shared" si="2"/>
        <v>0.31578947368421051</v>
      </c>
      <c r="G96" s="162">
        <v>0.19</v>
      </c>
      <c r="H96" s="163">
        <v>5.9</v>
      </c>
      <c r="I96" s="162">
        <v>0.6</v>
      </c>
      <c r="J96" s="162">
        <v>474</v>
      </c>
      <c r="K96" s="162">
        <v>5</v>
      </c>
      <c r="L96" s="162">
        <v>15</v>
      </c>
      <c r="M96" s="162">
        <v>1.27</v>
      </c>
      <c r="N96" s="162">
        <v>0.74</v>
      </c>
      <c r="O96" s="162">
        <v>0.01</v>
      </c>
      <c r="P96" s="162">
        <v>0</v>
      </c>
      <c r="Q96" s="162">
        <v>512</v>
      </c>
      <c r="R96" s="162">
        <v>33.97</v>
      </c>
      <c r="S96" s="162">
        <v>7.42</v>
      </c>
      <c r="T96" s="162">
        <v>0.02</v>
      </c>
      <c r="U96" s="162">
        <v>1.25</v>
      </c>
      <c r="V96" s="162">
        <v>1264</v>
      </c>
      <c r="W96" s="162">
        <v>0.16</v>
      </c>
      <c r="X96" s="162">
        <v>0.57999999999999996</v>
      </c>
      <c r="Y96" s="133"/>
    </row>
    <row r="97" spans="1:24">
      <c r="A97" s="181" t="s">
        <v>458</v>
      </c>
      <c r="B97" s="159">
        <v>22.04</v>
      </c>
      <c r="C97" s="159">
        <v>109.9</v>
      </c>
      <c r="D97" s="159">
        <v>0.01</v>
      </c>
      <c r="E97" s="159">
        <v>0.06</v>
      </c>
      <c r="F97" s="180">
        <f t="shared" si="2"/>
        <v>0.2608695652173913</v>
      </c>
      <c r="G97" s="159">
        <v>0.23</v>
      </c>
      <c r="H97" s="159">
        <v>8.6999999999999993</v>
      </c>
      <c r="I97" s="159">
        <v>0.17</v>
      </c>
      <c r="J97" s="162">
        <v>444</v>
      </c>
      <c r="K97" s="159">
        <v>3</v>
      </c>
      <c r="L97" s="159">
        <v>12</v>
      </c>
      <c r="M97" s="159">
        <v>1.85</v>
      </c>
      <c r="N97" s="159">
        <v>2.5099999999999998</v>
      </c>
      <c r="O97" s="159">
        <v>0.05</v>
      </c>
      <c r="P97" s="159">
        <v>0</v>
      </c>
      <c r="Q97" s="159">
        <v>482</v>
      </c>
      <c r="R97" s="159">
        <v>49.55</v>
      </c>
      <c r="S97" s="159">
        <v>11.48</v>
      </c>
      <c r="T97" s="161">
        <v>0.01</v>
      </c>
      <c r="U97" s="161">
        <v>1.84</v>
      </c>
      <c r="V97" s="159">
        <v>1264</v>
      </c>
      <c r="W97" s="159">
        <v>0.24</v>
      </c>
      <c r="X97" s="159">
        <v>2.27</v>
      </c>
    </row>
    <row r="98" spans="1:24">
      <c r="A98" s="181" t="s">
        <v>478</v>
      </c>
      <c r="B98" s="159">
        <v>22.14</v>
      </c>
      <c r="C98" s="159">
        <v>100.6</v>
      </c>
      <c r="D98" s="159">
        <v>0.03</v>
      </c>
      <c r="E98" s="159">
        <v>7.0000000000000007E-2</v>
      </c>
      <c r="F98" s="180">
        <f t="shared" si="2"/>
        <v>0.28000000000000003</v>
      </c>
      <c r="G98" s="159">
        <v>0.25</v>
      </c>
      <c r="H98" s="159">
        <v>6.6</v>
      </c>
      <c r="I98" s="159">
        <v>0.31</v>
      </c>
      <c r="J98" s="162">
        <v>357</v>
      </c>
      <c r="K98" s="159">
        <v>3</v>
      </c>
      <c r="L98" s="159">
        <v>10</v>
      </c>
      <c r="M98" s="159">
        <v>2.58</v>
      </c>
      <c r="N98" s="159">
        <v>0.88</v>
      </c>
      <c r="O98" s="159">
        <v>7.0000000000000007E-2</v>
      </c>
      <c r="P98" s="159">
        <v>0</v>
      </c>
      <c r="Q98" s="159">
        <v>395</v>
      </c>
      <c r="R98" s="159">
        <v>64.39</v>
      </c>
      <c r="S98" s="159">
        <v>18.760000000000002</v>
      </c>
      <c r="T98" s="161">
        <v>0.02</v>
      </c>
      <c r="U98" s="161">
        <v>2.56</v>
      </c>
      <c r="V98" s="159">
        <v>1264</v>
      </c>
      <c r="W98" s="159">
        <v>0.18</v>
      </c>
      <c r="X98" s="159">
        <v>0.7</v>
      </c>
    </row>
    <row r="99" spans="1:24">
      <c r="A99" s="181" t="s">
        <v>493</v>
      </c>
      <c r="B99" s="159">
        <v>22.24</v>
      </c>
      <c r="C99" s="160">
        <v>94.1</v>
      </c>
      <c r="D99" s="158">
        <v>0.06</v>
      </c>
      <c r="E99" s="158">
        <v>7.0000000000000007E-2</v>
      </c>
      <c r="F99" s="180">
        <f t="shared" si="2"/>
        <v>0.46666666666666673</v>
      </c>
      <c r="G99" s="158">
        <v>0.15</v>
      </c>
      <c r="H99" s="159">
        <v>9.1</v>
      </c>
      <c r="I99" s="159">
        <v>0.46</v>
      </c>
      <c r="J99" s="159">
        <v>357</v>
      </c>
      <c r="K99" s="159">
        <v>3</v>
      </c>
      <c r="L99" s="159">
        <v>7</v>
      </c>
      <c r="M99" s="159">
        <v>2.2200000000000002</v>
      </c>
      <c r="N99" s="159">
        <v>1.21</v>
      </c>
      <c r="O99" s="158">
        <v>0.06</v>
      </c>
      <c r="P99" s="158">
        <v>0</v>
      </c>
      <c r="Q99" s="159">
        <v>395</v>
      </c>
      <c r="R99" s="158">
        <v>54.61</v>
      </c>
      <c r="S99" s="158">
        <v>16.579999999999998</v>
      </c>
      <c r="T99" s="159">
        <v>0.02</v>
      </c>
      <c r="U99" s="158">
        <v>2.2000000000000002</v>
      </c>
      <c r="V99" s="159">
        <v>1264</v>
      </c>
      <c r="W99" s="158">
        <v>0.25</v>
      </c>
      <c r="X99" s="158">
        <v>0.96</v>
      </c>
    </row>
    <row r="100" spans="1:24">
      <c r="A100" s="181" t="s">
        <v>483</v>
      </c>
      <c r="B100" s="159">
        <v>22.34</v>
      </c>
      <c r="C100" s="160">
        <v>97.3</v>
      </c>
      <c r="D100" s="158">
        <v>0.01</v>
      </c>
      <c r="E100" s="158">
        <v>0.03</v>
      </c>
      <c r="F100" s="180">
        <f t="shared" ref="F100:F131" si="3">E100/G100</f>
        <v>0.27272727272727271</v>
      </c>
      <c r="G100" s="158">
        <v>0.11</v>
      </c>
      <c r="H100" s="159">
        <v>4.7</v>
      </c>
      <c r="I100" s="159">
        <v>0.27</v>
      </c>
      <c r="J100" s="159">
        <v>500</v>
      </c>
      <c r="K100" s="159">
        <v>2</v>
      </c>
      <c r="L100" s="159">
        <v>8</v>
      </c>
      <c r="M100" s="159">
        <v>1.37</v>
      </c>
      <c r="N100" s="159">
        <v>0.77</v>
      </c>
      <c r="O100" s="158">
        <v>0.01</v>
      </c>
      <c r="P100" s="158">
        <v>0</v>
      </c>
      <c r="Q100" s="159">
        <v>538</v>
      </c>
      <c r="R100" s="158">
        <v>33.119999999999997</v>
      </c>
      <c r="S100" s="158">
        <v>10.85</v>
      </c>
      <c r="T100" s="159">
        <v>0.01</v>
      </c>
      <c r="U100" s="158">
        <v>1.36</v>
      </c>
      <c r="V100" s="159">
        <v>1264</v>
      </c>
      <c r="W100" s="158">
        <v>0.13</v>
      </c>
      <c r="X100" s="158">
        <v>0.64</v>
      </c>
    </row>
    <row r="101" spans="1:24">
      <c r="A101" s="181" t="s">
        <v>516</v>
      </c>
      <c r="B101" s="159">
        <v>22.46</v>
      </c>
      <c r="C101" s="160">
        <v>87.1</v>
      </c>
      <c r="D101" s="159">
        <v>0.08</v>
      </c>
      <c r="E101" s="158">
        <v>0.06</v>
      </c>
      <c r="F101" s="180">
        <f t="shared" si="3"/>
        <v>0.375</v>
      </c>
      <c r="G101" s="158">
        <v>0.16</v>
      </c>
      <c r="H101" s="158">
        <v>11.3</v>
      </c>
      <c r="I101" s="159">
        <v>0.57999999999999996</v>
      </c>
      <c r="J101" s="159">
        <v>482</v>
      </c>
      <c r="K101" s="159">
        <v>5</v>
      </c>
      <c r="L101" s="159">
        <v>14</v>
      </c>
      <c r="M101" s="159">
        <v>1.17</v>
      </c>
      <c r="N101" s="159">
        <v>2.89</v>
      </c>
      <c r="O101" s="159">
        <v>0.03</v>
      </c>
      <c r="P101" s="158">
        <v>0.1</v>
      </c>
      <c r="Q101" s="159">
        <v>520</v>
      </c>
      <c r="R101" s="158">
        <v>30.94</v>
      </c>
      <c r="S101" s="158">
        <v>7.14</v>
      </c>
      <c r="T101" s="159">
        <v>0.02</v>
      </c>
      <c r="U101" s="159">
        <v>1.1499999999999999</v>
      </c>
      <c r="V101" s="159">
        <v>1264</v>
      </c>
      <c r="W101" s="158">
        <v>0.31</v>
      </c>
      <c r="X101" s="158">
        <v>2.58</v>
      </c>
    </row>
    <row r="102" spans="1:24">
      <c r="A102" s="181" t="s">
        <v>466</v>
      </c>
      <c r="B102" s="159">
        <v>22.5</v>
      </c>
      <c r="C102" s="159">
        <v>103.8</v>
      </c>
      <c r="D102" s="159">
        <v>0.02</v>
      </c>
      <c r="E102" s="159">
        <v>0.04</v>
      </c>
      <c r="F102" s="180">
        <f t="shared" si="3"/>
        <v>0.25</v>
      </c>
      <c r="G102" s="159">
        <v>0.16</v>
      </c>
      <c r="H102" s="159">
        <v>9.9</v>
      </c>
      <c r="I102" s="159">
        <v>0.36</v>
      </c>
      <c r="J102" s="162">
        <v>351</v>
      </c>
      <c r="K102" s="159">
        <v>3</v>
      </c>
      <c r="L102" s="159">
        <v>13</v>
      </c>
      <c r="M102" s="159">
        <v>1.27</v>
      </c>
      <c r="N102" s="159">
        <v>2.63</v>
      </c>
      <c r="O102" s="159">
        <v>0.01</v>
      </c>
      <c r="P102" s="159">
        <v>0</v>
      </c>
      <c r="Q102" s="159">
        <v>389</v>
      </c>
      <c r="R102" s="159">
        <v>32.9</v>
      </c>
      <c r="S102" s="159">
        <v>8.4499999999999993</v>
      </c>
      <c r="T102" s="161">
        <v>0.01</v>
      </c>
      <c r="U102" s="161">
        <v>1.26</v>
      </c>
      <c r="V102" s="159">
        <v>1264</v>
      </c>
      <c r="W102" s="159">
        <v>0.27</v>
      </c>
      <c r="X102" s="159">
        <v>2.36</v>
      </c>
    </row>
    <row r="103" spans="1:24">
      <c r="A103" s="181" t="s">
        <v>465</v>
      </c>
      <c r="B103" s="159">
        <v>22.71</v>
      </c>
      <c r="C103" s="159">
        <v>103.9</v>
      </c>
      <c r="D103" s="159">
        <v>0.02</v>
      </c>
      <c r="E103" s="159">
        <v>0.06</v>
      </c>
      <c r="F103" s="180">
        <f t="shared" si="3"/>
        <v>0.3</v>
      </c>
      <c r="G103" s="159">
        <v>0.2</v>
      </c>
      <c r="H103" s="159">
        <v>6.3</v>
      </c>
      <c r="I103" s="159">
        <v>0.26</v>
      </c>
      <c r="J103" s="162">
        <v>362</v>
      </c>
      <c r="K103" s="159">
        <v>3</v>
      </c>
      <c r="L103" s="159">
        <v>9</v>
      </c>
      <c r="M103" s="159">
        <v>2.1800000000000002</v>
      </c>
      <c r="N103" s="159">
        <v>0.92</v>
      </c>
      <c r="O103" s="159">
        <v>0.05</v>
      </c>
      <c r="P103" s="159">
        <v>0</v>
      </c>
      <c r="Q103" s="159">
        <v>400</v>
      </c>
      <c r="R103" s="159">
        <v>53.7</v>
      </c>
      <c r="S103" s="159">
        <v>16.48</v>
      </c>
      <c r="T103" s="161">
        <v>0.01</v>
      </c>
      <c r="U103" s="161">
        <v>2.17</v>
      </c>
      <c r="V103" s="159">
        <v>1264</v>
      </c>
      <c r="W103" s="159">
        <v>0.17</v>
      </c>
      <c r="X103" s="159">
        <v>0.75</v>
      </c>
    </row>
    <row r="104" spans="1:24">
      <c r="A104" s="181" t="s">
        <v>579</v>
      </c>
      <c r="B104" s="162">
        <v>22.85</v>
      </c>
      <c r="C104" s="160">
        <v>82.2</v>
      </c>
      <c r="D104" s="162">
        <v>0.02</v>
      </c>
      <c r="E104" s="162">
        <v>0.04</v>
      </c>
      <c r="F104" s="180">
        <f t="shared" si="3"/>
        <v>0.17391304347826086</v>
      </c>
      <c r="G104" s="162">
        <v>0.23</v>
      </c>
      <c r="H104" s="162">
        <v>1.8</v>
      </c>
      <c r="I104" s="162">
        <v>0.27</v>
      </c>
      <c r="J104" s="162">
        <v>362</v>
      </c>
      <c r="K104" s="162">
        <v>40</v>
      </c>
      <c r="L104" s="162">
        <v>230</v>
      </c>
      <c r="M104" s="162">
        <v>0.1</v>
      </c>
      <c r="N104" s="162">
        <v>0.93</v>
      </c>
      <c r="O104" s="162">
        <v>0.02</v>
      </c>
      <c r="P104" s="163">
        <v>0</v>
      </c>
      <c r="Q104" s="162">
        <v>400</v>
      </c>
      <c r="R104" s="162">
        <v>2.99</v>
      </c>
      <c r="S104" s="162">
        <v>0.24</v>
      </c>
      <c r="T104" s="162">
        <v>0.01</v>
      </c>
      <c r="U104" s="162">
        <v>0.09</v>
      </c>
      <c r="V104" s="159">
        <v>1264</v>
      </c>
      <c r="W104" s="162">
        <v>0.05</v>
      </c>
      <c r="X104" s="162">
        <v>0.88</v>
      </c>
    </row>
    <row r="105" spans="1:24">
      <c r="A105" s="181" t="s">
        <v>470</v>
      </c>
      <c r="B105" s="159">
        <v>22.89</v>
      </c>
      <c r="C105" s="159">
        <v>101.7</v>
      </c>
      <c r="D105" s="159">
        <v>0.01</v>
      </c>
      <c r="E105" s="159">
        <v>0.04</v>
      </c>
      <c r="F105" s="180">
        <f t="shared" si="3"/>
        <v>0.22222222222222224</v>
      </c>
      <c r="G105" s="159">
        <v>0.18</v>
      </c>
      <c r="H105" s="159">
        <v>10.7</v>
      </c>
      <c r="I105" s="159">
        <v>0.15</v>
      </c>
      <c r="J105" s="162">
        <v>434</v>
      </c>
      <c r="K105" s="159">
        <v>3</v>
      </c>
      <c r="L105" s="159">
        <v>14</v>
      </c>
      <c r="M105" s="159">
        <v>1.28</v>
      </c>
      <c r="N105" s="159">
        <v>3.17</v>
      </c>
      <c r="O105" s="159">
        <v>0.04</v>
      </c>
      <c r="P105" s="159">
        <v>0</v>
      </c>
      <c r="Q105" s="159">
        <v>472</v>
      </c>
      <c r="R105" s="159">
        <v>34.229999999999997</v>
      </c>
      <c r="S105" s="159">
        <v>8.0500000000000007</v>
      </c>
      <c r="T105" s="161">
        <v>0.01</v>
      </c>
      <c r="U105" s="161">
        <v>1.27</v>
      </c>
      <c r="V105" s="159">
        <v>1264</v>
      </c>
      <c r="W105" s="159">
        <v>0.28999999999999998</v>
      </c>
      <c r="X105" s="159">
        <v>2.88</v>
      </c>
    </row>
    <row r="106" spans="1:24">
      <c r="A106" s="181" t="s">
        <v>471</v>
      </c>
      <c r="B106" s="159">
        <v>23.09</v>
      </c>
      <c r="C106" s="159">
        <v>101.5</v>
      </c>
      <c r="D106" s="159">
        <v>0.01</v>
      </c>
      <c r="E106" s="159">
        <v>0.04</v>
      </c>
      <c r="F106" s="180">
        <f t="shared" si="3"/>
        <v>0.33333333333333337</v>
      </c>
      <c r="G106" s="159">
        <v>0.12</v>
      </c>
      <c r="H106" s="159">
        <v>12.4</v>
      </c>
      <c r="I106" s="158">
        <v>0.2</v>
      </c>
      <c r="J106" s="162">
        <v>423</v>
      </c>
      <c r="K106" s="159">
        <v>4</v>
      </c>
      <c r="L106" s="159">
        <v>12</v>
      </c>
      <c r="M106" s="159">
        <v>0.99</v>
      </c>
      <c r="N106" s="159">
        <v>1.44</v>
      </c>
      <c r="O106" s="159">
        <v>0.01</v>
      </c>
      <c r="P106" s="159">
        <v>0</v>
      </c>
      <c r="Q106" s="159">
        <v>461</v>
      </c>
      <c r="R106" s="159">
        <v>26.3</v>
      </c>
      <c r="S106" s="159">
        <v>5.99</v>
      </c>
      <c r="T106" s="161">
        <v>0.01</v>
      </c>
      <c r="U106" s="161">
        <v>0.98</v>
      </c>
      <c r="V106" s="159">
        <v>1264</v>
      </c>
      <c r="W106" s="159">
        <v>0.34</v>
      </c>
      <c r="X106" s="159">
        <v>1.1000000000000001</v>
      </c>
    </row>
    <row r="107" spans="1:24">
      <c r="A107" s="181" t="s">
        <v>507</v>
      </c>
      <c r="B107" s="159">
        <v>23.26</v>
      </c>
      <c r="C107" s="160">
        <v>91.3</v>
      </c>
      <c r="D107" s="159">
        <v>0.06</v>
      </c>
      <c r="E107" s="158">
        <v>0.05</v>
      </c>
      <c r="F107" s="180">
        <f t="shared" si="3"/>
        <v>0.17241379310344829</v>
      </c>
      <c r="G107" s="158">
        <v>0.28999999999999998</v>
      </c>
      <c r="H107" s="158">
        <v>5.5</v>
      </c>
      <c r="I107" s="159">
        <v>0.52</v>
      </c>
      <c r="J107" s="159">
        <v>371</v>
      </c>
      <c r="K107" s="159">
        <v>29</v>
      </c>
      <c r="L107" s="159">
        <v>171</v>
      </c>
      <c r="M107" s="159">
        <v>0.17</v>
      </c>
      <c r="N107" s="159">
        <v>6.54</v>
      </c>
      <c r="O107" s="159">
        <v>7.0000000000000007E-2</v>
      </c>
      <c r="P107" s="158">
        <v>0</v>
      </c>
      <c r="Q107" s="159">
        <v>409</v>
      </c>
      <c r="R107" s="158">
        <v>4.47</v>
      </c>
      <c r="S107" s="158">
        <v>0.68</v>
      </c>
      <c r="T107" s="159">
        <v>0.02</v>
      </c>
      <c r="U107" s="159">
        <v>0.15</v>
      </c>
      <c r="V107" s="159">
        <v>1264</v>
      </c>
      <c r="W107" s="158">
        <v>0.15</v>
      </c>
      <c r="X107" s="158">
        <v>6.39</v>
      </c>
    </row>
    <row r="108" spans="1:24">
      <c r="A108" s="181" t="s">
        <v>472</v>
      </c>
      <c r="B108" s="159">
        <v>23.29</v>
      </c>
      <c r="C108" s="159">
        <v>101.2</v>
      </c>
      <c r="D108" s="159">
        <v>0.02</v>
      </c>
      <c r="E108" s="159">
        <v>0.04</v>
      </c>
      <c r="F108" s="180">
        <f t="shared" si="3"/>
        <v>0.26666666666666666</v>
      </c>
      <c r="G108" s="159">
        <v>0.15</v>
      </c>
      <c r="H108" s="159">
        <v>10.1</v>
      </c>
      <c r="I108" s="159">
        <v>0.28999999999999998</v>
      </c>
      <c r="J108" s="162">
        <v>427</v>
      </c>
      <c r="K108" s="159">
        <v>3</v>
      </c>
      <c r="L108" s="159">
        <v>13</v>
      </c>
      <c r="M108" s="159">
        <v>1.1499999999999999</v>
      </c>
      <c r="N108" s="159">
        <v>1.86</v>
      </c>
      <c r="O108" s="159">
        <v>0.03</v>
      </c>
      <c r="P108" s="159">
        <v>0</v>
      </c>
      <c r="Q108" s="159">
        <v>465</v>
      </c>
      <c r="R108" s="159">
        <v>29.83</v>
      </c>
      <c r="S108" s="159">
        <v>7.73</v>
      </c>
      <c r="T108" s="161">
        <v>0.01</v>
      </c>
      <c r="U108" s="161">
        <v>1.1399999999999999</v>
      </c>
      <c r="V108" s="159">
        <v>1264</v>
      </c>
      <c r="W108" s="159">
        <v>0.28000000000000003</v>
      </c>
      <c r="X108" s="159">
        <v>1.58</v>
      </c>
    </row>
    <row r="109" spans="1:24">
      <c r="A109" s="181" t="s">
        <v>633</v>
      </c>
      <c r="B109" s="162">
        <v>23.46</v>
      </c>
      <c r="C109" s="163">
        <v>68.400000000000006</v>
      </c>
      <c r="D109" s="162">
        <v>0.04</v>
      </c>
      <c r="E109" s="162">
        <v>0.04</v>
      </c>
      <c r="F109" s="180">
        <f t="shared" si="3"/>
        <v>0.18181818181818182</v>
      </c>
      <c r="G109" s="162">
        <v>0.22</v>
      </c>
      <c r="H109" s="163">
        <v>10.9</v>
      </c>
      <c r="I109" s="162">
        <v>0.51</v>
      </c>
      <c r="J109" s="162">
        <v>481</v>
      </c>
      <c r="K109" s="162">
        <v>4</v>
      </c>
      <c r="L109" s="162">
        <v>20</v>
      </c>
      <c r="M109" s="162">
        <v>1.1100000000000001</v>
      </c>
      <c r="N109" s="162">
        <v>3.24</v>
      </c>
      <c r="O109" s="162">
        <v>0.02</v>
      </c>
      <c r="P109" s="162">
        <v>0.1</v>
      </c>
      <c r="Q109" s="162">
        <v>519</v>
      </c>
      <c r="R109" s="162">
        <v>27.36</v>
      </c>
      <c r="S109" s="162">
        <v>7.93</v>
      </c>
      <c r="T109" s="162">
        <v>0.02</v>
      </c>
      <c r="U109" s="162">
        <v>1.0900000000000001</v>
      </c>
      <c r="V109" s="162">
        <v>1264</v>
      </c>
      <c r="W109" s="162">
        <v>0.3</v>
      </c>
      <c r="X109" s="162">
        <v>2.94</v>
      </c>
    </row>
    <row r="110" spans="1:24">
      <c r="A110" s="181" t="s">
        <v>467</v>
      </c>
      <c r="B110" s="159">
        <v>23.49</v>
      </c>
      <c r="C110" s="159">
        <v>103.4</v>
      </c>
      <c r="D110" s="159">
        <v>0.01</v>
      </c>
      <c r="E110" s="159">
        <v>0.04</v>
      </c>
      <c r="F110" s="180">
        <f t="shared" si="3"/>
        <v>0.21052631578947367</v>
      </c>
      <c r="G110" s="159">
        <v>0.19</v>
      </c>
      <c r="H110" s="159">
        <v>3.7</v>
      </c>
      <c r="I110" s="159">
        <v>0.18</v>
      </c>
      <c r="J110" s="162">
        <v>425</v>
      </c>
      <c r="K110" s="159">
        <v>3</v>
      </c>
      <c r="L110" s="159">
        <v>17</v>
      </c>
      <c r="M110" s="159">
        <v>1.1499999999999999</v>
      </c>
      <c r="N110" s="159">
        <v>0.64</v>
      </c>
      <c r="O110" s="159">
        <v>0.05</v>
      </c>
      <c r="P110" s="159">
        <v>0</v>
      </c>
      <c r="Q110" s="159">
        <v>463</v>
      </c>
      <c r="R110" s="159">
        <v>26.22</v>
      </c>
      <c r="S110" s="159">
        <v>9.84</v>
      </c>
      <c r="T110" s="161">
        <v>0.01</v>
      </c>
      <c r="U110" s="161">
        <v>1.1399999999999999</v>
      </c>
      <c r="V110" s="159">
        <v>1264</v>
      </c>
      <c r="W110" s="159">
        <v>0.1</v>
      </c>
      <c r="X110" s="159">
        <v>0.54</v>
      </c>
    </row>
    <row r="111" spans="1:24">
      <c r="A111" s="181" t="s">
        <v>598</v>
      </c>
      <c r="B111" s="162">
        <v>23.66</v>
      </c>
      <c r="C111" s="160">
        <v>85.4</v>
      </c>
      <c r="D111" s="162">
        <v>0.13</v>
      </c>
      <c r="E111" s="162">
        <v>0.09</v>
      </c>
      <c r="F111" s="180">
        <f t="shared" si="3"/>
        <v>0.25</v>
      </c>
      <c r="G111" s="162">
        <v>0.36</v>
      </c>
      <c r="H111" s="162">
        <v>8</v>
      </c>
      <c r="I111" s="162">
        <v>0.57999999999999996</v>
      </c>
      <c r="J111" s="162">
        <v>339</v>
      </c>
      <c r="K111" s="162">
        <v>18</v>
      </c>
      <c r="L111" s="162">
        <v>71</v>
      </c>
      <c r="M111" s="162">
        <v>0.51</v>
      </c>
      <c r="N111" s="162">
        <v>0.54</v>
      </c>
      <c r="O111" s="162">
        <v>0.19</v>
      </c>
      <c r="P111" s="163">
        <v>0</v>
      </c>
      <c r="Q111" s="162">
        <v>377</v>
      </c>
      <c r="R111" s="162">
        <v>13.29</v>
      </c>
      <c r="S111" s="162">
        <v>2.62</v>
      </c>
      <c r="T111" s="162">
        <v>0.04</v>
      </c>
      <c r="U111" s="162">
        <v>0.47</v>
      </c>
      <c r="V111" s="159">
        <v>1264</v>
      </c>
      <c r="W111" s="162">
        <v>0.22</v>
      </c>
      <c r="X111" s="162">
        <v>0.32</v>
      </c>
    </row>
    <row r="112" spans="1:24">
      <c r="A112" s="181" t="s">
        <v>630</v>
      </c>
      <c r="B112" s="162">
        <v>23.86</v>
      </c>
      <c r="C112" s="163">
        <v>66.7</v>
      </c>
      <c r="D112" s="162">
        <v>0.06</v>
      </c>
      <c r="E112" s="162">
        <v>0.06</v>
      </c>
      <c r="F112" s="180">
        <f t="shared" si="3"/>
        <v>0.5</v>
      </c>
      <c r="G112" s="162">
        <v>0.12</v>
      </c>
      <c r="H112" s="163">
        <v>3.2</v>
      </c>
      <c r="I112" s="162">
        <v>0.49</v>
      </c>
      <c r="J112" s="162">
        <v>489</v>
      </c>
      <c r="K112" s="162">
        <v>5</v>
      </c>
      <c r="L112" s="162">
        <v>10</v>
      </c>
      <c r="M112" s="162">
        <v>1.22</v>
      </c>
      <c r="N112" s="162">
        <v>0.48</v>
      </c>
      <c r="O112" s="162">
        <v>0.02</v>
      </c>
      <c r="P112" s="162">
        <v>0</v>
      </c>
      <c r="Q112" s="162">
        <v>527</v>
      </c>
      <c r="R112" s="162">
        <v>29.28</v>
      </c>
      <c r="S112" s="162">
        <v>9.4700000000000006</v>
      </c>
      <c r="T112" s="162">
        <v>0.01</v>
      </c>
      <c r="U112" s="162">
        <v>1.21</v>
      </c>
      <c r="V112" s="162">
        <v>1264</v>
      </c>
      <c r="W112" s="162">
        <v>0.09</v>
      </c>
      <c r="X112" s="162">
        <v>0.39</v>
      </c>
    </row>
    <row r="113" spans="1:25">
      <c r="A113" s="181" t="s">
        <v>485</v>
      </c>
      <c r="B113" s="159">
        <v>24.37</v>
      </c>
      <c r="C113" s="160">
        <v>97.2</v>
      </c>
      <c r="D113" s="158">
        <v>0.08</v>
      </c>
      <c r="E113" s="158">
        <v>0.04</v>
      </c>
      <c r="F113" s="180">
        <f t="shared" si="3"/>
        <v>0.18181818181818182</v>
      </c>
      <c r="G113" s="158">
        <v>0.22</v>
      </c>
      <c r="H113" s="159">
        <v>5.5</v>
      </c>
      <c r="I113" s="159">
        <v>0.66</v>
      </c>
      <c r="J113" s="159">
        <v>295</v>
      </c>
      <c r="K113" s="159">
        <v>3</v>
      </c>
      <c r="L113" s="159">
        <v>19</v>
      </c>
      <c r="M113" s="159">
        <v>1.18</v>
      </c>
      <c r="N113" s="159">
        <v>0.4</v>
      </c>
      <c r="O113" s="158">
        <v>0.06</v>
      </c>
      <c r="P113" s="158">
        <v>0</v>
      </c>
      <c r="Q113" s="159">
        <v>333</v>
      </c>
      <c r="R113" s="158">
        <v>29.66</v>
      </c>
      <c r="S113" s="158">
        <v>8.17</v>
      </c>
      <c r="T113" s="159">
        <v>0.02</v>
      </c>
      <c r="U113" s="158">
        <v>1.1599999999999999</v>
      </c>
      <c r="V113" s="159">
        <v>1264</v>
      </c>
      <c r="W113" s="158">
        <v>0.15</v>
      </c>
      <c r="X113" s="158">
        <v>0.25</v>
      </c>
    </row>
    <row r="114" spans="1:25">
      <c r="A114" s="181" t="s">
        <v>487</v>
      </c>
      <c r="B114" s="159">
        <v>26.22</v>
      </c>
      <c r="C114" s="160">
        <v>95.6</v>
      </c>
      <c r="D114" s="158">
        <v>0.03</v>
      </c>
      <c r="E114" s="158">
        <v>0.05</v>
      </c>
      <c r="F114" s="180">
        <f t="shared" si="3"/>
        <v>0.55555555555555558</v>
      </c>
      <c r="G114" s="158">
        <v>0.09</v>
      </c>
      <c r="H114" s="159">
        <v>4.5999999999999996</v>
      </c>
      <c r="I114" s="159">
        <v>0.43</v>
      </c>
      <c r="J114" s="159">
        <v>352</v>
      </c>
      <c r="K114" s="159">
        <v>4</v>
      </c>
      <c r="L114" s="159">
        <v>8</v>
      </c>
      <c r="M114" s="159">
        <v>1.2</v>
      </c>
      <c r="N114" s="159">
        <v>0.53</v>
      </c>
      <c r="O114" s="158">
        <v>0.03</v>
      </c>
      <c r="P114" s="158">
        <v>0</v>
      </c>
      <c r="Q114" s="159">
        <v>390</v>
      </c>
      <c r="R114" s="158">
        <v>27.44</v>
      </c>
      <c r="S114" s="158">
        <v>10.26</v>
      </c>
      <c r="T114" s="159">
        <v>0.01</v>
      </c>
      <c r="U114" s="158">
        <v>1.19</v>
      </c>
      <c r="V114" s="159">
        <v>1264</v>
      </c>
      <c r="W114" s="158">
        <v>0.13</v>
      </c>
      <c r="X114" s="158">
        <v>0.4</v>
      </c>
    </row>
    <row r="115" spans="1:25">
      <c r="A115" s="181" t="s">
        <v>504</v>
      </c>
      <c r="B115" s="159">
        <v>27.22</v>
      </c>
      <c r="C115" s="160">
        <v>91.6</v>
      </c>
      <c r="D115" s="158">
        <v>0.09</v>
      </c>
      <c r="E115" s="158">
        <v>7.0000000000000007E-2</v>
      </c>
      <c r="F115" s="180">
        <f t="shared" si="3"/>
        <v>0.41176470588235298</v>
      </c>
      <c r="G115" s="158">
        <v>0.17</v>
      </c>
      <c r="H115" s="159">
        <v>8.5</v>
      </c>
      <c r="I115" s="159">
        <v>0.56000000000000005</v>
      </c>
      <c r="J115" s="159">
        <v>478</v>
      </c>
      <c r="K115" s="159">
        <v>8</v>
      </c>
      <c r="L115" s="159">
        <v>20</v>
      </c>
      <c r="M115" s="159">
        <v>0.84</v>
      </c>
      <c r="N115" s="159">
        <v>3.91</v>
      </c>
      <c r="O115" s="158">
        <v>0.01</v>
      </c>
      <c r="P115" s="158">
        <v>0.1</v>
      </c>
      <c r="Q115" s="159">
        <v>516</v>
      </c>
      <c r="R115" s="158">
        <v>20.85</v>
      </c>
      <c r="S115" s="158">
        <v>5.76</v>
      </c>
      <c r="T115" s="159">
        <v>0.02</v>
      </c>
      <c r="U115" s="158">
        <v>0.82</v>
      </c>
      <c r="V115" s="159">
        <v>1264</v>
      </c>
      <c r="W115" s="158">
        <v>0.23</v>
      </c>
      <c r="X115" s="158">
        <v>3.68</v>
      </c>
    </row>
    <row r="116" spans="1:25">
      <c r="A116" s="181" t="s">
        <v>521</v>
      </c>
      <c r="B116" s="159">
        <v>27.46</v>
      </c>
      <c r="C116" s="160">
        <v>86</v>
      </c>
      <c r="D116" s="159">
        <v>0.04</v>
      </c>
      <c r="E116" s="158">
        <v>0.06</v>
      </c>
      <c r="F116" s="180">
        <f t="shared" si="3"/>
        <v>7.2289156626506021E-2</v>
      </c>
      <c r="G116" s="158">
        <v>0.83</v>
      </c>
      <c r="H116" s="158">
        <v>2.2000000000000002</v>
      </c>
      <c r="I116" s="159">
        <v>0.37</v>
      </c>
      <c r="J116" s="159">
        <v>521</v>
      </c>
      <c r="K116" s="159">
        <v>7</v>
      </c>
      <c r="L116" s="159">
        <v>94</v>
      </c>
      <c r="M116" s="159">
        <v>0.88</v>
      </c>
      <c r="N116" s="159">
        <v>0.24</v>
      </c>
      <c r="O116" s="159">
        <v>0.06</v>
      </c>
      <c r="P116" s="158">
        <v>0.2</v>
      </c>
      <c r="Q116" s="159">
        <v>559</v>
      </c>
      <c r="R116" s="158">
        <v>23.7</v>
      </c>
      <c r="S116" s="158">
        <v>4.3899999999999997</v>
      </c>
      <c r="T116" s="159">
        <v>0.04</v>
      </c>
      <c r="U116" s="159">
        <v>0.84</v>
      </c>
      <c r="V116" s="159">
        <v>1264</v>
      </c>
      <c r="W116" s="158">
        <v>0.06</v>
      </c>
      <c r="X116" s="158">
        <v>0.17</v>
      </c>
    </row>
    <row r="117" spans="1:25">
      <c r="A117" s="181" t="s">
        <v>625</v>
      </c>
      <c r="B117" s="162">
        <v>27.66</v>
      </c>
      <c r="C117" s="163">
        <v>65.599999999999994</v>
      </c>
      <c r="D117" s="162">
        <v>0.05</v>
      </c>
      <c r="E117" s="162">
        <v>0.05</v>
      </c>
      <c r="F117" s="180">
        <f t="shared" si="3"/>
        <v>0.18518518518518517</v>
      </c>
      <c r="G117" s="162">
        <v>0.27</v>
      </c>
      <c r="H117" s="163">
        <v>6.2</v>
      </c>
      <c r="I117" s="162">
        <v>0.49</v>
      </c>
      <c r="J117" s="162">
        <v>502</v>
      </c>
      <c r="K117" s="162">
        <v>9</v>
      </c>
      <c r="L117" s="162">
        <v>47</v>
      </c>
      <c r="M117" s="162">
        <v>0.57999999999999996</v>
      </c>
      <c r="N117" s="162">
        <v>5.58</v>
      </c>
      <c r="O117" s="162">
        <v>0.03</v>
      </c>
      <c r="P117" s="162">
        <v>0</v>
      </c>
      <c r="Q117" s="162">
        <v>540</v>
      </c>
      <c r="R117" s="162">
        <v>15.48</v>
      </c>
      <c r="S117" s="162">
        <v>3.19</v>
      </c>
      <c r="T117" s="162">
        <v>0.02</v>
      </c>
      <c r="U117" s="162">
        <v>0.56000000000000005</v>
      </c>
      <c r="V117" s="162">
        <v>1264</v>
      </c>
      <c r="W117" s="162">
        <v>0.17</v>
      </c>
      <c r="X117" s="162">
        <v>5.41</v>
      </c>
    </row>
    <row r="118" spans="1:25">
      <c r="A118" s="181" t="s">
        <v>605</v>
      </c>
      <c r="B118" s="162">
        <v>27.86</v>
      </c>
      <c r="C118" s="160">
        <v>88.6</v>
      </c>
      <c r="D118" s="162">
        <v>7.0000000000000007E-2</v>
      </c>
      <c r="E118" s="162">
        <v>0.06</v>
      </c>
      <c r="F118" s="180">
        <f t="shared" si="3"/>
        <v>0.33333333333333331</v>
      </c>
      <c r="G118" s="162">
        <v>0.18</v>
      </c>
      <c r="H118" s="162">
        <v>9.5</v>
      </c>
      <c r="I118" s="162">
        <v>0.55000000000000004</v>
      </c>
      <c r="J118" s="162">
        <v>479</v>
      </c>
      <c r="K118" s="162">
        <v>13</v>
      </c>
      <c r="L118" s="162">
        <v>39</v>
      </c>
      <c r="M118" s="162">
        <v>0.46</v>
      </c>
      <c r="N118" s="162">
        <v>5.66</v>
      </c>
      <c r="O118" s="162">
        <v>0.03</v>
      </c>
      <c r="P118" s="163">
        <v>0</v>
      </c>
      <c r="Q118" s="162">
        <v>517</v>
      </c>
      <c r="R118" s="162">
        <v>12.28</v>
      </c>
      <c r="S118" s="162">
        <v>2.5</v>
      </c>
      <c r="T118" s="162">
        <v>0.02</v>
      </c>
      <c r="U118" s="162">
        <v>0.44</v>
      </c>
      <c r="V118" s="159">
        <v>1264</v>
      </c>
      <c r="W118" s="162">
        <v>0.26</v>
      </c>
      <c r="X118" s="162">
        <v>5.4</v>
      </c>
    </row>
    <row r="119" spans="1:25">
      <c r="A119" s="181" t="s">
        <v>615</v>
      </c>
      <c r="B119" s="162">
        <v>28.06</v>
      </c>
      <c r="C119" s="163">
        <v>63.8</v>
      </c>
      <c r="D119" s="162">
        <v>0.05</v>
      </c>
      <c r="E119" s="162">
        <v>0.09</v>
      </c>
      <c r="F119" s="180">
        <f t="shared" si="3"/>
        <v>6.7164179104477612E-2</v>
      </c>
      <c r="G119" s="162">
        <v>1.34</v>
      </c>
      <c r="H119" s="163">
        <v>2.2999999999999998</v>
      </c>
      <c r="I119" s="162">
        <v>0.34</v>
      </c>
      <c r="J119" s="162">
        <v>490</v>
      </c>
      <c r="K119" s="162">
        <v>7</v>
      </c>
      <c r="L119" s="162">
        <v>111</v>
      </c>
      <c r="M119" s="162">
        <v>1.21</v>
      </c>
      <c r="N119" s="162">
        <v>0.08</v>
      </c>
      <c r="O119" s="162">
        <v>0.13</v>
      </c>
      <c r="P119" s="162">
        <v>0.2</v>
      </c>
      <c r="Q119" s="162">
        <v>528</v>
      </c>
      <c r="R119" s="162">
        <v>34.75</v>
      </c>
      <c r="S119" s="162">
        <v>4.5999999999999996</v>
      </c>
      <c r="T119" s="162">
        <v>0.06</v>
      </c>
      <c r="U119" s="162">
        <v>1.1499999999999999</v>
      </c>
      <c r="V119" s="162">
        <v>1264</v>
      </c>
      <c r="W119" s="162">
        <v>7.0000000000000007E-2</v>
      </c>
      <c r="X119" s="162">
        <v>0.01</v>
      </c>
    </row>
    <row r="120" spans="1:25">
      <c r="A120" s="181" t="s">
        <v>618</v>
      </c>
      <c r="B120" s="162">
        <v>28.46</v>
      </c>
      <c r="C120" s="163">
        <v>64.5</v>
      </c>
      <c r="D120" s="162">
        <v>0.05</v>
      </c>
      <c r="E120" s="162">
        <v>0.06</v>
      </c>
      <c r="F120" s="180">
        <f t="shared" si="3"/>
        <v>6.5217391304347824E-2</v>
      </c>
      <c r="G120" s="162">
        <v>0.92</v>
      </c>
      <c r="H120" s="163">
        <v>2</v>
      </c>
      <c r="I120" s="162">
        <v>0.48</v>
      </c>
      <c r="J120" s="162">
        <v>506</v>
      </c>
      <c r="K120" s="162">
        <v>5</v>
      </c>
      <c r="L120" s="162">
        <v>84</v>
      </c>
      <c r="M120" s="162">
        <v>1.1000000000000001</v>
      </c>
      <c r="N120" s="162">
        <v>0.06</v>
      </c>
      <c r="O120" s="162">
        <v>0.08</v>
      </c>
      <c r="P120" s="162">
        <v>0.2</v>
      </c>
      <c r="Q120" s="162">
        <v>544</v>
      </c>
      <c r="R120" s="162">
        <v>29.79</v>
      </c>
      <c r="S120" s="162">
        <v>5.88</v>
      </c>
      <c r="T120" s="162">
        <v>0.04</v>
      </c>
      <c r="U120" s="162">
        <v>1.06</v>
      </c>
      <c r="V120" s="162">
        <v>1264</v>
      </c>
      <c r="W120" s="162">
        <v>0.06</v>
      </c>
      <c r="X120" s="162">
        <v>0.01</v>
      </c>
    </row>
    <row r="121" spans="1:25">
      <c r="A121" s="181" t="s">
        <v>592</v>
      </c>
      <c r="B121" s="162">
        <v>28.66</v>
      </c>
      <c r="C121" s="160">
        <v>84.2</v>
      </c>
      <c r="D121" s="162">
        <v>0.08</v>
      </c>
      <c r="E121" s="162">
        <v>0.11</v>
      </c>
      <c r="F121" s="180">
        <f t="shared" si="3"/>
        <v>0.14473684210526316</v>
      </c>
      <c r="G121" s="162">
        <v>0.76</v>
      </c>
      <c r="H121" s="162">
        <v>5.4</v>
      </c>
      <c r="I121" s="162">
        <v>0.44</v>
      </c>
      <c r="J121" s="162">
        <v>499</v>
      </c>
      <c r="K121" s="162">
        <v>14</v>
      </c>
      <c r="L121" s="162">
        <v>95</v>
      </c>
      <c r="M121" s="162">
        <v>0.8</v>
      </c>
      <c r="N121" s="162">
        <v>2.73</v>
      </c>
      <c r="O121" s="162">
        <v>0.11</v>
      </c>
      <c r="P121" s="163">
        <v>0.1</v>
      </c>
      <c r="Q121" s="162">
        <v>537</v>
      </c>
      <c r="R121" s="162">
        <v>22.1</v>
      </c>
      <c r="S121" s="162">
        <v>3.75</v>
      </c>
      <c r="T121" s="162">
        <v>0.04</v>
      </c>
      <c r="U121" s="162">
        <v>0.76</v>
      </c>
      <c r="V121" s="159">
        <v>1264</v>
      </c>
      <c r="W121" s="162">
        <v>0.15</v>
      </c>
      <c r="X121" s="162">
        <v>2.58</v>
      </c>
    </row>
    <row r="122" spans="1:25">
      <c r="A122" s="181" t="s">
        <v>595</v>
      </c>
      <c r="B122" s="162">
        <v>29.06</v>
      </c>
      <c r="C122" s="160">
        <v>84.7</v>
      </c>
      <c r="D122" s="162">
        <v>0.02</v>
      </c>
      <c r="E122" s="162">
        <v>0.05</v>
      </c>
      <c r="F122" s="180">
        <f t="shared" si="3"/>
        <v>6.25E-2</v>
      </c>
      <c r="G122" s="162">
        <v>0.8</v>
      </c>
      <c r="H122" s="162">
        <v>5.6</v>
      </c>
      <c r="I122" s="162">
        <v>0.28000000000000003</v>
      </c>
      <c r="J122" s="162">
        <v>515</v>
      </c>
      <c r="K122" s="162">
        <v>7</v>
      </c>
      <c r="L122" s="162">
        <v>114</v>
      </c>
      <c r="M122" s="162">
        <v>0.7</v>
      </c>
      <c r="N122" s="162">
        <v>3.95</v>
      </c>
      <c r="O122" s="162">
        <v>0.01</v>
      </c>
      <c r="P122" s="163">
        <v>0.2</v>
      </c>
      <c r="Q122" s="162">
        <v>553</v>
      </c>
      <c r="R122" s="162">
        <v>22.47</v>
      </c>
      <c r="S122" s="162">
        <v>1.45</v>
      </c>
      <c r="T122" s="162">
        <v>0.03</v>
      </c>
      <c r="U122" s="162">
        <v>0.67</v>
      </c>
      <c r="V122" s="159">
        <v>1264</v>
      </c>
      <c r="W122" s="162">
        <v>0.16</v>
      </c>
      <c r="X122" s="162">
        <v>3.79</v>
      </c>
    </row>
    <row r="123" spans="1:25">
      <c r="A123" s="181" t="s">
        <v>488</v>
      </c>
      <c r="B123" s="159">
        <v>29.41</v>
      </c>
      <c r="C123" s="160">
        <v>95.4</v>
      </c>
      <c r="D123" s="158">
        <v>0.03</v>
      </c>
      <c r="E123" s="158">
        <v>0.04</v>
      </c>
      <c r="F123" s="180">
        <f t="shared" si="3"/>
        <v>3.6036036036036036E-2</v>
      </c>
      <c r="G123" s="158">
        <v>1.1100000000000001</v>
      </c>
      <c r="H123" s="159">
        <v>2.1</v>
      </c>
      <c r="I123" s="159">
        <v>0.43</v>
      </c>
      <c r="J123" s="159">
        <v>508</v>
      </c>
      <c r="K123" s="159">
        <v>5</v>
      </c>
      <c r="L123" s="159">
        <v>152</v>
      </c>
      <c r="M123" s="159">
        <v>0.73</v>
      </c>
      <c r="N123" s="159">
        <v>7.0000000000000007E-2</v>
      </c>
      <c r="O123" s="158">
        <v>0.05</v>
      </c>
      <c r="P123" s="158">
        <v>0.1</v>
      </c>
      <c r="Q123" s="159">
        <v>546</v>
      </c>
      <c r="R123" s="158">
        <v>21.53</v>
      </c>
      <c r="S123" s="158">
        <v>2.4300000000000002</v>
      </c>
      <c r="T123" s="159">
        <v>0.04</v>
      </c>
      <c r="U123" s="158">
        <v>0.69</v>
      </c>
      <c r="V123" s="159">
        <v>1264</v>
      </c>
      <c r="W123" s="158">
        <v>0.06</v>
      </c>
      <c r="X123" s="158">
        <v>0.01</v>
      </c>
    </row>
    <row r="124" spans="1:25">
      <c r="A124" s="181" t="s">
        <v>642</v>
      </c>
      <c r="B124" s="162">
        <v>29.46</v>
      </c>
      <c r="C124" s="163">
        <v>76.3</v>
      </c>
      <c r="D124" s="162">
        <v>0.05</v>
      </c>
      <c r="E124" s="162">
        <v>7.0000000000000007E-2</v>
      </c>
      <c r="F124" s="180">
        <f t="shared" si="3"/>
        <v>0.14893617021276598</v>
      </c>
      <c r="G124" s="162">
        <v>0.47</v>
      </c>
      <c r="H124" s="163">
        <v>4.0999999999999996</v>
      </c>
      <c r="I124" s="162">
        <v>0.4</v>
      </c>
      <c r="J124" s="162">
        <v>488</v>
      </c>
      <c r="K124" s="162">
        <v>4</v>
      </c>
      <c r="L124" s="162">
        <v>29</v>
      </c>
      <c r="M124" s="162">
        <v>1.62</v>
      </c>
      <c r="N124" s="162">
        <v>2.91</v>
      </c>
      <c r="O124" s="162">
        <v>0.04</v>
      </c>
      <c r="P124" s="162">
        <v>0.2</v>
      </c>
      <c r="Q124" s="162">
        <v>526</v>
      </c>
      <c r="R124" s="162">
        <v>47.17</v>
      </c>
      <c r="S124" s="162">
        <v>6.96</v>
      </c>
      <c r="T124" s="162">
        <v>0.03</v>
      </c>
      <c r="U124" s="162">
        <v>1.59</v>
      </c>
      <c r="V124" s="162">
        <v>1264</v>
      </c>
      <c r="W124" s="162">
        <v>0.12</v>
      </c>
      <c r="X124" s="162">
        <v>2.79</v>
      </c>
    </row>
    <row r="125" spans="1:25">
      <c r="A125" s="181" t="s">
        <v>490</v>
      </c>
      <c r="B125" s="159">
        <v>30.01</v>
      </c>
      <c r="C125" s="160">
        <v>95</v>
      </c>
      <c r="D125" s="158">
        <v>0.01</v>
      </c>
      <c r="E125" s="158">
        <v>0.03</v>
      </c>
      <c r="F125" s="180">
        <f t="shared" si="3"/>
        <v>5.7692307692307689E-2</v>
      </c>
      <c r="G125" s="158">
        <v>0.52</v>
      </c>
      <c r="H125" s="159">
        <v>0.9</v>
      </c>
      <c r="I125" s="159">
        <v>0.3</v>
      </c>
      <c r="J125" s="159">
        <v>511</v>
      </c>
      <c r="K125" s="159">
        <v>2</v>
      </c>
      <c r="L125" s="159">
        <v>40</v>
      </c>
      <c r="M125" s="159">
        <v>1.29</v>
      </c>
      <c r="N125" s="159">
        <v>0.03</v>
      </c>
      <c r="O125" s="158">
        <v>0.08</v>
      </c>
      <c r="P125" s="158">
        <v>0.1</v>
      </c>
      <c r="Q125" s="159">
        <v>549</v>
      </c>
      <c r="R125" s="158">
        <v>35.630000000000003</v>
      </c>
      <c r="S125" s="158">
        <v>6.99</v>
      </c>
      <c r="T125" s="159">
        <v>0.02</v>
      </c>
      <c r="U125" s="158">
        <v>1.27</v>
      </c>
      <c r="V125" s="159">
        <v>1264</v>
      </c>
      <c r="W125" s="158">
        <v>0.03</v>
      </c>
      <c r="X125" s="158">
        <v>0</v>
      </c>
    </row>
    <row r="126" spans="1:25">
      <c r="A126" s="181" t="s">
        <v>514</v>
      </c>
      <c r="B126" s="159">
        <v>33.049999999999997</v>
      </c>
      <c r="C126" s="160">
        <v>88.8</v>
      </c>
      <c r="D126" s="159">
        <v>0.16</v>
      </c>
      <c r="E126" s="158">
        <v>0.11</v>
      </c>
      <c r="F126" s="180">
        <f t="shared" si="3"/>
        <v>0.40740740740740738</v>
      </c>
      <c r="G126" s="158">
        <v>0.27</v>
      </c>
      <c r="H126" s="158">
        <v>8.6</v>
      </c>
      <c r="I126" s="159">
        <v>0.6</v>
      </c>
      <c r="J126" s="159">
        <v>319</v>
      </c>
      <c r="K126" s="159">
        <v>13</v>
      </c>
      <c r="L126" s="159">
        <v>32</v>
      </c>
      <c r="M126" s="159">
        <v>0.85</v>
      </c>
      <c r="N126" s="159">
        <v>4.87</v>
      </c>
      <c r="O126" s="159">
        <v>0.06</v>
      </c>
      <c r="P126" s="158">
        <v>0</v>
      </c>
      <c r="Q126" s="159">
        <v>357</v>
      </c>
      <c r="R126" s="158">
        <v>21.49</v>
      </c>
      <c r="S126" s="158">
        <v>5.28</v>
      </c>
      <c r="T126" s="159">
        <v>0.03</v>
      </c>
      <c r="U126" s="159">
        <v>0.82</v>
      </c>
      <c r="V126" s="159">
        <v>1264</v>
      </c>
      <c r="W126" s="158">
        <v>0.23</v>
      </c>
      <c r="X126" s="158">
        <v>4.63</v>
      </c>
    </row>
    <row r="127" spans="1:25">
      <c r="A127" s="181" t="s">
        <v>503</v>
      </c>
      <c r="B127" s="159">
        <v>33.97</v>
      </c>
      <c r="C127" s="160">
        <v>91.7</v>
      </c>
      <c r="D127" s="158">
        <v>0.11</v>
      </c>
      <c r="E127" s="158">
        <v>0.12</v>
      </c>
      <c r="F127" s="180">
        <f t="shared" si="3"/>
        <v>0.52173913043478259</v>
      </c>
      <c r="G127" s="158">
        <v>0.23</v>
      </c>
      <c r="H127" s="159">
        <v>8.3000000000000007</v>
      </c>
      <c r="I127" s="159">
        <v>0.48</v>
      </c>
      <c r="J127" s="159">
        <v>347</v>
      </c>
      <c r="K127" s="159">
        <v>13</v>
      </c>
      <c r="L127" s="159">
        <v>25</v>
      </c>
      <c r="M127" s="159">
        <v>0.93</v>
      </c>
      <c r="N127" s="159">
        <v>3.88</v>
      </c>
      <c r="O127" s="158">
        <v>7.0000000000000007E-2</v>
      </c>
      <c r="P127" s="158">
        <v>0</v>
      </c>
      <c r="Q127" s="159">
        <v>385</v>
      </c>
      <c r="R127" s="158">
        <v>22.88</v>
      </c>
      <c r="S127" s="158">
        <v>6.61</v>
      </c>
      <c r="T127" s="159">
        <v>0.03</v>
      </c>
      <c r="U127" s="158">
        <v>0.9</v>
      </c>
      <c r="V127" s="159">
        <v>1264</v>
      </c>
      <c r="W127" s="158">
        <v>0.23</v>
      </c>
      <c r="X127" s="158">
        <v>3.66</v>
      </c>
    </row>
    <row r="128" spans="1:25">
      <c r="A128" s="181" t="s">
        <v>637</v>
      </c>
      <c r="B128" s="162">
        <v>34.04</v>
      </c>
      <c r="C128" s="163">
        <v>70.3</v>
      </c>
      <c r="D128" s="162">
        <v>0.05</v>
      </c>
      <c r="E128" s="162">
        <v>0.05</v>
      </c>
      <c r="F128" s="180">
        <f t="shared" si="3"/>
        <v>0.26315789473684209</v>
      </c>
      <c r="G128" s="162">
        <v>0.19</v>
      </c>
      <c r="H128" s="163">
        <v>11.6</v>
      </c>
      <c r="I128" s="162">
        <v>0.48</v>
      </c>
      <c r="J128" s="162">
        <v>496</v>
      </c>
      <c r="K128" s="162">
        <v>4</v>
      </c>
      <c r="L128" s="162">
        <v>16</v>
      </c>
      <c r="M128" s="162">
        <v>1.2</v>
      </c>
      <c r="N128" s="162">
        <v>1.99</v>
      </c>
      <c r="O128" s="162">
        <v>0.02</v>
      </c>
      <c r="P128" s="162">
        <v>0.1</v>
      </c>
      <c r="Q128" s="162">
        <v>534</v>
      </c>
      <c r="R128" s="162">
        <v>31.48</v>
      </c>
      <c r="S128" s="162">
        <v>7.46</v>
      </c>
      <c r="T128" s="162">
        <v>0.02</v>
      </c>
      <c r="U128" s="162">
        <v>1.18</v>
      </c>
      <c r="V128" s="162">
        <v>1264</v>
      </c>
      <c r="W128" s="162">
        <v>0.32</v>
      </c>
      <c r="X128" s="162">
        <v>1.67</v>
      </c>
      <c r="Y128" s="133"/>
    </row>
    <row r="129" spans="1:24">
      <c r="A129" s="181" t="s">
        <v>527</v>
      </c>
      <c r="B129" s="159">
        <v>34.44</v>
      </c>
      <c r="C129" s="160">
        <v>83.7</v>
      </c>
      <c r="D129" s="159">
        <v>0.02</v>
      </c>
      <c r="E129" s="158">
        <v>0.04</v>
      </c>
      <c r="F129" s="180">
        <f t="shared" si="3"/>
        <v>0.33333333333333337</v>
      </c>
      <c r="G129" s="158">
        <v>0.12</v>
      </c>
      <c r="H129" s="158">
        <v>5.3</v>
      </c>
      <c r="I129" s="159">
        <v>0.35</v>
      </c>
      <c r="J129" s="159">
        <v>363</v>
      </c>
      <c r="K129" s="159">
        <v>6</v>
      </c>
      <c r="L129" s="159">
        <v>17</v>
      </c>
      <c r="M129" s="159">
        <v>0.7</v>
      </c>
      <c r="N129" s="159">
        <v>0.74</v>
      </c>
      <c r="O129" s="159">
        <v>0.01</v>
      </c>
      <c r="P129" s="158">
        <v>0</v>
      </c>
      <c r="Q129" s="159">
        <v>401</v>
      </c>
      <c r="R129" s="158">
        <v>18.440000000000001</v>
      </c>
      <c r="S129" s="158">
        <v>4.4800000000000004</v>
      </c>
      <c r="T129" s="159">
        <v>0.01</v>
      </c>
      <c r="U129" s="159">
        <v>0.69</v>
      </c>
      <c r="V129" s="159">
        <v>1264</v>
      </c>
      <c r="W129" s="158">
        <v>0.14000000000000001</v>
      </c>
      <c r="X129" s="158">
        <v>0.59</v>
      </c>
    </row>
    <row r="130" spans="1:24">
      <c r="A130" s="181" t="s">
        <v>643</v>
      </c>
      <c r="B130" s="162">
        <v>35.24</v>
      </c>
      <c r="C130" s="163">
        <v>82.5</v>
      </c>
      <c r="D130" s="162">
        <v>0.06</v>
      </c>
      <c r="E130" s="162">
        <v>7.0000000000000007E-2</v>
      </c>
      <c r="F130" s="180">
        <f t="shared" si="3"/>
        <v>0.36842105263157898</v>
      </c>
      <c r="G130" s="162">
        <v>0.19</v>
      </c>
      <c r="H130" s="163">
        <v>5.6</v>
      </c>
      <c r="I130" s="162">
        <v>0.47</v>
      </c>
      <c r="J130" s="162">
        <v>509</v>
      </c>
      <c r="K130" s="162">
        <v>10</v>
      </c>
      <c r="L130" s="162">
        <v>27</v>
      </c>
      <c r="M130" s="162">
        <v>0.71</v>
      </c>
      <c r="N130" s="162">
        <v>2.2200000000000002</v>
      </c>
      <c r="O130" s="162">
        <v>0.05</v>
      </c>
      <c r="P130" s="162">
        <v>0</v>
      </c>
      <c r="Q130" s="162">
        <v>547</v>
      </c>
      <c r="R130" s="162">
        <v>17.899999999999999</v>
      </c>
      <c r="S130" s="162">
        <v>4.7699999999999996</v>
      </c>
      <c r="T130" s="162">
        <v>0.02</v>
      </c>
      <c r="U130" s="162">
        <v>0.69</v>
      </c>
      <c r="V130" s="162">
        <v>1264</v>
      </c>
      <c r="W130" s="162">
        <v>0.15</v>
      </c>
      <c r="X130" s="162">
        <v>2.06</v>
      </c>
    </row>
    <row r="131" spans="1:24">
      <c r="A131" s="181" t="s">
        <v>574</v>
      </c>
      <c r="B131" s="162">
        <v>35.44</v>
      </c>
      <c r="C131" s="160">
        <v>80</v>
      </c>
      <c r="D131" s="162">
        <v>0.15</v>
      </c>
      <c r="E131" s="162">
        <v>0.1</v>
      </c>
      <c r="F131" s="180">
        <f t="shared" si="3"/>
        <v>0.26315789473684209</v>
      </c>
      <c r="G131" s="162">
        <v>0.38</v>
      </c>
      <c r="H131" s="162">
        <v>3.3</v>
      </c>
      <c r="I131" s="162">
        <v>0.59</v>
      </c>
      <c r="J131" s="162">
        <v>295</v>
      </c>
      <c r="K131" s="162">
        <v>6</v>
      </c>
      <c r="L131" s="162">
        <v>23</v>
      </c>
      <c r="M131" s="162">
        <v>1.62</v>
      </c>
      <c r="N131" s="162">
        <v>1.57</v>
      </c>
      <c r="O131" s="162">
        <v>0.03</v>
      </c>
      <c r="P131" s="163">
        <v>0.1</v>
      </c>
      <c r="Q131" s="162">
        <v>333</v>
      </c>
      <c r="R131" s="162">
        <v>40.07</v>
      </c>
      <c r="S131" s="162">
        <v>11.77</v>
      </c>
      <c r="T131" s="162">
        <v>0.03</v>
      </c>
      <c r="U131" s="162">
        <v>1.59</v>
      </c>
      <c r="V131" s="159">
        <v>1264</v>
      </c>
      <c r="W131" s="162">
        <v>0.09</v>
      </c>
      <c r="X131" s="162">
        <v>1.48</v>
      </c>
    </row>
    <row r="132" spans="1:24">
      <c r="A132" s="181" t="s">
        <v>635</v>
      </c>
      <c r="B132" s="162">
        <v>36.04</v>
      </c>
      <c r="C132" s="163">
        <v>69.7</v>
      </c>
      <c r="D132" s="162">
        <v>0.02</v>
      </c>
      <c r="E132" s="162">
        <v>0.03</v>
      </c>
      <c r="F132" s="180">
        <f t="shared" ref="F132:F148" si="4">E132/G132</f>
        <v>0.15789473684210525</v>
      </c>
      <c r="G132" s="162">
        <v>0.19</v>
      </c>
      <c r="H132" s="163">
        <v>8.8000000000000007</v>
      </c>
      <c r="I132" s="162">
        <v>0.44</v>
      </c>
      <c r="J132" s="162">
        <v>325</v>
      </c>
      <c r="K132" s="162">
        <v>2</v>
      </c>
      <c r="L132" s="162">
        <v>14</v>
      </c>
      <c r="M132" s="162">
        <v>1.35</v>
      </c>
      <c r="N132" s="162">
        <v>2.1800000000000002</v>
      </c>
      <c r="O132" s="162">
        <v>0.01</v>
      </c>
      <c r="P132" s="162">
        <v>0</v>
      </c>
      <c r="Q132" s="162">
        <v>363</v>
      </c>
      <c r="R132" s="162">
        <v>33.04</v>
      </c>
      <c r="S132" s="162">
        <v>10.18</v>
      </c>
      <c r="T132" s="162">
        <v>0.01</v>
      </c>
      <c r="U132" s="162">
        <v>1.34</v>
      </c>
      <c r="V132" s="162">
        <v>1264</v>
      </c>
      <c r="W132" s="162">
        <v>0.24</v>
      </c>
      <c r="X132" s="162">
        <v>1.94</v>
      </c>
    </row>
    <row r="133" spans="1:24">
      <c r="A133" s="181" t="s">
        <v>589</v>
      </c>
      <c r="B133" s="162">
        <v>36.24</v>
      </c>
      <c r="C133" s="160">
        <v>83.4</v>
      </c>
      <c r="D133" s="162">
        <v>0.1</v>
      </c>
      <c r="E133" s="162">
        <v>0.12</v>
      </c>
      <c r="F133" s="180">
        <f t="shared" si="4"/>
        <v>0.48</v>
      </c>
      <c r="G133" s="162">
        <v>0.25</v>
      </c>
      <c r="H133" s="162">
        <v>11</v>
      </c>
      <c r="I133" s="162">
        <v>0.46</v>
      </c>
      <c r="J133" s="162">
        <v>338</v>
      </c>
      <c r="K133" s="162">
        <v>9</v>
      </c>
      <c r="L133" s="162">
        <v>20</v>
      </c>
      <c r="M133" s="162">
        <v>1.28</v>
      </c>
      <c r="N133" s="162">
        <v>2.0499999999999998</v>
      </c>
      <c r="O133" s="162">
        <v>0.11</v>
      </c>
      <c r="P133" s="163">
        <v>0.1</v>
      </c>
      <c r="Q133" s="162">
        <v>376</v>
      </c>
      <c r="R133" s="162">
        <v>32.729999999999997</v>
      </c>
      <c r="S133" s="162">
        <v>8.49</v>
      </c>
      <c r="T133" s="162">
        <v>0.03</v>
      </c>
      <c r="U133" s="162">
        <v>1.25</v>
      </c>
      <c r="V133" s="159">
        <v>1264</v>
      </c>
      <c r="W133" s="162">
        <v>0.3</v>
      </c>
      <c r="X133" s="162">
        <v>1.75</v>
      </c>
    </row>
    <row r="134" spans="1:24">
      <c r="A134" s="181" t="s">
        <v>613</v>
      </c>
      <c r="B134" s="162">
        <v>36.64</v>
      </c>
      <c r="C134" s="163">
        <v>63.6</v>
      </c>
      <c r="D134" s="162">
        <v>0.04</v>
      </c>
      <c r="E134" s="162">
        <v>0.05</v>
      </c>
      <c r="F134" s="180">
        <f t="shared" si="4"/>
        <v>0.33333333333333337</v>
      </c>
      <c r="G134" s="162">
        <v>0.15</v>
      </c>
      <c r="H134" s="163">
        <v>9.4</v>
      </c>
      <c r="I134" s="162">
        <v>0.44</v>
      </c>
      <c r="J134" s="162">
        <v>338</v>
      </c>
      <c r="K134" s="162">
        <v>5</v>
      </c>
      <c r="L134" s="162">
        <v>14</v>
      </c>
      <c r="M134" s="162">
        <v>1.0900000000000001</v>
      </c>
      <c r="N134" s="162">
        <v>2.5</v>
      </c>
      <c r="O134" s="162">
        <v>0.01</v>
      </c>
      <c r="P134" s="162">
        <v>0.1</v>
      </c>
      <c r="Q134" s="162">
        <v>376</v>
      </c>
      <c r="R134" s="162">
        <v>27.21</v>
      </c>
      <c r="S134" s="162">
        <v>7.84</v>
      </c>
      <c r="T134" s="162">
        <v>0.01</v>
      </c>
      <c r="U134" s="162">
        <v>1.08</v>
      </c>
      <c r="V134" s="162">
        <v>1264</v>
      </c>
      <c r="W134" s="162">
        <v>0.26</v>
      </c>
      <c r="X134" s="162">
        <v>2.2400000000000002</v>
      </c>
    </row>
    <row r="135" spans="1:24">
      <c r="A135" s="181" t="s">
        <v>617</v>
      </c>
      <c r="B135" s="162">
        <v>36.64</v>
      </c>
      <c r="C135" s="163">
        <v>64.400000000000006</v>
      </c>
      <c r="D135" s="162">
        <v>0.04</v>
      </c>
      <c r="E135" s="162">
        <v>0.06</v>
      </c>
      <c r="F135" s="180">
        <f t="shared" si="4"/>
        <v>0.33333333333333331</v>
      </c>
      <c r="G135" s="162">
        <v>0.18</v>
      </c>
      <c r="H135" s="163">
        <v>5.5</v>
      </c>
      <c r="I135" s="162">
        <v>0.39</v>
      </c>
      <c r="J135" s="162">
        <v>356</v>
      </c>
      <c r="K135" s="162">
        <v>8</v>
      </c>
      <c r="L135" s="162">
        <v>23</v>
      </c>
      <c r="M135" s="162">
        <v>0.79</v>
      </c>
      <c r="N135" s="162">
        <v>1.1000000000000001</v>
      </c>
      <c r="O135" s="162">
        <v>0.04</v>
      </c>
      <c r="P135" s="162">
        <v>0</v>
      </c>
      <c r="Q135" s="162">
        <v>394</v>
      </c>
      <c r="R135" s="162">
        <v>19.71</v>
      </c>
      <c r="S135" s="162">
        <v>5.61</v>
      </c>
      <c r="T135" s="162">
        <v>0.01</v>
      </c>
      <c r="U135" s="162">
        <v>0.78</v>
      </c>
      <c r="V135" s="162">
        <v>1264</v>
      </c>
      <c r="W135" s="162">
        <v>0.15</v>
      </c>
      <c r="X135" s="162">
        <v>0.95</v>
      </c>
    </row>
    <row r="136" spans="1:24">
      <c r="A136" s="181" t="s">
        <v>584</v>
      </c>
      <c r="B136" s="162">
        <v>36.840000000000003</v>
      </c>
      <c r="C136" s="160">
        <v>82.7</v>
      </c>
      <c r="D136" s="162">
        <v>0.11</v>
      </c>
      <c r="E136" s="162">
        <v>0.09</v>
      </c>
      <c r="F136" s="180">
        <f t="shared" si="4"/>
        <v>0.33333333333333331</v>
      </c>
      <c r="G136" s="162">
        <v>0.27</v>
      </c>
      <c r="H136" s="162">
        <v>7.3</v>
      </c>
      <c r="I136" s="162">
        <v>0.56000000000000005</v>
      </c>
      <c r="J136" s="162">
        <v>302</v>
      </c>
      <c r="K136" s="162">
        <v>6</v>
      </c>
      <c r="L136" s="162">
        <v>19</v>
      </c>
      <c r="M136" s="162">
        <v>1.4</v>
      </c>
      <c r="N136" s="162">
        <v>2.3199999999999998</v>
      </c>
      <c r="O136" s="162">
        <v>0.01</v>
      </c>
      <c r="P136" s="163">
        <v>0.1</v>
      </c>
      <c r="Q136" s="162">
        <v>340</v>
      </c>
      <c r="R136" s="162">
        <v>34.99</v>
      </c>
      <c r="S136" s="162">
        <v>9.8699999999999992</v>
      </c>
      <c r="T136" s="162">
        <v>0.03</v>
      </c>
      <c r="U136" s="162">
        <v>1.37</v>
      </c>
      <c r="V136" s="159">
        <v>1264</v>
      </c>
      <c r="W136" s="162">
        <v>0.2</v>
      </c>
      <c r="X136" s="162">
        <v>2.12</v>
      </c>
    </row>
    <row r="137" spans="1:24">
      <c r="A137" s="181" t="s">
        <v>484</v>
      </c>
      <c r="B137" s="159">
        <v>37.090000000000003</v>
      </c>
      <c r="C137" s="160">
        <v>97.2</v>
      </c>
      <c r="D137" s="158">
        <v>0.01</v>
      </c>
      <c r="E137" s="158">
        <v>0.03</v>
      </c>
      <c r="F137" s="180">
        <f t="shared" si="4"/>
        <v>4.9180327868852458E-2</v>
      </c>
      <c r="G137" s="158">
        <v>0.61</v>
      </c>
      <c r="H137" s="159">
        <v>1.2</v>
      </c>
      <c r="I137" s="159">
        <v>0.25</v>
      </c>
      <c r="J137" s="159">
        <v>532</v>
      </c>
      <c r="K137" s="159">
        <v>2</v>
      </c>
      <c r="L137" s="159">
        <v>43</v>
      </c>
      <c r="M137" s="159">
        <v>1.43</v>
      </c>
      <c r="N137" s="159">
        <v>0.04</v>
      </c>
      <c r="O137" s="158">
        <v>0.03</v>
      </c>
      <c r="P137" s="158">
        <v>0.1</v>
      </c>
      <c r="Q137" s="159">
        <v>570</v>
      </c>
      <c r="R137" s="158">
        <v>42.05</v>
      </c>
      <c r="S137" s="158">
        <v>6.15</v>
      </c>
      <c r="T137" s="159">
        <v>0.02</v>
      </c>
      <c r="U137" s="158">
        <v>1.41</v>
      </c>
      <c r="V137" s="159">
        <v>1264</v>
      </c>
      <c r="W137" s="158">
        <v>0.03</v>
      </c>
      <c r="X137" s="158">
        <v>0.01</v>
      </c>
    </row>
    <row r="138" spans="1:24">
      <c r="A138" s="181" t="s">
        <v>624</v>
      </c>
      <c r="B138" s="162">
        <v>37.44</v>
      </c>
      <c r="C138" s="163">
        <v>65.5</v>
      </c>
      <c r="D138" s="162">
        <v>0.19</v>
      </c>
      <c r="E138" s="162">
        <v>0.16</v>
      </c>
      <c r="F138" s="180">
        <f t="shared" si="4"/>
        <v>0.69565217391304346</v>
      </c>
      <c r="G138" s="162">
        <v>0.23</v>
      </c>
      <c r="H138" s="163">
        <v>9.1999999999999993</v>
      </c>
      <c r="I138" s="162">
        <v>0.55000000000000004</v>
      </c>
      <c r="J138" s="162">
        <v>485</v>
      </c>
      <c r="K138" s="162">
        <v>14</v>
      </c>
      <c r="L138" s="162">
        <v>20</v>
      </c>
      <c r="M138" s="162">
        <v>1.1399999999999999</v>
      </c>
      <c r="N138" s="162">
        <v>2.13</v>
      </c>
      <c r="O138" s="162">
        <v>0.08</v>
      </c>
      <c r="P138" s="162">
        <v>0</v>
      </c>
      <c r="Q138" s="162">
        <v>523</v>
      </c>
      <c r="R138" s="162">
        <v>27.42</v>
      </c>
      <c r="S138" s="162">
        <v>8.07</v>
      </c>
      <c r="T138" s="162">
        <v>0.04</v>
      </c>
      <c r="U138" s="162">
        <v>1.1000000000000001</v>
      </c>
      <c r="V138" s="162">
        <v>1264</v>
      </c>
      <c r="W138" s="162">
        <v>0.25</v>
      </c>
      <c r="X138" s="162">
        <v>1.87</v>
      </c>
    </row>
    <row r="139" spans="1:24">
      <c r="A139" s="181" t="s">
        <v>501</v>
      </c>
      <c r="B139" s="159">
        <v>37.69</v>
      </c>
      <c r="C139" s="160">
        <v>92.2</v>
      </c>
      <c r="D139" s="158">
        <v>0.11</v>
      </c>
      <c r="E139" s="158">
        <v>0.08</v>
      </c>
      <c r="F139" s="180">
        <f t="shared" si="4"/>
        <v>0.30769230769230771</v>
      </c>
      <c r="G139" s="158">
        <v>0.26</v>
      </c>
      <c r="H139" s="159">
        <v>8.5</v>
      </c>
      <c r="I139" s="159">
        <v>0.57999999999999996</v>
      </c>
      <c r="J139" s="159">
        <v>296</v>
      </c>
      <c r="K139" s="159">
        <v>10</v>
      </c>
      <c r="L139" s="159">
        <v>31</v>
      </c>
      <c r="M139" s="159">
        <v>0.83</v>
      </c>
      <c r="N139" s="159">
        <v>3.59</v>
      </c>
      <c r="O139" s="158">
        <v>0.04</v>
      </c>
      <c r="P139" s="158">
        <v>0</v>
      </c>
      <c r="Q139" s="159">
        <v>334</v>
      </c>
      <c r="R139" s="158">
        <v>20.62</v>
      </c>
      <c r="S139" s="158">
        <v>5.88</v>
      </c>
      <c r="T139" s="159">
        <v>0.02</v>
      </c>
      <c r="U139" s="158">
        <v>0.81</v>
      </c>
      <c r="V139" s="159">
        <v>1264</v>
      </c>
      <c r="W139" s="158">
        <v>0.23</v>
      </c>
      <c r="X139" s="158">
        <v>3.36</v>
      </c>
    </row>
    <row r="140" spans="1:24">
      <c r="A140" s="181" t="s">
        <v>497</v>
      </c>
      <c r="B140" s="159">
        <v>38.090000000000003</v>
      </c>
      <c r="C140" s="160">
        <v>93.3</v>
      </c>
      <c r="D140" s="158">
        <v>0.06</v>
      </c>
      <c r="E140" s="158">
        <v>0.05</v>
      </c>
      <c r="F140" s="180">
        <f t="shared" si="4"/>
        <v>0.15625</v>
      </c>
      <c r="G140" s="158">
        <v>0.32</v>
      </c>
      <c r="H140" s="159">
        <v>4.8</v>
      </c>
      <c r="I140" s="159">
        <v>0.54</v>
      </c>
      <c r="J140" s="159">
        <v>505</v>
      </c>
      <c r="K140" s="159">
        <v>4</v>
      </c>
      <c r="L140" s="159">
        <v>26</v>
      </c>
      <c r="M140" s="159">
        <v>1.22</v>
      </c>
      <c r="N140" s="159">
        <v>1.86</v>
      </c>
      <c r="O140" s="158">
        <v>0.02</v>
      </c>
      <c r="P140" s="158">
        <v>0</v>
      </c>
      <c r="Q140" s="159">
        <v>543</v>
      </c>
      <c r="R140" s="158">
        <v>28.75</v>
      </c>
      <c r="S140" s="158">
        <v>9.6999999999999993</v>
      </c>
      <c r="T140" s="159">
        <v>0.02</v>
      </c>
      <c r="U140" s="158">
        <v>1.2</v>
      </c>
      <c r="V140" s="159">
        <v>1264</v>
      </c>
      <c r="W140" s="158">
        <v>0.13</v>
      </c>
      <c r="X140" s="158">
        <v>1.73</v>
      </c>
    </row>
    <row r="141" spans="1:24">
      <c r="A141" s="181" t="s">
        <v>602</v>
      </c>
      <c r="B141" s="162">
        <v>38.24</v>
      </c>
      <c r="C141" s="160">
        <v>86.7</v>
      </c>
      <c r="D141" s="162">
        <v>0.14000000000000001</v>
      </c>
      <c r="E141" s="162">
        <v>0.12</v>
      </c>
      <c r="F141" s="180">
        <f t="shared" si="4"/>
        <v>0.375</v>
      </c>
      <c r="G141" s="162">
        <v>0.32</v>
      </c>
      <c r="H141" s="162">
        <v>8.1</v>
      </c>
      <c r="I141" s="162">
        <v>0.52</v>
      </c>
      <c r="J141" s="162">
        <v>508</v>
      </c>
      <c r="K141" s="162">
        <v>8</v>
      </c>
      <c r="L141" s="162">
        <v>20</v>
      </c>
      <c r="M141" s="162">
        <v>1.57</v>
      </c>
      <c r="N141" s="162">
        <v>2.4300000000000002</v>
      </c>
      <c r="O141" s="162">
        <v>0.09</v>
      </c>
      <c r="P141" s="163">
        <v>0</v>
      </c>
      <c r="Q141" s="162">
        <v>546</v>
      </c>
      <c r="R141" s="162">
        <v>38.86</v>
      </c>
      <c r="S141" s="162">
        <v>11.28</v>
      </c>
      <c r="T141" s="162">
        <v>0.03</v>
      </c>
      <c r="U141" s="162">
        <v>1.54</v>
      </c>
      <c r="V141" s="159">
        <v>1264</v>
      </c>
      <c r="W141" s="162">
        <v>0.22</v>
      </c>
      <c r="X141" s="162">
        <v>2.21</v>
      </c>
    </row>
    <row r="142" spans="1:24">
      <c r="A142" s="181" t="s">
        <v>580</v>
      </c>
      <c r="B142" s="162">
        <v>38.64</v>
      </c>
      <c r="C142" s="160">
        <v>82.5</v>
      </c>
      <c r="D142" s="162">
        <v>0.1</v>
      </c>
      <c r="E142" s="162">
        <v>0.1</v>
      </c>
      <c r="F142" s="180">
        <f t="shared" si="4"/>
        <v>0.41666666666666669</v>
      </c>
      <c r="G142" s="162">
        <v>0.24</v>
      </c>
      <c r="H142" s="162">
        <v>8.5</v>
      </c>
      <c r="I142" s="162">
        <v>0.5</v>
      </c>
      <c r="J142" s="162">
        <v>317</v>
      </c>
      <c r="K142" s="162">
        <v>6</v>
      </c>
      <c r="L142" s="162">
        <v>15</v>
      </c>
      <c r="M142" s="162">
        <v>1.57</v>
      </c>
      <c r="N142" s="162">
        <v>1.58</v>
      </c>
      <c r="O142" s="162">
        <v>7.0000000000000007E-2</v>
      </c>
      <c r="P142" s="163">
        <v>0.1</v>
      </c>
      <c r="Q142" s="162">
        <v>355</v>
      </c>
      <c r="R142" s="162">
        <v>37.590000000000003</v>
      </c>
      <c r="S142" s="162">
        <v>11.9</v>
      </c>
      <c r="T142" s="162">
        <v>0.03</v>
      </c>
      <c r="U142" s="162">
        <v>1.54</v>
      </c>
      <c r="V142" s="159">
        <v>1264</v>
      </c>
      <c r="W142" s="162">
        <v>0.23</v>
      </c>
      <c r="X142" s="162">
        <v>1.34</v>
      </c>
    </row>
    <row r="143" spans="1:24">
      <c r="A143" s="181" t="s">
        <v>622</v>
      </c>
      <c r="B143" s="162">
        <v>38.840000000000003</v>
      </c>
      <c r="C143" s="163">
        <v>65.5</v>
      </c>
      <c r="D143" s="162">
        <v>0.03</v>
      </c>
      <c r="E143" s="162">
        <v>0.05</v>
      </c>
      <c r="F143" s="180">
        <f t="shared" si="4"/>
        <v>0.3125</v>
      </c>
      <c r="G143" s="162">
        <v>0.16</v>
      </c>
      <c r="H143" s="163">
        <v>8.9</v>
      </c>
      <c r="I143" s="162">
        <v>0.38</v>
      </c>
      <c r="J143" s="162">
        <v>340</v>
      </c>
      <c r="K143" s="162">
        <v>3</v>
      </c>
      <c r="L143" s="162">
        <v>11</v>
      </c>
      <c r="M143" s="162">
        <v>1.44</v>
      </c>
      <c r="N143" s="162">
        <v>1.46</v>
      </c>
      <c r="O143" s="162">
        <v>0.03</v>
      </c>
      <c r="P143" s="162">
        <v>0.1</v>
      </c>
      <c r="Q143" s="162">
        <v>378</v>
      </c>
      <c r="R143" s="162">
        <v>35.549999999999997</v>
      </c>
      <c r="S143" s="162">
        <v>10.8</v>
      </c>
      <c r="T143" s="162">
        <v>0.01</v>
      </c>
      <c r="U143" s="162">
        <v>1.43</v>
      </c>
      <c r="V143" s="162">
        <v>1264</v>
      </c>
      <c r="W143" s="162">
        <v>0.24</v>
      </c>
      <c r="X143" s="162">
        <v>1.22</v>
      </c>
    </row>
    <row r="144" spans="1:24">
      <c r="A144" s="181" t="s">
        <v>492</v>
      </c>
      <c r="B144" s="159">
        <v>39.090000000000003</v>
      </c>
      <c r="C144" s="160">
        <v>94.5</v>
      </c>
      <c r="D144" s="158">
        <v>0.19</v>
      </c>
      <c r="E144" s="158">
        <v>0.14000000000000001</v>
      </c>
      <c r="F144" s="180">
        <f t="shared" si="4"/>
        <v>0.53846153846153855</v>
      </c>
      <c r="G144" s="158">
        <v>0.26</v>
      </c>
      <c r="H144" s="159">
        <v>6.8</v>
      </c>
      <c r="I144" s="159">
        <v>0.57999999999999996</v>
      </c>
      <c r="J144" s="159">
        <v>303</v>
      </c>
      <c r="K144" s="159">
        <v>12</v>
      </c>
      <c r="L144" s="159">
        <v>22</v>
      </c>
      <c r="M144" s="159">
        <v>1.2</v>
      </c>
      <c r="N144" s="159">
        <v>3.69</v>
      </c>
      <c r="O144" s="158">
        <v>7.0000000000000007E-2</v>
      </c>
      <c r="P144" s="158">
        <v>0</v>
      </c>
      <c r="Q144" s="159">
        <v>341</v>
      </c>
      <c r="R144" s="158">
        <v>29.52</v>
      </c>
      <c r="S144" s="158">
        <v>8.24</v>
      </c>
      <c r="T144" s="159">
        <v>0.04</v>
      </c>
      <c r="U144" s="158">
        <v>1.1599999999999999</v>
      </c>
      <c r="V144" s="159">
        <v>1264</v>
      </c>
      <c r="W144" s="158">
        <v>0.19</v>
      </c>
      <c r="X144" s="158">
        <v>3.5</v>
      </c>
    </row>
    <row r="145" spans="1:24">
      <c r="A145" s="181" t="s">
        <v>599</v>
      </c>
      <c r="B145" s="162">
        <v>39.64</v>
      </c>
      <c r="C145" s="160">
        <v>85.4</v>
      </c>
      <c r="D145" s="162">
        <v>0.17</v>
      </c>
      <c r="E145" s="162">
        <v>0.11</v>
      </c>
      <c r="F145" s="180">
        <f t="shared" si="4"/>
        <v>0.40740740740740738</v>
      </c>
      <c r="G145" s="162">
        <v>0.27</v>
      </c>
      <c r="H145" s="162">
        <v>7.4</v>
      </c>
      <c r="I145" s="162">
        <v>0.61</v>
      </c>
      <c r="J145" s="162">
        <v>301</v>
      </c>
      <c r="K145" s="162">
        <v>7</v>
      </c>
      <c r="L145" s="162">
        <v>18</v>
      </c>
      <c r="M145" s="162">
        <v>1.48</v>
      </c>
      <c r="N145" s="162">
        <v>2.44</v>
      </c>
      <c r="O145" s="162">
        <v>0.02</v>
      </c>
      <c r="P145" s="163">
        <v>0.1</v>
      </c>
      <c r="Q145" s="162">
        <v>339</v>
      </c>
      <c r="R145" s="162">
        <v>36.75</v>
      </c>
      <c r="S145" s="162">
        <v>10.41</v>
      </c>
      <c r="T145" s="162">
        <v>0.03</v>
      </c>
      <c r="U145" s="162">
        <v>1.45</v>
      </c>
      <c r="V145" s="159">
        <v>1264</v>
      </c>
      <c r="W145" s="162">
        <v>0.2</v>
      </c>
      <c r="X145" s="162">
        <v>2.2400000000000002</v>
      </c>
    </row>
    <row r="146" spans="1:24">
      <c r="A146" s="181" t="s">
        <v>491</v>
      </c>
      <c r="B146" s="159">
        <v>39.89</v>
      </c>
      <c r="C146" s="160">
        <v>94.5</v>
      </c>
      <c r="D146" s="158">
        <v>0.06</v>
      </c>
      <c r="E146" s="158">
        <v>0.06</v>
      </c>
      <c r="F146" s="180">
        <f t="shared" si="4"/>
        <v>0.2608695652173913</v>
      </c>
      <c r="G146" s="158">
        <v>0.23</v>
      </c>
      <c r="H146" s="159">
        <v>7.7</v>
      </c>
      <c r="I146" s="159">
        <v>0.47</v>
      </c>
      <c r="J146" s="159">
        <v>311</v>
      </c>
      <c r="K146" s="159">
        <v>4</v>
      </c>
      <c r="L146" s="159">
        <v>15</v>
      </c>
      <c r="M146" s="159">
        <v>1.56</v>
      </c>
      <c r="N146" s="159">
        <v>3.49</v>
      </c>
      <c r="O146" s="158">
        <v>0.03</v>
      </c>
      <c r="P146" s="158">
        <v>0</v>
      </c>
      <c r="Q146" s="159">
        <v>349</v>
      </c>
      <c r="R146" s="158">
        <v>38.700000000000003</v>
      </c>
      <c r="S146" s="158">
        <v>11.23</v>
      </c>
      <c r="T146" s="159">
        <v>0.02</v>
      </c>
      <c r="U146" s="158">
        <v>1.54</v>
      </c>
      <c r="V146" s="159">
        <v>1264</v>
      </c>
      <c r="W146" s="158">
        <v>0.21</v>
      </c>
      <c r="X146" s="158">
        <v>3.28</v>
      </c>
    </row>
    <row r="147" spans="1:24">
      <c r="A147" s="181" t="s">
        <v>578</v>
      </c>
      <c r="B147" s="162">
        <v>40.24</v>
      </c>
      <c r="C147" s="160">
        <v>82.2</v>
      </c>
      <c r="D147" s="162">
        <v>7.0000000000000007E-2</v>
      </c>
      <c r="E147" s="162">
        <v>7.0000000000000007E-2</v>
      </c>
      <c r="F147" s="180">
        <f t="shared" si="4"/>
        <v>0.30434782608695654</v>
      </c>
      <c r="G147" s="162">
        <v>0.23</v>
      </c>
      <c r="H147" s="162">
        <v>8.6999999999999993</v>
      </c>
      <c r="I147" s="162">
        <v>0.52</v>
      </c>
      <c r="J147" s="162">
        <v>303</v>
      </c>
      <c r="K147" s="162">
        <v>4</v>
      </c>
      <c r="L147" s="162">
        <v>13</v>
      </c>
      <c r="M147" s="162">
        <v>1.71</v>
      </c>
      <c r="N147" s="162">
        <v>2.36</v>
      </c>
      <c r="O147" s="162">
        <v>0.01</v>
      </c>
      <c r="P147" s="163">
        <v>0.1</v>
      </c>
      <c r="Q147" s="162">
        <v>341</v>
      </c>
      <c r="R147" s="162">
        <v>43.19</v>
      </c>
      <c r="S147" s="162">
        <v>11.9</v>
      </c>
      <c r="T147" s="162">
        <v>0.02</v>
      </c>
      <c r="U147" s="162">
        <v>1.69</v>
      </c>
      <c r="V147" s="159">
        <v>1264</v>
      </c>
      <c r="W147" s="162">
        <v>0.24</v>
      </c>
      <c r="X147" s="162">
        <v>2.12</v>
      </c>
    </row>
    <row r="148" spans="1:24">
      <c r="A148" s="181" t="s">
        <v>581</v>
      </c>
      <c r="B148" s="162">
        <v>40.44</v>
      </c>
      <c r="C148" s="160">
        <v>82.5</v>
      </c>
      <c r="D148" s="162">
        <v>0.13</v>
      </c>
      <c r="E148" s="162">
        <v>0.11</v>
      </c>
      <c r="F148" s="180">
        <f t="shared" si="4"/>
        <v>0.47826086956521735</v>
      </c>
      <c r="G148" s="162">
        <v>0.23</v>
      </c>
      <c r="H148" s="162">
        <v>8.5</v>
      </c>
      <c r="I148" s="162">
        <v>0.54</v>
      </c>
      <c r="J148" s="162">
        <v>304</v>
      </c>
      <c r="K148" s="162">
        <v>6</v>
      </c>
      <c r="L148" s="162">
        <v>13</v>
      </c>
      <c r="M148" s="162">
        <v>1.8</v>
      </c>
      <c r="N148" s="162">
        <v>2.71</v>
      </c>
      <c r="O148" s="162">
        <v>0.02</v>
      </c>
      <c r="P148" s="163">
        <v>0.1</v>
      </c>
      <c r="Q148" s="162">
        <v>342</v>
      </c>
      <c r="R148" s="162">
        <v>44.43</v>
      </c>
      <c r="S148" s="162">
        <v>13.04</v>
      </c>
      <c r="T148" s="162">
        <v>0.03</v>
      </c>
      <c r="U148" s="162">
        <v>1.77</v>
      </c>
      <c r="V148" s="159">
        <v>1264</v>
      </c>
      <c r="W148" s="162">
        <v>0.23</v>
      </c>
      <c r="X148" s="162">
        <v>2.4700000000000002</v>
      </c>
    </row>
    <row r="151" spans="1:24" ht="30"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row>
    <row r="152" spans="1:24" ht="51" customHeight="1">
      <c r="A152" s="257" t="s">
        <v>662</v>
      </c>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row>
    <row r="153" spans="1:24" ht="31" customHeight="1">
      <c r="A153" s="256" t="s">
        <v>654</v>
      </c>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row>
    <row r="154" spans="1:24" ht="39" customHeight="1">
      <c r="A154" s="256" t="s">
        <v>655</v>
      </c>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row>
    <row r="155" spans="1:24" ht="46" customHeight="1">
      <c r="A155" s="256" t="s">
        <v>656</v>
      </c>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row>
    <row r="156" spans="1:24" ht="35" customHeight="1">
      <c r="A156" s="256" t="s">
        <v>657</v>
      </c>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row>
    <row r="157" spans="1:24" ht="29" customHeight="1">
      <c r="A157" s="256" t="s">
        <v>658</v>
      </c>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row>
    <row r="158" spans="1:24" ht="35" customHeight="1">
      <c r="A158" s="256" t="s">
        <v>659</v>
      </c>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192"/>
    </row>
    <row r="159" spans="1:24" ht="27" customHeight="1">
      <c r="A159" s="256" t="s">
        <v>660</v>
      </c>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row>
    <row r="160" spans="1:24" ht="24" customHeight="1">
      <c r="A160" s="256" t="s">
        <v>661</v>
      </c>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row>
    <row r="161" spans="1:24">
      <c r="A161" s="192"/>
      <c r="B161" s="192"/>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row>
    <row r="162" spans="1:24">
      <c r="A162" s="192"/>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192"/>
      <c r="X162" s="192"/>
    </row>
    <row r="163" spans="1:24">
      <c r="A163" s="192"/>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row>
    <row r="164" spans="1:24">
      <c r="A164" s="192"/>
      <c r="B164" s="192"/>
      <c r="C164" s="192"/>
      <c r="D164" s="192"/>
      <c r="E164" s="192"/>
      <c r="F164" s="192"/>
      <c r="G164" s="192"/>
      <c r="H164" s="192"/>
      <c r="I164" s="192"/>
      <c r="J164" s="192"/>
      <c r="K164" s="192"/>
      <c r="L164" s="192"/>
      <c r="M164" s="192"/>
      <c r="N164" s="192"/>
      <c r="O164" s="192"/>
      <c r="P164" s="192"/>
      <c r="Q164" s="192"/>
      <c r="R164" s="192"/>
      <c r="S164" s="192"/>
      <c r="T164" s="192"/>
      <c r="U164" s="192"/>
      <c r="V164" s="192"/>
      <c r="W164" s="192"/>
      <c r="X164" s="192"/>
    </row>
    <row r="165" spans="1:24">
      <c r="A165" s="192"/>
      <c r="B165" s="192"/>
      <c r="C165" s="192"/>
      <c r="D165" s="192"/>
      <c r="E165" s="192"/>
      <c r="F165" s="192"/>
      <c r="G165" s="192"/>
      <c r="H165" s="192"/>
      <c r="I165" s="192"/>
      <c r="J165" s="192"/>
      <c r="K165" s="192"/>
      <c r="L165" s="192"/>
      <c r="M165" s="192"/>
      <c r="N165" s="192"/>
      <c r="O165" s="192"/>
      <c r="P165" s="192"/>
      <c r="Q165" s="192"/>
      <c r="R165" s="192"/>
      <c r="S165" s="192"/>
      <c r="T165" s="192"/>
      <c r="U165" s="192"/>
      <c r="V165" s="192"/>
      <c r="W165" s="192"/>
      <c r="X165" s="192"/>
    </row>
    <row r="166" spans="1:24">
      <c r="A166" s="192"/>
      <c r="B166" s="192"/>
      <c r="C166" s="192"/>
      <c r="D166" s="192"/>
      <c r="E166" s="192"/>
      <c r="F166" s="192"/>
      <c r="G166" s="192"/>
      <c r="H166" s="192"/>
      <c r="I166" s="192"/>
      <c r="J166" s="192"/>
      <c r="K166" s="192"/>
      <c r="L166" s="192"/>
      <c r="M166" s="192"/>
      <c r="N166" s="192"/>
      <c r="O166" s="192"/>
      <c r="P166" s="192"/>
      <c r="Q166" s="192"/>
      <c r="R166" s="192"/>
      <c r="S166" s="192"/>
      <c r="T166" s="192"/>
      <c r="U166" s="192"/>
      <c r="V166" s="192"/>
      <c r="W166" s="192"/>
      <c r="X166" s="192"/>
    </row>
    <row r="167" spans="1:24">
      <c r="A167" s="192"/>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row>
    <row r="168" spans="1:24">
      <c r="A168" s="192"/>
      <c r="B168" s="192"/>
      <c r="C168" s="192"/>
      <c r="D168" s="192"/>
      <c r="E168" s="192"/>
      <c r="F168" s="192"/>
      <c r="G168" s="192"/>
      <c r="H168" s="192"/>
      <c r="I168" s="192"/>
      <c r="J168" s="192"/>
      <c r="K168" s="192"/>
      <c r="L168" s="192"/>
      <c r="M168" s="192"/>
      <c r="N168" s="192"/>
      <c r="O168" s="192"/>
      <c r="P168" s="192"/>
      <c r="Q168" s="192"/>
      <c r="R168" s="192"/>
      <c r="S168" s="192"/>
      <c r="T168" s="192"/>
      <c r="U168" s="192"/>
      <c r="V168" s="192"/>
      <c r="W168" s="192"/>
      <c r="X168" s="192"/>
    </row>
    <row r="169" spans="1:24">
      <c r="A169" s="192"/>
      <c r="B169" s="192"/>
      <c r="C169" s="192"/>
      <c r="D169" s="192"/>
      <c r="E169" s="192"/>
      <c r="F169" s="192"/>
      <c r="G169" s="192"/>
      <c r="H169" s="192"/>
      <c r="I169" s="192"/>
      <c r="J169" s="192"/>
      <c r="K169" s="192"/>
      <c r="L169" s="192"/>
      <c r="M169" s="192"/>
      <c r="N169" s="192"/>
      <c r="O169" s="192"/>
      <c r="P169" s="192"/>
      <c r="Q169" s="192"/>
      <c r="R169" s="192"/>
      <c r="S169" s="192"/>
      <c r="T169" s="192"/>
      <c r="U169" s="192"/>
      <c r="V169" s="192"/>
      <c r="W169" s="192"/>
      <c r="X169" s="192"/>
    </row>
    <row r="170" spans="1:24">
      <c r="A170" s="192"/>
      <c r="B170" s="192"/>
      <c r="C170" s="192"/>
      <c r="D170" s="192"/>
      <c r="E170" s="192"/>
      <c r="F170" s="192"/>
      <c r="G170" s="192"/>
      <c r="H170" s="192"/>
      <c r="I170" s="192"/>
      <c r="J170" s="192"/>
      <c r="K170" s="192"/>
      <c r="L170" s="192"/>
      <c r="M170" s="192"/>
      <c r="N170" s="192"/>
      <c r="O170" s="192"/>
      <c r="P170" s="192"/>
      <c r="Q170" s="192"/>
      <c r="R170" s="192"/>
      <c r="S170" s="192"/>
      <c r="T170" s="192"/>
      <c r="U170" s="192"/>
      <c r="V170" s="192"/>
      <c r="W170" s="192"/>
      <c r="X170" s="192"/>
    </row>
    <row r="171" spans="1:24">
      <c r="A171" s="192"/>
      <c r="B171" s="192"/>
      <c r="C171" s="192"/>
      <c r="D171" s="192"/>
      <c r="E171" s="192"/>
      <c r="F171" s="192"/>
      <c r="G171" s="192"/>
      <c r="H171" s="192"/>
      <c r="I171" s="192"/>
      <c r="J171" s="192"/>
      <c r="K171" s="192"/>
      <c r="L171" s="192"/>
      <c r="M171" s="192"/>
      <c r="N171" s="192"/>
      <c r="O171" s="192"/>
      <c r="P171" s="192"/>
      <c r="Q171" s="192"/>
      <c r="R171" s="192"/>
      <c r="S171" s="192"/>
      <c r="T171" s="192"/>
      <c r="U171" s="192"/>
      <c r="V171" s="192"/>
      <c r="W171" s="192"/>
      <c r="X171" s="192"/>
    </row>
    <row r="172" spans="1:24">
      <c r="A172" s="192"/>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row>
    <row r="173" spans="1:24">
      <c r="A173" s="192"/>
      <c r="B173" s="192"/>
      <c r="C173" s="192"/>
      <c r="D173" s="192"/>
      <c r="E173" s="192"/>
      <c r="F173" s="192"/>
      <c r="G173" s="192"/>
      <c r="H173" s="192"/>
      <c r="I173" s="192"/>
      <c r="J173" s="192"/>
      <c r="K173" s="192"/>
      <c r="L173" s="192"/>
      <c r="M173" s="192"/>
      <c r="N173" s="192"/>
      <c r="O173" s="192"/>
      <c r="P173" s="192"/>
      <c r="Q173" s="192"/>
      <c r="R173" s="192"/>
      <c r="S173" s="192"/>
      <c r="T173" s="192"/>
      <c r="U173" s="192"/>
      <c r="V173" s="192"/>
      <c r="W173" s="192"/>
      <c r="X173" s="192"/>
    </row>
    <row r="174" spans="1:24">
      <c r="A174" s="192"/>
      <c r="B174" s="192"/>
      <c r="C174" s="192"/>
      <c r="D174" s="192"/>
      <c r="E174" s="192"/>
      <c r="F174" s="192"/>
      <c r="G174" s="192"/>
      <c r="H174" s="192"/>
      <c r="I174" s="192"/>
      <c r="J174" s="192"/>
      <c r="K174" s="192"/>
      <c r="L174" s="192"/>
      <c r="M174" s="192"/>
      <c r="N174" s="192"/>
      <c r="O174" s="192"/>
      <c r="P174" s="192"/>
      <c r="Q174" s="192"/>
      <c r="R174" s="192"/>
      <c r="S174" s="192"/>
      <c r="T174" s="192"/>
      <c r="U174" s="192"/>
      <c r="V174" s="192"/>
      <c r="W174" s="192"/>
      <c r="X174" s="192"/>
    </row>
    <row r="175" spans="1:24">
      <c r="A175" s="192"/>
      <c r="B175" s="192"/>
      <c r="C175" s="192"/>
      <c r="D175" s="192"/>
      <c r="E175" s="192"/>
      <c r="F175" s="192"/>
      <c r="G175" s="192"/>
      <c r="H175" s="192"/>
      <c r="I175" s="192"/>
      <c r="J175" s="192"/>
      <c r="K175" s="192"/>
      <c r="L175" s="192"/>
      <c r="M175" s="192"/>
      <c r="N175" s="192"/>
      <c r="O175" s="192"/>
      <c r="P175" s="192"/>
      <c r="Q175" s="192"/>
      <c r="R175" s="192"/>
      <c r="S175" s="192"/>
      <c r="T175" s="192"/>
      <c r="U175" s="192"/>
      <c r="V175" s="192"/>
      <c r="W175" s="192"/>
      <c r="X175" s="192"/>
    </row>
    <row r="176" spans="1:24">
      <c r="A176" s="192"/>
      <c r="B176" s="192"/>
      <c r="C176" s="192"/>
      <c r="D176" s="192"/>
      <c r="E176" s="192"/>
      <c r="F176" s="192"/>
      <c r="G176" s="192"/>
      <c r="H176" s="192"/>
      <c r="I176" s="192"/>
      <c r="J176" s="192"/>
      <c r="K176" s="192"/>
      <c r="L176" s="192"/>
      <c r="M176" s="192"/>
      <c r="N176" s="192"/>
      <c r="O176" s="192"/>
      <c r="P176" s="192"/>
      <c r="Q176" s="192"/>
      <c r="R176" s="192"/>
      <c r="S176" s="192"/>
      <c r="T176" s="192"/>
      <c r="U176" s="192"/>
      <c r="V176" s="192"/>
      <c r="W176" s="192"/>
      <c r="X176" s="192"/>
    </row>
    <row r="177" spans="1:24">
      <c r="A177" s="192"/>
      <c r="B177" s="192"/>
      <c r="C177" s="192"/>
      <c r="D177" s="192"/>
      <c r="E177" s="192"/>
      <c r="F177" s="192"/>
      <c r="G177" s="192"/>
      <c r="H177" s="192"/>
      <c r="I177" s="192"/>
      <c r="J177" s="192"/>
      <c r="K177" s="192"/>
      <c r="L177" s="192"/>
      <c r="M177" s="192"/>
      <c r="N177" s="192"/>
      <c r="O177" s="192"/>
      <c r="P177" s="192"/>
      <c r="Q177" s="192"/>
      <c r="R177" s="192"/>
      <c r="S177" s="192"/>
      <c r="T177" s="192"/>
      <c r="U177" s="192"/>
      <c r="V177" s="192"/>
      <c r="W177" s="192"/>
      <c r="X177" s="192"/>
    </row>
    <row r="178" spans="1:24">
      <c r="A178" s="192"/>
      <c r="B178" s="192"/>
      <c r="C178" s="192"/>
      <c r="D178" s="192"/>
      <c r="E178" s="192"/>
      <c r="F178" s="192"/>
      <c r="G178" s="192"/>
      <c r="H178" s="192"/>
      <c r="I178" s="192"/>
      <c r="J178" s="192"/>
      <c r="K178" s="192"/>
      <c r="L178" s="192"/>
      <c r="M178" s="192"/>
      <c r="N178" s="192"/>
      <c r="O178" s="192"/>
      <c r="P178" s="192"/>
      <c r="Q178" s="192"/>
      <c r="R178" s="192"/>
      <c r="S178" s="192"/>
      <c r="T178" s="192"/>
      <c r="U178" s="192"/>
      <c r="V178" s="192"/>
      <c r="W178" s="192"/>
      <c r="X178" s="192"/>
    </row>
    <row r="179" spans="1:24">
      <c r="A179" s="192"/>
      <c r="B179" s="192"/>
      <c r="C179" s="192"/>
      <c r="D179" s="192"/>
      <c r="E179" s="192"/>
      <c r="F179" s="192"/>
      <c r="G179" s="192"/>
      <c r="H179" s="192"/>
      <c r="I179" s="192"/>
      <c r="J179" s="192"/>
      <c r="K179" s="192"/>
      <c r="L179" s="192"/>
      <c r="M179" s="192"/>
      <c r="N179" s="192"/>
      <c r="O179" s="192"/>
      <c r="P179" s="192"/>
      <c r="Q179" s="192"/>
      <c r="R179" s="192"/>
      <c r="S179" s="192"/>
      <c r="T179" s="192"/>
      <c r="U179" s="192"/>
      <c r="V179" s="192"/>
      <c r="W179" s="192"/>
      <c r="X179" s="192"/>
    </row>
    <row r="180" spans="1:24">
      <c r="A180" s="192"/>
      <c r="B180" s="192"/>
      <c r="C180" s="192"/>
      <c r="D180" s="192"/>
      <c r="E180" s="192"/>
      <c r="F180" s="192"/>
      <c r="G180" s="192"/>
      <c r="H180" s="192"/>
      <c r="I180" s="192"/>
      <c r="J180" s="192"/>
      <c r="K180" s="192"/>
      <c r="L180" s="192"/>
      <c r="M180" s="192"/>
      <c r="N180" s="192"/>
      <c r="O180" s="192"/>
      <c r="P180" s="192"/>
      <c r="Q180" s="192"/>
      <c r="R180" s="192"/>
      <c r="S180" s="192"/>
      <c r="T180" s="192"/>
      <c r="U180" s="192"/>
      <c r="V180" s="192"/>
      <c r="W180" s="192"/>
      <c r="X180" s="192"/>
    </row>
    <row r="181" spans="1:24">
      <c r="A181" s="192"/>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row>
    <row r="182" spans="1:24">
      <c r="A182" s="192"/>
      <c r="B182" s="192"/>
      <c r="C182" s="192"/>
      <c r="D182" s="192"/>
      <c r="E182" s="192"/>
      <c r="F182" s="192"/>
      <c r="G182" s="192"/>
      <c r="H182" s="192"/>
      <c r="I182" s="192"/>
      <c r="J182" s="192"/>
      <c r="K182" s="192"/>
      <c r="L182" s="192"/>
      <c r="M182" s="192"/>
      <c r="N182" s="192"/>
      <c r="O182" s="192"/>
      <c r="P182" s="192"/>
      <c r="Q182" s="192"/>
      <c r="R182" s="192"/>
      <c r="S182" s="192"/>
      <c r="T182" s="192"/>
      <c r="U182" s="192"/>
      <c r="V182" s="192"/>
      <c r="W182" s="192"/>
      <c r="X182" s="192"/>
    </row>
    <row r="183" spans="1:24">
      <c r="A183" s="192"/>
      <c r="B183" s="192"/>
      <c r="C183" s="192"/>
      <c r="D183" s="192"/>
      <c r="E183" s="192"/>
      <c r="F183" s="192"/>
      <c r="G183" s="192"/>
      <c r="H183" s="192"/>
      <c r="I183" s="192"/>
      <c r="J183" s="192"/>
      <c r="K183" s="192"/>
      <c r="L183" s="192"/>
      <c r="M183" s="192"/>
      <c r="N183" s="192"/>
      <c r="O183" s="192"/>
      <c r="P183" s="192"/>
      <c r="Q183" s="192"/>
      <c r="R183" s="192"/>
      <c r="S183" s="192"/>
      <c r="T183" s="192"/>
      <c r="U183" s="192"/>
      <c r="V183" s="192"/>
      <c r="W183" s="192"/>
      <c r="X183" s="192"/>
    </row>
  </sheetData>
  <mergeCells count="9">
    <mergeCell ref="A157:X157"/>
    <mergeCell ref="A158:W158"/>
    <mergeCell ref="A159:X159"/>
    <mergeCell ref="A160:X160"/>
    <mergeCell ref="A152:X152"/>
    <mergeCell ref="A153:X153"/>
    <mergeCell ref="A154:X154"/>
    <mergeCell ref="A155:X155"/>
    <mergeCell ref="A156:X156"/>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Supplementary Data for Chacay M</vt:lpstr>
      <vt:lpstr>Chemostrat d13C</vt:lpstr>
      <vt:lpstr>Geochronology</vt:lpstr>
      <vt:lpstr>Chron.jl</vt:lpstr>
      <vt:lpstr>Karoo Ferrar Data</vt:lpstr>
      <vt:lpstr>RockEval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2021-10-18T07:48:17Z</dcterms:created>
  <dcterms:modified xsi:type="dcterms:W3CDTF">2022-03-07T17:40:13Z</dcterms:modified>
</cp:coreProperties>
</file>