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<sst xmlns="http://schemas.openxmlformats.org/spreadsheetml/2006/main" count="59" uniqueCount="48">
  <si>
    <t>Material</t>
  </si>
  <si>
    <t>Skin 17 MPa</t>
  </si>
  <si>
    <t>Skin 26 MPa</t>
  </si>
  <si>
    <t>Leather 40 MPa</t>
  </si>
  <si>
    <t>Tendon 45 MPa</t>
  </si>
  <si>
    <t>Ligament 50 MPa</t>
  </si>
  <si>
    <t>Ligament 60 MPa</t>
  </si>
  <si>
    <t>Ligament 80 MPa</t>
  </si>
  <si>
    <t>Ligament 150 MPa</t>
  </si>
  <si>
    <t>Keratin 240 MPa</t>
  </si>
  <si>
    <t>(Pa)</t>
  </si>
  <si>
    <t>Last element of the tail</t>
  </si>
  <si>
    <t>Length (m)</t>
  </si>
  <si>
    <t>Radius (m)</t>
  </si>
  <si>
    <t>Mass (kg)</t>
  </si>
  <si>
    <t xml:space="preserve">Density (kg/m^3) </t>
  </si>
  <si>
    <t>First Popper Morphology (Myhrvold and Currie, 1997)</t>
  </si>
  <si>
    <t>This morphology would not be supported since it would fail before reaching the speed of sound</t>
  </si>
  <si>
    <t>total mass (kg)</t>
  </si>
  <si>
    <t>radius of each segment (m) density = 994,95 kg/m^3</t>
  </si>
  <si>
    <t>radius of each segment (m) density = 1283 kg/m^3 (keratin)</t>
  </si>
  <si>
    <t>radius of each segment (m) density = 1355 kg/m^3 (keratin)</t>
  </si>
  <si>
    <t>Maximum velocity bearable by a meat popper (m/s)</t>
  </si>
  <si>
    <t>Maximum velocity bearable by a low density kearatinous popper (m/s)</t>
  </si>
  <si>
    <t>Maximum velocity bearable by a high density keratinous popper (m/s)</t>
  </si>
  <si>
    <t>Speed of sound (m/s)</t>
  </si>
  <si>
    <t>First segment</t>
  </si>
  <si>
    <t>Second segment</t>
  </si>
  <si>
    <t>Third segment</t>
  </si>
  <si>
    <t>Second Popper Morphology (Braided Keratin Fibres)</t>
  </si>
  <si>
    <t>This morphology would not be supported since if would require a greater mass and geometry than those hypothesised, thus increasing the mass on and on</t>
  </si>
  <si>
    <t>Braided keratinous popper</t>
  </si>
  <si>
    <t>Length of the keratinous popper (m)</t>
  </si>
  <si>
    <t>Volume hypothesised (m^3)</t>
  </si>
  <si>
    <t>Radius of the given keratinous volume (m)</t>
  </si>
  <si>
    <t>Keratin density (kg/m^3)</t>
  </si>
  <si>
    <t>Mass (kg) keratin at low density</t>
  </si>
  <si>
    <t>Mass (kg) keratin at high density</t>
  </si>
  <si>
    <t>Required radius of the annulus to bear a velocity of 340 m/s given the mass of the keratin (m)</t>
  </si>
  <si>
    <t>Volume of keratin with the required radius of the annulus (m^3)</t>
  </si>
  <si>
    <t>Third Popper Morphology (Flail-like Popper)</t>
  </si>
  <si>
    <t>This morphology would not be supported since it would increase the stress on the tail</t>
  </si>
  <si>
    <t>Popper Flail</t>
  </si>
  <si>
    <t>length (m)</t>
  </si>
  <si>
    <t>mass (kg)</t>
  </si>
  <si>
    <t>Minimal radius (m) skin 17 MPa</t>
  </si>
  <si>
    <t>radius skin 26 MPa</t>
  </si>
  <si>
    <t>Ligament 80MPa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</si>
</sst>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"/>
    <numFmt numFmtId="165" formatCode="0.00000"/>
    <numFmt numFmtId="166" formatCode="0.000"/>
  </numFmts>
  <fonts count="5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4" numFmtId="0" xfId="0" applyBorder="1" applyFont="1"/>
    <xf borderId="0" fillId="2" fontId="1" numFmtId="164" xfId="0" applyAlignment="1" applyFill="1" applyFont="1" applyNumberFormat="1">
      <alignment horizontal="center" shrinkToFit="0" vertical="center" wrapText="1"/>
    </xf>
    <xf borderId="0" fillId="0" fontId="3" numFmtId="165" xfId="0" applyAlignment="1" applyFont="1" applyNumberFormat="1">
      <alignment horizontal="center" shrinkToFit="0" vertical="center" wrapText="1"/>
    </xf>
    <xf borderId="0" fillId="2" fontId="1" numFmtId="166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3" max="3" width="12.63"/>
    <col customWidth="1" min="5" max="5" width="13.75"/>
    <col customWidth="1" min="10" max="10" width="14.88"/>
    <col customWidth="1" min="11" max="11" width="1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 t="s">
        <v>10</v>
      </c>
      <c r="B2" s="1">
        <f>17*10^6</f>
        <v>17000000</v>
      </c>
      <c r="C2" s="1">
        <f>26*10^6</f>
        <v>26000000</v>
      </c>
      <c r="D2" s="1">
        <f>40*10^6</f>
        <v>40000000</v>
      </c>
      <c r="E2" s="1">
        <v>4.5E7</v>
      </c>
      <c r="F2" s="1">
        <f>50*10^6</f>
        <v>50000000</v>
      </c>
      <c r="G2" s="1">
        <f>60*10^6</f>
        <v>60000000</v>
      </c>
      <c r="H2" s="1">
        <f>80*10^6</f>
        <v>80000000</v>
      </c>
      <c r="I2" s="1">
        <f>150*10^6</f>
        <v>150000000</v>
      </c>
      <c r="J2" s="1">
        <f>240*10^6</f>
        <v>240000000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2">
        <v>0.06</v>
      </c>
      <c r="C5" s="2">
        <v>0.017</v>
      </c>
      <c r="D5" s="2">
        <v>0.0542</v>
      </c>
      <c r="E5" s="1">
        <f>D5/(C5*C5*PI()*B5)</f>
        <v>994.9478565</v>
      </c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2" t="s">
        <v>16</v>
      </c>
      <c r="E7" s="2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4"/>
      <c r="B8" s="5" t="s">
        <v>12</v>
      </c>
      <c r="C8" s="5" t="s">
        <v>14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2" t="s">
        <v>26</v>
      </c>
      <c r="B9" s="1">
        <v>0.33</v>
      </c>
      <c r="C9" s="1">
        <v>0.022</v>
      </c>
      <c r="D9" s="1">
        <f>C9+C10+C11</f>
        <v>0.046</v>
      </c>
      <c r="E9" s="6">
        <f>SQRT(C9/(E5*0.33*PI()))</f>
        <v>0.004618269512</v>
      </c>
      <c r="F9" s="6">
        <f t="shared" ref="F9:F11" si="1">SQRT(C9/(1283*0.33*PI()))</f>
        <v>0.004066924461</v>
      </c>
      <c r="G9" s="6">
        <f t="shared" ref="G9:G11" si="2">SQRT(C9/(1355*0.33*PI()))</f>
        <v>0.003957398515</v>
      </c>
      <c r="H9" s="7">
        <f t="shared" ref="H9:H11" si="3">SQRT(($C$2*PI()*E9^2*(B9/2)/C9))</f>
        <v>114.3066549</v>
      </c>
      <c r="I9" s="7">
        <f t="shared" ref="I9:I11" si="4">SQRT(($J$2*PI()*F9^2*(B9/2)/C9))</f>
        <v>305.8280354</v>
      </c>
      <c r="J9" s="7">
        <f t="shared" ref="J9:J11" si="5">SQRT(($J$2*PI()*G9^2*(B9/2)/C9))</f>
        <v>297.5918104</v>
      </c>
      <c r="K9" s="8">
        <v>340.0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A10" s="2" t="s">
        <v>27</v>
      </c>
      <c r="B10" s="1">
        <v>0.33</v>
      </c>
      <c r="C10" s="1">
        <v>0.015</v>
      </c>
      <c r="D10" s="1"/>
      <c r="E10" s="6">
        <f>SQRT(C10/(E5*0.33*PI()))</f>
        <v>0.003813410543</v>
      </c>
      <c r="F10" s="6">
        <f t="shared" si="1"/>
        <v>0.003358152351</v>
      </c>
      <c r="G10" s="6">
        <f t="shared" si="2"/>
        <v>0.003267714277</v>
      </c>
      <c r="H10" s="1">
        <f t="shared" si="3"/>
        <v>114.3066549</v>
      </c>
      <c r="I10" s="1">
        <f t="shared" si="4"/>
        <v>305.8280354</v>
      </c>
      <c r="J10" s="1">
        <f t="shared" si="5"/>
        <v>297.5918104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A11" s="2" t="s">
        <v>28</v>
      </c>
      <c r="B11" s="1">
        <v>0.33</v>
      </c>
      <c r="C11" s="1">
        <v>0.009</v>
      </c>
      <c r="D11" s="1"/>
      <c r="E11" s="6">
        <f>SQRT(C11/(E5*0.33*PI()))</f>
        <v>0.002953855105</v>
      </c>
      <c r="F11" s="6">
        <f t="shared" si="1"/>
        <v>0.002601213626</v>
      </c>
      <c r="G11" s="6">
        <f t="shared" si="2"/>
        <v>0.002531160595</v>
      </c>
      <c r="H11" s="1">
        <f t="shared" si="3"/>
        <v>114.3066549</v>
      </c>
      <c r="I11" s="1">
        <f t="shared" si="4"/>
        <v>305.8280354</v>
      </c>
      <c r="J11" s="1">
        <f t="shared" si="5"/>
        <v>297.5918104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9" t="s">
        <v>29</v>
      </c>
      <c r="B13" s="10"/>
      <c r="C13" s="10"/>
      <c r="D13" s="10"/>
      <c r="E13" s="2" t="s">
        <v>30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35</v>
      </c>
      <c r="G14" s="5" t="s">
        <v>36</v>
      </c>
      <c r="H14" s="5" t="s">
        <v>37</v>
      </c>
      <c r="I14" s="5" t="s">
        <v>38</v>
      </c>
      <c r="J14" s="5" t="s">
        <v>38</v>
      </c>
      <c r="K14" s="5" t="s">
        <v>39</v>
      </c>
      <c r="L14" s="5" t="s">
        <v>39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1"/>
      <c r="B15" s="1">
        <v>0.33</v>
      </c>
      <c r="C15" s="7">
        <v>4.0E-5</v>
      </c>
      <c r="D15" s="6">
        <f t="shared" ref="D15:D16" si="7">SQRT((C15/B15)+(0.017)^2*PI()/PI())-0.017</f>
        <v>0.003253694014</v>
      </c>
      <c r="E15" s="1">
        <v>1283.0</v>
      </c>
      <c r="F15" s="1">
        <v>1355.0</v>
      </c>
      <c r="G15" s="1">
        <f t="shared" ref="G15:G16" si="8">C15*E15</f>
        <v>0.05132</v>
      </c>
      <c r="H15" s="1">
        <f t="shared" ref="H15:H16" si="9">C15*F15</f>
        <v>0.0542</v>
      </c>
      <c r="I15" s="11">
        <f>SQRT(((G15)/(PI()*J2))*((340)^2/(0.04))+((0.017)*(0.017)))-0.017</f>
        <v>0.005038797902</v>
      </c>
      <c r="J15" s="11">
        <f>SQRT(((H15)/(PI()*J2))*((340)^2/(0.04))+((0.017)*(0.017)))-0.017</f>
        <v>0.005287835243</v>
      </c>
      <c r="K15" s="12">
        <f t="shared" ref="K15:L15" si="6">(PI()*(I15+0.017)^2-PI()*(0.017)^2)*0.33</f>
        <v>0.00020393285</v>
      </c>
      <c r="L15" s="12">
        <f t="shared" si="6"/>
        <v>0.00021537725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1"/>
      <c r="B16" s="1">
        <v>0.33</v>
      </c>
      <c r="C16" s="8">
        <v>2.0E-5</v>
      </c>
      <c r="D16" s="6">
        <f t="shared" si="7"/>
        <v>0.001697755496</v>
      </c>
      <c r="E16" s="1">
        <v>1283.0</v>
      </c>
      <c r="F16" s="1">
        <v>1355.0</v>
      </c>
      <c r="G16" s="1">
        <f t="shared" si="8"/>
        <v>0.02566</v>
      </c>
      <c r="H16" s="1">
        <f t="shared" si="9"/>
        <v>0.0271</v>
      </c>
      <c r="I16" s="11">
        <f>SQRT(((G16)/(PI()*J2))*((340)^2/(0.04))+((0.017)*(0.017)))-0.017</f>
        <v>0.002681318718</v>
      </c>
      <c r="J16" s="11">
        <f>SQRT(((H16)/(PI()*J2))*((340)^2/(0.04))+((0.017)*(0.017)))-0.017</f>
        <v>0.00282104437</v>
      </c>
      <c r="K16" s="12">
        <f t="shared" ref="K16:L16" si="10">(PI()*(I16+0.017)^2-PI()*(0.017)^2)*0.33</f>
        <v>0.000101966425</v>
      </c>
      <c r="L16" s="12">
        <f t="shared" si="10"/>
        <v>0.000107688625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2" t="s">
        <v>40</v>
      </c>
      <c r="E18" s="2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4" t="s">
        <v>42</v>
      </c>
      <c r="B19" s="5" t="s">
        <v>43</v>
      </c>
      <c r="C19" s="4" t="s">
        <v>44</v>
      </c>
      <c r="D19" s="5" t="s">
        <v>45</v>
      </c>
      <c r="E19" s="4" t="s">
        <v>46</v>
      </c>
      <c r="F19" s="4" t="s">
        <v>3</v>
      </c>
      <c r="G19" s="4" t="s">
        <v>4</v>
      </c>
      <c r="H19" s="4" t="s">
        <v>5</v>
      </c>
      <c r="I19" s="4" t="s">
        <v>6</v>
      </c>
      <c r="J19" s="4" t="s">
        <v>47</v>
      </c>
      <c r="K19" s="4" t="s">
        <v>8</v>
      </c>
      <c r="L19" s="4" t="s">
        <v>9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1"/>
      <c r="B20" s="1">
        <v>0.33</v>
      </c>
      <c r="C20" s="1">
        <v>0.1</v>
      </c>
      <c r="D20" s="13">
        <f t="shared" ref="D20:L20" si="11">SQRT((($C$20)/(PI()*B2))*((340)^2/($B$20/2)))</f>
        <v>0.03621909112</v>
      </c>
      <c r="E20" s="13">
        <f t="shared" si="11"/>
        <v>0.02928703017</v>
      </c>
      <c r="F20" s="13">
        <f t="shared" si="11"/>
        <v>0.02361195859</v>
      </c>
      <c r="G20" s="13">
        <f t="shared" si="11"/>
        <v>0.02226156805</v>
      </c>
      <c r="H20" s="13">
        <f t="shared" si="11"/>
        <v>0.0211191778</v>
      </c>
      <c r="I20" s="13">
        <f t="shared" si="11"/>
        <v>0.01927908346</v>
      </c>
      <c r="J20" s="13">
        <f t="shared" si="11"/>
        <v>0.01669617604</v>
      </c>
      <c r="K20" s="13">
        <f t="shared" si="11"/>
        <v>0.01219316299</v>
      </c>
      <c r="L20" s="13">
        <f t="shared" si="11"/>
        <v>0.009639541729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A21" s="1"/>
      <c r="B21" s="1">
        <v>0.1</v>
      </c>
      <c r="C21" s="1">
        <v>0.1</v>
      </c>
      <c r="D21" s="13">
        <f t="shared" ref="D21:L21" si="12">SQRT((($C$21)/(PI()*B2))*((340)^2/($B$21/2)))</f>
        <v>0.06579524642</v>
      </c>
      <c r="E21" s="13">
        <f t="shared" si="12"/>
        <v>0.05320253236</v>
      </c>
      <c r="F21" s="13">
        <f t="shared" si="12"/>
        <v>0.04289325287</v>
      </c>
      <c r="G21" s="13">
        <f t="shared" si="12"/>
        <v>0.04044014663</v>
      </c>
      <c r="H21" s="13">
        <f t="shared" si="12"/>
        <v>0.03836489168</v>
      </c>
      <c r="I21" s="13">
        <f t="shared" si="12"/>
        <v>0.03502219432</v>
      </c>
      <c r="J21" s="13">
        <f t="shared" si="12"/>
        <v>0.03033010997</v>
      </c>
      <c r="K21" s="13">
        <f t="shared" si="12"/>
        <v>0.02214998054</v>
      </c>
      <c r="L21" s="13">
        <f t="shared" si="12"/>
        <v>0.01751109716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>
      <c r="A22" s="1"/>
      <c r="B22" s="1">
        <v>0.33</v>
      </c>
      <c r="C22" s="1">
        <v>0.2</v>
      </c>
      <c r="D22" s="13">
        <f t="shared" ref="D22:L22" si="13">SQRT((($C$22)/(PI()*B2))*((340)^2/($B$22/2)))</f>
        <v>0.05122152987</v>
      </c>
      <c r="E22" s="13">
        <f t="shared" si="13"/>
        <v>0.04141811527</v>
      </c>
      <c r="F22" s="13">
        <f t="shared" si="13"/>
        <v>0.03339235207</v>
      </c>
      <c r="G22" s="13">
        <f t="shared" si="13"/>
        <v>0.03148261146</v>
      </c>
      <c r="H22" s="13">
        <f t="shared" si="13"/>
        <v>0.02986702767</v>
      </c>
      <c r="I22" s="13">
        <f t="shared" si="13"/>
        <v>0.0272647413</v>
      </c>
      <c r="J22" s="13">
        <f t="shared" si="13"/>
        <v>0.02361195859</v>
      </c>
      <c r="K22" s="13">
        <f t="shared" si="13"/>
        <v>0.01724373646</v>
      </c>
      <c r="L22" s="13">
        <f t="shared" si="13"/>
        <v>0.01363237065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>
      <c r="A23" s="1"/>
      <c r="B23" s="1">
        <v>0.1</v>
      </c>
      <c r="C23" s="1">
        <v>0.2</v>
      </c>
      <c r="D23" s="13">
        <f t="shared" ref="D23:L23" si="14">SQRT((($C$23)/(PI()*B2))*((340)^2/($B$23/2)))</f>
        <v>0.09304852983</v>
      </c>
      <c r="E23" s="13">
        <f t="shared" si="14"/>
        <v>0.07523974282</v>
      </c>
      <c r="F23" s="13">
        <f t="shared" si="14"/>
        <v>0.06066021995</v>
      </c>
      <c r="G23" s="13">
        <f t="shared" si="14"/>
        <v>0.05719100383</v>
      </c>
      <c r="H23" s="13">
        <f t="shared" si="14"/>
        <v>0.05425615013</v>
      </c>
      <c r="I23" s="13">
        <f t="shared" si="14"/>
        <v>0.04952886219</v>
      </c>
      <c r="J23" s="13">
        <f t="shared" si="14"/>
        <v>0.04289325287</v>
      </c>
      <c r="K23" s="13">
        <f t="shared" si="14"/>
        <v>0.03132480289</v>
      </c>
      <c r="L23" s="13">
        <f t="shared" si="14"/>
        <v>0.02476443109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>
      <c r="A24" s="1"/>
      <c r="B24" s="1">
        <v>0.33</v>
      </c>
      <c r="C24" s="1">
        <v>0.5</v>
      </c>
      <c r="D24" s="13">
        <f t="shared" ref="D24:L24" si="15">SQRT((($C$24)/(PI()*B2))*((340)^2/($B$24/2)))</f>
        <v>0.08098834982</v>
      </c>
      <c r="E24" s="13">
        <f t="shared" si="15"/>
        <v>0.06548779032</v>
      </c>
      <c r="F24" s="13">
        <f t="shared" si="15"/>
        <v>0.05279794449</v>
      </c>
      <c r="G24" s="13">
        <f t="shared" si="15"/>
        <v>0.04977837944</v>
      </c>
      <c r="H24" s="13">
        <f t="shared" si="15"/>
        <v>0.04722391718</v>
      </c>
      <c r="I24" s="13">
        <f t="shared" si="15"/>
        <v>0.04310934116</v>
      </c>
      <c r="J24" s="13">
        <f t="shared" si="15"/>
        <v>0.03733378458</v>
      </c>
      <c r="K24" s="13">
        <f t="shared" si="15"/>
        <v>0.0272647413</v>
      </c>
      <c r="L24" s="13">
        <f t="shared" si="15"/>
        <v>0.02155467058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>
      <c r="A25" s="1"/>
      <c r="B25" s="1">
        <v>0.1</v>
      </c>
      <c r="C25" s="1">
        <v>0.5</v>
      </c>
      <c r="D25" s="13">
        <f t="shared" ref="D25:L25" si="16">SQRT((($C$25)/(PI()*B2))*((340)^2/($B$25/2)))</f>
        <v>0.1471226436</v>
      </c>
      <c r="E25" s="13">
        <f t="shared" si="16"/>
        <v>0.1189644789</v>
      </c>
      <c r="F25" s="13">
        <f t="shared" si="16"/>
        <v>0.0959122292</v>
      </c>
      <c r="G25" s="13">
        <f t="shared" si="16"/>
        <v>0.09042691689</v>
      </c>
      <c r="H25" s="13">
        <f t="shared" si="16"/>
        <v>0.08578650575</v>
      </c>
      <c r="I25" s="13">
        <f t="shared" si="16"/>
        <v>0.07831200721</v>
      </c>
      <c r="J25" s="13">
        <f t="shared" si="16"/>
        <v>0.06782018767</v>
      </c>
      <c r="K25" s="13">
        <f t="shared" si="16"/>
        <v>0.04952886219</v>
      </c>
      <c r="L25" s="13">
        <f t="shared" si="16"/>
        <v>0.03915600361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6">
    <mergeCell ref="A7:D7"/>
    <mergeCell ref="A13:D13"/>
    <mergeCell ref="A18:D18"/>
    <mergeCell ref="E18:I18"/>
    <mergeCell ref="E7:J7"/>
    <mergeCell ref="E13:J13"/>
  </mergeCells>
  <drawing r:id="rId1"/>
</worksheet>
</file>