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9CEB4796-3C5F-0241-85DD-149AAD73AA93}" xr6:coauthVersionLast="47" xr6:coauthVersionMax="47" xr10:uidLastSave="{00000000-0000-0000-0000-000000000000}"/>
  <bookViews>
    <workbookView xWindow="42800" yWindow="660" windowWidth="33140" windowHeight="26840" xr2:uid="{00000000-000D-0000-FFFF-FFFF00000000}"/>
  </bookViews>
  <sheets>
    <sheet name="MAIN SHEET" sheetId="1" r:id="rId1"/>
    <sheet name="SI TABLE 4.1" sheetId="5" r:id="rId2"/>
    <sheet name="SI TABLE 4.2" sheetId="6" r:id="rId3"/>
    <sheet name="SI TABLE 4.3" sheetId="7" r:id="rId4"/>
    <sheet name="SI TABLE 4.4" sheetId="8" r:id="rId5"/>
    <sheet name="SI TABLE 4.5" sheetId="9" r:id="rId6"/>
    <sheet name="SI TABLE 4.6" sheetId="10" r:id="rId7"/>
    <sheet name="SI TABLE 4.7" sheetId="11" r:id="rId8"/>
    <sheet name="SI TABLE 4.8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6" i="12" l="1"/>
  <c r="J127" i="12"/>
  <c r="J128" i="12"/>
  <c r="J129" i="12"/>
  <c r="J131" i="12"/>
  <c r="J132" i="12"/>
  <c r="J133" i="12"/>
  <c r="J134" i="12"/>
  <c r="J135" i="12"/>
  <c r="J137" i="12"/>
  <c r="J138" i="12"/>
  <c r="J139" i="12"/>
  <c r="J140" i="12"/>
  <c r="J141" i="12"/>
  <c r="J142" i="12"/>
  <c r="J143" i="12"/>
  <c r="J144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60" i="12"/>
  <c r="J161" i="12"/>
  <c r="J162" i="12"/>
  <c r="J163" i="12"/>
  <c r="J164" i="12"/>
  <c r="J165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87" i="12"/>
  <c r="J89" i="12"/>
  <c r="J90" i="12"/>
  <c r="J92" i="12"/>
  <c r="J93" i="12"/>
  <c r="J94" i="12"/>
  <c r="J95" i="12"/>
  <c r="J98" i="12"/>
  <c r="J99" i="12"/>
  <c r="J100" i="12"/>
  <c r="J101" i="12"/>
  <c r="J102" i="12"/>
  <c r="J103" i="12"/>
  <c r="J105" i="12"/>
  <c r="J106" i="12"/>
  <c r="J107" i="12"/>
  <c r="J108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5" i="12"/>
  <c r="J8" i="12"/>
  <c r="J10" i="12"/>
  <c r="J11" i="12"/>
  <c r="J12" i="12"/>
  <c r="J13" i="12"/>
  <c r="J14" i="12"/>
  <c r="J16" i="12"/>
  <c r="J17" i="12"/>
  <c r="J19" i="12"/>
  <c r="J20" i="12"/>
  <c r="J25" i="12"/>
  <c r="J26" i="12"/>
  <c r="J27" i="12"/>
  <c r="J28" i="12"/>
  <c r="J29" i="12"/>
  <c r="J35" i="12"/>
  <c r="J36" i="12"/>
  <c r="J38" i="12"/>
  <c r="J42" i="12"/>
  <c r="J51" i="12"/>
  <c r="J55" i="12"/>
  <c r="J56" i="12"/>
  <c r="J57" i="12"/>
  <c r="J58" i="12"/>
  <c r="J60" i="12"/>
  <c r="J61" i="12"/>
  <c r="J66" i="12"/>
  <c r="J68" i="12"/>
  <c r="J70" i="12"/>
  <c r="J72" i="12"/>
  <c r="J73" i="12"/>
  <c r="J74" i="12"/>
  <c r="J75" i="12"/>
  <c r="J76" i="12"/>
  <c r="J78" i="12"/>
  <c r="J6" i="12"/>
  <c r="E190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5" i="12"/>
  <c r="E166" i="12"/>
  <c r="E167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6" i="12"/>
  <c r="E137" i="12"/>
  <c r="E138" i="12"/>
  <c r="E139" i="12"/>
  <c r="E140" i="12"/>
  <c r="E141" i="12"/>
  <c r="E142" i="12"/>
  <c r="E143" i="12"/>
  <c r="E144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67" i="12"/>
  <c r="E68" i="12"/>
  <c r="E69" i="12"/>
  <c r="E70" i="12"/>
  <c r="E71" i="12"/>
  <c r="E72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51" i="12"/>
  <c r="E55" i="12"/>
  <c r="E56" i="12"/>
  <c r="E57" i="12"/>
  <c r="E58" i="12"/>
  <c r="E60" i="12"/>
  <c r="E61" i="12"/>
  <c r="E66" i="12"/>
  <c r="E35" i="12"/>
  <c r="E36" i="12"/>
  <c r="E38" i="12"/>
  <c r="E42" i="12"/>
  <c r="E25" i="12"/>
  <c r="E26" i="12"/>
  <c r="E27" i="12"/>
  <c r="E28" i="12"/>
  <c r="E29" i="12"/>
  <c r="E7" i="12"/>
  <c r="E8" i="12"/>
  <c r="E9" i="12"/>
  <c r="E10" i="12"/>
  <c r="E11" i="12"/>
  <c r="E12" i="12"/>
  <c r="E13" i="12"/>
  <c r="E14" i="12"/>
  <c r="E15" i="12"/>
  <c r="E16" i="12"/>
  <c r="E17" i="12"/>
  <c r="E19" i="12"/>
  <c r="E20" i="12"/>
  <c r="E6" i="12"/>
  <c r="E6" i="11"/>
  <c r="L6" i="11"/>
  <c r="K103" i="11"/>
  <c r="K104" i="11"/>
  <c r="K105" i="11"/>
  <c r="K106" i="11"/>
  <c r="K107" i="11"/>
  <c r="K108" i="11"/>
  <c r="K109" i="11"/>
  <c r="K110" i="11"/>
  <c r="K111" i="11"/>
  <c r="K93" i="11"/>
  <c r="K94" i="11"/>
  <c r="K99" i="11"/>
  <c r="K85" i="11"/>
  <c r="K86" i="11"/>
  <c r="K87" i="11"/>
  <c r="K88" i="11"/>
  <c r="K70" i="11"/>
  <c r="K71" i="11"/>
  <c r="K72" i="11"/>
  <c r="K73" i="11"/>
  <c r="K74" i="11"/>
  <c r="K75" i="11"/>
  <c r="K76" i="11"/>
  <c r="K77" i="11"/>
  <c r="K78" i="11"/>
  <c r="K79" i="11"/>
  <c r="K80" i="11"/>
  <c r="K59" i="11"/>
  <c r="K60" i="11"/>
  <c r="K61" i="11"/>
  <c r="K62" i="11"/>
  <c r="K63" i="11"/>
  <c r="K64" i="11"/>
  <c r="K65" i="11"/>
  <c r="K66" i="11"/>
  <c r="K67" i="11"/>
  <c r="K68" i="11"/>
  <c r="K53" i="11"/>
  <c r="K54" i="11"/>
  <c r="K55" i="11"/>
  <c r="K56" i="11"/>
  <c r="K57" i="11"/>
  <c r="K58" i="11"/>
  <c r="K29" i="11"/>
  <c r="K32" i="11"/>
  <c r="K33" i="11"/>
  <c r="K36" i="11"/>
  <c r="K38" i="11"/>
  <c r="K41" i="11"/>
  <c r="K51" i="11"/>
  <c r="K27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6" i="11"/>
  <c r="J6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5" i="11"/>
  <c r="I106" i="11"/>
  <c r="I107" i="11"/>
  <c r="I108" i="11"/>
  <c r="I67" i="11"/>
  <c r="I68" i="11"/>
  <c r="I69" i="11"/>
  <c r="I71" i="11"/>
  <c r="I72" i="11"/>
  <c r="I75" i="11"/>
  <c r="I77" i="11"/>
  <c r="I78" i="11"/>
  <c r="I79" i="11"/>
  <c r="I80" i="11"/>
  <c r="I59" i="11"/>
  <c r="I60" i="11"/>
  <c r="I61" i="11"/>
  <c r="I62" i="11"/>
  <c r="I63" i="11"/>
  <c r="I64" i="11"/>
  <c r="I65" i="11"/>
  <c r="I51" i="11"/>
  <c r="I52" i="11"/>
  <c r="I53" i="11"/>
  <c r="I54" i="11"/>
  <c r="I55" i="11"/>
  <c r="I56" i="11"/>
  <c r="I57" i="11"/>
  <c r="I58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6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8" i="11"/>
  <c r="E7" i="11"/>
  <c r="E6" i="10"/>
  <c r="I6" i="10"/>
  <c r="H76" i="10"/>
  <c r="H77" i="10"/>
  <c r="H78" i="10"/>
  <c r="H79" i="10"/>
  <c r="H80" i="10"/>
  <c r="H81" i="10"/>
  <c r="H58" i="10"/>
  <c r="H59" i="10"/>
  <c r="H60" i="10"/>
  <c r="H62" i="10"/>
  <c r="H63" i="10"/>
  <c r="H64" i="10"/>
  <c r="H65" i="10"/>
  <c r="H66" i="10"/>
  <c r="H67" i="10"/>
  <c r="H68" i="10"/>
  <c r="H69" i="10"/>
  <c r="H70" i="10"/>
  <c r="H71" i="10"/>
  <c r="H72" i="10"/>
  <c r="H74" i="10"/>
  <c r="H7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15" i="10"/>
  <c r="H7" i="10"/>
  <c r="H8" i="10"/>
  <c r="H9" i="10"/>
  <c r="H10" i="10"/>
  <c r="H11" i="10"/>
  <c r="H12" i="10"/>
  <c r="H6" i="10"/>
  <c r="E72" i="10"/>
  <c r="E73" i="10"/>
  <c r="E74" i="10"/>
  <c r="E75" i="10"/>
  <c r="E76" i="10"/>
  <c r="E77" i="10"/>
  <c r="E78" i="10"/>
  <c r="E79" i="10"/>
  <c r="E80" i="10"/>
  <c r="E81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6" i="9"/>
  <c r="I6" i="9"/>
  <c r="H48" i="9"/>
  <c r="H49" i="9"/>
  <c r="H50" i="9"/>
  <c r="H51" i="9"/>
  <c r="H52" i="9"/>
  <c r="H53" i="9"/>
  <c r="H54" i="9"/>
  <c r="H55" i="9"/>
  <c r="H56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9" i="9"/>
  <c r="H10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8" i="9"/>
  <c r="H29" i="9"/>
  <c r="H30" i="9"/>
  <c r="H31" i="9"/>
  <c r="H7" i="9"/>
  <c r="H8" i="9"/>
  <c r="H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6" i="8"/>
  <c r="K6" i="8"/>
  <c r="J7" i="8"/>
  <c r="J8" i="8"/>
  <c r="J9" i="8"/>
  <c r="J10" i="8"/>
  <c r="J11" i="8"/>
  <c r="J12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5" i="8"/>
  <c r="J48" i="8"/>
  <c r="J49" i="8"/>
  <c r="J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6" i="7"/>
  <c r="K6" i="7"/>
  <c r="J24" i="7"/>
  <c r="J29" i="7"/>
  <c r="J31" i="7"/>
  <c r="J32" i="7"/>
  <c r="J33" i="7"/>
  <c r="J34" i="7"/>
  <c r="J8" i="7"/>
  <c r="J9" i="7"/>
  <c r="J10" i="7"/>
  <c r="J11" i="7"/>
  <c r="J12" i="7"/>
  <c r="J14" i="7"/>
  <c r="J15" i="7"/>
  <c r="J16" i="7"/>
  <c r="J17" i="7"/>
  <c r="J19" i="7"/>
  <c r="J20" i="7"/>
  <c r="J22" i="7"/>
  <c r="J23" i="7"/>
  <c r="J7" i="7"/>
  <c r="J6" i="7"/>
  <c r="E7" i="7"/>
  <c r="E8" i="7"/>
  <c r="E9" i="7"/>
  <c r="E10" i="7"/>
  <c r="E11" i="7"/>
  <c r="E12" i="7"/>
  <c r="E14" i="7"/>
  <c r="E15" i="7"/>
  <c r="E16" i="7"/>
  <c r="E17" i="7"/>
  <c r="E18" i="7"/>
  <c r="E19" i="7"/>
  <c r="E20" i="7"/>
  <c r="E22" i="7"/>
  <c r="E23" i="7"/>
  <c r="E24" i="7"/>
  <c r="E29" i="7"/>
  <c r="E31" i="7"/>
  <c r="E32" i="7"/>
  <c r="E33" i="7"/>
  <c r="E34" i="7"/>
  <c r="E35" i="7"/>
  <c r="E8" i="6"/>
  <c r="E10" i="6"/>
  <c r="E11" i="6"/>
  <c r="E13" i="6"/>
  <c r="E14" i="6"/>
  <c r="E15" i="6"/>
  <c r="E17" i="6"/>
  <c r="E18" i="6"/>
  <c r="E19" i="6"/>
  <c r="E20" i="6"/>
  <c r="E21" i="6"/>
  <c r="E22" i="6"/>
  <c r="E23" i="6"/>
  <c r="E24" i="6"/>
  <c r="E26" i="6"/>
  <c r="E9" i="6"/>
  <c r="E6" i="5"/>
  <c r="K13" i="6" l="1"/>
  <c r="I26" i="6"/>
  <c r="H20" i="6"/>
  <c r="H22" i="6"/>
  <c r="H23" i="6"/>
  <c r="H24" i="6"/>
  <c r="H26" i="6"/>
  <c r="H17" i="6"/>
  <c r="H18" i="6"/>
  <c r="H14" i="6"/>
  <c r="H15" i="6"/>
  <c r="H13" i="6"/>
  <c r="H10" i="6"/>
  <c r="H9" i="6"/>
  <c r="J6" i="5"/>
  <c r="L6" i="5"/>
  <c r="K84" i="5"/>
  <c r="K93" i="5"/>
  <c r="K97" i="5"/>
  <c r="K98" i="5"/>
  <c r="K21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K102" i="5" s="1"/>
  <c r="E103" i="5"/>
  <c r="E104" i="5"/>
  <c r="E56" i="5"/>
  <c r="E57" i="5"/>
  <c r="E58" i="5"/>
  <c r="E59" i="5"/>
  <c r="E60" i="5"/>
  <c r="E61" i="5"/>
  <c r="E62" i="5"/>
  <c r="K62" i="5" s="1"/>
  <c r="E63" i="5"/>
  <c r="E64" i="5"/>
  <c r="E65" i="5"/>
  <c r="E66" i="5"/>
  <c r="E67" i="5"/>
  <c r="K67" i="5" s="1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K83" i="5" s="1"/>
  <c r="E84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39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K19" i="5" s="1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L190" i="12" l="1"/>
  <c r="M190" i="12"/>
  <c r="K190" i="12"/>
  <c r="M189" i="12"/>
  <c r="K189" i="12"/>
  <c r="L188" i="12"/>
  <c r="M188" i="12"/>
  <c r="K188" i="12"/>
  <c r="M187" i="12"/>
  <c r="K187" i="12"/>
  <c r="L186" i="12"/>
  <c r="M186" i="12"/>
  <c r="K186" i="12"/>
  <c r="K185" i="12"/>
  <c r="L184" i="12"/>
  <c r="M184" i="12"/>
  <c r="K184" i="12"/>
  <c r="M183" i="12"/>
  <c r="K183" i="12"/>
  <c r="L182" i="12"/>
  <c r="M182" i="12"/>
  <c r="K182" i="12"/>
  <c r="L181" i="12"/>
  <c r="M181" i="12"/>
  <c r="K181" i="12"/>
  <c r="L180" i="12"/>
  <c r="M180" i="12"/>
  <c r="K180" i="12"/>
  <c r="M179" i="12"/>
  <c r="K179" i="12"/>
  <c r="K178" i="12"/>
  <c r="M177" i="12"/>
  <c r="K177" i="12"/>
  <c r="M176" i="12"/>
  <c r="K176" i="12"/>
  <c r="M175" i="12"/>
  <c r="K175" i="12"/>
  <c r="M174" i="12"/>
  <c r="K174" i="12"/>
  <c r="L173" i="12"/>
  <c r="M173" i="12"/>
  <c r="K173" i="12"/>
  <c r="L172" i="12"/>
  <c r="M172" i="12"/>
  <c r="K172" i="12"/>
  <c r="M171" i="12"/>
  <c r="K171" i="12"/>
  <c r="M170" i="12"/>
  <c r="L170" i="12"/>
  <c r="K170" i="12"/>
  <c r="L169" i="12"/>
  <c r="M169" i="12"/>
  <c r="K169" i="12"/>
  <c r="M168" i="12"/>
  <c r="K168" i="12"/>
  <c r="M167" i="12"/>
  <c r="K167" i="12"/>
  <c r="M165" i="12"/>
  <c r="K165" i="12"/>
  <c r="M163" i="12"/>
  <c r="K163" i="12"/>
  <c r="M162" i="12"/>
  <c r="K162" i="12"/>
  <c r="L161" i="12"/>
  <c r="M161" i="12"/>
  <c r="K161" i="12"/>
  <c r="M160" i="12"/>
  <c r="K160" i="12"/>
  <c r="L158" i="12"/>
  <c r="M158" i="12"/>
  <c r="K158" i="12"/>
  <c r="L157" i="12"/>
  <c r="M157" i="12"/>
  <c r="K157" i="12"/>
  <c r="M156" i="12"/>
  <c r="K156" i="12"/>
  <c r="L155" i="12"/>
  <c r="M155" i="12"/>
  <c r="K155" i="12"/>
  <c r="L154" i="12"/>
  <c r="M154" i="12"/>
  <c r="K154" i="12"/>
  <c r="L153" i="12"/>
  <c r="M153" i="12"/>
  <c r="K153" i="12"/>
  <c r="L152" i="12"/>
  <c r="M152" i="12"/>
  <c r="K152" i="12"/>
  <c r="M151" i="12"/>
  <c r="K151" i="12"/>
  <c r="M150" i="12"/>
  <c r="K150" i="12"/>
  <c r="M149" i="12"/>
  <c r="K149" i="12"/>
  <c r="M148" i="12"/>
  <c r="K148" i="12"/>
  <c r="L147" i="12"/>
  <c r="M147" i="12"/>
  <c r="K147" i="12"/>
  <c r="M146" i="12"/>
  <c r="K146" i="12"/>
  <c r="L144" i="12"/>
  <c r="M144" i="12"/>
  <c r="K144" i="12"/>
  <c r="L143" i="12"/>
  <c r="M143" i="12"/>
  <c r="K143" i="12"/>
  <c r="M142" i="12"/>
  <c r="K142" i="12"/>
  <c r="M141" i="12"/>
  <c r="L141" i="12"/>
  <c r="K141" i="12"/>
  <c r="M140" i="12"/>
  <c r="K140" i="12"/>
  <c r="M139" i="12"/>
  <c r="K139" i="12"/>
  <c r="L138" i="12"/>
  <c r="M138" i="12"/>
  <c r="K138" i="12"/>
  <c r="L137" i="12"/>
  <c r="M137" i="12"/>
  <c r="K137" i="12"/>
  <c r="L134" i="12"/>
  <c r="M134" i="12"/>
  <c r="K134" i="12"/>
  <c r="M133" i="12"/>
  <c r="K133" i="12"/>
  <c r="M132" i="12"/>
  <c r="K132" i="12"/>
  <c r="M131" i="12"/>
  <c r="K131" i="12"/>
  <c r="M129" i="12"/>
  <c r="K129" i="12"/>
  <c r="M128" i="12"/>
  <c r="K128" i="12"/>
  <c r="L127" i="12"/>
  <c r="M127" i="12"/>
  <c r="K127" i="12"/>
  <c r="M126" i="12"/>
  <c r="K126" i="12"/>
  <c r="M125" i="12"/>
  <c r="K125" i="12"/>
  <c r="L124" i="12"/>
  <c r="M124" i="12"/>
  <c r="G123" i="12"/>
  <c r="M123" i="12" s="1"/>
  <c r="F123" i="12"/>
  <c r="K123" i="12" s="1"/>
  <c r="G122" i="12"/>
  <c r="F122" i="12"/>
  <c r="K122" i="12" s="1"/>
  <c r="M121" i="12"/>
  <c r="K121" i="12"/>
  <c r="L120" i="12"/>
  <c r="M120" i="12"/>
  <c r="K120" i="12"/>
  <c r="L119" i="12"/>
  <c r="M119" i="12"/>
  <c r="K119" i="12"/>
  <c r="M118" i="12"/>
  <c r="K118" i="12"/>
  <c r="M117" i="12"/>
  <c r="K117" i="12"/>
  <c r="L116" i="12"/>
  <c r="M116" i="12"/>
  <c r="K116" i="12"/>
  <c r="M114" i="12"/>
  <c r="K114" i="12"/>
  <c r="M113" i="12"/>
  <c r="K113" i="12"/>
  <c r="K112" i="12"/>
  <c r="L111" i="12"/>
  <c r="M111" i="12"/>
  <c r="K111" i="12"/>
  <c r="K110" i="12"/>
  <c r="K108" i="12"/>
  <c r="K107" i="12"/>
  <c r="K106" i="12"/>
  <c r="K105" i="12"/>
  <c r="M103" i="12"/>
  <c r="K103" i="12"/>
  <c r="K102" i="12"/>
  <c r="K101" i="12"/>
  <c r="K100" i="12"/>
  <c r="K99" i="12"/>
  <c r="K98" i="12"/>
  <c r="K95" i="12"/>
  <c r="K94" i="12"/>
  <c r="K93" i="12"/>
  <c r="K92" i="12"/>
  <c r="L91" i="12"/>
  <c r="M91" i="12"/>
  <c r="K90" i="12"/>
  <c r="L86" i="12"/>
  <c r="M86" i="12"/>
  <c r="L85" i="12"/>
  <c r="M85" i="12"/>
  <c r="L83" i="12"/>
  <c r="M83" i="12"/>
  <c r="L79" i="12"/>
  <c r="M79" i="12"/>
  <c r="L78" i="12"/>
  <c r="M78" i="12"/>
  <c r="K78" i="12"/>
  <c r="L76" i="12"/>
  <c r="M76" i="12"/>
  <c r="K76" i="12"/>
  <c r="M75" i="12"/>
  <c r="K75" i="12"/>
  <c r="L74" i="12"/>
  <c r="M74" i="12"/>
  <c r="K74" i="12"/>
  <c r="M72" i="12"/>
  <c r="K72" i="12"/>
  <c r="K70" i="12"/>
  <c r="K68" i="12"/>
  <c r="K66" i="12"/>
  <c r="K61" i="12"/>
  <c r="L60" i="12"/>
  <c r="M60" i="12"/>
  <c r="K60" i="12"/>
  <c r="M58" i="12"/>
  <c r="K58" i="12"/>
  <c r="L57" i="12"/>
  <c r="M57" i="12"/>
  <c r="K57" i="12"/>
  <c r="L56" i="12"/>
  <c r="M56" i="12"/>
  <c r="K56" i="12"/>
  <c r="M55" i="12"/>
  <c r="K55" i="12"/>
  <c r="K51" i="12"/>
  <c r="M42" i="12"/>
  <c r="K42" i="12"/>
  <c r="M38" i="12"/>
  <c r="K38" i="12"/>
  <c r="M36" i="12"/>
  <c r="K36" i="12"/>
  <c r="L35" i="12"/>
  <c r="M35" i="12"/>
  <c r="K35" i="12"/>
  <c r="M29" i="12"/>
  <c r="K29" i="12"/>
  <c r="M28" i="12"/>
  <c r="K28" i="12"/>
  <c r="L27" i="12"/>
  <c r="M27" i="12"/>
  <c r="K27" i="12"/>
  <c r="M26" i="12"/>
  <c r="K26" i="12"/>
  <c r="M25" i="12"/>
  <c r="K25" i="12"/>
  <c r="C23" i="12"/>
  <c r="C22" i="12"/>
  <c r="C21" i="12"/>
  <c r="L20" i="12"/>
  <c r="M20" i="12"/>
  <c r="K20" i="12"/>
  <c r="M19" i="12"/>
  <c r="K19" i="12"/>
  <c r="M17" i="12"/>
  <c r="K17" i="12"/>
  <c r="L16" i="12"/>
  <c r="M16" i="12"/>
  <c r="K16" i="12"/>
  <c r="L15" i="12"/>
  <c r="M15" i="12"/>
  <c r="L14" i="12"/>
  <c r="M14" i="12"/>
  <c r="K14" i="12"/>
  <c r="M12" i="12"/>
  <c r="K12" i="12"/>
  <c r="M11" i="12"/>
  <c r="K11" i="12"/>
  <c r="K10" i="12"/>
  <c r="L9" i="12"/>
  <c r="M9" i="12"/>
  <c r="L8" i="12"/>
  <c r="M8" i="12"/>
  <c r="K8" i="12"/>
  <c r="M7" i="12"/>
  <c r="L6" i="12"/>
  <c r="M6" i="12"/>
  <c r="K6" i="12"/>
  <c r="L111" i="11"/>
  <c r="L108" i="11"/>
  <c r="J108" i="11"/>
  <c r="L107" i="11"/>
  <c r="J107" i="11"/>
  <c r="L106" i="11"/>
  <c r="J106" i="11"/>
  <c r="L105" i="11"/>
  <c r="J105" i="11"/>
  <c r="L103" i="11"/>
  <c r="J103" i="11"/>
  <c r="J102" i="11"/>
  <c r="J101" i="11"/>
  <c r="J100" i="11"/>
  <c r="L99" i="11"/>
  <c r="J99" i="11"/>
  <c r="J98" i="11"/>
  <c r="J97" i="11"/>
  <c r="J96" i="11"/>
  <c r="J95" i="11"/>
  <c r="L94" i="11"/>
  <c r="J94" i="11"/>
  <c r="L93" i="11"/>
  <c r="J93" i="11"/>
  <c r="J92" i="11"/>
  <c r="J91" i="11"/>
  <c r="J90" i="11"/>
  <c r="J89" i="11"/>
  <c r="L88" i="11"/>
  <c r="J88" i="11"/>
  <c r="L87" i="11"/>
  <c r="J87" i="11"/>
  <c r="L86" i="11"/>
  <c r="J86" i="11"/>
  <c r="L85" i="11"/>
  <c r="J85" i="11"/>
  <c r="L80" i="11"/>
  <c r="J80" i="11"/>
  <c r="L79" i="11"/>
  <c r="J79" i="11"/>
  <c r="L78" i="11"/>
  <c r="J78" i="11"/>
  <c r="L77" i="11"/>
  <c r="J77" i="11"/>
  <c r="L76" i="11"/>
  <c r="L75" i="11"/>
  <c r="J75" i="11"/>
  <c r="L74" i="11"/>
  <c r="L73" i="11"/>
  <c r="L72" i="11"/>
  <c r="J72" i="11"/>
  <c r="L71" i="11"/>
  <c r="J71" i="11"/>
  <c r="L70" i="11"/>
  <c r="L68" i="11"/>
  <c r="J68" i="11"/>
  <c r="L67" i="11"/>
  <c r="J67" i="11"/>
  <c r="L66" i="11"/>
  <c r="L65" i="11"/>
  <c r="J65" i="11"/>
  <c r="L64" i="11"/>
  <c r="J64" i="11"/>
  <c r="J63" i="11"/>
  <c r="G63" i="11"/>
  <c r="L63" i="11" s="1"/>
  <c r="L62" i="11"/>
  <c r="J62" i="11"/>
  <c r="J61" i="11"/>
  <c r="G61" i="11"/>
  <c r="L61" i="11" s="1"/>
  <c r="L60" i="11"/>
  <c r="J60" i="11"/>
  <c r="C60" i="11"/>
  <c r="L59" i="11"/>
  <c r="J59" i="11"/>
  <c r="L58" i="11"/>
  <c r="J58" i="11"/>
  <c r="L57" i="11"/>
  <c r="J57" i="11"/>
  <c r="L56" i="11"/>
  <c r="J56" i="11"/>
  <c r="L55" i="11"/>
  <c r="J55" i="11"/>
  <c r="L54" i="11"/>
  <c r="J54" i="11"/>
  <c r="L53" i="11"/>
  <c r="J53" i="11"/>
  <c r="J52" i="11"/>
  <c r="L51" i="11"/>
  <c r="J51" i="11"/>
  <c r="J50" i="11"/>
  <c r="J49" i="11"/>
  <c r="J48" i="11"/>
  <c r="J47" i="11"/>
  <c r="J46" i="11"/>
  <c r="J45" i="11"/>
  <c r="J44" i="11"/>
  <c r="J43" i="11"/>
  <c r="J42" i="11"/>
  <c r="L41" i="11"/>
  <c r="J41" i="11"/>
  <c r="J40" i="11"/>
  <c r="J39" i="11"/>
  <c r="L38" i="11"/>
  <c r="J38" i="11"/>
  <c r="J37" i="11"/>
  <c r="L36" i="11"/>
  <c r="J36" i="11"/>
  <c r="J35" i="11"/>
  <c r="J34" i="11"/>
  <c r="L33" i="11"/>
  <c r="J33" i="11"/>
  <c r="L32" i="11"/>
  <c r="J32" i="11"/>
  <c r="J31" i="11"/>
  <c r="J30" i="11"/>
  <c r="L29" i="11"/>
  <c r="J29" i="11"/>
  <c r="J28" i="11"/>
  <c r="L27" i="11"/>
  <c r="J27" i="11"/>
  <c r="J26" i="11"/>
  <c r="J25" i="11"/>
  <c r="L24" i="11"/>
  <c r="J24" i="11"/>
  <c r="L23" i="11"/>
  <c r="J23" i="11"/>
  <c r="D22" i="11"/>
  <c r="L21" i="11"/>
  <c r="J21" i="11"/>
  <c r="L20" i="11"/>
  <c r="J20" i="11"/>
  <c r="L19" i="11"/>
  <c r="J19" i="11"/>
  <c r="L18" i="11"/>
  <c r="J18" i="11"/>
  <c r="L17" i="11"/>
  <c r="J17" i="11"/>
  <c r="L16" i="11"/>
  <c r="J16" i="11"/>
  <c r="L15" i="11"/>
  <c r="J15" i="11"/>
  <c r="L14" i="11"/>
  <c r="J14" i="11"/>
  <c r="L13" i="11"/>
  <c r="J13" i="11"/>
  <c r="L12" i="11"/>
  <c r="J12" i="11"/>
  <c r="L11" i="11"/>
  <c r="J11" i="11"/>
  <c r="L10" i="11"/>
  <c r="J10" i="11"/>
  <c r="L9" i="11"/>
  <c r="J9" i="11"/>
  <c r="L8" i="11"/>
  <c r="J8" i="11"/>
  <c r="L7" i="11"/>
  <c r="J7" i="11"/>
  <c r="K81" i="10"/>
  <c r="I81" i="10"/>
  <c r="I80" i="10"/>
  <c r="I79" i="10"/>
  <c r="K78" i="10"/>
  <c r="I78" i="10"/>
  <c r="I77" i="10"/>
  <c r="I76" i="10"/>
  <c r="I75" i="10"/>
  <c r="I74" i="10"/>
  <c r="J72" i="10"/>
  <c r="K72" i="10"/>
  <c r="I72" i="10"/>
  <c r="I71" i="10"/>
  <c r="L70" i="10"/>
  <c r="K70" i="10"/>
  <c r="I70" i="10"/>
  <c r="L69" i="10"/>
  <c r="J69" i="10"/>
  <c r="K69" i="10"/>
  <c r="I69" i="10"/>
  <c r="I68" i="10"/>
  <c r="L67" i="10"/>
  <c r="K67" i="10"/>
  <c r="I67" i="10"/>
  <c r="I66" i="10"/>
  <c r="I65" i="10"/>
  <c r="L64" i="10"/>
  <c r="K64" i="10"/>
  <c r="I64" i="10"/>
  <c r="I63" i="10"/>
  <c r="L62" i="10"/>
  <c r="K62" i="10"/>
  <c r="I62" i="10"/>
  <c r="I60" i="10"/>
  <c r="I59" i="10"/>
  <c r="L58" i="10"/>
  <c r="J58" i="10"/>
  <c r="K58" i="10"/>
  <c r="I58" i="10"/>
  <c r="L57" i="10"/>
  <c r="J57" i="10"/>
  <c r="K57" i="10"/>
  <c r="I57" i="10"/>
  <c r="I56" i="10"/>
  <c r="I55" i="10"/>
  <c r="I54" i="10"/>
  <c r="L53" i="10"/>
  <c r="K53" i="10"/>
  <c r="I53" i="10"/>
  <c r="I52" i="10"/>
  <c r="I51" i="10"/>
  <c r="I50" i="10"/>
  <c r="L49" i="10"/>
  <c r="K49" i="10"/>
  <c r="I49" i="10"/>
  <c r="I48" i="10"/>
  <c r="L47" i="10"/>
  <c r="J47" i="10"/>
  <c r="K47" i="10"/>
  <c r="I47" i="10"/>
  <c r="L46" i="10"/>
  <c r="K46" i="10"/>
  <c r="I46" i="10"/>
  <c r="L45" i="10"/>
  <c r="J45" i="10"/>
  <c r="K45" i="10"/>
  <c r="I45" i="10"/>
  <c r="K44" i="10"/>
  <c r="J44" i="10"/>
  <c r="I44" i="10"/>
  <c r="J43" i="10"/>
  <c r="K43" i="10"/>
  <c r="I43" i="10"/>
  <c r="J42" i="10"/>
  <c r="K42" i="10"/>
  <c r="I42" i="10"/>
  <c r="I41" i="10"/>
  <c r="J40" i="10"/>
  <c r="K40" i="10"/>
  <c r="I40" i="10"/>
  <c r="I39" i="10"/>
  <c r="J38" i="10"/>
  <c r="K38" i="10"/>
  <c r="I38" i="10"/>
  <c r="I37" i="10"/>
  <c r="K36" i="10"/>
  <c r="J36" i="10"/>
  <c r="I36" i="10"/>
  <c r="J35" i="10"/>
  <c r="K35" i="10"/>
  <c r="I35" i="10"/>
  <c r="I34" i="10"/>
  <c r="I33" i="10"/>
  <c r="I32" i="10"/>
  <c r="I31" i="10"/>
  <c r="C31" i="10"/>
  <c r="I30" i="10"/>
  <c r="K29" i="10"/>
  <c r="I29" i="10"/>
  <c r="J28" i="10"/>
  <c r="K28" i="10"/>
  <c r="I28" i="10"/>
  <c r="I27" i="10"/>
  <c r="I26" i="10"/>
  <c r="K25" i="10"/>
  <c r="I25" i="10"/>
  <c r="I24" i="10"/>
  <c r="J23" i="10"/>
  <c r="K23" i="10"/>
  <c r="I23" i="10"/>
  <c r="I22" i="10"/>
  <c r="K21" i="10"/>
  <c r="I21" i="10"/>
  <c r="J20" i="10"/>
  <c r="K20" i="10"/>
  <c r="I20" i="10"/>
  <c r="I19" i="10"/>
  <c r="J18" i="10"/>
  <c r="K18" i="10"/>
  <c r="I18" i="10"/>
  <c r="L18" i="10"/>
  <c r="J17" i="10"/>
  <c r="K17" i="10"/>
  <c r="I17" i="10"/>
  <c r="I16" i="10"/>
  <c r="I15" i="10"/>
  <c r="K12" i="10"/>
  <c r="I12" i="10"/>
  <c r="K11" i="10"/>
  <c r="I11" i="10"/>
  <c r="I10" i="10"/>
  <c r="K9" i="10"/>
  <c r="J9" i="10"/>
  <c r="F9" i="10"/>
  <c r="I8" i="10"/>
  <c r="K7" i="10"/>
  <c r="I7" i="10"/>
  <c r="K56" i="9"/>
  <c r="I56" i="9"/>
  <c r="I55" i="9"/>
  <c r="I54" i="9"/>
  <c r="J53" i="9"/>
  <c r="K53" i="9"/>
  <c r="I53" i="9"/>
  <c r="I52" i="9"/>
  <c r="I51" i="9"/>
  <c r="I50" i="9"/>
  <c r="I49" i="9"/>
  <c r="I48" i="9"/>
  <c r="I47" i="9"/>
  <c r="I46" i="9"/>
  <c r="K45" i="9"/>
  <c r="I45" i="9"/>
  <c r="C45" i="9"/>
  <c r="I44" i="9"/>
  <c r="I43" i="9"/>
  <c r="I42" i="9"/>
  <c r="I41" i="9"/>
  <c r="I40" i="9"/>
  <c r="I39" i="9"/>
  <c r="I38" i="9"/>
  <c r="K37" i="9"/>
  <c r="I37" i="9"/>
  <c r="I36" i="9"/>
  <c r="I35" i="9"/>
  <c r="I34" i="9"/>
  <c r="J31" i="9"/>
  <c r="K31" i="9"/>
  <c r="I31" i="9"/>
  <c r="K30" i="9"/>
  <c r="I30" i="9"/>
  <c r="J29" i="9"/>
  <c r="K29" i="9"/>
  <c r="I29" i="9"/>
  <c r="I28" i="9"/>
  <c r="J26" i="9"/>
  <c r="K26" i="9"/>
  <c r="I26" i="9"/>
  <c r="K25" i="9"/>
  <c r="J25" i="9"/>
  <c r="I25" i="9"/>
  <c r="K24" i="9"/>
  <c r="J24" i="9"/>
  <c r="I24" i="9"/>
  <c r="L24" i="9"/>
  <c r="K23" i="9"/>
  <c r="I23" i="9"/>
  <c r="J22" i="9"/>
  <c r="K22" i="9"/>
  <c r="I22" i="9"/>
  <c r="K21" i="9"/>
  <c r="J21" i="9"/>
  <c r="I21" i="9"/>
  <c r="K20" i="9"/>
  <c r="I20" i="9"/>
  <c r="I19" i="9"/>
  <c r="K18" i="9"/>
  <c r="I18" i="9"/>
  <c r="K17" i="9"/>
  <c r="I17" i="9"/>
  <c r="J16" i="9"/>
  <c r="K16" i="9"/>
  <c r="I16" i="9"/>
  <c r="L16" i="9"/>
  <c r="K15" i="9"/>
  <c r="I15" i="9"/>
  <c r="K14" i="9"/>
  <c r="J14" i="9"/>
  <c r="I14" i="9"/>
  <c r="I13" i="9"/>
  <c r="I12" i="9"/>
  <c r="K10" i="9"/>
  <c r="I10" i="9"/>
  <c r="K9" i="9"/>
  <c r="I9" i="9"/>
  <c r="J8" i="9"/>
  <c r="K8" i="9"/>
  <c r="I8" i="9"/>
  <c r="K7" i="9"/>
  <c r="I7" i="9"/>
  <c r="K6" i="9"/>
  <c r="K49" i="8"/>
  <c r="K48" i="8"/>
  <c r="L46" i="8"/>
  <c r="M46" i="8"/>
  <c r="K45" i="8"/>
  <c r="K41" i="8"/>
  <c r="K40" i="8"/>
  <c r="K39" i="8"/>
  <c r="L38" i="8"/>
  <c r="M38" i="8"/>
  <c r="K38" i="8"/>
  <c r="K37" i="8"/>
  <c r="K36" i="8"/>
  <c r="K35" i="8"/>
  <c r="K34" i="8"/>
  <c r="K33" i="8"/>
  <c r="K32" i="8"/>
  <c r="K31" i="8"/>
  <c r="L30" i="8"/>
  <c r="M30" i="8"/>
  <c r="K30" i="8"/>
  <c r="K29" i="8"/>
  <c r="M28" i="8"/>
  <c r="K28" i="8"/>
  <c r="L27" i="8"/>
  <c r="M27" i="8"/>
  <c r="K27" i="8"/>
  <c r="K26" i="8"/>
  <c r="K25" i="8"/>
  <c r="K24" i="8"/>
  <c r="K23" i="8"/>
  <c r="K22" i="8"/>
  <c r="M21" i="8"/>
  <c r="K21" i="8"/>
  <c r="K20" i="8"/>
  <c r="L19" i="8"/>
  <c r="M19" i="8"/>
  <c r="K19" i="8"/>
  <c r="M18" i="8"/>
  <c r="K18" i="8"/>
  <c r="K17" i="8"/>
  <c r="K16" i="8"/>
  <c r="K15" i="8"/>
  <c r="K14" i="8"/>
  <c r="K12" i="8"/>
  <c r="K11" i="8"/>
  <c r="M10" i="8"/>
  <c r="K10" i="8"/>
  <c r="K9" i="8"/>
  <c r="K8" i="8"/>
  <c r="K7" i="8"/>
  <c r="M6" i="8"/>
  <c r="K34" i="7"/>
  <c r="K33" i="7"/>
  <c r="K32" i="7"/>
  <c r="M31" i="7"/>
  <c r="K31" i="7"/>
  <c r="M29" i="7"/>
  <c r="K29" i="7"/>
  <c r="K24" i="7"/>
  <c r="L23" i="7"/>
  <c r="M23" i="7"/>
  <c r="K23" i="7"/>
  <c r="L22" i="7"/>
  <c r="M22" i="7"/>
  <c r="K22" i="7"/>
  <c r="M20" i="7"/>
  <c r="K20" i="7"/>
  <c r="K19" i="7"/>
  <c r="K17" i="7"/>
  <c r="M16" i="7"/>
  <c r="K16" i="7"/>
  <c r="K15" i="7"/>
  <c r="K14" i="7"/>
  <c r="K12" i="7"/>
  <c r="L11" i="7"/>
  <c r="M11" i="7"/>
  <c r="K11" i="7"/>
  <c r="M10" i="7"/>
  <c r="K10" i="7"/>
  <c r="K9" i="7"/>
  <c r="K8" i="7"/>
  <c r="L7" i="7"/>
  <c r="M7" i="7"/>
  <c r="K7" i="7"/>
  <c r="K26" i="6"/>
  <c r="K24" i="6"/>
  <c r="I24" i="6"/>
  <c r="C24" i="6"/>
  <c r="I23" i="6"/>
  <c r="I22" i="6"/>
  <c r="I20" i="6"/>
  <c r="J19" i="6"/>
  <c r="K19" i="6"/>
  <c r="I18" i="6"/>
  <c r="J17" i="6"/>
  <c r="K17" i="6"/>
  <c r="I17" i="6"/>
  <c r="K15" i="6"/>
  <c r="I15" i="6"/>
  <c r="I14" i="6"/>
  <c r="C14" i="6"/>
  <c r="J13" i="6"/>
  <c r="I13" i="6"/>
  <c r="I10" i="6"/>
  <c r="I9" i="6"/>
  <c r="J104" i="5"/>
  <c r="J103" i="5"/>
  <c r="J102" i="5"/>
  <c r="L102" i="5"/>
  <c r="J101" i="5"/>
  <c r="J100" i="5"/>
  <c r="J99" i="5"/>
  <c r="F99" i="5"/>
  <c r="J98" i="5"/>
  <c r="L98" i="5"/>
  <c r="J97" i="5"/>
  <c r="L97" i="5"/>
  <c r="J96" i="5"/>
  <c r="J95" i="5"/>
  <c r="J94" i="5"/>
  <c r="F94" i="5"/>
  <c r="J93" i="5"/>
  <c r="L93" i="5"/>
  <c r="J92" i="5"/>
  <c r="F92" i="5"/>
  <c r="J91" i="5"/>
  <c r="J90" i="5"/>
  <c r="J89" i="5"/>
  <c r="F89" i="5"/>
  <c r="J88" i="5"/>
  <c r="J87" i="5"/>
  <c r="J86" i="5"/>
  <c r="J85" i="5"/>
  <c r="J84" i="5"/>
  <c r="L84" i="5"/>
  <c r="J83" i="5"/>
  <c r="L83" i="5"/>
  <c r="J82" i="5"/>
  <c r="J81" i="5"/>
  <c r="F81" i="5"/>
  <c r="J80" i="5"/>
  <c r="F80" i="5"/>
  <c r="J79" i="5"/>
  <c r="F79" i="5"/>
  <c r="J78" i="5"/>
  <c r="F78" i="5"/>
  <c r="J77" i="5"/>
  <c r="J76" i="5"/>
  <c r="F76" i="5"/>
  <c r="J75" i="5"/>
  <c r="J74" i="5"/>
  <c r="J73" i="5"/>
  <c r="F73" i="5"/>
  <c r="J72" i="5"/>
  <c r="J71" i="5"/>
  <c r="F71" i="5"/>
  <c r="J70" i="5"/>
  <c r="F70" i="5"/>
  <c r="J69" i="5"/>
  <c r="F69" i="5"/>
  <c r="J68" i="5"/>
  <c r="J67" i="5"/>
  <c r="L67" i="5"/>
  <c r="J66" i="5"/>
  <c r="J65" i="5"/>
  <c r="J64" i="5"/>
  <c r="J63" i="5"/>
  <c r="L63" i="5"/>
  <c r="F63" i="5"/>
  <c r="J62" i="5"/>
  <c r="L62" i="5"/>
  <c r="J61" i="5"/>
  <c r="J60" i="5"/>
  <c r="J59" i="5"/>
  <c r="F59" i="5"/>
  <c r="J58" i="5"/>
  <c r="J57" i="5"/>
  <c r="F57" i="5"/>
  <c r="J56" i="5"/>
  <c r="F56" i="5"/>
  <c r="J55" i="5"/>
  <c r="F55" i="5"/>
  <c r="J54" i="5"/>
  <c r="F54" i="5"/>
  <c r="J53" i="5"/>
  <c r="F53" i="5"/>
  <c r="J52" i="5"/>
  <c r="F52" i="5"/>
  <c r="J51" i="5"/>
  <c r="L51" i="5"/>
  <c r="F51" i="5"/>
  <c r="J50" i="5"/>
  <c r="F50" i="5"/>
  <c r="J49" i="5"/>
  <c r="F49" i="5"/>
  <c r="J48" i="5"/>
  <c r="F48" i="5"/>
  <c r="L48" i="5" s="1"/>
  <c r="J47" i="5"/>
  <c r="F47" i="5"/>
  <c r="J46" i="5"/>
  <c r="F46" i="5"/>
  <c r="J45" i="5"/>
  <c r="J44" i="5"/>
  <c r="F44" i="5"/>
  <c r="J43" i="5"/>
  <c r="F43" i="5"/>
  <c r="J42" i="5"/>
  <c r="F42" i="5"/>
  <c r="J41" i="5"/>
  <c r="F41" i="5"/>
  <c r="J40" i="5"/>
  <c r="F40" i="5"/>
  <c r="J39" i="5"/>
  <c r="J38" i="5"/>
  <c r="F38" i="5"/>
  <c r="J37" i="5"/>
  <c r="F37" i="5"/>
  <c r="J36" i="5"/>
  <c r="F36" i="5"/>
  <c r="J35" i="5"/>
  <c r="F35" i="5"/>
  <c r="J34" i="5"/>
  <c r="F34" i="5"/>
  <c r="J33" i="5"/>
  <c r="F33" i="5"/>
  <c r="J32" i="5"/>
  <c r="J31" i="5"/>
  <c r="F31" i="5"/>
  <c r="J30" i="5"/>
  <c r="F30" i="5"/>
  <c r="J29" i="5"/>
  <c r="F29" i="5"/>
  <c r="J28" i="5"/>
  <c r="F28" i="5"/>
  <c r="J27" i="5"/>
  <c r="F27" i="5"/>
  <c r="J26" i="5"/>
  <c r="F26" i="5"/>
  <c r="J25" i="5"/>
  <c r="F25" i="5"/>
  <c r="J24" i="5"/>
  <c r="F24" i="5"/>
  <c r="J23" i="5"/>
  <c r="F23" i="5"/>
  <c r="J22" i="5"/>
  <c r="F22" i="5"/>
  <c r="J21" i="5"/>
  <c r="L21" i="5"/>
  <c r="J20" i="5"/>
  <c r="F20" i="5"/>
  <c r="J19" i="5"/>
  <c r="L19" i="5"/>
  <c r="J18" i="5"/>
  <c r="J17" i="5"/>
  <c r="F17" i="5"/>
  <c r="J16" i="5"/>
  <c r="F16" i="5"/>
  <c r="J15" i="5"/>
  <c r="F15" i="5"/>
  <c r="J14" i="5"/>
  <c r="F14" i="5"/>
  <c r="J13" i="5"/>
  <c r="F13" i="5"/>
  <c r="J12" i="5"/>
  <c r="F12" i="5"/>
  <c r="J11" i="5"/>
  <c r="F11" i="5"/>
  <c r="J10" i="5"/>
  <c r="F10" i="5"/>
  <c r="J9" i="5"/>
  <c r="F9" i="5"/>
  <c r="J8" i="5"/>
  <c r="F8" i="5"/>
  <c r="J7" i="5"/>
  <c r="F7" i="5"/>
  <c r="F6" i="5"/>
  <c r="L142" i="12" l="1"/>
  <c r="M13" i="11"/>
  <c r="M67" i="11"/>
  <c r="M17" i="11"/>
  <c r="M27" i="11"/>
  <c r="L9" i="10"/>
  <c r="L44" i="10"/>
  <c r="J21" i="10"/>
  <c r="L21" i="10"/>
  <c r="J11" i="10"/>
  <c r="L17" i="10"/>
  <c r="L43" i="10"/>
  <c r="L21" i="9"/>
  <c r="L14" i="9"/>
  <c r="J23" i="9"/>
  <c r="J9" i="9"/>
  <c r="N21" i="8"/>
  <c r="N18" i="8"/>
  <c r="L41" i="5"/>
  <c r="K41" i="5"/>
  <c r="L54" i="5"/>
  <c r="K54" i="5"/>
  <c r="L79" i="5"/>
  <c r="K79" i="5"/>
  <c r="L94" i="5"/>
  <c r="K94" i="5"/>
  <c r="K17" i="5"/>
  <c r="L28" i="5"/>
  <c r="K28" i="5"/>
  <c r="L42" i="5"/>
  <c r="K42" i="5"/>
  <c r="K70" i="5"/>
  <c r="L22" i="5"/>
  <c r="K22" i="5"/>
  <c r="L27" i="5"/>
  <c r="K27" i="5"/>
  <c r="L23" i="5"/>
  <c r="K23" i="5"/>
  <c r="L43" i="5"/>
  <c r="K43" i="5"/>
  <c r="L49" i="5"/>
  <c r="K49" i="5"/>
  <c r="L55" i="5"/>
  <c r="K55" i="5"/>
  <c r="K63" i="5"/>
  <c r="L71" i="5"/>
  <c r="K71" i="5"/>
  <c r="L80" i="5"/>
  <c r="K80" i="5"/>
  <c r="L89" i="5"/>
  <c r="K89" i="5"/>
  <c r="L17" i="5"/>
  <c r="K6" i="5"/>
  <c r="L29" i="5"/>
  <c r="K29" i="5"/>
  <c r="L36" i="5"/>
  <c r="K36" i="5"/>
  <c r="L69" i="5"/>
  <c r="K69" i="5"/>
  <c r="L24" i="5"/>
  <c r="K24" i="5"/>
  <c r="L81" i="5"/>
  <c r="K81" i="5"/>
  <c r="L34" i="5"/>
  <c r="K34" i="5"/>
  <c r="L35" i="5"/>
  <c r="K35" i="5"/>
  <c r="K12" i="5"/>
  <c r="K7" i="5"/>
  <c r="K37" i="5"/>
  <c r="K44" i="5"/>
  <c r="L50" i="5"/>
  <c r="K50" i="5"/>
  <c r="L56" i="5"/>
  <c r="K56" i="5"/>
  <c r="L11" i="5"/>
  <c r="K11" i="5"/>
  <c r="K13" i="5"/>
  <c r="K30" i="5"/>
  <c r="L73" i="5"/>
  <c r="K73" i="5"/>
  <c r="L10" i="5"/>
  <c r="K10" i="5"/>
  <c r="L7" i="5"/>
  <c r="L13" i="5"/>
  <c r="L25" i="5"/>
  <c r="K25" i="5"/>
  <c r="L30" i="5"/>
  <c r="L38" i="5"/>
  <c r="K38" i="5"/>
  <c r="K51" i="5"/>
  <c r="L57" i="5"/>
  <c r="K57" i="5"/>
  <c r="L92" i="5"/>
  <c r="K92" i="5"/>
  <c r="L99" i="5"/>
  <c r="K99" i="5"/>
  <c r="K14" i="5"/>
  <c r="L31" i="5"/>
  <c r="K31" i="5"/>
  <c r="L20" i="5"/>
  <c r="K20" i="5"/>
  <c r="K8" i="5"/>
  <c r="L8" i="5"/>
  <c r="L26" i="5"/>
  <c r="K26" i="5"/>
  <c r="L52" i="5"/>
  <c r="K52" i="5"/>
  <c r="K59" i="5"/>
  <c r="L76" i="5"/>
  <c r="K76" i="5"/>
  <c r="L16" i="5"/>
  <c r="K16" i="5"/>
  <c r="L78" i="5"/>
  <c r="K78" i="5"/>
  <c r="K48" i="5"/>
  <c r="L15" i="5"/>
  <c r="K15" i="5"/>
  <c r="L40" i="5"/>
  <c r="K40" i="5"/>
  <c r="L47" i="5"/>
  <c r="K47" i="5"/>
  <c r="L59" i="5"/>
  <c r="L46" i="5"/>
  <c r="K46" i="5"/>
  <c r="L9" i="5"/>
  <c r="K9" i="5"/>
  <c r="L33" i="5"/>
  <c r="K33" i="5"/>
  <c r="L53" i="5"/>
  <c r="K53" i="5"/>
  <c r="N56" i="12"/>
  <c r="L125" i="12"/>
  <c r="N125" i="12" s="1"/>
  <c r="L117" i="12"/>
  <c r="N117" i="12" s="1"/>
  <c r="N154" i="12"/>
  <c r="L187" i="12"/>
  <c r="N187" i="12" s="1"/>
  <c r="L160" i="12"/>
  <c r="N160" i="12" s="1"/>
  <c r="N127" i="12"/>
  <c r="N169" i="12"/>
  <c r="L113" i="12"/>
  <c r="N113" i="12" s="1"/>
  <c r="N119" i="12"/>
  <c r="N35" i="12"/>
  <c r="N170" i="12"/>
  <c r="L146" i="12"/>
  <c r="N146" i="12" s="1"/>
  <c r="L151" i="12"/>
  <c r="N151" i="12" s="1"/>
  <c r="L163" i="12"/>
  <c r="N163" i="12" s="1"/>
  <c r="L17" i="12"/>
  <c r="L131" i="12"/>
  <c r="N17" i="12"/>
  <c r="N131" i="12"/>
  <c r="N144" i="12"/>
  <c r="L118" i="12"/>
  <c r="N118" i="12" s="1"/>
  <c r="L140" i="12"/>
  <c r="N140" i="12" s="1"/>
  <c r="N155" i="12"/>
  <c r="L165" i="12"/>
  <c r="N165" i="12" s="1"/>
  <c r="M24" i="11"/>
  <c r="M75" i="11"/>
  <c r="M77" i="11"/>
  <c r="M93" i="11"/>
  <c r="M106" i="11"/>
  <c r="J81" i="10"/>
  <c r="J64" i="10"/>
  <c r="J53" i="10"/>
  <c r="N7" i="7"/>
  <c r="J26" i="6"/>
  <c r="L26" i="6" s="1"/>
  <c r="M88" i="11"/>
  <c r="N76" i="12"/>
  <c r="N190" i="12"/>
  <c r="N57" i="12"/>
  <c r="N78" i="12"/>
  <c r="N181" i="12"/>
  <c r="N137" i="12"/>
  <c r="L29" i="12"/>
  <c r="N29" i="12" s="1"/>
  <c r="L126" i="12"/>
  <c r="N126" i="12" s="1"/>
  <c r="N141" i="12"/>
  <c r="M19" i="11"/>
  <c r="M10" i="11"/>
  <c r="M36" i="11"/>
  <c r="M60" i="11"/>
  <c r="M63" i="11"/>
  <c r="M64" i="11"/>
  <c r="M94" i="11"/>
  <c r="M20" i="11"/>
  <c r="M9" i="11"/>
  <c r="M57" i="11"/>
  <c r="M86" i="11"/>
  <c r="L36" i="10"/>
  <c r="L11" i="10"/>
  <c r="L40" i="10"/>
  <c r="L20" i="10"/>
  <c r="J56" i="9"/>
  <c r="L56" i="9" s="1"/>
  <c r="L9" i="9"/>
  <c r="L26" i="9"/>
  <c r="L31" i="9"/>
  <c r="N19" i="8"/>
  <c r="L29" i="7"/>
  <c r="N29" i="7" s="1"/>
  <c r="L13" i="6"/>
  <c r="J15" i="6"/>
  <c r="L15" i="6" s="1"/>
  <c r="N147" i="12"/>
  <c r="N172" i="12"/>
  <c r="L128" i="12"/>
  <c r="N128" i="12" s="1"/>
  <c r="N158" i="12"/>
  <c r="N20" i="12"/>
  <c r="N60" i="12"/>
  <c r="L150" i="12"/>
  <c r="N150" i="12" s="1"/>
  <c r="N27" i="12"/>
  <c r="L38" i="12"/>
  <c r="N38" i="12" s="1"/>
  <c r="L123" i="12"/>
  <c r="N8" i="12"/>
  <c r="N143" i="12"/>
  <c r="N152" i="12"/>
  <c r="N180" i="12"/>
  <c r="N184" i="12"/>
  <c r="L72" i="12"/>
  <c r="N72" i="12" s="1"/>
  <c r="L103" i="12"/>
  <c r="L175" i="12"/>
  <c r="N175" i="12" s="1"/>
  <c r="N14" i="12"/>
  <c r="N134" i="12"/>
  <c r="L171" i="12"/>
  <c r="N171" i="12" s="1"/>
  <c r="M6" i="11"/>
  <c r="M18" i="11"/>
  <c r="M71" i="11"/>
  <c r="M23" i="11"/>
  <c r="M80" i="11"/>
  <c r="M8" i="11"/>
  <c r="M16" i="11"/>
  <c r="M41" i="11"/>
  <c r="J12" i="10"/>
  <c r="L12" i="10" s="1"/>
  <c r="L42" i="10"/>
  <c r="L28" i="10"/>
  <c r="L35" i="10"/>
  <c r="L23" i="10"/>
  <c r="L53" i="9"/>
  <c r="L25" i="9"/>
  <c r="L22" i="9"/>
  <c r="L10" i="8"/>
  <c r="L37" i="5"/>
  <c r="L44" i="5"/>
  <c r="L189" i="12"/>
  <c r="N186" i="12"/>
  <c r="N182" i="12"/>
  <c r="N173" i="12"/>
  <c r="N153" i="12"/>
  <c r="N116" i="12"/>
  <c r="N157" i="12"/>
  <c r="N161" i="12"/>
  <c r="N120" i="12"/>
  <c r="L132" i="12"/>
  <c r="N132" i="12" s="1"/>
  <c r="N138" i="12"/>
  <c r="N111" i="12"/>
  <c r="M105" i="11"/>
  <c r="M87" i="11"/>
  <c r="M79" i="11"/>
  <c r="M72" i="11"/>
  <c r="M65" i="11"/>
  <c r="M62" i="11"/>
  <c r="M55" i="11"/>
  <c r="M33" i="11"/>
  <c r="M29" i="11"/>
  <c r="N10" i="8"/>
  <c r="N28" i="8"/>
  <c r="N38" i="8"/>
  <c r="L6" i="8"/>
  <c r="L16" i="7"/>
  <c r="N16" i="7" s="1"/>
  <c r="N23" i="7"/>
  <c r="N11" i="7"/>
  <c r="L20" i="7"/>
  <c r="N20" i="7" s="1"/>
  <c r="N22" i="7"/>
  <c r="J7" i="9"/>
  <c r="L12" i="5"/>
  <c r="M85" i="11"/>
  <c r="L70" i="5"/>
  <c r="J70" i="10"/>
  <c r="L12" i="12"/>
  <c r="J30" i="9"/>
  <c r="L30" i="9" s="1"/>
  <c r="J67" i="10"/>
  <c r="J18" i="9"/>
  <c r="L18" i="9"/>
  <c r="J29" i="10"/>
  <c r="L14" i="5"/>
  <c r="L18" i="8"/>
  <c r="J25" i="10"/>
  <c r="M56" i="11"/>
  <c r="J78" i="10"/>
  <c r="M21" i="11"/>
  <c r="L26" i="12"/>
  <c r="N27" i="8"/>
  <c r="J15" i="9"/>
  <c r="L15" i="9" s="1"/>
  <c r="L23" i="9"/>
  <c r="J37" i="9"/>
  <c r="L37" i="9"/>
  <c r="J7" i="10"/>
  <c r="L22" i="11"/>
  <c r="J22" i="11"/>
  <c r="J10" i="9"/>
  <c r="L10" i="9" s="1"/>
  <c r="J6" i="9"/>
  <c r="L31" i="7"/>
  <c r="L149" i="12"/>
  <c r="L156" i="12"/>
  <c r="L19" i="12"/>
  <c r="L121" i="12"/>
  <c r="L8" i="9"/>
  <c r="N142" i="12"/>
  <c r="L174" i="12"/>
  <c r="J20" i="9"/>
  <c r="L75" i="12"/>
  <c r="L10" i="7"/>
  <c r="L28" i="8"/>
  <c r="J62" i="10"/>
  <c r="M122" i="12"/>
  <c r="L122" i="12"/>
  <c r="J46" i="10"/>
  <c r="M61" i="11"/>
  <c r="L28" i="12"/>
  <c r="L168" i="12"/>
  <c r="J17" i="9"/>
  <c r="L17" i="9"/>
  <c r="L29" i="9"/>
  <c r="J49" i="10"/>
  <c r="L114" i="12"/>
  <c r="J24" i="6"/>
  <c r="L21" i="8"/>
  <c r="N6" i="8"/>
  <c r="L38" i="10"/>
  <c r="M32" i="11"/>
  <c r="N30" i="8"/>
  <c r="L81" i="10"/>
  <c r="M78" i="11"/>
  <c r="M99" i="11"/>
  <c r="L42" i="12"/>
  <c r="L133" i="12"/>
  <c r="M11" i="11"/>
  <c r="M14" i="11"/>
  <c r="N16" i="12"/>
  <c r="L58" i="12"/>
  <c r="L139" i="12"/>
  <c r="M59" i="11"/>
  <c r="M107" i="11"/>
  <c r="L11" i="12"/>
  <c r="N11" i="12" s="1"/>
  <c r="L129" i="12"/>
  <c r="L179" i="12"/>
  <c r="L55" i="12"/>
  <c r="J45" i="9"/>
  <c r="L7" i="12"/>
  <c r="I9" i="10"/>
  <c r="L167" i="12"/>
  <c r="M68" i="11"/>
  <c r="L162" i="12"/>
  <c r="L177" i="12"/>
  <c r="L25" i="12"/>
  <c r="L183" i="12"/>
  <c r="M54" i="11"/>
  <c r="L36" i="12"/>
  <c r="L176" i="12"/>
  <c r="L148" i="12"/>
  <c r="N6" i="12"/>
  <c r="N123" i="12" l="1"/>
  <c r="M15" i="11"/>
  <c r="M38" i="11"/>
  <c r="N179" i="12"/>
  <c r="N74" i="12"/>
  <c r="N162" i="12"/>
  <c r="L45" i="9"/>
  <c r="N177" i="12"/>
  <c r="N103" i="12"/>
  <c r="N189" i="12"/>
  <c r="N36" i="12"/>
  <c r="M12" i="11"/>
  <c r="L25" i="10"/>
  <c r="M103" i="11"/>
  <c r="M53" i="11"/>
  <c r="L78" i="10"/>
  <c r="N31" i="7"/>
  <c r="N55" i="12"/>
  <c r="N174" i="12"/>
  <c r="N19" i="12"/>
  <c r="N168" i="12"/>
  <c r="N10" i="7"/>
  <c r="N167" i="12"/>
  <c r="N188" i="12"/>
  <c r="M108" i="11"/>
  <c r="N26" i="12"/>
  <c r="N12" i="12"/>
  <c r="N148" i="12"/>
  <c r="L20" i="9"/>
  <c r="N156" i="12"/>
  <c r="L6" i="9"/>
  <c r="L17" i="6"/>
  <c r="M51" i="11"/>
  <c r="M58" i="11"/>
  <c r="N139" i="12"/>
  <c r="N149" i="12"/>
  <c r="N25" i="12"/>
  <c r="N133" i="12"/>
  <c r="N75" i="12"/>
  <c r="N58" i="12"/>
  <c r="N114" i="12"/>
  <c r="N183" i="12"/>
  <c r="N129" i="12"/>
  <c r="L72" i="10"/>
  <c r="N28" i="12"/>
  <c r="L7" i="10"/>
  <c r="N176" i="12"/>
  <c r="N42" i="12"/>
  <c r="L29" i="10"/>
  <c r="L7" i="9"/>
  <c r="N122" i="12"/>
  <c r="N121" i="12"/>
  <c r="M7" i="11"/>
  <c r="L24" i="6" l="1"/>
  <c r="M22" i="11"/>
  <c r="I8" i="6" l="1"/>
  <c r="H8" i="6"/>
</calcChain>
</file>

<file path=xl/sharedStrings.xml><?xml version="1.0" encoding="utf-8"?>
<sst xmlns="http://schemas.openxmlformats.org/spreadsheetml/2006/main" count="1414" uniqueCount="707">
  <si>
    <t>Country</t>
  </si>
  <si>
    <t>China</t>
  </si>
  <si>
    <t>Brazil</t>
  </si>
  <si>
    <t>Canada</t>
  </si>
  <si>
    <t>India</t>
  </si>
  <si>
    <t>Vietnam</t>
  </si>
  <si>
    <t>Japan</t>
  </si>
  <si>
    <t>France</t>
  </si>
  <si>
    <t>Turkey</t>
  </si>
  <si>
    <t>Colombia</t>
  </si>
  <si>
    <t>Argentina</t>
  </si>
  <si>
    <t>Austria</t>
  </si>
  <si>
    <t>Switzerland</t>
  </si>
  <si>
    <t>Spain</t>
  </si>
  <si>
    <t>Pakistan</t>
  </si>
  <si>
    <t>Mexico</t>
  </si>
  <si>
    <t>New Zealand</t>
  </si>
  <si>
    <t>Malaysia</t>
  </si>
  <si>
    <t>Venezuela</t>
  </si>
  <si>
    <t>Tajikistan</t>
  </si>
  <si>
    <t>Germany</t>
  </si>
  <si>
    <t>Romania</t>
  </si>
  <si>
    <t>Indonesia</t>
  </si>
  <si>
    <t>Australia</t>
  </si>
  <si>
    <t>Iran</t>
  </si>
  <si>
    <t>Mozambique</t>
  </si>
  <si>
    <t>Iceland</t>
  </si>
  <si>
    <t>Egypt</t>
  </si>
  <si>
    <t>Ukraine</t>
  </si>
  <si>
    <t>Kazakhstan</t>
  </si>
  <si>
    <t>Sudan</t>
  </si>
  <si>
    <t>Nigeria</t>
  </si>
  <si>
    <t>Uruguay</t>
  </si>
  <si>
    <t>Ghana</t>
  </si>
  <si>
    <t>Zimbabwe</t>
  </si>
  <si>
    <t>Iraq</t>
  </si>
  <si>
    <t>Azerbaijan</t>
  </si>
  <si>
    <t>Lesotho</t>
  </si>
  <si>
    <t xml:space="preserve">Location </t>
  </si>
  <si>
    <t>Number of reservoirs</t>
  </si>
  <si>
    <t>Fall height (m)</t>
  </si>
  <si>
    <t>Kvilldal</t>
  </si>
  <si>
    <t>Saurdal</t>
  </si>
  <si>
    <t>Brokke</t>
  </si>
  <si>
    <t>Holen</t>
  </si>
  <si>
    <t>Tonstad</t>
  </si>
  <si>
    <t>Solhom</t>
  </si>
  <si>
    <t>Duge</t>
  </si>
  <si>
    <t>Efficiency</t>
  </si>
  <si>
    <t>Francis</t>
  </si>
  <si>
    <t>Aurland I</t>
  </si>
  <si>
    <t>Pelton</t>
  </si>
  <si>
    <t>Sy-Sima</t>
  </si>
  <si>
    <t>Svartisen</t>
  </si>
  <si>
    <t>Lang-Sima</t>
  </si>
  <si>
    <t>Rana</t>
  </si>
  <si>
    <t>Tokke</t>
  </si>
  <si>
    <t>Tyin</t>
  </si>
  <si>
    <t>Lysebotn 2</t>
  </si>
  <si>
    <t>Nedre Røssåga</t>
  </si>
  <si>
    <t>Vamma</t>
  </si>
  <si>
    <t>Evanger</t>
  </si>
  <si>
    <t>Nedre Vinstra</t>
  </si>
  <si>
    <t>Kobbelv</t>
  </si>
  <si>
    <t>Skjomen</t>
  </si>
  <si>
    <t>Vinje</t>
  </si>
  <si>
    <t>Aura</t>
  </si>
  <si>
    <t>Jostedal</t>
  </si>
  <si>
    <t>Aurland III</t>
  </si>
  <si>
    <t>Skagen</t>
  </si>
  <si>
    <t>Mauranger</t>
  </si>
  <si>
    <t>Nes</t>
  </si>
  <si>
    <t>Blåfalli Vik</t>
  </si>
  <si>
    <t>Fellesanlegget Kykkelsr</t>
  </si>
  <si>
    <t>Kaplan</t>
  </si>
  <si>
    <t>Holen I-II</t>
  </si>
  <si>
    <t>Tysso II</t>
  </si>
  <si>
    <t>Sønnå H</t>
  </si>
  <si>
    <t>Borgund</t>
  </si>
  <si>
    <t>Skjerka</t>
  </si>
  <si>
    <t>Nore I</t>
  </si>
  <si>
    <t>Oksla</t>
  </si>
  <si>
    <t>Vemork</t>
  </si>
  <si>
    <t>Solbergfoss</t>
  </si>
  <si>
    <t>Usta</t>
  </si>
  <si>
    <t>Såheim</t>
  </si>
  <si>
    <t>Matre H</t>
  </si>
  <si>
    <t>Mår</t>
  </si>
  <si>
    <t>Siso</t>
  </si>
  <si>
    <t>Suldal I</t>
  </si>
  <si>
    <t>Tunnsjødal</t>
  </si>
  <si>
    <t>Nea</t>
  </si>
  <si>
    <t>Øvre Røssåga</t>
  </si>
  <si>
    <t>Steinsland</t>
  </si>
  <si>
    <t>Røldal</t>
  </si>
  <si>
    <t>Holen III</t>
  </si>
  <si>
    <t>Hogstad</t>
  </si>
  <si>
    <t>Reinskar</t>
  </si>
  <si>
    <t>Berlifoss</t>
  </si>
  <si>
    <t>Sørbrandal</t>
  </si>
  <si>
    <t>Vangjolo</t>
  </si>
  <si>
    <t>Uleberg</t>
  </si>
  <si>
    <t>Løkaunet</t>
  </si>
  <si>
    <t>Oltedal</t>
  </si>
  <si>
    <t>Salvasskardelva</t>
  </si>
  <si>
    <t>Svardøla</t>
  </si>
  <si>
    <t>Valken</t>
  </si>
  <si>
    <t>Svelgen I</t>
  </si>
  <si>
    <t>Torsnes</t>
  </si>
  <si>
    <t>Aurland V (Reppa)</t>
  </si>
  <si>
    <t>Einunna</t>
  </si>
  <si>
    <t>Fossmark</t>
  </si>
  <si>
    <t>Kvitno</t>
  </si>
  <si>
    <t>Langfjord</t>
  </si>
  <si>
    <t>Nye Suvdøla</t>
  </si>
  <si>
    <t>Rødne</t>
  </si>
  <si>
    <t>Søkkunda</t>
  </si>
  <si>
    <t>Sigdestad</t>
  </si>
  <si>
    <t>Kløvtveit</t>
  </si>
  <si>
    <t>Sage</t>
  </si>
  <si>
    <t>Forsanvatn</t>
  </si>
  <si>
    <t>Lavkajohka</t>
  </si>
  <si>
    <t>Romøyri</t>
  </si>
  <si>
    <t>Holsen</t>
  </si>
  <si>
    <t>Hellifossen</t>
  </si>
  <si>
    <t>Nessane</t>
  </si>
  <si>
    <t>Øvre Forsland</t>
  </si>
  <si>
    <t>Vassenden</t>
  </si>
  <si>
    <t>Øvre Leiråga</t>
  </si>
  <si>
    <t>Tunnsjøfoss</t>
  </si>
  <si>
    <t>Storlia</t>
  </si>
  <si>
    <t>Vesle Kjela</t>
  </si>
  <si>
    <t>Fossheim</t>
  </si>
  <si>
    <t>Kildalen</t>
  </si>
  <si>
    <t>Steinsvik</t>
  </si>
  <si>
    <t>Bjørnstokk</t>
  </si>
  <si>
    <t>Blåfalli V</t>
  </si>
  <si>
    <t>Lindland</t>
  </si>
  <si>
    <t>Brekke</t>
  </si>
  <si>
    <t>Trandal</t>
  </si>
  <si>
    <t>Urke</t>
  </si>
  <si>
    <t>Storåvatn 1</t>
  </si>
  <si>
    <t>Storelva</t>
  </si>
  <si>
    <t>Berge</t>
  </si>
  <si>
    <t>Turbine</t>
  </si>
  <si>
    <t>Katse Dam</t>
  </si>
  <si>
    <t>Roseires</t>
  </si>
  <si>
    <t>Merowe</t>
  </si>
  <si>
    <t>Upper Atbara and Setit</t>
  </si>
  <si>
    <t>Kajbar</t>
  </si>
  <si>
    <t>Khashm el-Girba</t>
  </si>
  <si>
    <t>Cahora Bassa Dam</t>
  </si>
  <si>
    <t>Massingir Hydroelectric Power Station</t>
  </si>
  <si>
    <t>Jebba Hydroelectric Power Station</t>
  </si>
  <si>
    <t>Kainji Power Station</t>
  </si>
  <si>
    <t>Mambilla Hydroelectric Power Station</t>
  </si>
  <si>
    <t>Shiroro Hydroelectric Power Station</t>
  </si>
  <si>
    <t>Zungeru Hydroelectric Power Station</t>
  </si>
  <si>
    <t>Akosombo Hydroelectric Power Station</t>
  </si>
  <si>
    <t>Bui Hydroelectric Power Station</t>
  </si>
  <si>
    <t>Kariba South Bank</t>
  </si>
  <si>
    <t>Tokwe Mukorsi Dam</t>
  </si>
  <si>
    <t>Batoka Gorge Hydroelectric Power Station</t>
  </si>
  <si>
    <t>Shahid Abbaspour Dam</t>
  </si>
  <si>
    <t>Karkheh Dam</t>
  </si>
  <si>
    <t>Dez Dam</t>
  </si>
  <si>
    <t>Karun-3 Dam</t>
  </si>
  <si>
    <t>Karun-4 Dam</t>
  </si>
  <si>
    <t>Masjed Soleyman Dam</t>
  </si>
  <si>
    <t>Latyan Dam</t>
  </si>
  <si>
    <t>Kouhrang Dam</t>
  </si>
  <si>
    <t>Shahid Rajaee Dam</t>
  </si>
  <si>
    <t>Piran Dam</t>
  </si>
  <si>
    <t>Seimareh Dam</t>
  </si>
  <si>
    <t>Rudbar Lorestan Dam</t>
  </si>
  <si>
    <t>Sardasht Dam</t>
  </si>
  <si>
    <t>Marun Dam</t>
  </si>
  <si>
    <t>Upper Gotvand Dam</t>
  </si>
  <si>
    <t>Daryan Dam</t>
  </si>
  <si>
    <t>Bakhtiari Dam</t>
  </si>
  <si>
    <t>Khersan-3 Dam</t>
  </si>
  <si>
    <t>Adhaim Dam</t>
  </si>
  <si>
    <t>Badush Dam</t>
  </si>
  <si>
    <t>Bastora Dam</t>
  </si>
  <si>
    <t>Bawanur Dam</t>
  </si>
  <si>
    <t>Bekhme Dam</t>
  </si>
  <si>
    <t>Darbandikhan Dam</t>
  </si>
  <si>
    <t>Deralok Dam</t>
  </si>
  <si>
    <t>Dukan Dam</t>
  </si>
  <si>
    <t>Haditha Dam</t>
  </si>
  <si>
    <t>Hemrin Dam</t>
  </si>
  <si>
    <t>Mosul Dam</t>
  </si>
  <si>
    <t>Samarra Barrage</t>
  </si>
  <si>
    <t>Sayano-Shushenskaya, Russia</t>
  </si>
  <si>
    <t>Krasnoyarsk</t>
  </si>
  <si>
    <t>Bratsk</t>
  </si>
  <si>
    <t>Ust-Ilimsk</t>
  </si>
  <si>
    <t>Boguchany</t>
  </si>
  <si>
    <t>Volga</t>
  </si>
  <si>
    <t>Zhiguli</t>
  </si>
  <si>
    <t>Bureya</t>
  </si>
  <si>
    <t>Saratov</t>
  </si>
  <si>
    <t>Cheboksary</t>
  </si>
  <si>
    <t>Zeya</t>
  </si>
  <si>
    <t>Nizhnekamsk</t>
  </si>
  <si>
    <t>Votkinsk</t>
  </si>
  <si>
    <t>Chirkei</t>
  </si>
  <si>
    <t>Irkutsk</t>
  </si>
  <si>
    <t>Kama</t>
  </si>
  <si>
    <t>Kolyma</t>
  </si>
  <si>
    <t>Narva</t>
  </si>
  <si>
    <t>Pavlovka</t>
  </si>
  <si>
    <t>Rybinsk</t>
  </si>
  <si>
    <t>Bukhtarma</t>
  </si>
  <si>
    <t>Kapshagay</t>
  </si>
  <si>
    <t>Oskemen</t>
  </si>
  <si>
    <t>Shulbinsk</t>
  </si>
  <si>
    <t>Kyiv Hydroelectric Power Plant</t>
  </si>
  <si>
    <t>Kaniv Hydroelectric Station</t>
  </si>
  <si>
    <t>Kremenchuk Hydroelectric Station</t>
  </si>
  <si>
    <t>Kakhovka Hydroelectric Station</t>
  </si>
  <si>
    <t>Middle Dnieper Hydroelectric Power Plant</t>
  </si>
  <si>
    <t>https://fr.wikipedia.org/wiki/DniproHES</t>
  </si>
  <si>
    <t>Farkhad Dam</t>
  </si>
  <si>
    <t>Kayrakkum Dam</t>
  </si>
  <si>
    <t>Nurek Dam</t>
  </si>
  <si>
    <t>Rogun Dam</t>
  </si>
  <si>
    <t>Sangtuda 1 Hydroelectric Power Plant</t>
  </si>
  <si>
    <t>Baipaza Dam</t>
  </si>
  <si>
    <t>Golovnaya Dam</t>
  </si>
  <si>
    <t>Baipazinskaya HPS</t>
  </si>
  <si>
    <t>Mingachevir Hydroelectric Power Station</t>
  </si>
  <si>
    <t>Big Bend</t>
  </si>
  <si>
    <t>Boundary</t>
  </si>
  <si>
    <t>Brownlee</t>
  </si>
  <si>
    <t>Bull Shoals</t>
  </si>
  <si>
    <t>Chief Joseph</t>
  </si>
  <si>
    <t>Comerford</t>
  </si>
  <si>
    <t>Conowingo</t>
  </si>
  <si>
    <t>Davis Dam</t>
  </si>
  <si>
    <t>Dworshak</t>
  </si>
  <si>
    <t>Fort Randall</t>
  </si>
  <si>
    <t>Garrison</t>
  </si>
  <si>
    <t>Glen Canyon</t>
  </si>
  <si>
    <t>Grand Coulee</t>
  </si>
  <si>
    <t>Hartwell</t>
  </si>
  <si>
    <t>Hells Canyon</t>
  </si>
  <si>
    <t>Hoover</t>
  </si>
  <si>
    <t>J. Strom Thurmond</t>
  </si>
  <si>
    <t>Libby</t>
  </si>
  <si>
    <t>Mossyrock</t>
  </si>
  <si>
    <t>New Bullards Bar</t>
  </si>
  <si>
    <t>New Melones</t>
  </si>
  <si>
    <t>Noxon Rapids</t>
  </si>
  <si>
    <t>Oahe</t>
  </si>
  <si>
    <t>Oroville</t>
  </si>
  <si>
    <t>Round Butte</t>
  </si>
  <si>
    <t>Shasta</t>
  </si>
  <si>
    <t>St. Lawrence-FDR</t>
  </si>
  <si>
    <t>Wilson</t>
  </si>
  <si>
    <t>Bersimis-1</t>
  </si>
  <si>
    <t>Bighorn</t>
  </si>
  <si>
    <t>Brisay</t>
  </si>
  <si>
    <t>Churchill Falls</t>
  </si>
  <si>
    <t>Gordon M. Shrum</t>
  </si>
  <si>
    <t>Kootenay Canal</t>
  </si>
  <si>
    <t>La Grande-2-A</t>
  </si>
  <si>
    <t>La Grande-3</t>
  </si>
  <si>
    <t>La Grande-4</t>
  </si>
  <si>
    <t>Laforge-1</t>
  </si>
  <si>
    <t>Mactaquac</t>
  </si>
  <si>
    <t>Manic-5</t>
  </si>
  <si>
    <t>Mica</t>
  </si>
  <si>
    <t>Outardes-4</t>
  </si>
  <si>
    <t>Revelstoke</t>
  </si>
  <si>
    <t>Robert H. Saunders</t>
  </si>
  <si>
    <t>Robert-Bourassa</t>
  </si>
  <si>
    <t>Romaine-2</t>
  </si>
  <si>
    <t>Romaine-3</t>
  </si>
  <si>
    <t>Ruskin</t>
  </si>
  <si>
    <t>Sainte-Marguerite-3</t>
  </si>
  <si>
    <t>Spray</t>
  </si>
  <si>
    <t>Wreck Cove</t>
  </si>
  <si>
    <t>Água Vermelha Dam</t>
  </si>
  <si>
    <t>Balbina Dam</t>
  </si>
  <si>
    <t>Barra Grande</t>
  </si>
  <si>
    <t>Belo Monte Dam</t>
  </si>
  <si>
    <t>Bento Munhoz</t>
  </si>
  <si>
    <t>Três Marias Dam</t>
  </si>
  <si>
    <t>Capivara Dam</t>
  </si>
  <si>
    <t>Chacorão Dam</t>
  </si>
  <si>
    <t>Colíder Dam</t>
  </si>
  <si>
    <t>Dona Francisca</t>
  </si>
  <si>
    <t>Emborcação Dam</t>
  </si>
  <si>
    <t>Engineer Souza Dias Dam</t>
  </si>
  <si>
    <t>Furnas Dam</t>
  </si>
  <si>
    <t>José Richa</t>
  </si>
  <si>
    <t>Itá</t>
  </si>
  <si>
    <t>Itumbiara Dam</t>
  </si>
  <si>
    <t>Ilha Solteira Dam</t>
  </si>
  <si>
    <t>Jatobá</t>
  </si>
  <si>
    <t>Jirau Dam</t>
  </si>
  <si>
    <t>Irapé Dam</t>
  </si>
  <si>
    <t>Luiz Barreto Dam</t>
  </si>
  <si>
    <t>Luiz Gonzaga Dam</t>
  </si>
  <si>
    <t>Machadinho</t>
  </si>
  <si>
    <t>Marimbondo Dam</t>
  </si>
  <si>
    <t>Miranda Dam</t>
  </si>
  <si>
    <t>Nova Avanhandava Dam</t>
  </si>
  <si>
    <t>Peixoto Dam</t>
  </si>
  <si>
    <t>Eng Sérgio Motta Dam</t>
  </si>
  <si>
    <t>Salto Santiago</t>
  </si>
  <si>
    <t>Salto Osório</t>
  </si>
  <si>
    <t>Santo Antônio Dam</t>
  </si>
  <si>
    <t>São Simão Dam</t>
  </si>
  <si>
    <t>Serra da Mesa Dam</t>
  </si>
  <si>
    <t>Sobradinho Dam</t>
  </si>
  <si>
    <t>Teles Pires Dam</t>
  </si>
  <si>
    <t>Três Irmãos Dam</t>
  </si>
  <si>
    <t>Tucurui, Brazil</t>
  </si>
  <si>
    <t>Xingó Dam</t>
  </si>
  <si>
    <t>Caruachi</t>
  </si>
  <si>
    <t>Guri, Venezuela</t>
  </si>
  <si>
    <t>Macagua I</t>
  </si>
  <si>
    <t>Tocoma</t>
  </si>
  <si>
    <t>Salto Grande</t>
  </si>
  <si>
    <t>Piedra del Águila</t>
  </si>
  <si>
    <t>El Chocón</t>
  </si>
  <si>
    <t>Condor Cliff</t>
  </si>
  <si>
    <t>Alicurá</t>
  </si>
  <si>
    <t>La Barrancosa</t>
  </si>
  <si>
    <t>Pichi Picún Leufú</t>
  </si>
  <si>
    <t>Los Reyunos</t>
  </si>
  <si>
    <t>Agua del Toro</t>
  </si>
  <si>
    <t>Arroyito</t>
  </si>
  <si>
    <t>Los Caracoles</t>
  </si>
  <si>
    <t>Cacheuta (Potrerillos)</t>
  </si>
  <si>
    <t>Punta Negra</t>
  </si>
  <si>
    <t>Los Molinos I</t>
  </si>
  <si>
    <t>Quebrada de Ullum</t>
  </si>
  <si>
    <t>San Roque</t>
  </si>
  <si>
    <t>El Carrizal</t>
  </si>
  <si>
    <t>San Carlos Hydroelectric Power Plant</t>
  </si>
  <si>
    <t>Chivor Hydroelectric Project</t>
  </si>
  <si>
    <t>Sogamoso Dam</t>
  </si>
  <si>
    <t>Porce III Dam</t>
  </si>
  <si>
    <t>Miel I Hydroelectric Station</t>
  </si>
  <si>
    <t>Quimbo Dam</t>
  </si>
  <si>
    <t>Aguamilpa Dam</t>
  </si>
  <si>
    <t>Álvaro Obregón Dam</t>
  </si>
  <si>
    <t>Amistad Dam</t>
  </si>
  <si>
    <t>Angostura Dam (Mexico)</t>
  </si>
  <si>
    <t>Falcon Dam</t>
  </si>
  <si>
    <t>Huites Dam</t>
  </si>
  <si>
    <t>La Yesca Dam</t>
  </si>
  <si>
    <t>Malpaso Dam</t>
  </si>
  <si>
    <t>Zimapán Dam</t>
  </si>
  <si>
    <t>Salto Grande Dam</t>
  </si>
  <si>
    <t>Ussel, Cantal</t>
  </si>
  <si>
    <t>Riez, Alpes-de-Haute-Provence</t>
  </si>
  <si>
    <t>Saint Etienne, Loire</t>
  </si>
  <si>
    <t>Uzerche, Correze</t>
  </si>
  <si>
    <t>Gap, Hautes-Alpes</t>
  </si>
  <si>
    <t>Castellane, Alpes-de-Haute-Provence</t>
  </si>
  <si>
    <t>Rodez, Aveyron</t>
  </si>
  <si>
    <t>Quinson, Alpes-de-Haute-Provence</t>
  </si>
  <si>
    <t>Argentat, Correze</t>
  </si>
  <si>
    <t>Monestier, Isere</t>
  </si>
  <si>
    <t>Bagnères de Luchon, Haute-Garonne</t>
  </si>
  <si>
    <t>Bellagarde, Ain</t>
  </si>
  <si>
    <t>Albertville, Savoie</t>
  </si>
  <si>
    <t>Montezic, Aveyron</t>
  </si>
  <si>
    <t>Guillestre, Hautes-Alpes</t>
  </si>
  <si>
    <t>La Praz, Isère</t>
  </si>
  <si>
    <t>Vaujany, Isere</t>
  </si>
  <si>
    <t>Artvin Dam</t>
  </si>
  <si>
    <t>Aslantaş Dam</t>
  </si>
  <si>
    <t>Atatürk Dam</t>
  </si>
  <si>
    <t>Batman Dam</t>
  </si>
  <si>
    <t>Borçka Dam</t>
  </si>
  <si>
    <t>Boyabat Dam</t>
  </si>
  <si>
    <t>Çatalan Dam</t>
  </si>
  <si>
    <t>Çınarcık Dam</t>
  </si>
  <si>
    <t>Deriner Dam</t>
  </si>
  <si>
    <t>Dicle Dam</t>
  </si>
  <si>
    <t>Ermenek Dam</t>
  </si>
  <si>
    <t>Gökçekaya Dam</t>
  </si>
  <si>
    <t>Ilısu Dam</t>
  </si>
  <si>
    <t>Karkamış Dam</t>
  </si>
  <si>
    <t>Keban Dam</t>
  </si>
  <si>
    <t>Kığı Dam</t>
  </si>
  <si>
    <t>Kılıçkaya Dam</t>
  </si>
  <si>
    <t>Köprü Dam</t>
  </si>
  <si>
    <t>Menzelet Dam</t>
  </si>
  <si>
    <t>Muratlı Dam</t>
  </si>
  <si>
    <t>Oymapinar Dam</t>
  </si>
  <si>
    <t>Özlüce Dam</t>
  </si>
  <si>
    <t>Sarıyar Dam</t>
  </si>
  <si>
    <t>Sır Dam</t>
  </si>
  <si>
    <t>Torul Dam</t>
  </si>
  <si>
    <t>Yedigöze Dam</t>
  </si>
  <si>
    <t>Yusufeli Dam</t>
  </si>
  <si>
    <t>Fljótsdalur</t>
  </si>
  <si>
    <t>Búrfell</t>
  </si>
  <si>
    <t>Hrauneyjafoss</t>
  </si>
  <si>
    <t>Blanda</t>
  </si>
  <si>
    <t xml:space="preserve">Sigalda </t>
  </si>
  <si>
    <t>Sultartangi</t>
  </si>
  <si>
    <t>Búðarháls</t>
  </si>
  <si>
    <t>Vatnsfell</t>
  </si>
  <si>
    <t>Gerlos I-II Hydroelectric Power Plant Austria</t>
  </si>
  <si>
    <t>Boesdornau Hydroelectric Power Plant Austria</t>
  </si>
  <si>
    <t>Tuxbach Hydroelectric Power Plant Austria</t>
  </si>
  <si>
    <t>Funsingau Hydroelectric Power Plant Austria</t>
  </si>
  <si>
    <t>Freudenau Hydroelectric Power Plant Austria</t>
  </si>
  <si>
    <t>Obervermunt Hydroelectric Power Plant Austria</t>
  </si>
  <si>
    <t>Vermunt Hydroelectric Power Plant Austria</t>
  </si>
  <si>
    <t>Kops II Pumped Storage Power Plant Austria</t>
  </si>
  <si>
    <t>Malta-Reisseck Power Plant Group</t>
  </si>
  <si>
    <t>Aar Dam</t>
  </si>
  <si>
    <t>Edersee Dam</t>
  </si>
  <si>
    <t>Kleine Kinzig Dam</t>
  </si>
  <si>
    <t>Eibenstock Dam</t>
  </si>
  <si>
    <t>Olef Dam</t>
  </si>
  <si>
    <t>Söse Dam</t>
  </si>
  <si>
    <t>Sylvenstein Dam</t>
  </si>
  <si>
    <t>Bicaz-Stejaru Hydroelectric Power Station</t>
  </si>
  <si>
    <t>Brădişor Dam</t>
  </si>
  <si>
    <t>Lotru-Ciunget Hydroelectric Power Station</t>
  </si>
  <si>
    <t>Mărişelu Hydroelectric Power Station</t>
  </si>
  <si>
    <t>Oaşa Dam</t>
  </si>
  <si>
    <t>Iron Gate I Hydroelectric Power Station</t>
  </si>
  <si>
    <t>Iron Gate II Hydroelectric Power Station</t>
  </si>
  <si>
    <t>Remeţi Hydroelectric Power Station</t>
  </si>
  <si>
    <t>Ruieni Hydroelectric Power Station</t>
  </si>
  <si>
    <t>Raul Mare</t>
  </si>
  <si>
    <t>Şugag Dam</t>
  </si>
  <si>
    <t>Tismana Hydroelectric Power Station</t>
  </si>
  <si>
    <t>Three Gorges, China</t>
  </si>
  <si>
    <t>Xiluodu, China</t>
  </si>
  <si>
    <t>Xiangjiaba, China</t>
  </si>
  <si>
    <t>Longtan, China</t>
  </si>
  <si>
    <t>Ahai Dam</t>
  </si>
  <si>
    <t>Ertan Dam</t>
  </si>
  <si>
    <t>Goupitan Dam</t>
  </si>
  <si>
    <t>Jinghong Dam</t>
  </si>
  <si>
    <t>Jinping-I Dam</t>
  </si>
  <si>
    <t>Lijiaxia Dam</t>
  </si>
  <si>
    <t>Longyangxia Dam</t>
  </si>
  <si>
    <t>Nuozhadu Dam</t>
  </si>
  <si>
    <t>Tianshengqiao-I</t>
  </si>
  <si>
    <t>Xiaowan Dam</t>
  </si>
  <si>
    <t>Yantan Dam</t>
  </si>
  <si>
    <t>Akiba Dam</t>
  </si>
  <si>
    <t>Amagase Dam</t>
  </si>
  <si>
    <t>Funagira Dam</t>
  </si>
  <si>
    <t>Hatanagi-I Dam</t>
  </si>
  <si>
    <t>Hatanagi-II Dam</t>
  </si>
  <si>
    <t>Ikawa Dam</t>
  </si>
  <si>
    <t>Kurobe Dam</t>
  </si>
  <si>
    <t>Matanoagawa Dam</t>
  </si>
  <si>
    <t>Miboro Dam</t>
  </si>
  <si>
    <t>Miho Dam</t>
  </si>
  <si>
    <t>Misakubo Dam</t>
  </si>
  <si>
    <t>Miyagase Dam</t>
  </si>
  <si>
    <t>Maruyama Dam</t>
  </si>
  <si>
    <t>Ōigawa Dam</t>
  </si>
  <si>
    <t>Okutadami Dam</t>
  </si>
  <si>
    <t>Otori Dam</t>
  </si>
  <si>
    <t>Sagami Dam</t>
  </si>
  <si>
    <t>Sakuma Dam</t>
  </si>
  <si>
    <t>Sasamagawa Dam</t>
  </si>
  <si>
    <t>Senzu Dam</t>
  </si>
  <si>
    <t>Shiroyama Dam</t>
  </si>
  <si>
    <t>Tagokura Dam</t>
  </si>
  <si>
    <t>Taki Dam</t>
  </si>
  <si>
    <t>Tashiro Dam</t>
  </si>
  <si>
    <t>Tokuyama Dam</t>
  </si>
  <si>
    <t>Tehri Dam</t>
  </si>
  <si>
    <t>Koteshwar Dam</t>
  </si>
  <si>
    <t>Dehar Power House</t>
  </si>
  <si>
    <t>Pong</t>
  </si>
  <si>
    <t>Bhakra Dam</t>
  </si>
  <si>
    <t>Salal Hydroelectric Power Station</t>
  </si>
  <si>
    <t>Srisailam Dam</t>
  </si>
  <si>
    <t>Nagarjuna Sagar</t>
  </si>
  <si>
    <t>Idukki</t>
  </si>
  <si>
    <t>Jurala Project</t>
  </si>
  <si>
    <t>Pulichinthala Project</t>
  </si>
  <si>
    <t>Polavaram</t>
  </si>
  <si>
    <t>Sardar Sarovar</t>
  </si>
  <si>
    <t>Jayakwadi Dam</t>
  </si>
  <si>
    <t>Ujjani Dam</t>
  </si>
  <si>
    <t>Lower Subansiri Hydroelectric Power Project</t>
  </si>
  <si>
    <t>Upper Indravati Power Station</t>
  </si>
  <si>
    <t>Balimela Power Station</t>
  </si>
  <si>
    <t>Jalaput Dam</t>
  </si>
  <si>
    <t>Panchet</t>
  </si>
  <si>
    <t>Sơn La Dam</t>
  </si>
  <si>
    <t>Lai Chau</t>
  </si>
  <si>
    <t>Hoa Binh</t>
  </si>
  <si>
    <t>Tri An</t>
  </si>
  <si>
    <t>Hàm Thuận – Đa Mi hydroelectric power stations</t>
  </si>
  <si>
    <t>Na Hang Dam</t>
  </si>
  <si>
    <t>Trung Sơn Dam</t>
  </si>
  <si>
    <t>Yali Falls Dam</t>
  </si>
  <si>
    <t>Tarbela Dam</t>
  </si>
  <si>
    <t>Ghazi-Barotha Hydropower Project</t>
  </si>
  <si>
    <t>Mangla Dam</t>
  </si>
  <si>
    <t>Neelum–Jhelum Hydropower Plant</t>
  </si>
  <si>
    <t>Warsak Dam</t>
  </si>
  <si>
    <t>Chashma Barrage</t>
  </si>
  <si>
    <t>Patrind Hydropower Plant</t>
  </si>
  <si>
    <t>Allai Khwar Hydropower Project</t>
  </si>
  <si>
    <t>Golen Gol Hydropower Project</t>
  </si>
  <si>
    <t>Gulpur Hydropower Project</t>
  </si>
  <si>
    <t>Khan Khwar Hydropower Project</t>
  </si>
  <si>
    <t>Jabban Hydropower Plant</t>
  </si>
  <si>
    <t>Dargai Hydropower Plant</t>
  </si>
  <si>
    <t>Satpara Dam</t>
  </si>
  <si>
    <t>Darawat Dam</t>
  </si>
  <si>
    <t>Naulong Dam</t>
  </si>
  <si>
    <t>Mohmand Dam</t>
  </si>
  <si>
    <t>Tangir Hydropower Project</t>
  </si>
  <si>
    <t>Kohala Hydropower Project</t>
  </si>
  <si>
    <t>Aniwhenua</t>
  </si>
  <si>
    <t>Arapuni</t>
  </si>
  <si>
    <t>Aratiatia</t>
  </si>
  <si>
    <t>Arnold</t>
  </si>
  <si>
    <t>Atiamuri</t>
  </si>
  <si>
    <t>Aviemore</t>
  </si>
  <si>
    <t>Benmore</t>
  </si>
  <si>
    <t>Clyde</t>
  </si>
  <si>
    <t>Coleridge</t>
  </si>
  <si>
    <t>Karapiro</t>
  </si>
  <si>
    <t>Manapouri</t>
  </si>
  <si>
    <t>Mangorei</t>
  </si>
  <si>
    <t>Maraetai I</t>
  </si>
  <si>
    <t>Monowai</t>
  </si>
  <si>
    <t>Motukawa</t>
  </si>
  <si>
    <t>Ohakuri</t>
  </si>
  <si>
    <t>Ohau A</t>
  </si>
  <si>
    <t>Roxburgh</t>
  </si>
  <si>
    <t>Wairere</t>
  </si>
  <si>
    <t>Whakamaru</t>
  </si>
  <si>
    <t>Blowering</t>
  </si>
  <si>
    <t>Cochrane</t>
  </si>
  <si>
    <t>Burrinjuck</t>
  </si>
  <si>
    <t>Guthega</t>
  </si>
  <si>
    <t>Hume</t>
  </si>
  <si>
    <t>Bendeela</t>
  </si>
  <si>
    <t>Keepit</t>
  </si>
  <si>
    <t>Murray 1</t>
  </si>
  <si>
    <t>Murray 2</t>
  </si>
  <si>
    <t>Nymboida</t>
  </si>
  <si>
    <t>Tumut 1</t>
  </si>
  <si>
    <t>Tumut 2</t>
  </si>
  <si>
    <t>Tumut 3</t>
  </si>
  <si>
    <t>Warragamba</t>
  </si>
  <si>
    <t xml:space="preserve">Wyangala </t>
  </si>
  <si>
    <t>Barron Gorge</t>
  </si>
  <si>
    <t>Kareeya</t>
  </si>
  <si>
    <t>Kareeya 5</t>
  </si>
  <si>
    <t>Somerset Dam</t>
  </si>
  <si>
    <t>Tinaroo</t>
  </si>
  <si>
    <t>Wivenhoe</t>
  </si>
  <si>
    <t>Terminal Storage Mini Hydro</t>
  </si>
  <si>
    <t>Bastyan</t>
  </si>
  <si>
    <t>Butlers Gorge</t>
  </si>
  <si>
    <t>Catagunya</t>
  </si>
  <si>
    <t>Cethana</t>
  </si>
  <si>
    <t>Cluny</t>
  </si>
  <si>
    <t>Devils Gate</t>
  </si>
  <si>
    <t>Fisher</t>
  </si>
  <si>
    <t>Gordon</t>
  </si>
  <si>
    <t>Meander Dam</t>
  </si>
  <si>
    <t>John Butters</t>
  </si>
  <si>
    <t>Lake Echo</t>
  </si>
  <si>
    <t>Lake Margaret</t>
  </si>
  <si>
    <t>Lemonthyme</t>
  </si>
  <si>
    <t>Liapootah</t>
  </si>
  <si>
    <t>Mackintosh</t>
  </si>
  <si>
    <t>Meadowbank</t>
  </si>
  <si>
    <t>Nieterana</t>
  </si>
  <si>
    <t>Paloona</t>
  </si>
  <si>
    <t>Poatina</t>
  </si>
  <si>
    <t>Reece</t>
  </si>
  <si>
    <t>Repulse</t>
  </si>
  <si>
    <t>Rowallan</t>
  </si>
  <si>
    <t>Tarraleah</t>
  </si>
  <si>
    <t>Tods Corner</t>
  </si>
  <si>
    <t>Trevallyn</t>
  </si>
  <si>
    <t>Tribute</t>
  </si>
  <si>
    <t>Tungatinah</t>
  </si>
  <si>
    <t>Wayatinah</t>
  </si>
  <si>
    <t>Wilmot</t>
  </si>
  <si>
    <t>Banimboola</t>
  </si>
  <si>
    <t>Blue Rock Dam</t>
  </si>
  <si>
    <t>Xayaburi Dam</t>
  </si>
  <si>
    <t>Nam Theun 2 Dam</t>
  </si>
  <si>
    <t>Nam Ngum 1 Dam</t>
  </si>
  <si>
    <t>Houay Ho Dam</t>
  </si>
  <si>
    <t>Nam Ngum 2 Dam</t>
  </si>
  <si>
    <t>Theun-Hinboun Dam</t>
  </si>
  <si>
    <t>Nam Ngiep 1 Dam</t>
  </si>
  <si>
    <t>Nam Ngum 5 Dam</t>
  </si>
  <si>
    <t>Nam Lik Dam</t>
  </si>
  <si>
    <t>Nam Leuk Dam</t>
  </si>
  <si>
    <t>Chenderoh Power Station</t>
  </si>
  <si>
    <t>Batang Ai Dam Hydroelectric Power Plant Malaysia</t>
  </si>
  <si>
    <t>Bakun Dam</t>
  </si>
  <si>
    <t>Murum Dam</t>
  </si>
  <si>
    <t>Musi Hydroelectric Power Project Indonesia</t>
  </si>
  <si>
    <t>Cirata Hydroelectric Power Project Indonesia</t>
  </si>
  <si>
    <t>Saguling Hydroelectric Power Project Indonesia</t>
  </si>
  <si>
    <t>Supplementary Information (SI) file 4 – Hydropower population data</t>
  </si>
  <si>
    <t>Power plant</t>
  </si>
  <si>
    <t xml:space="preserve">Power plant </t>
  </si>
  <si>
    <t xml:space="preserve">Itaipu </t>
  </si>
  <si>
    <t xml:space="preserve">Kangaroo Valley </t>
  </si>
  <si>
    <t>Sheet 1</t>
  </si>
  <si>
    <t>Sheet 2</t>
  </si>
  <si>
    <t>Sheet 3</t>
  </si>
  <si>
    <t>Sheet 4</t>
  </si>
  <si>
    <t>Sheet 5</t>
  </si>
  <si>
    <t>Sheet 6</t>
  </si>
  <si>
    <t>Sheet 7</t>
  </si>
  <si>
    <t>Sheet 8</t>
  </si>
  <si>
    <t>Type</t>
  </si>
  <si>
    <t>Large</t>
  </si>
  <si>
    <t>Small</t>
  </si>
  <si>
    <t>Rated power (MW)</t>
  </si>
  <si>
    <t>Annual energy (GWh)</t>
  </si>
  <si>
    <t>Capacity factor (%)</t>
  </si>
  <si>
    <r>
      <t>Reservoir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</si>
  <si>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Flow rate (m</t>
    </r>
    <r>
      <rPr>
        <vertAlign val="superscript"/>
        <sz val="10"/>
        <color theme="1"/>
        <rFont val="Arial (Body)"/>
      </rPr>
      <t>3</t>
    </r>
    <r>
      <rPr>
        <sz val="10"/>
        <color theme="1"/>
        <rFont val="Arial (Body)"/>
      </rPr>
      <t>/s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</si>
  <si>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</si>
  <si>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</si>
  <si>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Supplementary Information (SI) for the article "Spatial Energy Density of Large-Scale Electricity Generation from Power Sources Worldwide".</t>
  </si>
  <si>
    <t>SI TABLE 4.1 – Hydropower plants in NORWAY</t>
  </si>
  <si>
    <t>50 large hydropower and 49 small hydropower plants in Norway (raw data for Figure 7).</t>
  </si>
  <si>
    <r>
      <t>Cathment area (km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</si>
  <si>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of catchment area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</si>
  <si>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of catchment area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</si>
  <si>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Aswan Dam</t>
    </r>
    <r>
      <rPr>
        <sz val="10"/>
        <color theme="4" tint="-0.499984740745262"/>
        <rFont val="Arial"/>
        <family val="2"/>
      </rPr>
      <t xml:space="preserve"> et Aswan Low Dam</t>
    </r>
  </si>
  <si>
    <t>SI TABLE 4.2 – Hydropower plants in AFRICA</t>
  </si>
  <si>
    <t>SI Table 4.1 – Hydropower plants in NORWAY</t>
  </si>
  <si>
    <t>SI Table 4.2 – Hydropower plants in AFRICA</t>
  </si>
  <si>
    <t>SI Table 4.3 – Hydropower plants in the MIDDLE EAST</t>
  </si>
  <si>
    <t>SI Table 4.4 – Hydropower plants in the CIS</t>
  </si>
  <si>
    <t>SI Table 4.5 – Hydropower plants in NORTH AMERICA</t>
  </si>
  <si>
    <t>SI Table 4.6 – Hydropower plants in LATIN AMERICA</t>
  </si>
  <si>
    <t>SI Table 4.7 – Hydropower plants in EUROPE</t>
  </si>
  <si>
    <t>SI Table 4.8 – Hydropower plants in ASIA PACIFIC</t>
  </si>
  <si>
    <t>1 in Lesotho, 5 in Sudan, 1 in Egypt, 2 in Mozambique, 5 in Nigeria, 2 in Ghana, and 3 in Zimbabwe (raw data for Figure 7).</t>
  </si>
  <si>
    <t>SI TABLE 4.3 – Hydropower plants in the MIDDLE EAST</t>
  </si>
  <si>
    <t>18 in Iran and 12 in Iraq (raw data for Figure 7).</t>
  </si>
  <si>
    <t>Russia</t>
  </si>
  <si>
    <t>Shamkir Hydroelectric Power Plant</t>
  </si>
  <si>
    <t xml:space="preserve">Araz (Aras) Hydroelectric Power Plant </t>
  </si>
  <si>
    <t>Yenikend Hydroelectric Power Project</t>
  </si>
  <si>
    <t>Yervara (Varvara) Hydroelectric Power Project</t>
  </si>
  <si>
    <t>SI TABLE 4.4 – Hydropower plants in the CIS</t>
  </si>
  <si>
    <t>21 in Russia, 4 in Kazakhstan, 6 in Ukraine, 8 in Tajikistan, and 5 in Azerbaijan (raw data for Figure 7)</t>
  </si>
  <si>
    <t>SI TABLE 4.5 – Hydropower plants in NORTH AMERICA</t>
  </si>
  <si>
    <t>United States</t>
  </si>
  <si>
    <t>Power density ratio</t>
  </si>
  <si>
    <t>28 in the US and 23 in Canada (raw data for Figure 7)</t>
  </si>
  <si>
    <t>SI TABLE 4.6 – Hydropower plants in LATIN AMERICA</t>
  </si>
  <si>
    <t>Malta Haupstufe (Rottau) Pumped Storage Power Plant</t>
  </si>
  <si>
    <t>Salime Hydroelectric Power Plant</t>
  </si>
  <si>
    <t>Silvon Hydroelectric Power Plant</t>
  </si>
  <si>
    <t>Doiras Hydroelectric Power Plant</t>
  </si>
  <si>
    <t>Aldeadavila Hydroelectric Power Plant</t>
  </si>
  <si>
    <t>Almendra (Villarino) Hydroelectric Power Plant</t>
  </si>
  <si>
    <t>Saucelle Hydroelectric Power Plant</t>
  </si>
  <si>
    <t>Castro Hydroelectric Power Plant</t>
  </si>
  <si>
    <t>Ricobayo Hydroelectric Power Plant</t>
  </si>
  <si>
    <t>Villalcampo Hydroelectric Power Plant</t>
  </si>
  <si>
    <t>Alarcon Hydroelectric Power Plant</t>
  </si>
  <si>
    <t>Talarn Hydroelectric Power Plant</t>
  </si>
  <si>
    <t>Jose Maria de Oriol (Alcantara) Hydroelectric Power Plant</t>
  </si>
  <si>
    <t>SI TABLE 4.7 – Hydropower plants in EUROPE</t>
  </si>
  <si>
    <t>18 in France, 27 in Turkey, 8 in Switzerland, 8 in Iceland, 14 in Austria, 7 in Germany, 12 in Romania, and 12 in Spain (raw data for Figure 7).</t>
  </si>
  <si>
    <t>Chatelard-Vallorcine Pumped Storage Power Plant</t>
  </si>
  <si>
    <t>Stalden Hydroelectric Power Plant</t>
  </si>
  <si>
    <t>La Batiaz Hydroelectric Power Plant</t>
  </si>
  <si>
    <t>Mauvoisin Hydroelectric Power Plant</t>
  </si>
  <si>
    <t>Grande Dixence Hydroelectric Power Scheme</t>
  </si>
  <si>
    <t>Verzasca Hydroelectric Power Plant</t>
  </si>
  <si>
    <t>Linth–Limmern (Tierfehd) Hydroelectric Power Stations</t>
  </si>
  <si>
    <t>Grimsel 2 Pumped Storage Power Plant</t>
  </si>
  <si>
    <t>Malta Oberstufe Pumped Storage Power Plant</t>
  </si>
  <si>
    <t>Innerfragant Pumped Storage Power Plant</t>
  </si>
  <si>
    <t>Haeusling Pumped Storage Power Plant</t>
  </si>
  <si>
    <t>Rosshag Pumped Storage Power Plant</t>
  </si>
  <si>
    <t>39 in Brazil, 4 in Venezuela, 17 in Argentina, 6 in Colombia, 9 in Mexico, and 1 in Uruguay (raw data for Figure 7)</t>
  </si>
  <si>
    <t xml:space="preserve">Tekapo A </t>
  </si>
  <si>
    <t>Laos</t>
  </si>
  <si>
    <t>SI TABLE 4.8 – Hydropower plants in ASIA PACIFIC</t>
  </si>
  <si>
    <t>15 in China, 25 in Japan, 20 in India, 8 in Vietnam, 19 in Pakistan, 21 in New Zealand, 54 in Australia, 10 in Laos, 10 in Malaysia, and 3 in Indonesia (raw data for Figure 7).</t>
  </si>
  <si>
    <t>Bersia Hyroelectric Power Plant</t>
  </si>
  <si>
    <t>Temengor Hydroelectric Power Project</t>
  </si>
  <si>
    <t>Kenering Hydroelectric Power Project</t>
  </si>
  <si>
    <t>Cameron Highlands (Sultan Abu Bakar) Hydroelectric Power Project</t>
  </si>
  <si>
    <t>Kenyir (Sultan Mahmud) Hydroelectric Power Project</t>
  </si>
  <si>
    <t>Ulu Jelai Hydroelectric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</si>
</sst>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000"/>
    <numFmt numFmtId="165" formatCode="0.0000%"/>
    <numFmt numFmtId="166" formatCode="#,##0.0000"/>
    <numFmt numFmtId="172" formatCode="0.000"/>
    <numFmt numFmtId="181" formatCode="0.000E+00"/>
  </numFmts>
  <fonts count="37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</font>
    <font>
      <sz val="11"/>
      <color rgb="FF000000"/>
      <name val="Inconsolata"/>
    </font>
    <font>
      <u/>
      <sz val="11"/>
      <color rgb="FF0B78C1"/>
      <name val="&quot;Helvetica Neue&quot;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7E3794"/>
      <name val="Inconsolata"/>
    </font>
    <font>
      <u/>
      <sz val="10"/>
      <color theme="10"/>
      <name val="Arial"/>
      <family val="2"/>
      <scheme val="minor"/>
    </font>
    <font>
      <b/>
      <sz val="14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10"/>
      <color theme="6" tint="0.79998168889431442"/>
      <name val="Arial"/>
      <family val="2"/>
      <scheme val="minor"/>
    </font>
    <font>
      <b/>
      <sz val="10"/>
      <color theme="4" tint="-0.499984740745262"/>
      <name val="Arial"/>
      <family val="2"/>
      <scheme val="minor"/>
    </font>
    <font>
      <b/>
      <sz val="10"/>
      <color theme="1"/>
      <name val="Arial (Body)"/>
    </font>
    <font>
      <sz val="11"/>
      <color theme="1"/>
      <name val="Inconsolata"/>
    </font>
    <font>
      <sz val="11"/>
      <color theme="1"/>
      <name val="Arial"/>
      <family val="2"/>
    </font>
    <font>
      <u/>
      <sz val="11"/>
      <color theme="4" tint="-0.499984740745262"/>
      <name val="Sans-serif"/>
    </font>
    <font>
      <u/>
      <sz val="11"/>
      <color theme="4" tint="-0.499984740745262"/>
      <name val="Arial"/>
      <family val="2"/>
    </font>
    <font>
      <sz val="10"/>
      <color theme="4" tint="-0.499984740745262"/>
      <name val="Arial"/>
      <family val="2"/>
      <scheme val="minor"/>
    </font>
    <font>
      <u/>
      <sz val="10"/>
      <color theme="4" tint="-0.499984740745262"/>
      <name val="Arial"/>
      <family val="2"/>
      <scheme val="minor"/>
    </font>
    <font>
      <u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0"/>
      <color theme="1"/>
      <name val="Arial (Body)"/>
    </font>
    <font>
      <u/>
      <sz val="11"/>
      <color theme="4" tint="-0.499984740745262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theme="2"/>
      <name val="Arial"/>
      <family val="2"/>
      <scheme val="minor"/>
    </font>
    <font>
      <u/>
      <sz val="11"/>
      <color theme="1"/>
      <name val="Inconsolata"/>
    </font>
    <font>
      <sz val="14"/>
      <color rgb="FF000000"/>
      <name val="Arial"/>
      <family val="2"/>
      <scheme val="minor"/>
    </font>
    <font>
      <vertAlign val="superscript"/>
      <sz val="10"/>
      <color theme="1"/>
      <name val="Arial (Body)"/>
    </font>
    <font>
      <i/>
      <u/>
      <sz val="10"/>
      <color theme="4" tint="-0.499984740745262"/>
      <name val="Arial"/>
      <family val="2"/>
    </font>
    <font>
      <u/>
      <sz val="10"/>
      <color theme="4" tint="-0.499984740745262"/>
      <name val="Arial (Body)"/>
    </font>
  </fonts>
  <fills count="2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B7E1CD"/>
        <bgColor indexed="64"/>
      </patternFill>
    </fill>
    <fill>
      <patternFill patternType="solid">
        <fgColor rgb="FFFFFF00"/>
        <bgColor rgb="FFB45F06"/>
      </patternFill>
    </fill>
    <fill>
      <patternFill patternType="solid">
        <fgColor rgb="FFB7E1CD"/>
        <bgColor rgb="FFC9DAF8"/>
      </patternFill>
    </fill>
    <fill>
      <patternFill patternType="solid">
        <fgColor rgb="FFB7E1CD"/>
        <bgColor rgb="FFE6B8AF"/>
      </patternFill>
    </fill>
    <fill>
      <patternFill patternType="solid">
        <fgColor rgb="FFFFFF00"/>
        <bgColor rgb="FFA2C4C9"/>
      </patternFill>
    </fill>
    <fill>
      <patternFill patternType="solid">
        <fgColor rgb="FFFFFF00"/>
        <bgColor rgb="FFFF00FF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FFD966"/>
      </patternFill>
    </fill>
    <fill>
      <patternFill patternType="solid">
        <fgColor rgb="FFFFFF00"/>
        <bgColor rgb="FF4A86E8"/>
      </patternFill>
    </fill>
    <fill>
      <patternFill patternType="solid">
        <fgColor rgb="FFFFFF00"/>
        <bgColor rgb="FF38761D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5DFCB"/>
        <bgColor rgb="FFF4CCCC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9">
    <xf numFmtId="0" fontId="0" fillId="0" borderId="0" xfId="0"/>
    <xf numFmtId="3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/>
    <xf numFmtId="0" fontId="3" fillId="0" borderId="0" xfId="0" applyFont="1"/>
    <xf numFmtId="0" fontId="8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0" fillId="3" borderId="16" xfId="0" applyFill="1" applyBorder="1"/>
    <xf numFmtId="0" fontId="0" fillId="3" borderId="17" xfId="0" applyFill="1" applyBorder="1"/>
    <xf numFmtId="10" fontId="3" fillId="3" borderId="18" xfId="0" applyNumberFormat="1" applyFont="1" applyFill="1" applyBorder="1" applyAlignment="1">
      <alignment horizontal="center" vertical="center"/>
    </xf>
    <xf numFmtId="10" fontId="3" fillId="3" borderId="0" xfId="0" applyNumberFormat="1" applyFont="1" applyFill="1" applyAlignment="1">
      <alignment horizontal="center" vertical="center"/>
    </xf>
    <xf numFmtId="0" fontId="0" fillId="3" borderId="0" xfId="0" applyFill="1"/>
    <xf numFmtId="0" fontId="0" fillId="3" borderId="19" xfId="0" applyFill="1" applyBorder="1"/>
    <xf numFmtId="0" fontId="14" fillId="3" borderId="0" xfId="0" applyFont="1" applyFill="1"/>
    <xf numFmtId="0" fontId="0" fillId="3" borderId="21" xfId="0" applyFill="1" applyBorder="1"/>
    <xf numFmtId="0" fontId="0" fillId="3" borderId="22" xfId="0" applyFill="1" applyBorder="1"/>
    <xf numFmtId="10" fontId="3" fillId="3" borderId="0" xfId="0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20" xfId="0" applyFill="1" applyBorder="1"/>
    <xf numFmtId="0" fontId="17" fillId="0" borderId="0" xfId="0" applyFont="1" applyFill="1" applyBorder="1"/>
    <xf numFmtId="0" fontId="3" fillId="0" borderId="0" xfId="0" applyFont="1" applyBorder="1"/>
    <xf numFmtId="10" fontId="3" fillId="0" borderId="0" xfId="0" applyNumberFormat="1" applyFont="1" applyBorder="1"/>
    <xf numFmtId="0" fontId="0" fillId="0" borderId="0" xfId="0" applyBorder="1"/>
    <xf numFmtId="0" fontId="0" fillId="0" borderId="0" xfId="0" applyFill="1"/>
    <xf numFmtId="0" fontId="3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10" fontId="3" fillId="0" borderId="0" xfId="0" applyNumberFormat="1" applyFont="1" applyFill="1" applyBorder="1" applyAlignment="1">
      <alignment horizontal="center"/>
    </xf>
    <xf numFmtId="10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0" fontId="20" fillId="0" borderId="0" xfId="0" applyFont="1" applyFill="1" applyBorder="1"/>
    <xf numFmtId="0" fontId="3" fillId="0" borderId="8" xfId="0" applyFont="1" applyFill="1" applyBorder="1"/>
    <xf numFmtId="0" fontId="20" fillId="0" borderId="8" xfId="0" applyFont="1" applyFill="1" applyBorder="1"/>
    <xf numFmtId="0" fontId="3" fillId="0" borderId="9" xfId="0" applyFont="1" applyFill="1" applyBorder="1"/>
    <xf numFmtId="0" fontId="3" fillId="0" borderId="4" xfId="0" applyFont="1" applyFill="1" applyBorder="1"/>
    <xf numFmtId="0" fontId="20" fillId="0" borderId="4" xfId="0" applyFont="1" applyFill="1" applyBorder="1"/>
    <xf numFmtId="0" fontId="3" fillId="0" borderId="24" xfId="0" applyFont="1" applyFill="1" applyBorder="1"/>
    <xf numFmtId="0" fontId="3" fillId="0" borderId="2" xfId="0" applyFont="1" applyFill="1" applyBorder="1"/>
    <xf numFmtId="0" fontId="3" fillId="0" borderId="7" xfId="0" applyFont="1" applyFill="1" applyBorder="1"/>
    <xf numFmtId="10" fontId="3" fillId="0" borderId="0" xfId="0" applyNumberFormat="1" applyFont="1" applyFill="1" applyBorder="1"/>
    <xf numFmtId="0" fontId="25" fillId="0" borderId="23" xfId="0" applyFont="1" applyFill="1" applyBorder="1"/>
    <xf numFmtId="0" fontId="25" fillId="0" borderId="1" xfId="0" applyFont="1" applyFill="1" applyBorder="1"/>
    <xf numFmtId="0" fontId="25" fillId="0" borderId="3" xfId="0" applyFont="1" applyFill="1" applyBorder="1"/>
    <xf numFmtId="0" fontId="26" fillId="0" borderId="23" xfId="0" applyFont="1" applyFill="1" applyBorder="1"/>
    <xf numFmtId="0" fontId="23" fillId="0" borderId="1" xfId="0" applyFont="1" applyFill="1" applyBorder="1"/>
    <xf numFmtId="0" fontId="26" fillId="0" borderId="1" xfId="0" applyFont="1" applyFill="1" applyBorder="1"/>
    <xf numFmtId="0" fontId="26" fillId="0" borderId="3" xfId="0" applyFont="1" applyFill="1" applyBorder="1"/>
    <xf numFmtId="0" fontId="25" fillId="0" borderId="0" xfId="0" applyFont="1" applyAlignment="1">
      <alignment horizontal="center"/>
    </xf>
    <xf numFmtId="0" fontId="5" fillId="0" borderId="0" xfId="0" applyFont="1" applyFill="1"/>
    <xf numFmtId="0" fontId="25" fillId="0" borderId="23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left"/>
    </xf>
    <xf numFmtId="0" fontId="29" fillId="0" borderId="1" xfId="0" applyFont="1" applyFill="1" applyBorder="1"/>
    <xf numFmtId="4" fontId="3" fillId="0" borderId="0" xfId="0" applyNumberFormat="1" applyFont="1" applyFill="1" applyBorder="1"/>
    <xf numFmtId="0" fontId="20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5" fillId="0" borderId="6" xfId="0" applyFont="1" applyFill="1" applyBorder="1"/>
    <xf numFmtId="0" fontId="3" fillId="0" borderId="8" xfId="0" applyFont="1" applyBorder="1"/>
    <xf numFmtId="0" fontId="0" fillId="0" borderId="8" xfId="0" applyBorder="1"/>
    <xf numFmtId="0" fontId="3" fillId="0" borderId="9" xfId="0" applyFont="1" applyBorder="1"/>
    <xf numFmtId="0" fontId="3" fillId="0" borderId="4" xfId="0" applyFont="1" applyBorder="1"/>
    <xf numFmtId="0" fontId="0" fillId="0" borderId="4" xfId="0" applyBorder="1"/>
    <xf numFmtId="0" fontId="0" fillId="0" borderId="24" xfId="0" applyBorder="1"/>
    <xf numFmtId="0" fontId="25" fillId="0" borderId="23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0" fillId="0" borderId="2" xfId="0" applyBorder="1"/>
    <xf numFmtId="0" fontId="22" fillId="0" borderId="3" xfId="0" applyFont="1" applyBorder="1" applyAlignment="1">
      <alignment horizontal="left"/>
    </xf>
    <xf numFmtId="0" fontId="3" fillId="0" borderId="24" xfId="0" applyFont="1" applyBorder="1"/>
    <xf numFmtId="0" fontId="25" fillId="0" borderId="23" xfId="0" applyFont="1" applyBorder="1"/>
    <xf numFmtId="0" fontId="0" fillId="0" borderId="9" xfId="0" applyBorder="1"/>
    <xf numFmtId="0" fontId="25" fillId="0" borderId="1" xfId="0" applyFont="1" applyBorder="1"/>
    <xf numFmtId="0" fontId="25" fillId="0" borderId="3" xfId="0" applyFont="1" applyBorder="1"/>
    <xf numFmtId="10" fontId="3" fillId="0" borderId="8" xfId="0" applyNumberFormat="1" applyFont="1" applyFill="1" applyBorder="1"/>
    <xf numFmtId="0" fontId="12" fillId="0" borderId="0" xfId="0" applyFont="1" applyFill="1" applyBorder="1"/>
    <xf numFmtId="10" fontId="3" fillId="0" borderId="4" xfId="0" applyNumberFormat="1" applyFont="1" applyFill="1" applyBorder="1"/>
    <xf numFmtId="172" fontId="3" fillId="0" borderId="0" xfId="0" applyNumberFormat="1" applyFont="1" applyFill="1" applyBorder="1"/>
    <xf numFmtId="172" fontId="20" fillId="0" borderId="0" xfId="0" applyNumberFormat="1" applyFont="1" applyFill="1" applyBorder="1"/>
    <xf numFmtId="2" fontId="3" fillId="0" borderId="0" xfId="0" applyNumberFormat="1" applyFont="1" applyFill="1" applyBorder="1"/>
    <xf numFmtId="172" fontId="3" fillId="0" borderId="9" xfId="0" applyNumberFormat="1" applyFont="1" applyFill="1" applyBorder="1"/>
    <xf numFmtId="172" fontId="3" fillId="0" borderId="2" xfId="0" applyNumberFormat="1" applyFont="1" applyFill="1" applyBorder="1"/>
    <xf numFmtId="2" fontId="3" fillId="0" borderId="9" xfId="0" applyNumberFormat="1" applyFont="1" applyFill="1" applyBorder="1"/>
    <xf numFmtId="2" fontId="3" fillId="0" borderId="2" xfId="0" applyNumberFormat="1" applyFont="1" applyFill="1" applyBorder="1"/>
    <xf numFmtId="0" fontId="25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0" fontId="21" fillId="0" borderId="0" xfId="0" applyFont="1" applyFill="1" applyBorder="1"/>
    <xf numFmtId="172" fontId="3" fillId="0" borderId="0" xfId="0" applyNumberFormat="1" applyFont="1" applyFill="1" applyBorder="1" applyAlignment="1">
      <alignment horizontal="right"/>
    </xf>
    <xf numFmtId="172" fontId="3" fillId="0" borderId="0" xfId="0" applyNumberFormat="1" applyFont="1" applyBorder="1"/>
    <xf numFmtId="181" fontId="3" fillId="0" borderId="0" xfId="0" applyNumberFormat="1" applyFont="1" applyFill="1" applyBorder="1"/>
    <xf numFmtId="11" fontId="3" fillId="0" borderId="0" xfId="0" applyNumberFormat="1" applyFont="1" applyFill="1" applyBorder="1"/>
    <xf numFmtId="181" fontId="20" fillId="0" borderId="0" xfId="0" applyNumberFormat="1" applyFont="1" applyFill="1" applyBorder="1"/>
    <xf numFmtId="172" fontId="20" fillId="0" borderId="8" xfId="0" applyNumberFormat="1" applyFont="1" applyFill="1" applyBorder="1"/>
    <xf numFmtId="181" fontId="20" fillId="0" borderId="8" xfId="0" applyNumberFormat="1" applyFont="1" applyFill="1" applyBorder="1"/>
    <xf numFmtId="172" fontId="20" fillId="0" borderId="4" xfId="0" applyNumberFormat="1" applyFont="1" applyFill="1" applyBorder="1"/>
    <xf numFmtId="181" fontId="20" fillId="0" borderId="4" xfId="0" applyNumberFormat="1" applyFont="1" applyFill="1" applyBorder="1"/>
    <xf numFmtId="172" fontId="3" fillId="0" borderId="8" xfId="0" applyNumberFormat="1" applyFont="1" applyFill="1" applyBorder="1"/>
    <xf numFmtId="172" fontId="3" fillId="0" borderId="4" xfId="0" applyNumberFormat="1" applyFont="1" applyFill="1" applyBorder="1"/>
    <xf numFmtId="172" fontId="0" fillId="0" borderId="0" xfId="0" applyNumberFormat="1" applyBorder="1"/>
    <xf numFmtId="172" fontId="7" fillId="0" borderId="0" xfId="0" applyNumberFormat="1" applyFont="1" applyFill="1" applyBorder="1" applyAlignment="1">
      <alignment horizontal="right"/>
    </xf>
    <xf numFmtId="0" fontId="30" fillId="3" borderId="0" xfId="0" applyFont="1" applyFill="1"/>
    <xf numFmtId="10" fontId="10" fillId="3" borderId="25" xfId="0" applyNumberFormat="1" applyFont="1" applyFill="1" applyBorder="1" applyAlignment="1">
      <alignment horizontal="center" vertical="center"/>
    </xf>
    <xf numFmtId="0" fontId="33" fillId="3" borderId="0" xfId="0" applyFont="1" applyFill="1"/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Border="1"/>
    <xf numFmtId="0" fontId="15" fillId="0" borderId="0" xfId="0" applyFont="1" applyFill="1" applyBorder="1" applyAlignment="1">
      <alignment horizontal="left"/>
    </xf>
    <xf numFmtId="10" fontId="15" fillId="0" borderId="0" xfId="0" applyNumberFormat="1" applyFont="1" applyFill="1" applyBorder="1"/>
    <xf numFmtId="0" fontId="31" fillId="0" borderId="0" xfId="0" applyFont="1" applyFill="1" applyBorder="1"/>
    <xf numFmtId="0" fontId="31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10" fontId="15" fillId="0" borderId="0" xfId="0" applyNumberFormat="1" applyFont="1" applyFill="1" applyBorder="1" applyAlignment="1">
      <alignment horizontal="center"/>
    </xf>
    <xf numFmtId="172" fontId="3" fillId="0" borderId="0" xfId="0" applyNumberFormat="1" applyFont="1" applyFill="1" applyBorder="1" applyAlignment="1"/>
    <xf numFmtId="0" fontId="16" fillId="0" borderId="0" xfId="0" applyFont="1" applyFill="1" applyBorder="1"/>
    <xf numFmtId="0" fontId="3" fillId="5" borderId="26" xfId="0" applyFont="1" applyFill="1" applyBorder="1" applyAlignment="1">
      <alignment horizontal="center" vertical="center"/>
    </xf>
    <xf numFmtId="0" fontId="3" fillId="15" borderId="14" xfId="0" applyFont="1" applyFill="1" applyBorder="1" applyAlignment="1">
      <alignment horizontal="center" vertical="center" wrapText="1"/>
    </xf>
    <xf numFmtId="10" fontId="3" fillId="16" borderId="14" xfId="0" applyNumberFormat="1" applyFont="1" applyFill="1" applyBorder="1" applyAlignment="1">
      <alignment horizontal="center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26" fillId="0" borderId="27" xfId="0" applyFont="1" applyFill="1" applyBorder="1"/>
    <xf numFmtId="0" fontId="25" fillId="0" borderId="28" xfId="0" applyFont="1" applyFill="1" applyBorder="1" applyAlignment="1">
      <alignment horizontal="center"/>
    </xf>
    <xf numFmtId="0" fontId="3" fillId="0" borderId="28" xfId="0" applyFont="1" applyFill="1" applyBorder="1"/>
    <xf numFmtId="10" fontId="3" fillId="0" borderId="28" xfId="0" applyNumberFormat="1" applyFont="1" applyFill="1" applyBorder="1"/>
    <xf numFmtId="2" fontId="0" fillId="0" borderId="28" xfId="0" applyNumberFormat="1" applyFill="1" applyBorder="1"/>
    <xf numFmtId="172" fontId="3" fillId="0" borderId="29" xfId="0" applyNumberFormat="1" applyFont="1" applyFill="1" applyBorder="1"/>
    <xf numFmtId="0" fontId="26" fillId="0" borderId="25" xfId="0" applyFont="1" applyFill="1" applyBorder="1"/>
    <xf numFmtId="0" fontId="25" fillId="0" borderId="0" xfId="0" applyFont="1" applyFill="1" applyBorder="1" applyAlignment="1">
      <alignment horizontal="center"/>
    </xf>
    <xf numFmtId="2" fontId="0" fillId="0" borderId="0" xfId="0" applyNumberFormat="1" applyFill="1" applyBorder="1"/>
    <xf numFmtId="172" fontId="3" fillId="0" borderId="30" xfId="0" applyNumberFormat="1" applyFont="1" applyFill="1" applyBorder="1"/>
    <xf numFmtId="0" fontId="26" fillId="0" borderId="25" xfId="0" applyFont="1" applyFill="1" applyBorder="1" applyAlignment="1">
      <alignment horizontal="left"/>
    </xf>
    <xf numFmtId="0" fontId="3" fillId="0" borderId="30" xfId="0" applyFont="1" applyFill="1" applyBorder="1"/>
    <xf numFmtId="0" fontId="26" fillId="0" borderId="31" xfId="0" applyFont="1" applyFill="1" applyBorder="1"/>
    <xf numFmtId="0" fontId="25" fillId="0" borderId="32" xfId="0" applyFont="1" applyFill="1" applyBorder="1" applyAlignment="1">
      <alignment horizontal="center"/>
    </xf>
    <xf numFmtId="0" fontId="3" fillId="0" borderId="32" xfId="0" applyFont="1" applyFill="1" applyBorder="1"/>
    <xf numFmtId="10" fontId="3" fillId="0" borderId="32" xfId="0" applyNumberFormat="1" applyFont="1" applyFill="1" applyBorder="1"/>
    <xf numFmtId="0" fontId="0" fillId="0" borderId="32" xfId="0" applyFill="1" applyBorder="1"/>
    <xf numFmtId="2" fontId="0" fillId="0" borderId="32" xfId="0" applyNumberFormat="1" applyFill="1" applyBorder="1"/>
    <xf numFmtId="0" fontId="3" fillId="0" borderId="33" xfId="0" applyFont="1" applyFill="1" applyBorder="1"/>
    <xf numFmtId="172" fontId="3" fillId="0" borderId="33" xfId="0" applyNumberFormat="1" applyFont="1" applyFill="1" applyBorder="1"/>
    <xf numFmtId="10" fontId="3" fillId="5" borderId="34" xfId="0" applyNumberFormat="1" applyFont="1" applyFill="1" applyBorder="1" applyAlignment="1">
      <alignment horizontal="center" vertical="center"/>
    </xf>
    <xf numFmtId="0" fontId="3" fillId="17" borderId="35" xfId="0" applyFont="1" applyFill="1" applyBorder="1" applyAlignment="1">
      <alignment horizontal="center" vertical="center" wrapText="1"/>
    </xf>
    <xf numFmtId="0" fontId="10" fillId="4" borderId="36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38" xfId="0" applyFont="1" applyFill="1" applyBorder="1" applyAlignment="1">
      <alignment horizontal="center" vertical="center"/>
    </xf>
    <xf numFmtId="0" fontId="3" fillId="19" borderId="36" xfId="0" applyFont="1" applyFill="1" applyBorder="1" applyAlignment="1">
      <alignment horizontal="center" vertical="center"/>
    </xf>
    <xf numFmtId="0" fontId="3" fillId="19" borderId="37" xfId="0" applyFont="1" applyFill="1" applyBorder="1" applyAlignment="1">
      <alignment horizontal="center" vertical="center"/>
    </xf>
    <xf numFmtId="0" fontId="3" fillId="19" borderId="38" xfId="0" applyFont="1" applyFill="1" applyBorder="1" applyAlignment="1">
      <alignment horizontal="center" vertical="center"/>
    </xf>
    <xf numFmtId="0" fontId="9" fillId="18" borderId="36" xfId="0" applyFont="1" applyFill="1" applyBorder="1" applyAlignment="1">
      <alignment horizontal="center" vertical="center"/>
    </xf>
    <xf numFmtId="0" fontId="9" fillId="18" borderId="37" xfId="0" applyFont="1" applyFill="1" applyBorder="1" applyAlignment="1">
      <alignment horizontal="center" vertical="center"/>
    </xf>
    <xf numFmtId="0" fontId="9" fillId="18" borderId="3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1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/>
    </xf>
    <xf numFmtId="10" fontId="2" fillId="0" borderId="7" xfId="0" applyNumberFormat="1" applyFont="1" applyFill="1" applyBorder="1"/>
    <xf numFmtId="10" fontId="2" fillId="0" borderId="8" xfId="0" applyNumberFormat="1" applyFont="1" applyFill="1" applyBorder="1"/>
    <xf numFmtId="10" fontId="2" fillId="0" borderId="0" xfId="0" applyNumberFormat="1" applyFont="1" applyFill="1" applyBorder="1"/>
    <xf numFmtId="10" fontId="2" fillId="0" borderId="4" xfId="0" applyNumberFormat="1" applyFont="1" applyFill="1" applyBorder="1"/>
    <xf numFmtId="0" fontId="2" fillId="0" borderId="4" xfId="0" applyFont="1" applyFill="1" applyBorder="1"/>
    <xf numFmtId="0" fontId="2" fillId="0" borderId="8" xfId="0" applyFont="1" applyFill="1" applyBorder="1"/>
    <xf numFmtId="0" fontId="2" fillId="0" borderId="0" xfId="0" applyFont="1" applyFill="1" applyBorder="1"/>
    <xf numFmtId="172" fontId="3" fillId="0" borderId="7" xfId="0" applyNumberFormat="1" applyFont="1" applyFill="1" applyBorder="1"/>
    <xf numFmtId="2" fontId="3" fillId="0" borderId="7" xfId="0" applyNumberFormat="1" applyFont="1" applyFill="1" applyBorder="1"/>
    <xf numFmtId="2" fontId="3" fillId="0" borderId="8" xfId="0" applyNumberFormat="1" applyFont="1" applyFill="1" applyBorder="1"/>
    <xf numFmtId="2" fontId="3" fillId="0" borderId="4" xfId="0" applyNumberFormat="1" applyFont="1" applyFill="1" applyBorder="1"/>
    <xf numFmtId="181" fontId="2" fillId="0" borderId="4" xfId="0" applyNumberFormat="1" applyFont="1" applyFill="1" applyBorder="1"/>
    <xf numFmtId="181" fontId="2" fillId="0" borderId="7" xfId="0" applyNumberFormat="1" applyFont="1" applyFill="1" applyBorder="1"/>
    <xf numFmtId="181" fontId="2" fillId="0" borderId="8" xfId="0" applyNumberFormat="1" applyFont="1" applyFill="1" applyBorder="1"/>
    <xf numFmtId="181" fontId="2" fillId="0" borderId="0" xfId="0" applyNumberFormat="1" applyFont="1" applyFill="1" applyBorder="1"/>
    <xf numFmtId="11" fontId="2" fillId="0" borderId="4" xfId="0" applyNumberFormat="1" applyFont="1" applyFill="1" applyBorder="1"/>
    <xf numFmtId="11" fontId="2" fillId="0" borderId="8" xfId="0" applyNumberFormat="1" applyFont="1" applyFill="1" applyBorder="1"/>
    <xf numFmtId="11" fontId="2" fillId="0" borderId="0" xfId="0" applyNumberFormat="1" applyFont="1" applyFill="1" applyBorder="1"/>
    <xf numFmtId="181" fontId="2" fillId="0" borderId="7" xfId="0" applyNumberFormat="1" applyFont="1" applyFill="1" applyBorder="1" applyAlignment="1">
      <alignment horizontal="left"/>
    </xf>
    <xf numFmtId="2" fontId="3" fillId="0" borderId="24" xfId="0" applyNumberFormat="1" applyFont="1" applyFill="1" applyBorder="1"/>
    <xf numFmtId="0" fontId="26" fillId="0" borderId="23" xfId="0" applyFont="1" applyFill="1" applyBorder="1" applyAlignment="1">
      <alignment horizontal="left"/>
    </xf>
    <xf numFmtId="0" fontId="26" fillId="0" borderId="1" xfId="0" applyFont="1" applyFill="1" applyBorder="1" applyAlignment="1">
      <alignment horizontal="left"/>
    </xf>
    <xf numFmtId="0" fontId="26" fillId="0" borderId="3" xfId="0" applyFont="1" applyFill="1" applyBorder="1" applyAlignment="1">
      <alignment horizontal="left"/>
    </xf>
    <xf numFmtId="0" fontId="26" fillId="0" borderId="6" xfId="0" applyFont="1" applyFill="1" applyBorder="1" applyAlignment="1"/>
    <xf numFmtId="0" fontId="35" fillId="0" borderId="1" xfId="0" applyFont="1" applyFill="1" applyBorder="1" applyAlignment="1">
      <alignment horizontal="left"/>
    </xf>
    <xf numFmtId="0" fontId="18" fillId="0" borderId="25" xfId="0" applyFont="1" applyFill="1" applyBorder="1" applyAlignment="1">
      <alignment horizontal="center"/>
    </xf>
    <xf numFmtId="0" fontId="0" fillId="0" borderId="25" xfId="0" applyFill="1" applyBorder="1"/>
    <xf numFmtId="0" fontId="3" fillId="0" borderId="25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/>
    </xf>
    <xf numFmtId="0" fontId="19" fillId="6" borderId="7" xfId="0" applyFont="1" applyFill="1" applyBorder="1" applyAlignment="1">
      <alignment horizontal="center" vertical="center"/>
    </xf>
    <xf numFmtId="0" fontId="19" fillId="6" borderId="3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19" borderId="7" xfId="0" applyFill="1" applyBorder="1" applyAlignment="1">
      <alignment horizontal="center" vertical="center"/>
    </xf>
    <xf numFmtId="0" fontId="0" fillId="19" borderId="11" xfId="0" applyFill="1" applyBorder="1" applyAlignment="1">
      <alignment horizontal="center" vertical="center"/>
    </xf>
    <xf numFmtId="0" fontId="0" fillId="18" borderId="7" xfId="0" applyFill="1" applyBorder="1" applyAlignment="1">
      <alignment horizontal="center" vertical="center"/>
    </xf>
    <xf numFmtId="0" fontId="5" fillId="19" borderId="6" xfId="0" applyFont="1" applyFill="1" applyBorder="1" applyAlignment="1">
      <alignment horizontal="center" vertical="center"/>
    </xf>
    <xf numFmtId="0" fontId="9" fillId="18" borderId="6" xfId="0" applyFont="1" applyFill="1" applyBorder="1" applyAlignment="1">
      <alignment horizontal="center" vertical="center"/>
    </xf>
    <xf numFmtId="0" fontId="9" fillId="18" borderId="7" xfId="0" applyFont="1" applyFill="1" applyBorder="1" applyAlignment="1">
      <alignment horizontal="center" vertical="center"/>
    </xf>
    <xf numFmtId="0" fontId="9" fillId="18" borderId="39" xfId="0" applyFont="1" applyFill="1" applyBorder="1" applyAlignment="1">
      <alignment horizontal="center" vertical="center"/>
    </xf>
    <xf numFmtId="0" fontId="3" fillId="15" borderId="13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3" fillId="15" borderId="10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/>
    </xf>
    <xf numFmtId="0" fontId="0" fillId="19" borderId="37" xfId="0" applyFill="1" applyBorder="1" applyAlignment="1">
      <alignment horizontal="center" vertical="center"/>
    </xf>
    <xf numFmtId="0" fontId="0" fillId="19" borderId="38" xfId="0" applyFill="1" applyBorder="1" applyAlignment="1">
      <alignment horizontal="center" vertical="center"/>
    </xf>
    <xf numFmtId="0" fontId="5" fillId="19" borderId="36" xfId="0" applyFont="1" applyFill="1" applyBorder="1" applyAlignment="1">
      <alignment horizontal="center" vertical="center"/>
    </xf>
    <xf numFmtId="0" fontId="9" fillId="18" borderId="11" xfId="0" applyFont="1" applyFill="1" applyBorder="1" applyAlignment="1">
      <alignment horizontal="center" vertical="center"/>
    </xf>
    <xf numFmtId="10" fontId="21" fillId="0" borderId="8" xfId="0" applyNumberFormat="1" applyFont="1" applyFill="1" applyBorder="1" applyAlignment="1">
      <alignment horizontal="right" vertical="center"/>
    </xf>
    <xf numFmtId="10" fontId="21" fillId="0" borderId="0" xfId="0" applyNumberFormat="1" applyFont="1" applyFill="1" applyBorder="1" applyAlignment="1">
      <alignment horizontal="right" vertical="center"/>
    </xf>
    <xf numFmtId="10" fontId="21" fillId="0" borderId="4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172" fontId="21" fillId="0" borderId="8" xfId="0" applyNumberFormat="1" applyFont="1" applyFill="1" applyBorder="1" applyAlignment="1">
      <alignment horizontal="right" vertical="center"/>
    </xf>
    <xf numFmtId="172" fontId="21" fillId="0" borderId="0" xfId="0" applyNumberFormat="1" applyFont="1" applyFill="1" applyBorder="1" applyAlignment="1">
      <alignment horizontal="right" vertical="center"/>
    </xf>
    <xf numFmtId="172" fontId="21" fillId="0" borderId="4" xfId="0" applyNumberFormat="1" applyFont="1" applyFill="1" applyBorder="1" applyAlignment="1">
      <alignment horizontal="right" vertical="center"/>
    </xf>
    <xf numFmtId="2" fontId="21" fillId="0" borderId="8" xfId="0" applyNumberFormat="1" applyFont="1" applyFill="1" applyBorder="1" applyAlignment="1">
      <alignment horizontal="right" vertical="center"/>
    </xf>
    <xf numFmtId="2" fontId="21" fillId="0" borderId="0" xfId="0" applyNumberFormat="1" applyFont="1" applyFill="1" applyBorder="1" applyAlignment="1">
      <alignment horizontal="right" vertical="center"/>
    </xf>
    <xf numFmtId="2" fontId="21" fillId="0" borderId="4" xfId="0" applyNumberFormat="1" applyFont="1" applyFill="1" applyBorder="1" applyAlignment="1">
      <alignment horizontal="right" vertical="center"/>
    </xf>
    <xf numFmtId="172" fontId="2" fillId="0" borderId="8" xfId="0" applyNumberFormat="1" applyFont="1" applyFill="1" applyBorder="1" applyAlignment="1">
      <alignment horizontal="right" vertical="center"/>
    </xf>
    <xf numFmtId="172" fontId="2" fillId="0" borderId="0" xfId="0" applyNumberFormat="1" applyFont="1" applyFill="1" applyBorder="1" applyAlignment="1">
      <alignment horizontal="right" vertical="center"/>
    </xf>
    <xf numFmtId="172" fontId="2" fillId="0" borderId="4" xfId="0" applyNumberFormat="1" applyFont="1" applyFill="1" applyBorder="1" applyAlignment="1">
      <alignment horizontal="right" vertical="center"/>
    </xf>
    <xf numFmtId="11" fontId="2" fillId="0" borderId="8" xfId="0" applyNumberFormat="1" applyFont="1" applyFill="1" applyBorder="1" applyAlignment="1">
      <alignment horizontal="right" vertical="center"/>
    </xf>
    <xf numFmtId="11" fontId="2" fillId="0" borderId="0" xfId="0" applyNumberFormat="1" applyFont="1" applyFill="1" applyBorder="1" applyAlignment="1">
      <alignment horizontal="right" vertical="center"/>
    </xf>
    <xf numFmtId="11" fontId="2" fillId="0" borderId="4" xfId="0" applyNumberFormat="1" applyFont="1" applyFill="1" applyBorder="1" applyAlignment="1">
      <alignment horizontal="right" vertical="center"/>
    </xf>
    <xf numFmtId="181" fontId="2" fillId="0" borderId="8" xfId="0" applyNumberFormat="1" applyFont="1" applyFill="1" applyBorder="1" applyAlignment="1">
      <alignment horizontal="right" vertical="center"/>
    </xf>
    <xf numFmtId="181" fontId="2" fillId="0" borderId="0" xfId="0" applyNumberFormat="1" applyFont="1" applyFill="1" applyBorder="1" applyAlignment="1">
      <alignment horizontal="right" vertical="center"/>
    </xf>
    <xf numFmtId="181" fontId="2" fillId="0" borderId="4" xfId="0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0" fontId="25" fillId="0" borderId="1" xfId="1" applyFont="1" applyFill="1" applyBorder="1" applyAlignment="1">
      <alignment horizontal="left"/>
    </xf>
    <xf numFmtId="0" fontId="10" fillId="10" borderId="6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left" vertical="center"/>
    </xf>
    <xf numFmtId="2" fontId="2" fillId="0" borderId="9" xfId="0" applyNumberFormat="1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left" vertical="center"/>
    </xf>
    <xf numFmtId="2" fontId="2" fillId="0" borderId="2" xfId="0" applyNumberFormat="1" applyFont="1" applyFill="1" applyBorder="1" applyAlignment="1">
      <alignment horizontal="right" vertical="center"/>
    </xf>
    <xf numFmtId="0" fontId="26" fillId="0" borderId="3" xfId="0" applyFont="1" applyFill="1" applyBorder="1" applyAlignment="1">
      <alignment horizontal="left" vertical="center"/>
    </xf>
    <xf numFmtId="2" fontId="2" fillId="0" borderId="24" xfId="0" applyNumberFormat="1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3" fillId="0" borderId="23" xfId="0" applyFont="1" applyFill="1" applyBorder="1"/>
    <xf numFmtId="0" fontId="2" fillId="0" borderId="8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6" fillId="0" borderId="1" xfId="1" applyFont="1" applyFill="1" applyBorder="1" applyAlignment="1">
      <alignment horizontal="left"/>
    </xf>
    <xf numFmtId="0" fontId="3" fillId="8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10" fontId="3" fillId="16" borderId="13" xfId="0" applyNumberFormat="1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0" fillId="19" borderId="32" xfId="0" applyFill="1" applyBorder="1" applyAlignment="1">
      <alignment horizontal="center" vertical="center"/>
    </xf>
    <xf numFmtId="0" fontId="0" fillId="19" borderId="33" xfId="0" applyFill="1" applyBorder="1" applyAlignment="1">
      <alignment horizontal="center" vertical="center"/>
    </xf>
    <xf numFmtId="0" fontId="5" fillId="19" borderId="31" xfId="0" applyFont="1" applyFill="1" applyBorder="1" applyAlignment="1">
      <alignment horizontal="center" vertical="center"/>
    </xf>
    <xf numFmtId="0" fontId="3" fillId="0" borderId="25" xfId="0" applyFont="1" applyFill="1" applyBorder="1"/>
    <xf numFmtId="0" fontId="6" fillId="0" borderId="25" xfId="0" applyFont="1" applyFill="1" applyBorder="1"/>
    <xf numFmtId="0" fontId="6" fillId="0" borderId="0" xfId="0" applyFont="1" applyFill="1" applyBorder="1"/>
    <xf numFmtId="11" fontId="20" fillId="0" borderId="8" xfId="0" applyNumberFormat="1" applyFont="1" applyFill="1" applyBorder="1"/>
    <xf numFmtId="11" fontId="20" fillId="0" borderId="0" xfId="0" applyNumberFormat="1" applyFont="1" applyFill="1" applyBorder="1"/>
    <xf numFmtId="11" fontId="3" fillId="0" borderId="8" xfId="0" applyNumberFormat="1" applyFont="1" applyFill="1" applyBorder="1"/>
    <xf numFmtId="11" fontId="4" fillId="0" borderId="7" xfId="0" applyNumberFormat="1" applyFont="1" applyFill="1" applyBorder="1"/>
    <xf numFmtId="0" fontId="20" fillId="0" borderId="8" xfId="0" applyFont="1" applyFill="1" applyBorder="1" applyAlignment="1">
      <alignment horizontal="right"/>
    </xf>
    <xf numFmtId="181" fontId="2" fillId="0" borderId="0" xfId="0" applyNumberFormat="1" applyFont="1" applyFill="1" applyBorder="1" applyAlignment="1">
      <alignment horizontal="right"/>
    </xf>
    <xf numFmtId="181" fontId="4" fillId="0" borderId="7" xfId="0" applyNumberFormat="1" applyFont="1" applyFill="1" applyBorder="1"/>
    <xf numFmtId="181" fontId="2" fillId="0" borderId="4" xfId="0" applyNumberFormat="1" applyFont="1" applyFill="1" applyBorder="1" applyAlignment="1">
      <alignment horizontal="right"/>
    </xf>
    <xf numFmtId="2" fontId="3" fillId="0" borderId="40" xfId="0" applyNumberFormat="1" applyFont="1" applyFill="1" applyBorder="1"/>
    <xf numFmtId="2" fontId="3" fillId="0" borderId="30" xfId="0" applyNumberFormat="1" applyFont="1" applyFill="1" applyBorder="1"/>
    <xf numFmtId="2" fontId="3" fillId="0" borderId="41" xfId="0" applyNumberFormat="1" applyFont="1" applyFill="1" applyBorder="1"/>
    <xf numFmtId="2" fontId="3" fillId="0" borderId="39" xfId="0" applyNumberFormat="1" applyFont="1" applyFill="1" applyBorder="1"/>
    <xf numFmtId="0" fontId="9" fillId="12" borderId="6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72" fontId="3" fillId="0" borderId="8" xfId="0" applyNumberFormat="1" applyFont="1" applyBorder="1"/>
    <xf numFmtId="172" fontId="0" fillId="0" borderId="4" xfId="0" applyNumberFormat="1" applyBorder="1"/>
    <xf numFmtId="172" fontId="3" fillId="0" borderId="4" xfId="0" applyNumberFormat="1" applyFont="1" applyBorder="1"/>
    <xf numFmtId="11" fontId="20" fillId="0" borderId="4" xfId="0" applyNumberFormat="1" applyFont="1" applyFill="1" applyBorder="1"/>
    <xf numFmtId="11" fontId="3" fillId="0" borderId="4" xfId="0" applyNumberFormat="1" applyFont="1" applyFill="1" applyBorder="1"/>
    <xf numFmtId="181" fontId="3" fillId="0" borderId="8" xfId="0" applyNumberFormat="1" applyFont="1" applyBorder="1"/>
    <xf numFmtId="181" fontId="3" fillId="0" borderId="0" xfId="0" applyNumberFormat="1" applyFont="1" applyBorder="1"/>
    <xf numFmtId="181" fontId="3" fillId="0" borderId="4" xfId="0" applyNumberFormat="1" applyFont="1" applyBorder="1"/>
    <xf numFmtId="181" fontId="0" fillId="0" borderId="0" xfId="0" applyNumberFormat="1" applyBorder="1"/>
    <xf numFmtId="181" fontId="0" fillId="0" borderId="8" xfId="0" applyNumberFormat="1" applyBorder="1"/>
    <xf numFmtId="181" fontId="3" fillId="0" borderId="8" xfId="0" applyNumberFormat="1" applyFont="1" applyFill="1" applyBorder="1"/>
    <xf numFmtId="181" fontId="3" fillId="0" borderId="4" xfId="0" applyNumberFormat="1" applyFont="1" applyFill="1" applyBorder="1"/>
    <xf numFmtId="0" fontId="11" fillId="0" borderId="0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0" fontId="36" fillId="0" borderId="1" xfId="0" applyFont="1" applyFill="1" applyBorder="1"/>
    <xf numFmtId="0" fontId="3" fillId="15" borderId="12" xfId="0" applyFont="1" applyFill="1" applyBorder="1" applyAlignment="1">
      <alignment horizontal="center" vertical="center" wrapText="1"/>
    </xf>
    <xf numFmtId="10" fontId="3" fillId="16" borderId="12" xfId="0" applyNumberFormat="1" applyFont="1" applyFill="1" applyBorder="1" applyAlignment="1">
      <alignment horizontal="center" vertical="center" wrapText="1"/>
    </xf>
    <xf numFmtId="0" fontId="3" fillId="17" borderId="12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left"/>
    </xf>
    <xf numFmtId="2" fontId="3" fillId="0" borderId="32" xfId="0" applyNumberFormat="1" applyFont="1" applyFill="1" applyBorder="1"/>
    <xf numFmtId="0" fontId="12" fillId="0" borderId="32" xfId="0" applyFont="1" applyFill="1" applyBorder="1"/>
    <xf numFmtId="11" fontId="3" fillId="0" borderId="32" xfId="0" applyNumberFormat="1" applyFont="1" applyFill="1" applyBorder="1"/>
    <xf numFmtId="181" fontId="3" fillId="0" borderId="32" xfId="0" applyNumberFormat="1" applyFont="1" applyFill="1" applyBorder="1"/>
    <xf numFmtId="0" fontId="3" fillId="0" borderId="43" xfId="0" applyFont="1" applyFill="1" applyBorder="1"/>
    <xf numFmtId="10" fontId="20" fillId="0" borderId="0" xfId="0" applyNumberFormat="1" applyFont="1" applyFill="1" applyBorder="1" applyAlignment="1">
      <alignment horizontal="right"/>
    </xf>
    <xf numFmtId="10" fontId="20" fillId="0" borderId="8" xfId="0" applyNumberFormat="1" applyFont="1" applyFill="1" applyBorder="1" applyAlignment="1">
      <alignment horizontal="right"/>
    </xf>
    <xf numFmtId="10" fontId="20" fillId="0" borderId="4" xfId="0" applyNumberFormat="1" applyFont="1" applyFill="1" applyBorder="1" applyAlignment="1">
      <alignment horizontal="right"/>
    </xf>
    <xf numFmtId="0" fontId="26" fillId="0" borderId="8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right" vertical="center"/>
    </xf>
    <xf numFmtId="0" fontId="23" fillId="0" borderId="8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0" fontId="26" fillId="0" borderId="4" xfId="0" applyFont="1" applyFill="1" applyBorder="1" applyAlignment="1">
      <alignment horizontal="right"/>
    </xf>
    <xf numFmtId="0" fontId="26" fillId="0" borderId="8" xfId="0" applyFont="1" applyFill="1" applyBorder="1" applyAlignment="1">
      <alignment horizontal="right"/>
    </xf>
    <xf numFmtId="0" fontId="26" fillId="0" borderId="8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36" fillId="0" borderId="8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11" fontId="32" fillId="0" borderId="4" xfId="0" applyNumberFormat="1" applyFont="1" applyFill="1" applyBorder="1"/>
    <xf numFmtId="11" fontId="7" fillId="0" borderId="8" xfId="0" applyNumberFormat="1" applyFont="1" applyFill="1" applyBorder="1"/>
    <xf numFmtId="11" fontId="7" fillId="0" borderId="0" xfId="0" applyNumberFormat="1" applyFont="1" applyFill="1" applyBorder="1"/>
    <xf numFmtId="11" fontId="7" fillId="0" borderId="4" xfId="0" applyNumberFormat="1" applyFont="1" applyFill="1" applyBorder="1"/>
    <xf numFmtId="181" fontId="32" fillId="0" borderId="4" xfId="0" applyNumberFormat="1" applyFont="1" applyFill="1" applyBorder="1"/>
    <xf numFmtId="181" fontId="7" fillId="0" borderId="8" xfId="0" applyNumberFormat="1" applyFont="1" applyFill="1" applyBorder="1"/>
    <xf numFmtId="181" fontId="7" fillId="0" borderId="0" xfId="0" applyNumberFormat="1" applyFont="1" applyFill="1" applyBorder="1"/>
    <xf numFmtId="181" fontId="7" fillId="0" borderId="4" xfId="0" applyNumberFormat="1" applyFont="1" applyFill="1" applyBorder="1"/>
    <xf numFmtId="3" fontId="3" fillId="0" borderId="8" xfId="0" applyNumberFormat="1" applyFont="1" applyFill="1" applyBorder="1"/>
    <xf numFmtId="3" fontId="3" fillId="0" borderId="4" xfId="0" applyNumberFormat="1" applyFont="1" applyFill="1" applyBorder="1"/>
    <xf numFmtId="0" fontId="10" fillId="14" borderId="6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/>
    </xf>
    <xf numFmtId="0" fontId="0" fillId="0" borderId="2" xfId="0" applyFill="1" applyBorder="1"/>
    <xf numFmtId="0" fontId="26" fillId="0" borderId="0" xfId="0" applyFont="1" applyAlignment="1">
      <alignment horizontal="center"/>
    </xf>
    <xf numFmtId="0" fontId="26" fillId="0" borderId="28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3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60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</dxfs>
  <tableStyles count="4">
    <tableStyle name="Hydropower plants in Norway-style" pivot="0" count="2" xr9:uid="{00000000-0011-0000-FFFF-FFFF00000000}">
      <tableStyleElement type="firstRowStripe" dxfId="59"/>
      <tableStyleElement type="secondRowStripe" dxfId="58"/>
    </tableStyle>
    <tableStyle name="Hydropower plant in NORTH AMERI-style" pivot="0" count="3" xr9:uid="{00000000-0011-0000-FFFF-FFFF01000000}">
      <tableStyleElement type="headerRow" dxfId="57"/>
      <tableStyleElement type="firstRowStripe" dxfId="56"/>
      <tableStyleElement type="secondRowStripe" dxfId="55"/>
    </tableStyle>
    <tableStyle name="Hydropower plant in LATIN AMERI-style" pivot="0" count="3" xr9:uid="{00000000-0011-0000-FFFF-FFFF02000000}">
      <tableStyleElement type="headerRow" dxfId="54"/>
      <tableStyleElement type="firstRowStripe" dxfId="53"/>
      <tableStyleElement type="secondRowStripe" dxfId="52"/>
    </tableStyle>
    <tableStyle name="Hydropower plant in EUROPE-style" pivot="0" count="2" xr9:uid="{00000000-0011-0000-FFFF-FFFF03000000}">
      <tableStyleElement type="firstRowStripe" dxfId="51"/>
      <tableStyleElement type="secondRowStripe" dxfId="50"/>
    </tableStyle>
  </tableStyles>
  <colors>
    <mruColors>
      <color rgb="FFB7E1CD"/>
      <color rgb="FF38751D"/>
      <color rgb="FF4A86E8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ve.no/energiforsyning/kraftproduksjon/vannkraft/vannkraftdatabase/vannkraftverk/?id=1334" TargetMode="External"/><Relationship Id="rId21" Type="http://schemas.openxmlformats.org/officeDocument/2006/relationships/hyperlink" Target="https://www.nve.no/energiforsyning/kraftproduksjon/vannkraft/vannkraftdatabase/vannkraftverk/?id=547" TargetMode="External"/><Relationship Id="rId42" Type="http://schemas.openxmlformats.org/officeDocument/2006/relationships/hyperlink" Target="https://www.nve.no/energiforsyning/kraftproduksjon/vannkraft/vannkraftdatabase/vannkraftverk/?id=288" TargetMode="External"/><Relationship Id="rId47" Type="http://schemas.openxmlformats.org/officeDocument/2006/relationships/hyperlink" Target="https://www.nve.no/energiforsyning/kraftproduksjon/vannkraft/vannkraftdatabase/vannkraftverk/?id=520" TargetMode="External"/><Relationship Id="rId63" Type="http://schemas.openxmlformats.org/officeDocument/2006/relationships/hyperlink" Target="https://www.nve.no/energiforsyning/kraftproduksjon/vannkraft/vannkraftdatabase/vannkraftverk/?id=1624" TargetMode="External"/><Relationship Id="rId68" Type="http://schemas.openxmlformats.org/officeDocument/2006/relationships/hyperlink" Target="https://www.nve.no/energiforsyning/kraftproduksjon/vannkraft/vannkraftdatabase/vannkraftverk/?id=233" TargetMode="External"/><Relationship Id="rId84" Type="http://schemas.openxmlformats.org/officeDocument/2006/relationships/hyperlink" Target="https://www.nve.no/energiforsyning/kraftproduksjon/vannkraft/vannkraftdatabase/vannkraftverk/?id=459" TargetMode="External"/><Relationship Id="rId89" Type="http://schemas.openxmlformats.org/officeDocument/2006/relationships/hyperlink" Target="https://www.nve.no/energiforsyning/kraftproduksjon/vannkraft/vannkraftdatabase/vannkraftverk/?id=1419" TargetMode="External"/><Relationship Id="rId16" Type="http://schemas.openxmlformats.org/officeDocument/2006/relationships/hyperlink" Target="https://www.nve.no/energiforsyning/kraftproduksjon/vannkraft/vannkraftdatabase/vannkraftverk/?id=302" TargetMode="External"/><Relationship Id="rId11" Type="http://schemas.openxmlformats.org/officeDocument/2006/relationships/hyperlink" Target="https://www.nve.no/energiforsyning/kraftproduksjon/vannkraft/vannkraftdatabase/vannkraftverk/?id=1899" TargetMode="External"/><Relationship Id="rId32" Type="http://schemas.openxmlformats.org/officeDocument/2006/relationships/hyperlink" Target="https://www.nve.no/energiforsyning/kraftproduksjon/vannkraft/vannkraftdatabase/vannkraftverk/?id=761" TargetMode="External"/><Relationship Id="rId37" Type="http://schemas.openxmlformats.org/officeDocument/2006/relationships/hyperlink" Target="https://www.nve.no/energiforsyning/kraftproduksjon/vannkraft/vannkraftdatabase/vannkraftverk/?id=396" TargetMode="External"/><Relationship Id="rId53" Type="http://schemas.openxmlformats.org/officeDocument/2006/relationships/hyperlink" Target="https://www.nve.no/energiforsyning/kraftproduksjon/vannkraft/vannkraftdatabase/vannkraftverk/?id=21" TargetMode="External"/><Relationship Id="rId58" Type="http://schemas.openxmlformats.org/officeDocument/2006/relationships/hyperlink" Target="https://www.nve.no/energiforsyning/kraftproduksjon/vannkraft/vannkraftdatabase/vannkraftverk/?id=319" TargetMode="External"/><Relationship Id="rId74" Type="http://schemas.openxmlformats.org/officeDocument/2006/relationships/hyperlink" Target="https://www.nve.no/energiforsyning/kraftproduksjon/vannkraft/vannkraftdatabase/vannkraftverk/?id=351" TargetMode="External"/><Relationship Id="rId79" Type="http://schemas.openxmlformats.org/officeDocument/2006/relationships/hyperlink" Target="https://www.nve.no/energiforsyning/kraftproduksjon/vannkraft/vannkraftdatabase/vannkraftverk/?id=1980" TargetMode="External"/><Relationship Id="rId5" Type="http://schemas.openxmlformats.org/officeDocument/2006/relationships/hyperlink" Target="https://www.nve.no/energiforsyning/kraftproduksjon/vannkraft/vannkraftdatabase/vannkraftverk/?id=423" TargetMode="External"/><Relationship Id="rId90" Type="http://schemas.openxmlformats.org/officeDocument/2006/relationships/hyperlink" Target="https://www.nve.no/energiforsyning/kraftproduksjon/vannkraft/vannkraftdatabase/vannkraftverk/?id=1854" TargetMode="External"/><Relationship Id="rId95" Type="http://schemas.openxmlformats.org/officeDocument/2006/relationships/hyperlink" Target="https://www.nve.no/energiforsyning/kraftproduksjon/vannkraft/vannkraftdatabase/vannkraftverk/?id=1238" TargetMode="External"/><Relationship Id="rId22" Type="http://schemas.openxmlformats.org/officeDocument/2006/relationships/hyperlink" Target="https://www.nve.no/energiforsyning/kraftproduksjon/vannkraft/vannkraftdatabase/vannkraftverk/?id=13" TargetMode="External"/><Relationship Id="rId27" Type="http://schemas.openxmlformats.org/officeDocument/2006/relationships/hyperlink" Target="https://www.nve.no/energiforsyning/kraftproduksjon/vannkraft/vannkraftdatabase/vannkraftverk/?id=228" TargetMode="External"/><Relationship Id="rId43" Type="http://schemas.openxmlformats.org/officeDocument/2006/relationships/hyperlink" Target="https://www.nve.no/energiforsyning/kraftproduksjon/vannkraft/vannkraftdatabase/vannkraftverk/?id=366" TargetMode="External"/><Relationship Id="rId48" Type="http://schemas.openxmlformats.org/officeDocument/2006/relationships/hyperlink" Target="https://www.nve.no/energiforsyning/kraftproduksjon/vannkraft/vannkraftdatabase/vannkraftverk/?id=400" TargetMode="External"/><Relationship Id="rId64" Type="http://schemas.openxmlformats.org/officeDocument/2006/relationships/hyperlink" Target="https://www.nve.no/energiforsyning/kraftproduksjon/vannkraft/vannkraftdatabase/vannkraftverk/?id=338" TargetMode="External"/><Relationship Id="rId69" Type="http://schemas.openxmlformats.org/officeDocument/2006/relationships/hyperlink" Target="https://www.nve.no/energiforsyning/kraftproduksjon/vannkraft/vannkraftdatabase/vannkraftverk/?id=1978" TargetMode="External"/><Relationship Id="rId80" Type="http://schemas.openxmlformats.org/officeDocument/2006/relationships/hyperlink" Target="https://www.nve.no/energiforsyning/kraftproduksjon/vannkraft/vannkraftdatabase/vannkraftverk/?id=2003" TargetMode="External"/><Relationship Id="rId85" Type="http://schemas.openxmlformats.org/officeDocument/2006/relationships/hyperlink" Target="https://www.nve.no/energiforsyning/kraftproduksjon/vannkraft/vannkraftdatabase/vannkraftverk/?id=1869" TargetMode="External"/><Relationship Id="rId3" Type="http://schemas.openxmlformats.org/officeDocument/2006/relationships/hyperlink" Target="https://www.nve.no/energiforsyning/kraftproduksjon/vannkraft/vannkraftdatabase/vannkraftverk/?id=10" TargetMode="External"/><Relationship Id="rId12" Type="http://schemas.openxmlformats.org/officeDocument/2006/relationships/hyperlink" Target="https://www.nve.no/energiforsyning/kraftproduksjon/vannkraft/vannkraftdatabase/vannkraftverk/?id=298" TargetMode="External"/><Relationship Id="rId17" Type="http://schemas.openxmlformats.org/officeDocument/2006/relationships/hyperlink" Target="https://www.nve.no/energiforsyning/kraftproduksjon/vannkraft/vannkraftdatabase/vannkraftverk/?id=206" TargetMode="External"/><Relationship Id="rId25" Type="http://schemas.openxmlformats.org/officeDocument/2006/relationships/hyperlink" Target="https://www.nve.no/energiforsyning/kraftproduksjon/vannkraft/vannkraftdatabase/vannkraftverk/?id=303" TargetMode="External"/><Relationship Id="rId33" Type="http://schemas.openxmlformats.org/officeDocument/2006/relationships/hyperlink" Target="https://www.nve.no/energiforsyning/kraftproduksjon/vannkraft/vannkraftdatabase/vannkraftverk/?id=310" TargetMode="External"/><Relationship Id="rId38" Type="http://schemas.openxmlformats.org/officeDocument/2006/relationships/hyperlink" Target="https://www.nve.no/energiforsyning/kraftproduksjon/vannkraft/vannkraftdatabase/vannkraftverk/?id=776" TargetMode="External"/><Relationship Id="rId46" Type="http://schemas.openxmlformats.org/officeDocument/2006/relationships/hyperlink" Target="https://www.nve.no/energiforsyning/kraftproduksjon/vannkraft/vannkraftdatabase/vannkraftverk/?id=291" TargetMode="External"/><Relationship Id="rId59" Type="http://schemas.openxmlformats.org/officeDocument/2006/relationships/hyperlink" Target="https://www.nve.no/energiforsyning/kraftproduksjon/vannkraft/vannkraftdatabase/vannkraftverk/?id=1966" TargetMode="External"/><Relationship Id="rId67" Type="http://schemas.openxmlformats.org/officeDocument/2006/relationships/hyperlink" Target="https://www.nve.no/energiforsyning/kraftproduksjon/vannkraft/vannkraftdatabase/vannkraftverk/?id=1786" TargetMode="External"/><Relationship Id="rId20" Type="http://schemas.openxmlformats.org/officeDocument/2006/relationships/hyperlink" Target="https://www.nve.no/energiforsyning/kraftproduksjon/vannkraft/vannkraftdatabase/vannkraftverk/?id=9" TargetMode="External"/><Relationship Id="rId41" Type="http://schemas.openxmlformats.org/officeDocument/2006/relationships/hyperlink" Target="https://www.nve.no/energiforsyning/kraftproduksjon/vannkraft/vannkraftdatabase/vannkraftverk/?id=263" TargetMode="External"/><Relationship Id="rId54" Type="http://schemas.openxmlformats.org/officeDocument/2006/relationships/hyperlink" Target="https://www.nve.no/energiforsyning/kraftproduksjon/vannkraft/vannkraftdatabase/vannkraftverk/?id=425" TargetMode="External"/><Relationship Id="rId62" Type="http://schemas.openxmlformats.org/officeDocument/2006/relationships/hyperlink" Target="https://www.nve.no/energiforsyning/kraftproduksjon/vannkraft/vannkraftdatabase/vannkraftverk/?id=416" TargetMode="External"/><Relationship Id="rId70" Type="http://schemas.openxmlformats.org/officeDocument/2006/relationships/hyperlink" Target="https://www.nve.no/energiforsyning/kraftproduksjon/vannkraft/vannkraftdatabase/vannkraftverk/?id=842" TargetMode="External"/><Relationship Id="rId75" Type="http://schemas.openxmlformats.org/officeDocument/2006/relationships/hyperlink" Target="https://www.nve.no/energiforsyning/kraftproduksjon/vannkraft/vannkraftdatabase/vannkraftverk/?id=1708" TargetMode="External"/><Relationship Id="rId83" Type="http://schemas.openxmlformats.org/officeDocument/2006/relationships/hyperlink" Target="https://www.nve.no/energiforsyning/kraftproduksjon/vannkraft/vannkraftdatabase/vannkraftverk/?id=1982" TargetMode="External"/><Relationship Id="rId88" Type="http://schemas.openxmlformats.org/officeDocument/2006/relationships/hyperlink" Target="https://www.nve.no/energiforsyning/kraftproduksjon/vannkraft/vannkraftdatabase/vannkraftverk/?id=198" TargetMode="External"/><Relationship Id="rId91" Type="http://schemas.openxmlformats.org/officeDocument/2006/relationships/hyperlink" Target="https://www.nve.no/energiforsyning/kraftproduksjon/vannkraft/vannkraftdatabase/vannkraftverk/?id=1979" TargetMode="External"/><Relationship Id="rId96" Type="http://schemas.openxmlformats.org/officeDocument/2006/relationships/hyperlink" Target="https://www.nve.no/energiforsyning/kraftproduksjon/vannkraft/vannkraftdatabase/vannkraftverk/?id=1352" TargetMode="External"/><Relationship Id="rId1" Type="http://schemas.openxmlformats.org/officeDocument/2006/relationships/hyperlink" Target="https://www.nve.no/energiforsyning/kraftproduksjon/vannkraft/vannkraftdatabase/vannkraftverk/?id=222" TargetMode="External"/><Relationship Id="rId6" Type="http://schemas.openxmlformats.org/officeDocument/2006/relationships/hyperlink" Target="https://www.nve.no/energiforsyning/kraftproduksjon/vannkraft/vannkraftdatabase/vannkraftverk/?id=542" TargetMode="External"/><Relationship Id="rId15" Type="http://schemas.openxmlformats.org/officeDocument/2006/relationships/hyperlink" Target="https://www.nve.no/energiforsyning/kraftproduksjon/vannkraft/vannkraftdatabase/vannkraftverk/?id=77" TargetMode="External"/><Relationship Id="rId23" Type="http://schemas.openxmlformats.org/officeDocument/2006/relationships/hyperlink" Target="https://www.nve.no/energiforsyning/kraftproduksjon/vannkraft/vannkraftdatabase/vannkraftverk/?id=94" TargetMode="External"/><Relationship Id="rId28" Type="http://schemas.openxmlformats.org/officeDocument/2006/relationships/hyperlink" Target="https://www.nve.no/energiforsyning/kraftproduksjon/vannkraft/vannkraftdatabase/vannkraftverk/?id=158" TargetMode="External"/><Relationship Id="rId36" Type="http://schemas.openxmlformats.org/officeDocument/2006/relationships/hyperlink" Target="https://www.nve.no/energiforsyning/kraftproduksjon/vannkraft/vannkraftdatabase/vannkraftverk/?id=64" TargetMode="External"/><Relationship Id="rId49" Type="http://schemas.openxmlformats.org/officeDocument/2006/relationships/hyperlink" Target="https://www.nve.no/energiforsyning/kraftproduksjon/vannkraft/vannkraftdatabase/vannkraftverk/?id=346" TargetMode="External"/><Relationship Id="rId57" Type="http://schemas.openxmlformats.org/officeDocument/2006/relationships/hyperlink" Target="https://www.nve.no/energiforsyning/kraftproduksjon/vannkraft/vannkraftdatabase/vannkraftverk/?id=259" TargetMode="External"/><Relationship Id="rId10" Type="http://schemas.openxmlformats.org/officeDocument/2006/relationships/hyperlink" Target="https://www.nve.no/energiforsyning/kraftproduksjon/vannkraft/vannkraftdatabase/vannkraftverk/?id=815" TargetMode="External"/><Relationship Id="rId31" Type="http://schemas.openxmlformats.org/officeDocument/2006/relationships/hyperlink" Target="https://www.nve.no/energiforsyning/kraftproduksjon/vannkraft/vannkraftdatabase/vannkraftverk/?id=35" TargetMode="External"/><Relationship Id="rId44" Type="http://schemas.openxmlformats.org/officeDocument/2006/relationships/hyperlink" Target="https://www.nve.no/energiforsyning/kraftproduksjon/vannkraft/vannkraftdatabase/vannkraftverk/?id=408" TargetMode="External"/><Relationship Id="rId52" Type="http://schemas.openxmlformats.org/officeDocument/2006/relationships/hyperlink" Target="https://www.nve.no/energiforsyning/kraftproduksjon/vannkraft/vannkraftdatabase/vannkraftverk/?id=1404" TargetMode="External"/><Relationship Id="rId60" Type="http://schemas.openxmlformats.org/officeDocument/2006/relationships/hyperlink" Target="https://www.nve.no/energiforsyning/kraftproduksjon/vannkraft/vannkraftdatabase/vannkraftverk/?id=1908" TargetMode="External"/><Relationship Id="rId65" Type="http://schemas.openxmlformats.org/officeDocument/2006/relationships/hyperlink" Target="https://www.nve.no/energiforsyning/kraftproduksjon/vannkraft/vannkraftdatabase/vannkraftverk/?id=75" TargetMode="External"/><Relationship Id="rId73" Type="http://schemas.openxmlformats.org/officeDocument/2006/relationships/hyperlink" Target="https://www.nve.no/energiforsyning/kraftproduksjon/vannkraft/vannkraftdatabase/vannkraftverk/?id=846" TargetMode="External"/><Relationship Id="rId78" Type="http://schemas.openxmlformats.org/officeDocument/2006/relationships/hyperlink" Target="https://www.nve.no/energiforsyning/kraftproduksjon/vannkraft/vannkraftdatabase/vannkraftverk/?id=1893" TargetMode="External"/><Relationship Id="rId81" Type="http://schemas.openxmlformats.org/officeDocument/2006/relationships/hyperlink" Target="https://www.nve.no/energiforsyning/kraftproduksjon/vannkraft/vannkraftdatabase/vannkraftverk/?id=1815" TargetMode="External"/><Relationship Id="rId86" Type="http://schemas.openxmlformats.org/officeDocument/2006/relationships/hyperlink" Target="https://www.nve.no/energiforsyning/kraftproduksjon/vannkraft/vannkraftdatabase/vannkraftverk/?id=1991" TargetMode="External"/><Relationship Id="rId94" Type="http://schemas.openxmlformats.org/officeDocument/2006/relationships/hyperlink" Target="https://www.nve.no/energiforsyning/kraftproduksjon/vannkraft/vannkraftdatabase/vannkraftverk/?id=43" TargetMode="External"/><Relationship Id="rId4" Type="http://schemas.openxmlformats.org/officeDocument/2006/relationships/hyperlink" Target="https://www.nve.no/energiforsyning/kraftproduksjon/vannkraft/vannkraftdatabase/vannkraftverk/?id=362" TargetMode="External"/><Relationship Id="rId9" Type="http://schemas.openxmlformats.org/officeDocument/2006/relationships/hyperlink" Target="https://www.nve.no/energiforsyning/kraftproduksjon/vannkraft/vannkraftdatabase/vannkraftverk/?id=446" TargetMode="External"/><Relationship Id="rId13" Type="http://schemas.openxmlformats.org/officeDocument/2006/relationships/hyperlink" Target="https://www.nve.no/energiforsyning/kraftproduksjon/vannkraft/vannkraftdatabase/vannkraftverk/?id=488" TargetMode="External"/><Relationship Id="rId18" Type="http://schemas.openxmlformats.org/officeDocument/2006/relationships/hyperlink" Target="https://www.nve.no/energiforsyning/kraftproduksjon/vannkraft/vannkraftdatabase/vannkraftverk/?id=380" TargetMode="External"/><Relationship Id="rId39" Type="http://schemas.openxmlformats.org/officeDocument/2006/relationships/hyperlink" Target="https://www.nve.no/energiforsyning/kraftproduksjon/vannkraft/vannkraftdatabase/vannkraftverk/?id=480" TargetMode="External"/><Relationship Id="rId34" Type="http://schemas.openxmlformats.org/officeDocument/2006/relationships/hyperlink" Target="https://www.nve.no/energiforsyning/kraftproduksjon/vannkraft/vannkraftdatabase/vannkraftverk/?id=317" TargetMode="External"/><Relationship Id="rId50" Type="http://schemas.openxmlformats.org/officeDocument/2006/relationships/hyperlink" Target="https://www.nve.no/energiforsyning/kraftproduksjon/vannkraft/vannkraftdatabase/vannkraftverk/?id=373" TargetMode="External"/><Relationship Id="rId55" Type="http://schemas.openxmlformats.org/officeDocument/2006/relationships/hyperlink" Target="https://www.nve.no/energiforsyning/kraftproduksjon/vannkraft/vannkraftdatabase/vannkraftverk/?id=1821" TargetMode="External"/><Relationship Id="rId76" Type="http://schemas.openxmlformats.org/officeDocument/2006/relationships/hyperlink" Target="https://www.nve.no/energiforsyning/kraftproduksjon/vannkraft/vannkraftdatabase/vannkraftverk/?id=240" TargetMode="External"/><Relationship Id="rId97" Type="http://schemas.openxmlformats.org/officeDocument/2006/relationships/hyperlink" Target="https://www.nve.no/energiforsyning/kraftproduksjon/vannkraft/vannkraftdatabase/vannkraftverk/?id=1856" TargetMode="External"/><Relationship Id="rId7" Type="http://schemas.openxmlformats.org/officeDocument/2006/relationships/hyperlink" Target="https://www.nve.no/energiforsyning/kraftproduksjon/vannkraft/vannkraftdatabase/vannkraftverk/?id=231" TargetMode="External"/><Relationship Id="rId71" Type="http://schemas.openxmlformats.org/officeDocument/2006/relationships/hyperlink" Target="https://www.nve.no/energiforsyning/kraftproduksjon/vannkraft/vannkraftdatabase/vannkraftverk/?id=1916" TargetMode="External"/><Relationship Id="rId92" Type="http://schemas.openxmlformats.org/officeDocument/2006/relationships/hyperlink" Target="https://www.nve.no/energiforsyning/kraftproduksjon/vannkraft/vannkraftdatabase/vannkraftverk/?id=781" TargetMode="External"/><Relationship Id="rId2" Type="http://schemas.openxmlformats.org/officeDocument/2006/relationships/hyperlink" Target="https://www.nve.no/energiforsyning/kraftproduksjon/vannkraft/vannkraftdatabase/vannkraftverk/?id=448" TargetMode="External"/><Relationship Id="rId29" Type="http://schemas.openxmlformats.org/officeDocument/2006/relationships/hyperlink" Target="https://www.nve.no/energiforsyning/kraftproduksjon/vannkraft/vannkraftdatabase/vannkraftverk/?id=470" TargetMode="External"/><Relationship Id="rId24" Type="http://schemas.openxmlformats.org/officeDocument/2006/relationships/hyperlink" Target="https://www.nve.no/energiforsyning/kraftproduksjon/vannkraft/vannkraftdatabase/vannkraftverk/?id=266" TargetMode="External"/><Relationship Id="rId40" Type="http://schemas.openxmlformats.org/officeDocument/2006/relationships/hyperlink" Target="https://www.nve.no/energiforsyning/kraftproduksjon/vannkraft/vannkraftdatabase/vannkraftverk/?id=429" TargetMode="External"/><Relationship Id="rId45" Type="http://schemas.openxmlformats.org/officeDocument/2006/relationships/hyperlink" Target="https://www.nve.no/energiforsyning/kraftproduksjon/vannkraft/vannkraftdatabase/vannkraftverk/?id=458" TargetMode="External"/><Relationship Id="rId66" Type="http://schemas.openxmlformats.org/officeDocument/2006/relationships/hyperlink" Target="https://www.nve.no/energiforsyning/kraftproduksjon/vannkraft/vannkraftdatabase/vannkraftverk/?id=97" TargetMode="External"/><Relationship Id="rId87" Type="http://schemas.openxmlformats.org/officeDocument/2006/relationships/hyperlink" Target="https://www.nve.no/energiforsyning/kraftproduksjon/vannkraft/vannkraftdatabase/vannkraftverk/?id=754" TargetMode="External"/><Relationship Id="rId61" Type="http://schemas.openxmlformats.org/officeDocument/2006/relationships/hyperlink" Target="https://www.nve.no/energiforsyning/kraftproduksjon/vannkraft/vannkraftdatabase/vannkraftverk/?id=1778" TargetMode="External"/><Relationship Id="rId82" Type="http://schemas.openxmlformats.org/officeDocument/2006/relationships/hyperlink" Target="https://www.nve.no/energiforsyning/kraftproduksjon/vannkraft/vannkraftdatabase/vannkraftverk/?id=1950" TargetMode="External"/><Relationship Id="rId19" Type="http://schemas.openxmlformats.org/officeDocument/2006/relationships/hyperlink" Target="https://www.nve.no/energiforsyning/kraftproduksjon/vannkraft/vannkraftdatabase/vannkraftverk/?id=503" TargetMode="External"/><Relationship Id="rId14" Type="http://schemas.openxmlformats.org/officeDocument/2006/relationships/hyperlink" Target="https://www.nve.no/energiforsyning/kraftproduksjon/vannkraft/vannkraftdatabase/vannkraftverk/?id=45" TargetMode="External"/><Relationship Id="rId30" Type="http://schemas.openxmlformats.org/officeDocument/2006/relationships/hyperlink" Target="https://www.nve.no/energiforsyning/kraftproduksjon/vannkraft/vannkraftdatabase/vannkraftverk/?id=1422" TargetMode="External"/><Relationship Id="rId35" Type="http://schemas.openxmlformats.org/officeDocument/2006/relationships/hyperlink" Target="https://www.nve.no/energiforsyning/kraftproduksjon/vannkraft/vannkraftdatabase/vannkraftverk/?id=493" TargetMode="External"/><Relationship Id="rId56" Type="http://schemas.openxmlformats.org/officeDocument/2006/relationships/hyperlink" Target="https://www.nve.no/energiforsyning/kraftproduksjon/vannkraft/vannkraftdatabase/vannkraftverk/?id=848" TargetMode="External"/><Relationship Id="rId77" Type="http://schemas.openxmlformats.org/officeDocument/2006/relationships/hyperlink" Target="https://www.nve.no/energiforsyning/kraftproduksjon/vannkraft/vannkraftdatabase/vannkraftverk/?id=1911" TargetMode="External"/><Relationship Id="rId8" Type="http://schemas.openxmlformats.org/officeDocument/2006/relationships/hyperlink" Target="https://www.nve.no/energiforsyning/kraftproduksjon/vannkraft/vannkraftdatabase/vannkraftverk/?id=330" TargetMode="External"/><Relationship Id="rId51" Type="http://schemas.openxmlformats.org/officeDocument/2006/relationships/hyperlink" Target="https://www.nve.no/energiforsyning/kraftproduksjon/vannkraft/vannkraftdatabase/vannkraftverk/?id=153" TargetMode="External"/><Relationship Id="rId72" Type="http://schemas.openxmlformats.org/officeDocument/2006/relationships/hyperlink" Target="https://www.nve.no/energiforsyning/kraftproduksjon/vannkraft/vannkraftdatabase/vannkraftverk/?id=1901" TargetMode="External"/><Relationship Id="rId93" Type="http://schemas.openxmlformats.org/officeDocument/2006/relationships/hyperlink" Target="https://www.nve.no/energiforsyning/kraftproduksjon/vannkraft/vannkraftdatabase/vannkraftverk/?id=790" TargetMode="External"/><Relationship Id="rId98" Type="http://schemas.openxmlformats.org/officeDocument/2006/relationships/hyperlink" Target="https://www.nve.no/energiforsyning/kraftproduksjon/vannkraft/vannkraftdatabase/vannkraftverk/?id=1914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Cahora_Bassa_Dam" TargetMode="External"/><Relationship Id="rId13" Type="http://schemas.openxmlformats.org/officeDocument/2006/relationships/hyperlink" Target="https://en.wikipedia.org/wiki/Shiroro_Hydroelectric_Power_Station" TargetMode="External"/><Relationship Id="rId18" Type="http://schemas.openxmlformats.org/officeDocument/2006/relationships/hyperlink" Target="https://en.wikipedia.org/wiki/Tokwe_Mukorsi_Dam" TargetMode="External"/><Relationship Id="rId3" Type="http://schemas.openxmlformats.org/officeDocument/2006/relationships/hyperlink" Target="https://en.wikipedia.org/wiki/Merowe_Dam" TargetMode="External"/><Relationship Id="rId7" Type="http://schemas.openxmlformats.org/officeDocument/2006/relationships/hyperlink" Target="https://en.wikipedia.org/wiki/Aswan_Dam" TargetMode="External"/><Relationship Id="rId12" Type="http://schemas.openxmlformats.org/officeDocument/2006/relationships/hyperlink" Target="https://en.wikipedia.org/wiki/Mambilla_Hydroelectric_Power_Station" TargetMode="External"/><Relationship Id="rId17" Type="http://schemas.openxmlformats.org/officeDocument/2006/relationships/hyperlink" Target="https://en.wikipedia.org/wiki/Kariba_Dam" TargetMode="External"/><Relationship Id="rId2" Type="http://schemas.openxmlformats.org/officeDocument/2006/relationships/hyperlink" Target="https://en.wikipedia.org/wiki/Roseires_Dam" TargetMode="External"/><Relationship Id="rId16" Type="http://schemas.openxmlformats.org/officeDocument/2006/relationships/hyperlink" Target="https://en.wikipedia.org/wiki/Bui_Hydropower_Plant" TargetMode="External"/><Relationship Id="rId1" Type="http://schemas.openxmlformats.org/officeDocument/2006/relationships/hyperlink" Target="https://en.wikipedia.org/wiki/Katse_Dam" TargetMode="External"/><Relationship Id="rId6" Type="http://schemas.openxmlformats.org/officeDocument/2006/relationships/hyperlink" Target="https://en.wikipedia.org/wiki/Khashm_el-Girba_Dam" TargetMode="External"/><Relationship Id="rId11" Type="http://schemas.openxmlformats.org/officeDocument/2006/relationships/hyperlink" Target="https://en.wikipedia.org/wiki/Kainji_Power_Station" TargetMode="External"/><Relationship Id="rId5" Type="http://schemas.openxmlformats.org/officeDocument/2006/relationships/hyperlink" Target="https://en.wikipedia.org/wiki/Kajbar_Power_Station" TargetMode="External"/><Relationship Id="rId15" Type="http://schemas.openxmlformats.org/officeDocument/2006/relationships/hyperlink" Target="https://en.wikipedia.org/wiki/Akosombo_Dam" TargetMode="External"/><Relationship Id="rId10" Type="http://schemas.openxmlformats.org/officeDocument/2006/relationships/hyperlink" Target="https://en.wikipedia.org/wiki/Jebba_Hydroelectric_Power_Station" TargetMode="External"/><Relationship Id="rId19" Type="http://schemas.openxmlformats.org/officeDocument/2006/relationships/hyperlink" Target="https://en.wikipedia.org/wiki/Batoka_Gorge_Hydroelectric_Power_Station" TargetMode="External"/><Relationship Id="rId4" Type="http://schemas.openxmlformats.org/officeDocument/2006/relationships/hyperlink" Target="https://en.wikipedia.org/wiki/Upper_Atbara_and_Setit_Dam_Complex" TargetMode="External"/><Relationship Id="rId9" Type="http://schemas.openxmlformats.org/officeDocument/2006/relationships/hyperlink" Target="https://en.wikipedia.org/wiki/Massingir_Dam" TargetMode="External"/><Relationship Id="rId14" Type="http://schemas.openxmlformats.org/officeDocument/2006/relationships/hyperlink" Target="https://en.wikipedia.org/wiki/Zungeru_Hydroelectric_Power_Statio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en.wikipedia.org/wiki/Kouhrang_Dam" TargetMode="External"/><Relationship Id="rId13" Type="http://schemas.openxmlformats.org/officeDocument/2006/relationships/hyperlink" Target="https://en.wikipedia.org/wiki/Sardasht_Dam" TargetMode="External"/><Relationship Id="rId18" Type="http://schemas.openxmlformats.org/officeDocument/2006/relationships/hyperlink" Target="https://en.wikipedia.org/wiki/Khersan-3_Dam" TargetMode="External"/><Relationship Id="rId26" Type="http://schemas.openxmlformats.org/officeDocument/2006/relationships/hyperlink" Target="https://en.wikipedia.org/wiki/Dukan_Dam" TargetMode="External"/><Relationship Id="rId3" Type="http://schemas.openxmlformats.org/officeDocument/2006/relationships/hyperlink" Target="https://en.wikipedia.org/wiki/Dez_Dam" TargetMode="External"/><Relationship Id="rId21" Type="http://schemas.openxmlformats.org/officeDocument/2006/relationships/hyperlink" Target="https://en.wikipedia.org/wiki/Bastora_Dam" TargetMode="External"/><Relationship Id="rId7" Type="http://schemas.openxmlformats.org/officeDocument/2006/relationships/hyperlink" Target="https://en.wikipedia.org/wiki/Latyan_Dam" TargetMode="External"/><Relationship Id="rId12" Type="http://schemas.openxmlformats.org/officeDocument/2006/relationships/hyperlink" Target="https://en.wikipedia.org/wiki/Rudbar_Lorestan_Dam" TargetMode="External"/><Relationship Id="rId17" Type="http://schemas.openxmlformats.org/officeDocument/2006/relationships/hyperlink" Target="https://en.wikipedia.org/wiki/Bakhtiari_Dam" TargetMode="External"/><Relationship Id="rId25" Type="http://schemas.openxmlformats.org/officeDocument/2006/relationships/hyperlink" Target="https://en.wikipedia.org/wiki/Deralok_Dam" TargetMode="External"/><Relationship Id="rId2" Type="http://schemas.openxmlformats.org/officeDocument/2006/relationships/hyperlink" Target="https://en.wikipedia.org/wiki/Karkheh_Dam" TargetMode="External"/><Relationship Id="rId16" Type="http://schemas.openxmlformats.org/officeDocument/2006/relationships/hyperlink" Target="https://en.wikipedia.org/wiki/Daryan_Dam" TargetMode="External"/><Relationship Id="rId20" Type="http://schemas.openxmlformats.org/officeDocument/2006/relationships/hyperlink" Target="https://en.wikipedia.org/wiki/Badush_Dam" TargetMode="External"/><Relationship Id="rId29" Type="http://schemas.openxmlformats.org/officeDocument/2006/relationships/hyperlink" Target="https://en.wikipedia.org/wiki/Mosul_Dam" TargetMode="External"/><Relationship Id="rId1" Type="http://schemas.openxmlformats.org/officeDocument/2006/relationships/hyperlink" Target="https://en.wikipedia.org/wiki/Shahid_Abbaspour_Dam" TargetMode="External"/><Relationship Id="rId6" Type="http://schemas.openxmlformats.org/officeDocument/2006/relationships/hyperlink" Target="https://en.wikipedia.org/wiki/Masjed_Soleyman_Dam" TargetMode="External"/><Relationship Id="rId11" Type="http://schemas.openxmlformats.org/officeDocument/2006/relationships/hyperlink" Target="https://en.wikipedia.org/wiki/Seimareh_Dam" TargetMode="External"/><Relationship Id="rId24" Type="http://schemas.openxmlformats.org/officeDocument/2006/relationships/hyperlink" Target="https://en.wikipedia.org/wiki/Darbandikhan_Dam" TargetMode="External"/><Relationship Id="rId5" Type="http://schemas.openxmlformats.org/officeDocument/2006/relationships/hyperlink" Target="https://en.wikipedia.org/wiki/Karun-4_Dam" TargetMode="External"/><Relationship Id="rId15" Type="http://schemas.openxmlformats.org/officeDocument/2006/relationships/hyperlink" Target="https://en.wikipedia.org/wiki/Upper_Gotvand_Dam" TargetMode="External"/><Relationship Id="rId23" Type="http://schemas.openxmlformats.org/officeDocument/2006/relationships/hyperlink" Target="https://en.wikipedia.org/wiki/Bekhme_Dam" TargetMode="External"/><Relationship Id="rId28" Type="http://schemas.openxmlformats.org/officeDocument/2006/relationships/hyperlink" Target="https://en.wikipedia.org/wiki/Hemrin_Dam" TargetMode="External"/><Relationship Id="rId10" Type="http://schemas.openxmlformats.org/officeDocument/2006/relationships/hyperlink" Target="https://en.wikipedia.org/wiki/Piran_Dam" TargetMode="External"/><Relationship Id="rId19" Type="http://schemas.openxmlformats.org/officeDocument/2006/relationships/hyperlink" Target="https://en.wikipedia.org/wiki/Adhaim_Dam" TargetMode="External"/><Relationship Id="rId4" Type="http://schemas.openxmlformats.org/officeDocument/2006/relationships/hyperlink" Target="https://en.wikipedia.org/wiki/Karun-3_Dam" TargetMode="External"/><Relationship Id="rId9" Type="http://schemas.openxmlformats.org/officeDocument/2006/relationships/hyperlink" Target="https://en.wikipedia.org/wiki/Shahid_Rajaee_Dam" TargetMode="External"/><Relationship Id="rId14" Type="http://schemas.openxmlformats.org/officeDocument/2006/relationships/hyperlink" Target="https://en.wikipedia.org/wiki/Marun_Dam" TargetMode="External"/><Relationship Id="rId22" Type="http://schemas.openxmlformats.org/officeDocument/2006/relationships/hyperlink" Target="https://en.wikipedia.org/wiki/Bawanur_Dam" TargetMode="External"/><Relationship Id="rId27" Type="http://schemas.openxmlformats.org/officeDocument/2006/relationships/hyperlink" Target="https://en.wikipedia.org/wiki/Haditha_Dam" TargetMode="External"/><Relationship Id="rId30" Type="http://schemas.openxmlformats.org/officeDocument/2006/relationships/hyperlink" Target="https://en.wikipedia.org/wiki/Samarra_Barrage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Votkinsk_Hydroelectric_Station" TargetMode="External"/><Relationship Id="rId18" Type="http://schemas.openxmlformats.org/officeDocument/2006/relationships/hyperlink" Target="https://en.wikipedia.org/wiki/Narva_Hydroelectric_Station" TargetMode="External"/><Relationship Id="rId26" Type="http://schemas.openxmlformats.org/officeDocument/2006/relationships/hyperlink" Target="https://en.wikipedia.org/wiki/Kyiv_Hydroelectric_Power_Plant" TargetMode="External"/><Relationship Id="rId39" Type="http://schemas.openxmlformats.org/officeDocument/2006/relationships/hyperlink" Target="https://en.wikipedia.org/wiki/Mingachevir_Hydro_Power_Plant" TargetMode="External"/><Relationship Id="rId21" Type="http://schemas.openxmlformats.org/officeDocument/2006/relationships/hyperlink" Target="https://en.wikipedia.org/wiki/Zeya_Hydroelectric_Power_Station" TargetMode="External"/><Relationship Id="rId34" Type="http://schemas.openxmlformats.org/officeDocument/2006/relationships/hyperlink" Target="https://en.wikipedia.org/wiki/Nurek_Dam" TargetMode="External"/><Relationship Id="rId7" Type="http://schemas.openxmlformats.org/officeDocument/2006/relationships/hyperlink" Target="https://en.wikipedia.org/wiki/Zhiguli_Hydroelectric_Station" TargetMode="External"/><Relationship Id="rId12" Type="http://schemas.openxmlformats.org/officeDocument/2006/relationships/hyperlink" Target="https://en.wikipedia.org/wiki/Nizhnekamsk_Hydroelectric_Station" TargetMode="External"/><Relationship Id="rId17" Type="http://schemas.openxmlformats.org/officeDocument/2006/relationships/hyperlink" Target="https://en.wikipedia.org/wiki/Kolyma_Hydroelectric_Station" TargetMode="External"/><Relationship Id="rId25" Type="http://schemas.openxmlformats.org/officeDocument/2006/relationships/hyperlink" Target="https://en.wikipedia.org/wiki/Shulbinsk_Hydroelectric_Power_Plant" TargetMode="External"/><Relationship Id="rId33" Type="http://schemas.openxmlformats.org/officeDocument/2006/relationships/hyperlink" Target="https://en.wikipedia.org/wiki/Kayrakkum_Dam" TargetMode="External"/><Relationship Id="rId38" Type="http://schemas.openxmlformats.org/officeDocument/2006/relationships/hyperlink" Target="https://en.wikipedia.org/wiki/Golovnaya_Dam" TargetMode="External"/><Relationship Id="rId2" Type="http://schemas.openxmlformats.org/officeDocument/2006/relationships/hyperlink" Target="https://en.wikipedia.org/wiki/Krasnoyarsk_Dam" TargetMode="External"/><Relationship Id="rId16" Type="http://schemas.openxmlformats.org/officeDocument/2006/relationships/hyperlink" Target="https://en.wikipedia.org/wiki/Kama_Hydroelectric_Station" TargetMode="External"/><Relationship Id="rId20" Type="http://schemas.openxmlformats.org/officeDocument/2006/relationships/hyperlink" Target="https://en.wikipedia.org/wiki/Rybinsk_Hydroelectric_Station" TargetMode="External"/><Relationship Id="rId29" Type="http://schemas.openxmlformats.org/officeDocument/2006/relationships/hyperlink" Target="https://en.wikipedia.org/wiki/Kakhovka_Hydroelectric_Station" TargetMode="External"/><Relationship Id="rId1" Type="http://schemas.openxmlformats.org/officeDocument/2006/relationships/hyperlink" Target="https://en.wikipedia.org/wiki/Sayano-Shushenskaya_Dam" TargetMode="External"/><Relationship Id="rId6" Type="http://schemas.openxmlformats.org/officeDocument/2006/relationships/hyperlink" Target="https://en.wikipedia.org/wiki/Volga_Hydroelectric_Station" TargetMode="External"/><Relationship Id="rId11" Type="http://schemas.openxmlformats.org/officeDocument/2006/relationships/hyperlink" Target="https://en.wikipedia.org/wiki/Zeya_Dam" TargetMode="External"/><Relationship Id="rId24" Type="http://schemas.openxmlformats.org/officeDocument/2006/relationships/hyperlink" Target="https://en.wikipedia.org/wiki/Oskemen_Hydroelectric_Power_Plant" TargetMode="External"/><Relationship Id="rId32" Type="http://schemas.openxmlformats.org/officeDocument/2006/relationships/hyperlink" Target="https://en.wikipedia.org/wiki/Farkhad_Dam" TargetMode="External"/><Relationship Id="rId37" Type="http://schemas.openxmlformats.org/officeDocument/2006/relationships/hyperlink" Target="https://en.wikipedia.org/wiki/Baipaza_Dam" TargetMode="External"/><Relationship Id="rId5" Type="http://schemas.openxmlformats.org/officeDocument/2006/relationships/hyperlink" Target="https://en.wikipedia.org/wiki/Boguchany_Dam" TargetMode="External"/><Relationship Id="rId15" Type="http://schemas.openxmlformats.org/officeDocument/2006/relationships/hyperlink" Target="https://en.wikipedia.org/wiki/Irkutsk_Hydroelectric_Power_Station" TargetMode="External"/><Relationship Id="rId23" Type="http://schemas.openxmlformats.org/officeDocument/2006/relationships/hyperlink" Target="https://en.wikipedia.org/wiki/Kapshagay_Hydroelectric_Power_Plant" TargetMode="External"/><Relationship Id="rId28" Type="http://schemas.openxmlformats.org/officeDocument/2006/relationships/hyperlink" Target="https://en.wikipedia.org/wiki/Kremenchuk_Hydroelectric_Station" TargetMode="External"/><Relationship Id="rId36" Type="http://schemas.openxmlformats.org/officeDocument/2006/relationships/hyperlink" Target="https://en.wikipedia.org/wiki/Sangtuda_1_Hydroelectric_Power_Plant" TargetMode="External"/><Relationship Id="rId10" Type="http://schemas.openxmlformats.org/officeDocument/2006/relationships/hyperlink" Target="https://en.wikipedia.org/wiki/Cheboksary_Dam" TargetMode="External"/><Relationship Id="rId19" Type="http://schemas.openxmlformats.org/officeDocument/2006/relationships/hyperlink" Target="https://en.wikipedia.org/wiki/Pavlovka_Hydroelectric_Station" TargetMode="External"/><Relationship Id="rId31" Type="http://schemas.openxmlformats.org/officeDocument/2006/relationships/hyperlink" Target="https://fr.wikipedia.org/wiki/DniproHES" TargetMode="External"/><Relationship Id="rId4" Type="http://schemas.openxmlformats.org/officeDocument/2006/relationships/hyperlink" Target="https://en.wikipedia.org/wiki/Ust-Ilimsk_Hydroelectric_Power_Station" TargetMode="External"/><Relationship Id="rId9" Type="http://schemas.openxmlformats.org/officeDocument/2006/relationships/hyperlink" Target="https://en.wikipedia.org/wiki/Saratov_Hydroelectric_Station" TargetMode="External"/><Relationship Id="rId14" Type="http://schemas.openxmlformats.org/officeDocument/2006/relationships/hyperlink" Target="https://en.wikipedia.org/wiki/Chirkey_Dam" TargetMode="External"/><Relationship Id="rId22" Type="http://schemas.openxmlformats.org/officeDocument/2006/relationships/hyperlink" Target="https://en.wikipedia.org/wiki/Bukhtarma_Hydroelectric_Power_Plant" TargetMode="External"/><Relationship Id="rId27" Type="http://schemas.openxmlformats.org/officeDocument/2006/relationships/hyperlink" Target="https://en.wikipedia.org/wiki/Kaniv_Hydroelectric_Station" TargetMode="External"/><Relationship Id="rId30" Type="http://schemas.openxmlformats.org/officeDocument/2006/relationships/hyperlink" Target="https://en.wikipedia.org/wiki/Middle_Dnieper_Hydroelectric_Power_Plant" TargetMode="External"/><Relationship Id="rId35" Type="http://schemas.openxmlformats.org/officeDocument/2006/relationships/hyperlink" Target="https://en.wikipedia.org/wiki/Rogun_Dam" TargetMode="External"/><Relationship Id="rId8" Type="http://schemas.openxmlformats.org/officeDocument/2006/relationships/hyperlink" Target="https://en.wikipedia.org/wiki/Bureya_Dam" TargetMode="External"/><Relationship Id="rId3" Type="http://schemas.openxmlformats.org/officeDocument/2006/relationships/hyperlink" Target="https://en.wikipedia.org/wiki/Bratsk_Hydroelectric_Power_Station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Grand_Coulee_Dam" TargetMode="External"/><Relationship Id="rId18" Type="http://schemas.openxmlformats.org/officeDocument/2006/relationships/hyperlink" Target="https://en.wikipedia.org/wiki/Libby_Dam" TargetMode="External"/><Relationship Id="rId26" Type="http://schemas.openxmlformats.org/officeDocument/2006/relationships/hyperlink" Target="https://en.wikipedia.org/wiki/Shasta_Dam" TargetMode="External"/><Relationship Id="rId39" Type="http://schemas.openxmlformats.org/officeDocument/2006/relationships/hyperlink" Target="https://en.wikipedia.org/wiki/Mactaquac_Dam" TargetMode="External"/><Relationship Id="rId21" Type="http://schemas.openxmlformats.org/officeDocument/2006/relationships/hyperlink" Target="https://en.wikipedia.org/wiki/New_Melones_Dam" TargetMode="External"/><Relationship Id="rId34" Type="http://schemas.openxmlformats.org/officeDocument/2006/relationships/hyperlink" Target="https://en.wikipedia.org/wiki/Kootenay_Canal" TargetMode="External"/><Relationship Id="rId42" Type="http://schemas.openxmlformats.org/officeDocument/2006/relationships/hyperlink" Target="https://en.wikipedia.org/wiki/Outardes-4" TargetMode="External"/><Relationship Id="rId47" Type="http://schemas.openxmlformats.org/officeDocument/2006/relationships/hyperlink" Target="https://en.wikipedia.org/wiki/Romaine-3_Generating_Station" TargetMode="External"/><Relationship Id="rId50" Type="http://schemas.openxmlformats.org/officeDocument/2006/relationships/hyperlink" Target="https://en.wikipedia.org/wiki/Spray_Lakes_Reservoir" TargetMode="External"/><Relationship Id="rId7" Type="http://schemas.openxmlformats.org/officeDocument/2006/relationships/hyperlink" Target="https://en.wikipedia.org/wiki/Conowingo_Dam" TargetMode="External"/><Relationship Id="rId2" Type="http://schemas.openxmlformats.org/officeDocument/2006/relationships/hyperlink" Target="https://en.wikipedia.org/wiki/Boundary_Dam" TargetMode="External"/><Relationship Id="rId16" Type="http://schemas.openxmlformats.org/officeDocument/2006/relationships/hyperlink" Target="https://en.wikipedia.org/wiki/Hoover_Dam" TargetMode="External"/><Relationship Id="rId29" Type="http://schemas.openxmlformats.org/officeDocument/2006/relationships/hyperlink" Target="https://en.wikipedia.org/wiki/Bersimis-1_generating_station" TargetMode="External"/><Relationship Id="rId11" Type="http://schemas.openxmlformats.org/officeDocument/2006/relationships/hyperlink" Target="https://en.wikipedia.org/wiki/Garrison_Dam" TargetMode="External"/><Relationship Id="rId24" Type="http://schemas.openxmlformats.org/officeDocument/2006/relationships/hyperlink" Target="https://en.wikipedia.org/wiki/Oroville_Dam" TargetMode="External"/><Relationship Id="rId32" Type="http://schemas.openxmlformats.org/officeDocument/2006/relationships/hyperlink" Target="https://en.wikipedia.org/wiki/Churchill_Falls_Generating_Station" TargetMode="External"/><Relationship Id="rId37" Type="http://schemas.openxmlformats.org/officeDocument/2006/relationships/hyperlink" Target="https://en.wikipedia.org/wiki/La_Grande-4_generating_station" TargetMode="External"/><Relationship Id="rId40" Type="http://schemas.openxmlformats.org/officeDocument/2006/relationships/hyperlink" Target="https://en.wikipedia.org/wiki/Daniel-Johnson_Dam" TargetMode="External"/><Relationship Id="rId45" Type="http://schemas.openxmlformats.org/officeDocument/2006/relationships/hyperlink" Target="https://en.wikipedia.org/wiki/Robert-Bourassa_generating_station" TargetMode="External"/><Relationship Id="rId5" Type="http://schemas.openxmlformats.org/officeDocument/2006/relationships/hyperlink" Target="https://en.wikipedia.org/wiki/Chief_Joseph_Dam" TargetMode="External"/><Relationship Id="rId15" Type="http://schemas.openxmlformats.org/officeDocument/2006/relationships/hyperlink" Target="https://en.wikipedia.org/wiki/Hells_Canyon_Dam" TargetMode="External"/><Relationship Id="rId23" Type="http://schemas.openxmlformats.org/officeDocument/2006/relationships/hyperlink" Target="https://en.wikipedia.org/wiki/Oahe_Dam" TargetMode="External"/><Relationship Id="rId28" Type="http://schemas.openxmlformats.org/officeDocument/2006/relationships/hyperlink" Target="https://en.wikipedia.org/wiki/Wilson_Dam" TargetMode="External"/><Relationship Id="rId36" Type="http://schemas.openxmlformats.org/officeDocument/2006/relationships/hyperlink" Target="https://en.wikipedia.org/wiki/La_Grande-3_generating_station" TargetMode="External"/><Relationship Id="rId49" Type="http://schemas.openxmlformats.org/officeDocument/2006/relationships/hyperlink" Target="https://en.wikipedia.org/wiki/Sainte-Marguerite-3_generating_station" TargetMode="External"/><Relationship Id="rId10" Type="http://schemas.openxmlformats.org/officeDocument/2006/relationships/hyperlink" Target="https://en.wikipedia.org/wiki/Fort_Randall_Dam" TargetMode="External"/><Relationship Id="rId19" Type="http://schemas.openxmlformats.org/officeDocument/2006/relationships/hyperlink" Target="https://en.wikipedia.org/wiki/Mossyrock_Dam" TargetMode="External"/><Relationship Id="rId31" Type="http://schemas.openxmlformats.org/officeDocument/2006/relationships/hyperlink" Target="https://en.wikipedia.org/wiki/Brisay_generating_station" TargetMode="External"/><Relationship Id="rId44" Type="http://schemas.openxmlformats.org/officeDocument/2006/relationships/hyperlink" Target="https://en.wikipedia.org/wiki/R._H._Saunders_Station" TargetMode="External"/><Relationship Id="rId4" Type="http://schemas.openxmlformats.org/officeDocument/2006/relationships/hyperlink" Target="https://en.wikipedia.org/wiki/Bull_Shoals_Dam" TargetMode="External"/><Relationship Id="rId9" Type="http://schemas.openxmlformats.org/officeDocument/2006/relationships/hyperlink" Target="https://en.wikipedia.org/wiki/Dworshak_Dam" TargetMode="External"/><Relationship Id="rId14" Type="http://schemas.openxmlformats.org/officeDocument/2006/relationships/hyperlink" Target="https://en.wikipedia.org/wiki/Hartwell_Dam" TargetMode="External"/><Relationship Id="rId22" Type="http://schemas.openxmlformats.org/officeDocument/2006/relationships/hyperlink" Target="https://en.wikipedia.org/wiki/Noxon_Rapids_Dam" TargetMode="External"/><Relationship Id="rId27" Type="http://schemas.openxmlformats.org/officeDocument/2006/relationships/hyperlink" Target="https://en.wikipedia.org/wiki/Moses-Saunders_Power_Dam" TargetMode="External"/><Relationship Id="rId30" Type="http://schemas.openxmlformats.org/officeDocument/2006/relationships/hyperlink" Target="https://en.wikipedia.org/wiki/Bighorn_Dam" TargetMode="External"/><Relationship Id="rId35" Type="http://schemas.openxmlformats.org/officeDocument/2006/relationships/hyperlink" Target="https://en.wikipedia.org/wiki/La_Grande-2-A_generating_station" TargetMode="External"/><Relationship Id="rId43" Type="http://schemas.openxmlformats.org/officeDocument/2006/relationships/hyperlink" Target="https://en.wikipedia.org/wiki/Revelstoke_Dam" TargetMode="External"/><Relationship Id="rId48" Type="http://schemas.openxmlformats.org/officeDocument/2006/relationships/hyperlink" Target="https://en.wikipedia.org/wiki/Ruskin_Dam_and_Powerhouse" TargetMode="External"/><Relationship Id="rId8" Type="http://schemas.openxmlformats.org/officeDocument/2006/relationships/hyperlink" Target="https://en.wikipedia.org/wiki/Davis_Dam" TargetMode="External"/><Relationship Id="rId51" Type="http://schemas.openxmlformats.org/officeDocument/2006/relationships/hyperlink" Target="https://en.wikipedia.org/wiki/Wreck_Cove_Hydroelectric_Plant" TargetMode="External"/><Relationship Id="rId3" Type="http://schemas.openxmlformats.org/officeDocument/2006/relationships/hyperlink" Target="https://en.wikipedia.org/wiki/Brownlee_Dam" TargetMode="External"/><Relationship Id="rId12" Type="http://schemas.openxmlformats.org/officeDocument/2006/relationships/hyperlink" Target="https://en.wikipedia.org/wiki/Glen_Canyon_Dam" TargetMode="External"/><Relationship Id="rId17" Type="http://schemas.openxmlformats.org/officeDocument/2006/relationships/hyperlink" Target="https://en.wikipedia.org/wiki/J._Strom_Thurmond_Dam" TargetMode="External"/><Relationship Id="rId25" Type="http://schemas.openxmlformats.org/officeDocument/2006/relationships/hyperlink" Target="https://en.wikipedia.org/wiki/Round_Butte_Dam" TargetMode="External"/><Relationship Id="rId33" Type="http://schemas.openxmlformats.org/officeDocument/2006/relationships/hyperlink" Target="https://en.wikipedia.org/wiki/W._A._C._Bennett_Dam" TargetMode="External"/><Relationship Id="rId38" Type="http://schemas.openxmlformats.org/officeDocument/2006/relationships/hyperlink" Target="https://en.wikipedia.org/wiki/Laforge-1_generating_station" TargetMode="External"/><Relationship Id="rId46" Type="http://schemas.openxmlformats.org/officeDocument/2006/relationships/hyperlink" Target="https://en.wikipedia.org/wiki/Romaine-2_Generating_Station" TargetMode="External"/><Relationship Id="rId20" Type="http://schemas.openxmlformats.org/officeDocument/2006/relationships/hyperlink" Target="https://en.wikipedia.org/wiki/New_Bullards_Bar_Dam" TargetMode="External"/><Relationship Id="rId41" Type="http://schemas.openxmlformats.org/officeDocument/2006/relationships/hyperlink" Target="https://en.wikipedia.org/wiki/Mica_Dam" TargetMode="External"/><Relationship Id="rId1" Type="http://schemas.openxmlformats.org/officeDocument/2006/relationships/hyperlink" Target="https://en.wikipedia.org/wiki/Big_Bend_Dam" TargetMode="External"/><Relationship Id="rId6" Type="http://schemas.openxmlformats.org/officeDocument/2006/relationships/hyperlink" Target="https://en.wikipedia.org/wiki/Comerford_Reservoir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en.wikipedia.org/wiki/Miranda_Dam" TargetMode="External"/><Relationship Id="rId21" Type="http://schemas.openxmlformats.org/officeDocument/2006/relationships/hyperlink" Target="https://en.wikipedia.org/wiki/Irap%C3%A9_Dam" TargetMode="External"/><Relationship Id="rId42" Type="http://schemas.openxmlformats.org/officeDocument/2006/relationships/hyperlink" Target="https://en.wikipedia.org/wiki/Macagua_I" TargetMode="External"/><Relationship Id="rId47" Type="http://schemas.openxmlformats.org/officeDocument/2006/relationships/hyperlink" Target="https://en.wikipedia.org/wiki/N%C3%A9stor_Kirchner_Dam" TargetMode="External"/><Relationship Id="rId63" Type="http://schemas.openxmlformats.org/officeDocument/2006/relationships/hyperlink" Target="https://en.wikipedia.org/wiki/Sogamoso_Dam" TargetMode="External"/><Relationship Id="rId68" Type="http://schemas.openxmlformats.org/officeDocument/2006/relationships/hyperlink" Target="https://en.wikipedia.org/wiki/%C3%81lvaro_Obreg%C3%B3n_Dam" TargetMode="External"/><Relationship Id="rId2" Type="http://schemas.openxmlformats.org/officeDocument/2006/relationships/hyperlink" Target="https://en.wikipedia.org/wiki/Balbina_Dam" TargetMode="External"/><Relationship Id="rId16" Type="http://schemas.openxmlformats.org/officeDocument/2006/relationships/hyperlink" Target="https://en.wikipedia.org/wiki/Itaipu_Dam" TargetMode="External"/><Relationship Id="rId29" Type="http://schemas.openxmlformats.org/officeDocument/2006/relationships/hyperlink" Target="https://en.wikipedia.org/wiki/Eng_S%C3%A9rgio_Motta_Dam" TargetMode="External"/><Relationship Id="rId11" Type="http://schemas.openxmlformats.org/officeDocument/2006/relationships/hyperlink" Target="https://en.wikipedia.org/wiki/Emborca%C3%A7%C3%A3o_Dam" TargetMode="External"/><Relationship Id="rId24" Type="http://schemas.openxmlformats.org/officeDocument/2006/relationships/hyperlink" Target="https://en.wikipedia.org/wiki/Machadinho_Hydroelectric_Power_Plant" TargetMode="External"/><Relationship Id="rId32" Type="http://schemas.openxmlformats.org/officeDocument/2006/relationships/hyperlink" Target="https://en.wikipedia.org/wiki/Santo_Ant%C3%B4nio_Dam" TargetMode="External"/><Relationship Id="rId37" Type="http://schemas.openxmlformats.org/officeDocument/2006/relationships/hyperlink" Target="https://en.wikipedia.org/wiki/Tr%C3%AAs_Irm%C3%A3os_Dam" TargetMode="External"/><Relationship Id="rId40" Type="http://schemas.openxmlformats.org/officeDocument/2006/relationships/hyperlink" Target="https://en.wikipedia.org/wiki/Caruachi_Dam" TargetMode="External"/><Relationship Id="rId45" Type="http://schemas.openxmlformats.org/officeDocument/2006/relationships/hyperlink" Target="https://en.wikipedia.org/wiki/Piedra_del_%C3%81guila_Dam" TargetMode="External"/><Relationship Id="rId53" Type="http://schemas.openxmlformats.org/officeDocument/2006/relationships/hyperlink" Target="https://en.wikipedia.org/wiki/Arroyito_Dam" TargetMode="External"/><Relationship Id="rId58" Type="http://schemas.openxmlformats.org/officeDocument/2006/relationships/hyperlink" Target="https://en.wikipedia.org/wiki/Quebrada_de_Ull%C3%BAm_Dam" TargetMode="External"/><Relationship Id="rId66" Type="http://schemas.openxmlformats.org/officeDocument/2006/relationships/hyperlink" Target="https://en.wikipedia.org/wiki/Quimbo_Dam" TargetMode="External"/><Relationship Id="rId74" Type="http://schemas.openxmlformats.org/officeDocument/2006/relationships/hyperlink" Target="https://en.wikipedia.org/wiki/Malpaso_Dam" TargetMode="External"/><Relationship Id="rId5" Type="http://schemas.openxmlformats.org/officeDocument/2006/relationships/hyperlink" Target="https://en.wikipedia.org/wiki/Bento_Munhoz_Hydroelectric_Plant" TargetMode="External"/><Relationship Id="rId61" Type="http://schemas.openxmlformats.org/officeDocument/2006/relationships/hyperlink" Target="https://en.wikipedia.org/wiki/San_Carlos_Hydroelectric_Power_Plant" TargetMode="External"/><Relationship Id="rId19" Type="http://schemas.openxmlformats.org/officeDocument/2006/relationships/hyperlink" Target="https://en.wikipedia.org/wiki/Jatob%C3%A1_Hydroelectric_Power_Plant" TargetMode="External"/><Relationship Id="rId14" Type="http://schemas.openxmlformats.org/officeDocument/2006/relationships/hyperlink" Target="https://en.wikipedia.org/wiki/Jos%C3%A9_Richa_Hydroelectric_Plant" TargetMode="External"/><Relationship Id="rId22" Type="http://schemas.openxmlformats.org/officeDocument/2006/relationships/hyperlink" Target="https://en.wikipedia.org/wiki/Luiz_Barreto_Dam" TargetMode="External"/><Relationship Id="rId27" Type="http://schemas.openxmlformats.org/officeDocument/2006/relationships/hyperlink" Target="https://en.wikipedia.org/wiki/Nova_Avanhandava_Dam" TargetMode="External"/><Relationship Id="rId30" Type="http://schemas.openxmlformats.org/officeDocument/2006/relationships/hyperlink" Target="https://en.wikipedia.org/wiki/Salto_Santiago_Hydroelectric_Power_Plant" TargetMode="External"/><Relationship Id="rId35" Type="http://schemas.openxmlformats.org/officeDocument/2006/relationships/hyperlink" Target="https://en.wikipedia.org/wiki/Sobradinho_Dam" TargetMode="External"/><Relationship Id="rId43" Type="http://schemas.openxmlformats.org/officeDocument/2006/relationships/hyperlink" Target="https://en.wikipedia.org/wiki/Tocoma_Dam" TargetMode="External"/><Relationship Id="rId48" Type="http://schemas.openxmlformats.org/officeDocument/2006/relationships/hyperlink" Target="https://en.wikipedia.org/wiki/Alicur%C3%A1_Dam" TargetMode="External"/><Relationship Id="rId56" Type="http://schemas.openxmlformats.org/officeDocument/2006/relationships/hyperlink" Target="https://en.wikipedia.org/wiki/Punta_Negra_Dam" TargetMode="External"/><Relationship Id="rId64" Type="http://schemas.openxmlformats.org/officeDocument/2006/relationships/hyperlink" Target="https://en.wikipedia.org/wiki/Porce_III_Dam" TargetMode="External"/><Relationship Id="rId69" Type="http://schemas.openxmlformats.org/officeDocument/2006/relationships/hyperlink" Target="https://en.wikipedia.org/wiki/Amistad_Dam" TargetMode="External"/><Relationship Id="rId8" Type="http://schemas.openxmlformats.org/officeDocument/2006/relationships/hyperlink" Target="https://en.wikipedia.org/wiki/Chacor%C3%A3o_Dam" TargetMode="External"/><Relationship Id="rId51" Type="http://schemas.openxmlformats.org/officeDocument/2006/relationships/hyperlink" Target="https://en.wikipedia.org/wiki/Los_Reyunos_Dam" TargetMode="External"/><Relationship Id="rId72" Type="http://schemas.openxmlformats.org/officeDocument/2006/relationships/hyperlink" Target="https://en.wikipedia.org/wiki/Huites_Dam" TargetMode="External"/><Relationship Id="rId3" Type="http://schemas.openxmlformats.org/officeDocument/2006/relationships/hyperlink" Target="https://en.wikipedia.org/wiki/Barra_Grande_Hydroelectric_Power_Plant" TargetMode="External"/><Relationship Id="rId12" Type="http://schemas.openxmlformats.org/officeDocument/2006/relationships/hyperlink" Target="https://en.wikipedia.org/wiki/Engineer_Souza_Dias_Dam" TargetMode="External"/><Relationship Id="rId17" Type="http://schemas.openxmlformats.org/officeDocument/2006/relationships/hyperlink" Target="https://en.wikipedia.org/wiki/Itumbiara_Dam" TargetMode="External"/><Relationship Id="rId25" Type="http://schemas.openxmlformats.org/officeDocument/2006/relationships/hyperlink" Target="https://en.wikipedia.org/wiki/Marimbondo_Dam" TargetMode="External"/><Relationship Id="rId33" Type="http://schemas.openxmlformats.org/officeDocument/2006/relationships/hyperlink" Target="https://en.wikipedia.org/wiki/S%C3%A3o_Sim%C3%A3o_Dam" TargetMode="External"/><Relationship Id="rId38" Type="http://schemas.openxmlformats.org/officeDocument/2006/relationships/hyperlink" Target="https://en.wikipedia.org/wiki/Tucuru%C3%AD_Dam" TargetMode="External"/><Relationship Id="rId46" Type="http://schemas.openxmlformats.org/officeDocument/2006/relationships/hyperlink" Target="https://en.wikipedia.org/wiki/El_Choc%C3%B3n_Dam" TargetMode="External"/><Relationship Id="rId59" Type="http://schemas.openxmlformats.org/officeDocument/2006/relationships/hyperlink" Target="https://en.wikipedia.org/wiki/San_Roque_Lake" TargetMode="External"/><Relationship Id="rId67" Type="http://schemas.openxmlformats.org/officeDocument/2006/relationships/hyperlink" Target="https://en.wikipedia.org/wiki/Aguamilpa_Dam" TargetMode="External"/><Relationship Id="rId20" Type="http://schemas.openxmlformats.org/officeDocument/2006/relationships/hyperlink" Target="https://en.wikipedia.org/wiki/Jirau_Dam" TargetMode="External"/><Relationship Id="rId41" Type="http://schemas.openxmlformats.org/officeDocument/2006/relationships/hyperlink" Target="https://en.wikipedia.org/wiki/Guri_Dam" TargetMode="External"/><Relationship Id="rId54" Type="http://schemas.openxmlformats.org/officeDocument/2006/relationships/hyperlink" Target="https://en.wikipedia.org/wiki/Los_Caracoles_Dam" TargetMode="External"/><Relationship Id="rId62" Type="http://schemas.openxmlformats.org/officeDocument/2006/relationships/hyperlink" Target="https://en.wikipedia.org/wiki/Chivor_Hydroelectric_Project" TargetMode="External"/><Relationship Id="rId70" Type="http://schemas.openxmlformats.org/officeDocument/2006/relationships/hyperlink" Target="https://en.wikipedia.org/wiki/Angostura_Dam_(Mexico)" TargetMode="External"/><Relationship Id="rId75" Type="http://schemas.openxmlformats.org/officeDocument/2006/relationships/hyperlink" Target="https://en.wikipedia.org/wiki/Zimap%C3%A1n_Dam" TargetMode="External"/><Relationship Id="rId1" Type="http://schemas.openxmlformats.org/officeDocument/2006/relationships/hyperlink" Target="https://en.wikipedia.org/wiki/%C3%81gua_Vermelha_Dam" TargetMode="External"/><Relationship Id="rId6" Type="http://schemas.openxmlformats.org/officeDocument/2006/relationships/hyperlink" Target="https://en.wikipedia.org/wiki/Tr%C3%AAs_Marias_Dam" TargetMode="External"/><Relationship Id="rId15" Type="http://schemas.openxmlformats.org/officeDocument/2006/relationships/hyperlink" Target="https://en.wikipedia.org/wiki/It%C3%A1_Hydroelectric_Power_Plant" TargetMode="External"/><Relationship Id="rId23" Type="http://schemas.openxmlformats.org/officeDocument/2006/relationships/hyperlink" Target="https://en.wikipedia.org/wiki/Luiz_Gonzaga_Dam" TargetMode="External"/><Relationship Id="rId28" Type="http://schemas.openxmlformats.org/officeDocument/2006/relationships/hyperlink" Target="https://en.wikipedia.org/wiki/Peixoto_Dam" TargetMode="External"/><Relationship Id="rId36" Type="http://schemas.openxmlformats.org/officeDocument/2006/relationships/hyperlink" Target="https://en.wikipedia.org/wiki/Teles_Pires_Dam" TargetMode="External"/><Relationship Id="rId49" Type="http://schemas.openxmlformats.org/officeDocument/2006/relationships/hyperlink" Target="https://en.wikipedia.org/wiki/Jorge_Cepernic_Dam" TargetMode="External"/><Relationship Id="rId57" Type="http://schemas.openxmlformats.org/officeDocument/2006/relationships/hyperlink" Target="https://en.wikipedia.org/wiki/Los_Molinos_Dam" TargetMode="External"/><Relationship Id="rId10" Type="http://schemas.openxmlformats.org/officeDocument/2006/relationships/hyperlink" Target="https://en.wikipedia.org/wiki/Dona_Francisca_Hydroelectric_Plant" TargetMode="External"/><Relationship Id="rId31" Type="http://schemas.openxmlformats.org/officeDocument/2006/relationships/hyperlink" Target="https://en.wikipedia.org/wiki/Salto_Os%C3%B3rio_Hydroelectric_Power_Plant" TargetMode="External"/><Relationship Id="rId44" Type="http://schemas.openxmlformats.org/officeDocument/2006/relationships/hyperlink" Target="https://en.wikipedia.org/wiki/Salto_Grande_Dam" TargetMode="External"/><Relationship Id="rId52" Type="http://schemas.openxmlformats.org/officeDocument/2006/relationships/hyperlink" Target="https://en.wikipedia.org/wiki/Agua_del_Toro_Dam" TargetMode="External"/><Relationship Id="rId60" Type="http://schemas.openxmlformats.org/officeDocument/2006/relationships/hyperlink" Target="https://en.wikipedia.org/wiki/El_Carrizal_Dam" TargetMode="External"/><Relationship Id="rId65" Type="http://schemas.openxmlformats.org/officeDocument/2006/relationships/hyperlink" Target="https://en.wikipedia.org/wiki/Miel_I_Hydroelectric_Station" TargetMode="External"/><Relationship Id="rId73" Type="http://schemas.openxmlformats.org/officeDocument/2006/relationships/hyperlink" Target="https://en.wikipedia.org/wiki/La_Yesca_Dam" TargetMode="External"/><Relationship Id="rId4" Type="http://schemas.openxmlformats.org/officeDocument/2006/relationships/hyperlink" Target="https://en.wikipedia.org/wiki/Belo_Monte_Dam" TargetMode="External"/><Relationship Id="rId9" Type="http://schemas.openxmlformats.org/officeDocument/2006/relationships/hyperlink" Target="https://en.wikipedia.org/wiki/Col%C3%ADder_Dam" TargetMode="External"/><Relationship Id="rId13" Type="http://schemas.openxmlformats.org/officeDocument/2006/relationships/hyperlink" Target="https://en.wikipedia.org/wiki/Furnas_Dam" TargetMode="External"/><Relationship Id="rId18" Type="http://schemas.openxmlformats.org/officeDocument/2006/relationships/hyperlink" Target="https://en.wikipedia.org/wiki/Ilha_Solteira_Dam" TargetMode="External"/><Relationship Id="rId39" Type="http://schemas.openxmlformats.org/officeDocument/2006/relationships/hyperlink" Target="https://en.wikipedia.org/wiki/Xing%C3%B3_Dam" TargetMode="External"/><Relationship Id="rId34" Type="http://schemas.openxmlformats.org/officeDocument/2006/relationships/hyperlink" Target="https://en.wikipedia.org/wiki/Serra_da_Mesa_Dam" TargetMode="External"/><Relationship Id="rId50" Type="http://schemas.openxmlformats.org/officeDocument/2006/relationships/hyperlink" Target="https://en.wikipedia.org/wiki/Pichi_Pic%C3%BAn_Leuf%C3%BA_Dam" TargetMode="External"/><Relationship Id="rId55" Type="http://schemas.openxmlformats.org/officeDocument/2006/relationships/hyperlink" Target="https://en.wikipedia.org/wiki/Potrerillos_Dam" TargetMode="External"/><Relationship Id="rId76" Type="http://schemas.openxmlformats.org/officeDocument/2006/relationships/hyperlink" Target="https://en.wikipedia.org/wiki/Salto_Grande_Dam" TargetMode="External"/><Relationship Id="rId7" Type="http://schemas.openxmlformats.org/officeDocument/2006/relationships/hyperlink" Target="https://en.wikipedia.org/wiki/Capivara_Dam" TargetMode="External"/><Relationship Id="rId71" Type="http://schemas.openxmlformats.org/officeDocument/2006/relationships/hyperlink" Target="https://en.wikipedia.org/wiki/Falcon_Dam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en.wikipedia.org/wiki/%C3%87%C4%B1narc%C4%B1k_Dam" TargetMode="External"/><Relationship Id="rId21" Type="http://schemas.openxmlformats.org/officeDocument/2006/relationships/hyperlink" Target="https://en.wikipedia.org/wiki/Atat%C3%BCrk_Dam" TargetMode="External"/><Relationship Id="rId42" Type="http://schemas.openxmlformats.org/officeDocument/2006/relationships/hyperlink" Target="https://en.wikipedia.org/wiki/S%C4%B1r_Dam" TargetMode="External"/><Relationship Id="rId47" Type="http://schemas.openxmlformats.org/officeDocument/2006/relationships/hyperlink" Target="http://globalenergyobservatory.org/geoid/45436" TargetMode="External"/><Relationship Id="rId63" Type="http://schemas.openxmlformats.org/officeDocument/2006/relationships/hyperlink" Target="http://globalenergyobservatory.org/geoid/45035" TargetMode="External"/><Relationship Id="rId68" Type="http://schemas.openxmlformats.org/officeDocument/2006/relationships/hyperlink" Target="http://globalenergyobservatory.org/geoid/45208" TargetMode="External"/><Relationship Id="rId84" Type="http://schemas.openxmlformats.org/officeDocument/2006/relationships/hyperlink" Target="https://en.wikipedia.org/wiki/Iron_Gate_I_Hydroelectric_Power_Station" TargetMode="External"/><Relationship Id="rId89" Type="http://schemas.openxmlformats.org/officeDocument/2006/relationships/hyperlink" Target="https://en.wikipedia.org/wiki/Tismana_Hydroelectric_Power_Station" TargetMode="External"/><Relationship Id="rId16" Type="http://schemas.openxmlformats.org/officeDocument/2006/relationships/hyperlink" Target="http://globalenergyobservatory.org/geoid/39771" TargetMode="External"/><Relationship Id="rId11" Type="http://schemas.openxmlformats.org/officeDocument/2006/relationships/hyperlink" Target="http://globalenergyobservatory.org/geoid/39790" TargetMode="External"/><Relationship Id="rId32" Type="http://schemas.openxmlformats.org/officeDocument/2006/relationships/hyperlink" Target="https://en.wikipedia.org/wiki/Karkam%C4%B1%C5%9F_Dam" TargetMode="External"/><Relationship Id="rId37" Type="http://schemas.openxmlformats.org/officeDocument/2006/relationships/hyperlink" Target="https://en.wikipedia.org/wiki/Menzelet_Dam" TargetMode="External"/><Relationship Id="rId53" Type="http://schemas.openxmlformats.org/officeDocument/2006/relationships/hyperlink" Target="https://fr.wikipedia.org/wiki/Centrale_hydro%C3%A9lectrique_de_K%C3%A1rahnj%C3%BAka" TargetMode="External"/><Relationship Id="rId58" Type="http://schemas.openxmlformats.org/officeDocument/2006/relationships/hyperlink" Target="https://fr.wikipedia.org/wiki/Centrale_hydro%C3%A9lectrique_de_Vatnsfell" TargetMode="External"/><Relationship Id="rId74" Type="http://schemas.openxmlformats.org/officeDocument/2006/relationships/hyperlink" Target="https://en.wikipedia.org/wiki/Kleine_Kinzig_Dam" TargetMode="External"/><Relationship Id="rId79" Type="http://schemas.openxmlformats.org/officeDocument/2006/relationships/hyperlink" Target="https://en.wikipedia.org/wiki/Bicaz-Stejaru_Hydroelectric_Power_Station" TargetMode="External"/><Relationship Id="rId5" Type="http://schemas.openxmlformats.org/officeDocument/2006/relationships/hyperlink" Target="http://globalenergyobservatory.org/geoid/39770" TargetMode="External"/><Relationship Id="rId90" Type="http://schemas.openxmlformats.org/officeDocument/2006/relationships/hyperlink" Target="http://globalenergyobservatory.org/geoid/45884" TargetMode="External"/><Relationship Id="rId95" Type="http://schemas.openxmlformats.org/officeDocument/2006/relationships/hyperlink" Target="http://globalenergyobservatory.org/geoid/44131" TargetMode="External"/><Relationship Id="rId22" Type="http://schemas.openxmlformats.org/officeDocument/2006/relationships/hyperlink" Target="https://en.wikipedia.org/wiki/Batman_Dam" TargetMode="External"/><Relationship Id="rId27" Type="http://schemas.openxmlformats.org/officeDocument/2006/relationships/hyperlink" Target="https://en.wikipedia.org/wiki/Deriner_Dam" TargetMode="External"/><Relationship Id="rId43" Type="http://schemas.openxmlformats.org/officeDocument/2006/relationships/hyperlink" Target="https://en.wikipedia.org/wiki/Torul_Dam" TargetMode="External"/><Relationship Id="rId48" Type="http://schemas.openxmlformats.org/officeDocument/2006/relationships/hyperlink" Target="http://globalenergyobservatory.org/geoid/45219" TargetMode="External"/><Relationship Id="rId64" Type="http://schemas.openxmlformats.org/officeDocument/2006/relationships/hyperlink" Target="http://globalenergyobservatory.org/geoid/45194" TargetMode="External"/><Relationship Id="rId69" Type="http://schemas.openxmlformats.org/officeDocument/2006/relationships/hyperlink" Target="http://globalenergyobservatory.org/geoid/45209" TargetMode="External"/><Relationship Id="rId80" Type="http://schemas.openxmlformats.org/officeDocument/2006/relationships/hyperlink" Target="https://en.wikipedia.org/wiki/Br%C4%83di%C5%9For_Dam" TargetMode="External"/><Relationship Id="rId85" Type="http://schemas.openxmlformats.org/officeDocument/2006/relationships/hyperlink" Target="https://en.wikipedia.org/wiki/Iron_Gate_II_Hydroelectric_Power_Station" TargetMode="External"/><Relationship Id="rId12" Type="http://schemas.openxmlformats.org/officeDocument/2006/relationships/hyperlink" Target="http://globalenergyobservatory.org/geoid/39765" TargetMode="External"/><Relationship Id="rId17" Type="http://schemas.openxmlformats.org/officeDocument/2006/relationships/hyperlink" Target="http://globalenergyobservatory.org/geoid/39783" TargetMode="External"/><Relationship Id="rId25" Type="http://schemas.openxmlformats.org/officeDocument/2006/relationships/hyperlink" Target="https://en.wikipedia.org/wiki/%C3%87atalan_Dam" TargetMode="External"/><Relationship Id="rId33" Type="http://schemas.openxmlformats.org/officeDocument/2006/relationships/hyperlink" Target="https://en.wikipedia.org/wiki/Keban_Dam" TargetMode="External"/><Relationship Id="rId38" Type="http://schemas.openxmlformats.org/officeDocument/2006/relationships/hyperlink" Target="https://en.wikipedia.org/wiki/Muratl%C4%B1_Dam" TargetMode="External"/><Relationship Id="rId46" Type="http://schemas.openxmlformats.org/officeDocument/2006/relationships/hyperlink" Target="http://globalenergyobservatory.org/geoid/45439" TargetMode="External"/><Relationship Id="rId59" Type="http://schemas.openxmlformats.org/officeDocument/2006/relationships/hyperlink" Target="http://globalenergyobservatory.org/geoid/44814" TargetMode="External"/><Relationship Id="rId67" Type="http://schemas.openxmlformats.org/officeDocument/2006/relationships/hyperlink" Target="http://globalenergyobservatory.org/geoid/44777" TargetMode="External"/><Relationship Id="rId20" Type="http://schemas.openxmlformats.org/officeDocument/2006/relationships/hyperlink" Target="https://en.wikipedia.org/wiki/Aslanta%C5%9F_Dam" TargetMode="External"/><Relationship Id="rId41" Type="http://schemas.openxmlformats.org/officeDocument/2006/relationships/hyperlink" Target="https://en.wikipedia.org/wiki/Sar%C4%B1yar_Dam" TargetMode="External"/><Relationship Id="rId54" Type="http://schemas.openxmlformats.org/officeDocument/2006/relationships/hyperlink" Target="https://fr.wikipedia.org/wiki/Centrale_hydro%C3%A9lectrique_de_B%C3%BArfell" TargetMode="External"/><Relationship Id="rId62" Type="http://schemas.openxmlformats.org/officeDocument/2006/relationships/hyperlink" Target="http://globalenergyobservatory.org/geoid/45043" TargetMode="External"/><Relationship Id="rId70" Type="http://schemas.openxmlformats.org/officeDocument/2006/relationships/hyperlink" Target="http://globalenergyobservatory.org/geoid/45211" TargetMode="External"/><Relationship Id="rId75" Type="http://schemas.openxmlformats.org/officeDocument/2006/relationships/hyperlink" Target="https://en.wikipedia.org/wiki/Eibenstock_Dam" TargetMode="External"/><Relationship Id="rId83" Type="http://schemas.openxmlformats.org/officeDocument/2006/relationships/hyperlink" Target="https://en.wikipedia.org/wiki/Oa%C5%9Fa_Dam" TargetMode="External"/><Relationship Id="rId88" Type="http://schemas.openxmlformats.org/officeDocument/2006/relationships/hyperlink" Target="https://en.wikipedia.org/wiki/%C5%9Eugag_Dam" TargetMode="External"/><Relationship Id="rId91" Type="http://schemas.openxmlformats.org/officeDocument/2006/relationships/hyperlink" Target="http://globalenergyobservatory.org/geoid/45886" TargetMode="External"/><Relationship Id="rId96" Type="http://schemas.openxmlformats.org/officeDocument/2006/relationships/hyperlink" Target="http://globalenergyobservatory.org/geoid/44133" TargetMode="External"/><Relationship Id="rId1" Type="http://schemas.openxmlformats.org/officeDocument/2006/relationships/hyperlink" Target="http://globalenergyobservatory.org/geoid/39738" TargetMode="External"/><Relationship Id="rId6" Type="http://schemas.openxmlformats.org/officeDocument/2006/relationships/hyperlink" Target="http://globalenergyobservatory.org/geoid/39704" TargetMode="External"/><Relationship Id="rId15" Type="http://schemas.openxmlformats.org/officeDocument/2006/relationships/hyperlink" Target="http://globalenergyobservatory.org/geoid/42240" TargetMode="External"/><Relationship Id="rId23" Type="http://schemas.openxmlformats.org/officeDocument/2006/relationships/hyperlink" Target="https://en.wikipedia.org/wiki/Bor%C3%A7ka_Dam" TargetMode="External"/><Relationship Id="rId28" Type="http://schemas.openxmlformats.org/officeDocument/2006/relationships/hyperlink" Target="https://en.wikipedia.org/wiki/Dicle_Dam" TargetMode="External"/><Relationship Id="rId36" Type="http://schemas.openxmlformats.org/officeDocument/2006/relationships/hyperlink" Target="https://en.wikipedia.org/wiki/K%C3%B6pr%C3%BC_Dam" TargetMode="External"/><Relationship Id="rId49" Type="http://schemas.openxmlformats.org/officeDocument/2006/relationships/hyperlink" Target="http://globalenergyobservatory.org/geoid/45218" TargetMode="External"/><Relationship Id="rId57" Type="http://schemas.openxmlformats.org/officeDocument/2006/relationships/hyperlink" Target="https://fr.wikipedia.org/wiki/Centrale_hydro%C3%A9lectrique_de_Sigalda" TargetMode="External"/><Relationship Id="rId10" Type="http://schemas.openxmlformats.org/officeDocument/2006/relationships/hyperlink" Target="http://globalenergyobservatory.org/geoid/39746" TargetMode="External"/><Relationship Id="rId31" Type="http://schemas.openxmlformats.org/officeDocument/2006/relationships/hyperlink" Target="https://en.wikipedia.org/wiki/Il%C4%B1su_Dam" TargetMode="External"/><Relationship Id="rId44" Type="http://schemas.openxmlformats.org/officeDocument/2006/relationships/hyperlink" Target="https://en.wikipedia.org/wiki/Yedig%C3%B6ze_Dam" TargetMode="External"/><Relationship Id="rId52" Type="http://schemas.openxmlformats.org/officeDocument/2006/relationships/hyperlink" Target="http://globalenergyobservatory.org/geoid/45463" TargetMode="External"/><Relationship Id="rId60" Type="http://schemas.openxmlformats.org/officeDocument/2006/relationships/hyperlink" Target="http://globalenergyobservatory.org/geoid/45205" TargetMode="External"/><Relationship Id="rId65" Type="http://schemas.openxmlformats.org/officeDocument/2006/relationships/hyperlink" Target="http://globalenergyobservatory.org/geoid/45195" TargetMode="External"/><Relationship Id="rId73" Type="http://schemas.openxmlformats.org/officeDocument/2006/relationships/hyperlink" Target="https://en.wikipedia.org/wiki/Edersee_Dam" TargetMode="External"/><Relationship Id="rId78" Type="http://schemas.openxmlformats.org/officeDocument/2006/relationships/hyperlink" Target="https://en.wikipedia.org/wiki/Sylvenstein_Dam" TargetMode="External"/><Relationship Id="rId81" Type="http://schemas.openxmlformats.org/officeDocument/2006/relationships/hyperlink" Target="https://en.wikipedia.org/wiki/Lotru-Ciunget_Hydroelectric_Power_Station" TargetMode="External"/><Relationship Id="rId86" Type="http://schemas.openxmlformats.org/officeDocument/2006/relationships/hyperlink" Target="https://en.wikipedia.org/wiki/Reme%C5%A3i_Hydroelectric_Power_Station" TargetMode="External"/><Relationship Id="rId94" Type="http://schemas.openxmlformats.org/officeDocument/2006/relationships/hyperlink" Target="http://globalenergyobservatory.org/geoid/43825" TargetMode="External"/><Relationship Id="rId99" Type="http://schemas.openxmlformats.org/officeDocument/2006/relationships/hyperlink" Target="http://globalenergyobservatory.org/geoid/45883" TargetMode="External"/><Relationship Id="rId101" Type="http://schemas.openxmlformats.org/officeDocument/2006/relationships/hyperlink" Target="http://globalenergyobservatory.org/geoid/43822" TargetMode="External"/><Relationship Id="rId4" Type="http://schemas.openxmlformats.org/officeDocument/2006/relationships/hyperlink" Target="http://globalenergyobservatory.org/geoid/39753" TargetMode="External"/><Relationship Id="rId9" Type="http://schemas.openxmlformats.org/officeDocument/2006/relationships/hyperlink" Target="http://globalenergyobservatory.org/geoid/39705" TargetMode="External"/><Relationship Id="rId13" Type="http://schemas.openxmlformats.org/officeDocument/2006/relationships/hyperlink" Target="http://globalenergyobservatory.org/geoid/39698" TargetMode="External"/><Relationship Id="rId18" Type="http://schemas.openxmlformats.org/officeDocument/2006/relationships/hyperlink" Target="http://globalenergyobservatory.org/geoid/42969" TargetMode="External"/><Relationship Id="rId39" Type="http://schemas.openxmlformats.org/officeDocument/2006/relationships/hyperlink" Target="https://en.wikipedia.org/wiki/Oymapinar_Dam" TargetMode="External"/><Relationship Id="rId34" Type="http://schemas.openxmlformats.org/officeDocument/2006/relationships/hyperlink" Target="https://en.wikipedia.org/wiki/K%C4%B1%C4%9F%C4%B1_Dam" TargetMode="External"/><Relationship Id="rId50" Type="http://schemas.openxmlformats.org/officeDocument/2006/relationships/hyperlink" Target="http://globalenergyobservatory.org/geoid/45288" TargetMode="External"/><Relationship Id="rId55" Type="http://schemas.openxmlformats.org/officeDocument/2006/relationships/hyperlink" Target="https://fr.wikipedia.org/wiki/Centrale_hydro%C3%A9lectrique_de_Hrauneyjafoss" TargetMode="External"/><Relationship Id="rId76" Type="http://schemas.openxmlformats.org/officeDocument/2006/relationships/hyperlink" Target="https://en.wikipedia.org/wiki/Olef_Dam" TargetMode="External"/><Relationship Id="rId97" Type="http://schemas.openxmlformats.org/officeDocument/2006/relationships/hyperlink" Target="http://globalenergyobservatory.org/geoid/44134" TargetMode="External"/><Relationship Id="rId7" Type="http://schemas.openxmlformats.org/officeDocument/2006/relationships/hyperlink" Target="http://globalenergyobservatory.org/geoid/39729" TargetMode="External"/><Relationship Id="rId71" Type="http://schemas.openxmlformats.org/officeDocument/2006/relationships/hyperlink" Target="https://en.wikipedia.org/wiki/Malta-Reisseck_Power_Plant_Group" TargetMode="External"/><Relationship Id="rId92" Type="http://schemas.openxmlformats.org/officeDocument/2006/relationships/hyperlink" Target="http://globalenergyobservatory.org/geoid/45887" TargetMode="External"/><Relationship Id="rId2" Type="http://schemas.openxmlformats.org/officeDocument/2006/relationships/hyperlink" Target="http://globalenergyobservatory.org/geoid/39712" TargetMode="External"/><Relationship Id="rId29" Type="http://schemas.openxmlformats.org/officeDocument/2006/relationships/hyperlink" Target="https://en.wikipedia.org/wiki/Ermenek_Dam" TargetMode="External"/><Relationship Id="rId24" Type="http://schemas.openxmlformats.org/officeDocument/2006/relationships/hyperlink" Target="https://en.wikipedia.org/wiki/Boyabat_Dam" TargetMode="External"/><Relationship Id="rId40" Type="http://schemas.openxmlformats.org/officeDocument/2006/relationships/hyperlink" Target="https://en.wikipedia.org/wiki/%C3%96zl%C3%BCce_Dam" TargetMode="External"/><Relationship Id="rId45" Type="http://schemas.openxmlformats.org/officeDocument/2006/relationships/hyperlink" Target="https://en.wikipedia.org/wiki/Yusufeli_Dam" TargetMode="External"/><Relationship Id="rId66" Type="http://schemas.openxmlformats.org/officeDocument/2006/relationships/hyperlink" Target="http://globalenergyobservatory.org/geoid/45197" TargetMode="External"/><Relationship Id="rId87" Type="http://schemas.openxmlformats.org/officeDocument/2006/relationships/hyperlink" Target="https://en.wikipedia.org/wiki/Ruieni_Hydroelectric_Power_Station" TargetMode="External"/><Relationship Id="rId61" Type="http://schemas.openxmlformats.org/officeDocument/2006/relationships/hyperlink" Target="http://globalenergyobservatory.org/geoid/45046" TargetMode="External"/><Relationship Id="rId82" Type="http://schemas.openxmlformats.org/officeDocument/2006/relationships/hyperlink" Target="https://en.wikipedia.org/wiki/M%C4%83ri%C5%9Felu_Hydroelectric_Power_Station" TargetMode="External"/><Relationship Id="rId19" Type="http://schemas.openxmlformats.org/officeDocument/2006/relationships/hyperlink" Target="https://en.wikipedia.org/wiki/Artvin_Dam" TargetMode="External"/><Relationship Id="rId14" Type="http://schemas.openxmlformats.org/officeDocument/2006/relationships/hyperlink" Target="http://globalenergyobservatory.org/geoid/39814" TargetMode="External"/><Relationship Id="rId30" Type="http://schemas.openxmlformats.org/officeDocument/2006/relationships/hyperlink" Target="https://en.wikipedia.org/wiki/G%C3%B6k%C3%A7ekaya_Dam" TargetMode="External"/><Relationship Id="rId35" Type="http://schemas.openxmlformats.org/officeDocument/2006/relationships/hyperlink" Target="https://en.wikipedia.org/wiki/K%C4%B1l%C4%B1%C3%A7kaya_Dam" TargetMode="External"/><Relationship Id="rId56" Type="http://schemas.openxmlformats.org/officeDocument/2006/relationships/hyperlink" Target="https://fr.wikipedia.org/wiki/Centrale_hydro%C3%A9lectrique_de_Blanda" TargetMode="External"/><Relationship Id="rId77" Type="http://schemas.openxmlformats.org/officeDocument/2006/relationships/hyperlink" Target="https://en.wikipedia.org/wiki/S%C3%B6se_Dam" TargetMode="External"/><Relationship Id="rId100" Type="http://schemas.openxmlformats.org/officeDocument/2006/relationships/hyperlink" Target="http://globalenergyobservatory.org/geoid/43826" TargetMode="External"/><Relationship Id="rId8" Type="http://schemas.openxmlformats.org/officeDocument/2006/relationships/hyperlink" Target="http://globalenergyobservatory.org/geoid/39711" TargetMode="External"/><Relationship Id="rId51" Type="http://schemas.openxmlformats.org/officeDocument/2006/relationships/hyperlink" Target="http://globalenergyobservatory.org/geoid/45435" TargetMode="External"/><Relationship Id="rId72" Type="http://schemas.openxmlformats.org/officeDocument/2006/relationships/hyperlink" Target="https://en.wikipedia.org/wiki/Aar_Dam" TargetMode="External"/><Relationship Id="rId93" Type="http://schemas.openxmlformats.org/officeDocument/2006/relationships/hyperlink" Target="http://globalenergyobservatory.org/geoid/43823" TargetMode="External"/><Relationship Id="rId98" Type="http://schemas.openxmlformats.org/officeDocument/2006/relationships/hyperlink" Target="http://globalenergyobservatory.org/geoid/44135" TargetMode="External"/><Relationship Id="rId3" Type="http://schemas.openxmlformats.org/officeDocument/2006/relationships/hyperlink" Target="http://globalenergyobservatory.org/geoid/39798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en.wikipedia.org/wiki/Tumut_Hydroelectric_Power_Station" TargetMode="External"/><Relationship Id="rId21" Type="http://schemas.openxmlformats.org/officeDocument/2006/relationships/hyperlink" Target="https://en.wikipedia.org/wiki/Miho_Dam" TargetMode="External"/><Relationship Id="rId42" Type="http://schemas.openxmlformats.org/officeDocument/2006/relationships/hyperlink" Target="https://en.wikipedia.org/wiki/Salal_Hydroelectric_Power_Station" TargetMode="External"/><Relationship Id="rId63" Type="http://schemas.openxmlformats.org/officeDocument/2006/relationships/hyperlink" Target="https://en.wikipedia.org/wiki/Trung_S%C6%A1n_Dam" TargetMode="External"/><Relationship Id="rId84" Type="http://schemas.openxmlformats.org/officeDocument/2006/relationships/hyperlink" Target="https://en.wikipedia.org/wiki/Aniwhenua_Power_Station" TargetMode="External"/><Relationship Id="rId138" Type="http://schemas.openxmlformats.org/officeDocument/2006/relationships/hyperlink" Target="https://en.wikipedia.org/wiki/Lake_Echo_Power_Station" TargetMode="External"/><Relationship Id="rId159" Type="http://schemas.openxmlformats.org/officeDocument/2006/relationships/hyperlink" Target="https://en.wikipedia.org/wiki/Xayaburi_Dam" TargetMode="External"/><Relationship Id="rId170" Type="http://schemas.openxmlformats.org/officeDocument/2006/relationships/hyperlink" Target="http://globalenergyobservatory.org/geoid/41460" TargetMode="External"/><Relationship Id="rId107" Type="http://schemas.openxmlformats.org/officeDocument/2006/relationships/hyperlink" Target="https://en.wikipedia.org/wiki/Burrinjuck_Dam" TargetMode="External"/><Relationship Id="rId11" Type="http://schemas.openxmlformats.org/officeDocument/2006/relationships/hyperlink" Target="https://en.wikipedia.org/wiki/Yantan_Dam" TargetMode="External"/><Relationship Id="rId32" Type="http://schemas.openxmlformats.org/officeDocument/2006/relationships/hyperlink" Target="https://en.wikipedia.org/wiki/Shiroyama_Dam" TargetMode="External"/><Relationship Id="rId53" Type="http://schemas.openxmlformats.org/officeDocument/2006/relationships/hyperlink" Target="https://en.wikipedia.org/wiki/Indravati_Dam" TargetMode="External"/><Relationship Id="rId74" Type="http://schemas.openxmlformats.org/officeDocument/2006/relationships/hyperlink" Target="https://en.wikipedia.org/wiki/Gulpur_Hydropower_Project" TargetMode="External"/><Relationship Id="rId128" Type="http://schemas.openxmlformats.org/officeDocument/2006/relationships/hyperlink" Target="https://en.wikipedia.org/wiki/Bastyan_Power_Station" TargetMode="External"/><Relationship Id="rId149" Type="http://schemas.openxmlformats.org/officeDocument/2006/relationships/hyperlink" Target="https://en.wikipedia.org/wiki/Rowallan_Power_Station" TargetMode="External"/><Relationship Id="rId5" Type="http://schemas.openxmlformats.org/officeDocument/2006/relationships/hyperlink" Target="https://en.wikipedia.org/wiki/Jinping-I_Dam" TargetMode="External"/><Relationship Id="rId95" Type="http://schemas.openxmlformats.org/officeDocument/2006/relationships/hyperlink" Target="https://en.wikipedia.org/wiki/Mangorei_Power_Station" TargetMode="External"/><Relationship Id="rId160" Type="http://schemas.openxmlformats.org/officeDocument/2006/relationships/hyperlink" Target="https://en.wikipedia.org/wiki/Nam_Theun_2_Dam" TargetMode="External"/><Relationship Id="rId181" Type="http://schemas.openxmlformats.org/officeDocument/2006/relationships/hyperlink" Target="http://globalenergyobservatory.org/geoid/41471" TargetMode="External"/><Relationship Id="rId22" Type="http://schemas.openxmlformats.org/officeDocument/2006/relationships/hyperlink" Target="https://en.wikipedia.org/wiki/Misakubo_Dam" TargetMode="External"/><Relationship Id="rId43" Type="http://schemas.openxmlformats.org/officeDocument/2006/relationships/hyperlink" Target="https://en.wikipedia.org/wiki/Srisailam_Dam" TargetMode="External"/><Relationship Id="rId64" Type="http://schemas.openxmlformats.org/officeDocument/2006/relationships/hyperlink" Target="https://en.wikipedia.org/wiki/Yali_Falls_Dam" TargetMode="External"/><Relationship Id="rId118" Type="http://schemas.openxmlformats.org/officeDocument/2006/relationships/hyperlink" Target="https://en.wikipedia.org/wiki/Tumut_Hydroelectric_Power_Station" TargetMode="External"/><Relationship Id="rId139" Type="http://schemas.openxmlformats.org/officeDocument/2006/relationships/hyperlink" Target="https://en.wikipedia.org/wiki/Lake_Margaret_Power_Station" TargetMode="External"/><Relationship Id="rId85" Type="http://schemas.openxmlformats.org/officeDocument/2006/relationships/hyperlink" Target="https://en.wikipedia.org/wiki/Arapuni_Power_Station" TargetMode="External"/><Relationship Id="rId150" Type="http://schemas.openxmlformats.org/officeDocument/2006/relationships/hyperlink" Target="https://en.wikipedia.org/wiki/Tarraleah_Power_Station" TargetMode="External"/><Relationship Id="rId171" Type="http://schemas.openxmlformats.org/officeDocument/2006/relationships/hyperlink" Target="http://globalenergyobservatory.org/geoid/41452" TargetMode="External"/><Relationship Id="rId12" Type="http://schemas.openxmlformats.org/officeDocument/2006/relationships/hyperlink" Target="https://en.wikipedia.org/wiki/Akiba_Dam" TargetMode="External"/><Relationship Id="rId33" Type="http://schemas.openxmlformats.org/officeDocument/2006/relationships/hyperlink" Target="https://en.wikipedia.org/wiki/Tagokura_Dam" TargetMode="External"/><Relationship Id="rId108" Type="http://schemas.openxmlformats.org/officeDocument/2006/relationships/hyperlink" Target="https://en.wikipedia.org/wiki/Guthega_Power_Station" TargetMode="External"/><Relationship Id="rId129" Type="http://schemas.openxmlformats.org/officeDocument/2006/relationships/hyperlink" Target="https://en.wikipedia.org/wiki/Butlers_Gorge_Power_Station" TargetMode="External"/><Relationship Id="rId54" Type="http://schemas.openxmlformats.org/officeDocument/2006/relationships/hyperlink" Target="https://en.wikipedia.org/wiki/Balimela_Reservoir" TargetMode="External"/><Relationship Id="rId75" Type="http://schemas.openxmlformats.org/officeDocument/2006/relationships/hyperlink" Target="https://en.wikipedia.org/wiki/Khan_Khwar_Hydropower_Project" TargetMode="External"/><Relationship Id="rId96" Type="http://schemas.openxmlformats.org/officeDocument/2006/relationships/hyperlink" Target="https://en.wikipedia.org/wiki/Maraetai_I" TargetMode="External"/><Relationship Id="rId140" Type="http://schemas.openxmlformats.org/officeDocument/2006/relationships/hyperlink" Target="https://en.wikipedia.org/wiki/Lemonthyme_Power_Station" TargetMode="External"/><Relationship Id="rId161" Type="http://schemas.openxmlformats.org/officeDocument/2006/relationships/hyperlink" Target="https://en.wikipedia.org/wiki/Nam_Ngum_Dam" TargetMode="External"/><Relationship Id="rId6" Type="http://schemas.openxmlformats.org/officeDocument/2006/relationships/hyperlink" Target="https://en.wikipedia.org/wiki/Lijiaxia_Dam" TargetMode="External"/><Relationship Id="rId23" Type="http://schemas.openxmlformats.org/officeDocument/2006/relationships/hyperlink" Target="https://en.wikipedia.org/wiki/Miyagase_Dam" TargetMode="External"/><Relationship Id="rId119" Type="http://schemas.openxmlformats.org/officeDocument/2006/relationships/hyperlink" Target="https://en.wikipedia.org/wiki/Warragamba_Dam" TargetMode="External"/><Relationship Id="rId44" Type="http://schemas.openxmlformats.org/officeDocument/2006/relationships/hyperlink" Target="https://en.wikipedia.org/wiki/Nagarjuna_Sagar_Dam" TargetMode="External"/><Relationship Id="rId60" Type="http://schemas.openxmlformats.org/officeDocument/2006/relationships/hyperlink" Target="https://en.wikipedia.org/wiki/Tr%E1%BB%8B_An_Dam" TargetMode="External"/><Relationship Id="rId65" Type="http://schemas.openxmlformats.org/officeDocument/2006/relationships/hyperlink" Target="https://en.wikipedia.org/wiki/Tarbela_Dam" TargetMode="External"/><Relationship Id="rId81" Type="http://schemas.openxmlformats.org/officeDocument/2006/relationships/hyperlink" Target="https://en.wikipedia.org/wiki/Mohmand_Dam" TargetMode="External"/><Relationship Id="rId86" Type="http://schemas.openxmlformats.org/officeDocument/2006/relationships/hyperlink" Target="https://en.wikipedia.org/wiki/Aratiatia_Power_Station" TargetMode="External"/><Relationship Id="rId130" Type="http://schemas.openxmlformats.org/officeDocument/2006/relationships/hyperlink" Target="https://en.wikipedia.org/wiki/Catagunya_Power_Station" TargetMode="External"/><Relationship Id="rId135" Type="http://schemas.openxmlformats.org/officeDocument/2006/relationships/hyperlink" Target="https://en.wikipedia.org/wiki/Gordon_Power_Station" TargetMode="External"/><Relationship Id="rId151" Type="http://schemas.openxmlformats.org/officeDocument/2006/relationships/hyperlink" Target="https://en.wikipedia.org/wiki/Tods_Corner_Power_Station" TargetMode="External"/><Relationship Id="rId156" Type="http://schemas.openxmlformats.org/officeDocument/2006/relationships/hyperlink" Target="https://en.wikipedia.org/wiki/Wilmot_Power_Station" TargetMode="External"/><Relationship Id="rId177" Type="http://schemas.openxmlformats.org/officeDocument/2006/relationships/hyperlink" Target="https://en.wikipedia.org/wiki/Murum_Dam" TargetMode="External"/><Relationship Id="rId172" Type="http://schemas.openxmlformats.org/officeDocument/2006/relationships/hyperlink" Target="http://globalenergyobservatory.org/geoid/41461" TargetMode="External"/><Relationship Id="rId13" Type="http://schemas.openxmlformats.org/officeDocument/2006/relationships/hyperlink" Target="https://en.wikipedia.org/wiki/Amagase_Dam" TargetMode="External"/><Relationship Id="rId18" Type="http://schemas.openxmlformats.org/officeDocument/2006/relationships/hyperlink" Target="https://en.wikipedia.org/wiki/Kurobe_Dam" TargetMode="External"/><Relationship Id="rId39" Type="http://schemas.openxmlformats.org/officeDocument/2006/relationships/hyperlink" Target="https://en.wikipedia.org/wiki/Pandoh_Dam" TargetMode="External"/><Relationship Id="rId109" Type="http://schemas.openxmlformats.org/officeDocument/2006/relationships/hyperlink" Target="https://en.wikipedia.org/wiki/Hume_Dam" TargetMode="External"/><Relationship Id="rId34" Type="http://schemas.openxmlformats.org/officeDocument/2006/relationships/hyperlink" Target="https://en.wikipedia.org/wiki/Taki_Dam" TargetMode="External"/><Relationship Id="rId50" Type="http://schemas.openxmlformats.org/officeDocument/2006/relationships/hyperlink" Target="https://en.wikipedia.org/wiki/Jayakwadi_Dam" TargetMode="External"/><Relationship Id="rId55" Type="http://schemas.openxmlformats.org/officeDocument/2006/relationships/hyperlink" Target="https://en.wikipedia.org/wiki/Jalaput_Dam" TargetMode="External"/><Relationship Id="rId76" Type="http://schemas.openxmlformats.org/officeDocument/2006/relationships/hyperlink" Target="https://en.wikipedia.org/wiki/Jabban_Hydropower_Plant" TargetMode="External"/><Relationship Id="rId97" Type="http://schemas.openxmlformats.org/officeDocument/2006/relationships/hyperlink" Target="https://en.wikipedia.org/wiki/Monowai_Power_Station" TargetMode="External"/><Relationship Id="rId104" Type="http://schemas.openxmlformats.org/officeDocument/2006/relationships/hyperlink" Target="https://en.wikipedia.org/wiki/Whakamaru_Power_Station" TargetMode="External"/><Relationship Id="rId120" Type="http://schemas.openxmlformats.org/officeDocument/2006/relationships/hyperlink" Target="https://en.wikipedia.org/wiki/Wyangala_Dam" TargetMode="External"/><Relationship Id="rId125" Type="http://schemas.openxmlformats.org/officeDocument/2006/relationships/hyperlink" Target="https://en.wikipedia.org/wiki/Tinaroo_Dam" TargetMode="External"/><Relationship Id="rId141" Type="http://schemas.openxmlformats.org/officeDocument/2006/relationships/hyperlink" Target="https://en.wikipedia.org/wiki/Liapootah_Power_Station" TargetMode="External"/><Relationship Id="rId146" Type="http://schemas.openxmlformats.org/officeDocument/2006/relationships/hyperlink" Target="https://en.wikipedia.org/wiki/Poatina_Power_Station" TargetMode="External"/><Relationship Id="rId167" Type="http://schemas.openxmlformats.org/officeDocument/2006/relationships/hyperlink" Target="https://en.wikipedia.org/w/index.php?title=Nam_Lik_Dam&amp;action=edit&amp;redlink=1" TargetMode="External"/><Relationship Id="rId7" Type="http://schemas.openxmlformats.org/officeDocument/2006/relationships/hyperlink" Target="https://en.wikipedia.org/wiki/Longyangxia_Dam" TargetMode="External"/><Relationship Id="rId71" Type="http://schemas.openxmlformats.org/officeDocument/2006/relationships/hyperlink" Target="https://en.wikipedia.org/wiki/Patrind_Hydropower_Plant" TargetMode="External"/><Relationship Id="rId92" Type="http://schemas.openxmlformats.org/officeDocument/2006/relationships/hyperlink" Target="https://en.wikipedia.org/wiki/Coleridge_Power_Station" TargetMode="External"/><Relationship Id="rId162" Type="http://schemas.openxmlformats.org/officeDocument/2006/relationships/hyperlink" Target="https://en.wikipedia.org/wiki/Houay_Ho_Dam" TargetMode="External"/><Relationship Id="rId2" Type="http://schemas.openxmlformats.org/officeDocument/2006/relationships/hyperlink" Target="https://en.wikipedia.org/wiki/Xiluodu_Dam" TargetMode="External"/><Relationship Id="rId29" Type="http://schemas.openxmlformats.org/officeDocument/2006/relationships/hyperlink" Target="https://en.wikipedia.org/wiki/Sakuma_Dam" TargetMode="External"/><Relationship Id="rId24" Type="http://schemas.openxmlformats.org/officeDocument/2006/relationships/hyperlink" Target="https://en.wikipedia.org/wiki/Maruyama_Dam" TargetMode="External"/><Relationship Id="rId40" Type="http://schemas.openxmlformats.org/officeDocument/2006/relationships/hyperlink" Target="https://en.wikipedia.org/wiki/Pong_Dam" TargetMode="External"/><Relationship Id="rId45" Type="http://schemas.openxmlformats.org/officeDocument/2006/relationships/hyperlink" Target="https://en.wikipedia.org/wiki/Idukki_Dam" TargetMode="External"/><Relationship Id="rId66" Type="http://schemas.openxmlformats.org/officeDocument/2006/relationships/hyperlink" Target="https://en.wikipedia.org/wiki/Ghazi-Barotha_Hydropower_Project" TargetMode="External"/><Relationship Id="rId87" Type="http://schemas.openxmlformats.org/officeDocument/2006/relationships/hyperlink" Target="https://en.wikipedia.org/wiki/Arnold_Power_Station" TargetMode="External"/><Relationship Id="rId110" Type="http://schemas.openxmlformats.org/officeDocument/2006/relationships/hyperlink" Target="https://en.wikipedia.org/wiki/Shoalhaven_Scheme" TargetMode="External"/><Relationship Id="rId115" Type="http://schemas.openxmlformats.org/officeDocument/2006/relationships/hyperlink" Target="https://en.wikipedia.org/wiki/Nymboida_Power_Station" TargetMode="External"/><Relationship Id="rId131" Type="http://schemas.openxmlformats.org/officeDocument/2006/relationships/hyperlink" Target="https://en.wikipedia.org/wiki/Cethana_Power_Station" TargetMode="External"/><Relationship Id="rId136" Type="http://schemas.openxmlformats.org/officeDocument/2006/relationships/hyperlink" Target="https://en.wikipedia.org/wiki/Meander_Dam" TargetMode="External"/><Relationship Id="rId157" Type="http://schemas.openxmlformats.org/officeDocument/2006/relationships/hyperlink" Target="https://en.wikipedia.org/wiki/Banimboola_Hydroelectric_Power_Station" TargetMode="External"/><Relationship Id="rId178" Type="http://schemas.openxmlformats.org/officeDocument/2006/relationships/hyperlink" Target="http://globalenergyobservatory.org/geoid/41534" TargetMode="External"/><Relationship Id="rId61" Type="http://schemas.openxmlformats.org/officeDocument/2006/relationships/hyperlink" Target="https://en.wikipedia.org/wiki/H%C3%A0m_Thu%E1%BA%ADn_%E2%80%93_%C4%90a_Mi_hydroelectric_power_stations" TargetMode="External"/><Relationship Id="rId82" Type="http://schemas.openxmlformats.org/officeDocument/2006/relationships/hyperlink" Target="https://en.wikipedia.org/wiki/Tangir_Hydropower_Project" TargetMode="External"/><Relationship Id="rId152" Type="http://schemas.openxmlformats.org/officeDocument/2006/relationships/hyperlink" Target="https://en.wikipedia.org/wiki/Trevallyn_Power_Station" TargetMode="External"/><Relationship Id="rId173" Type="http://schemas.openxmlformats.org/officeDocument/2006/relationships/hyperlink" Target="http://globalenergyobservatory.org/geoid/41454" TargetMode="External"/><Relationship Id="rId19" Type="http://schemas.openxmlformats.org/officeDocument/2006/relationships/hyperlink" Target="https://en.wikipedia.org/wiki/Matanoagawa_Dam" TargetMode="External"/><Relationship Id="rId14" Type="http://schemas.openxmlformats.org/officeDocument/2006/relationships/hyperlink" Target="https://en.wikipedia.org/wiki/Funagira_Dam" TargetMode="External"/><Relationship Id="rId30" Type="http://schemas.openxmlformats.org/officeDocument/2006/relationships/hyperlink" Target="https://en.wikipedia.org/wiki/Sasamagawa_Dam" TargetMode="External"/><Relationship Id="rId35" Type="http://schemas.openxmlformats.org/officeDocument/2006/relationships/hyperlink" Target="https://en.wikipedia.org/wiki/Tashiro_Dam" TargetMode="External"/><Relationship Id="rId56" Type="http://schemas.openxmlformats.org/officeDocument/2006/relationships/hyperlink" Target="https://en.wikipedia.org/wiki/Panchet_Dam" TargetMode="External"/><Relationship Id="rId77" Type="http://schemas.openxmlformats.org/officeDocument/2006/relationships/hyperlink" Target="https://en.wikipedia.org/wiki/Dargai_Hydropower_Plant" TargetMode="External"/><Relationship Id="rId100" Type="http://schemas.openxmlformats.org/officeDocument/2006/relationships/hyperlink" Target="https://en.wikipedia.org/wiki/Ohau_A" TargetMode="External"/><Relationship Id="rId105" Type="http://schemas.openxmlformats.org/officeDocument/2006/relationships/hyperlink" Target="https://en.wikipedia.org/wiki/Blowering_Dam" TargetMode="External"/><Relationship Id="rId126" Type="http://schemas.openxmlformats.org/officeDocument/2006/relationships/hyperlink" Target="https://en.wikipedia.org/wiki/Wivenhoe_Power_Station" TargetMode="External"/><Relationship Id="rId147" Type="http://schemas.openxmlformats.org/officeDocument/2006/relationships/hyperlink" Target="https://en.wikipedia.org/wiki/Reece_Power_Station" TargetMode="External"/><Relationship Id="rId168" Type="http://schemas.openxmlformats.org/officeDocument/2006/relationships/hyperlink" Target="https://en.wikipedia.org/w/index.php?title=Nam_Leuk_Dam&amp;action=edit&amp;redlink=1" TargetMode="External"/><Relationship Id="rId8" Type="http://schemas.openxmlformats.org/officeDocument/2006/relationships/hyperlink" Target="https://en.wikipedia.org/wiki/Nuozhadu_Dam" TargetMode="External"/><Relationship Id="rId51" Type="http://schemas.openxmlformats.org/officeDocument/2006/relationships/hyperlink" Target="https://en.wikipedia.org/wiki/Ujjani_Dam" TargetMode="External"/><Relationship Id="rId72" Type="http://schemas.openxmlformats.org/officeDocument/2006/relationships/hyperlink" Target="https://en.wikipedia.org/wiki/Allai_Khwar_Hydropower_Project" TargetMode="External"/><Relationship Id="rId93" Type="http://schemas.openxmlformats.org/officeDocument/2006/relationships/hyperlink" Target="https://en.wikipedia.org/wiki/Karapiro_Power_Station" TargetMode="External"/><Relationship Id="rId98" Type="http://schemas.openxmlformats.org/officeDocument/2006/relationships/hyperlink" Target="https://en.wikipedia.org/wiki/Motukawa_Power_Station" TargetMode="External"/><Relationship Id="rId121" Type="http://schemas.openxmlformats.org/officeDocument/2006/relationships/hyperlink" Target="https://en.wikipedia.org/wiki/Barron_Gorge_Hydroelectric_Power_Station" TargetMode="External"/><Relationship Id="rId142" Type="http://schemas.openxmlformats.org/officeDocument/2006/relationships/hyperlink" Target="https://en.wikipedia.org/wiki/Mackintosh_Power_Station" TargetMode="External"/><Relationship Id="rId163" Type="http://schemas.openxmlformats.org/officeDocument/2006/relationships/hyperlink" Target="https://en.wikipedia.org/w/index.php?title=Nam_Ngum_2_Dam&amp;action=edit&amp;redlink=1" TargetMode="External"/><Relationship Id="rId3" Type="http://schemas.openxmlformats.org/officeDocument/2006/relationships/hyperlink" Target="https://en.wikipedia.org/wiki/Xiangjiaba_Dam" TargetMode="External"/><Relationship Id="rId25" Type="http://schemas.openxmlformats.org/officeDocument/2006/relationships/hyperlink" Target="https://en.wikipedia.org/wiki/%C5%8Cigawa_Dam" TargetMode="External"/><Relationship Id="rId46" Type="http://schemas.openxmlformats.org/officeDocument/2006/relationships/hyperlink" Target="https://en.wikipedia.org/wiki/Jurala_Project" TargetMode="External"/><Relationship Id="rId67" Type="http://schemas.openxmlformats.org/officeDocument/2006/relationships/hyperlink" Target="https://en.wikipedia.org/wiki/Mangla_Dam" TargetMode="External"/><Relationship Id="rId116" Type="http://schemas.openxmlformats.org/officeDocument/2006/relationships/hyperlink" Target="https://en.wikipedia.org/wiki/Tumut_Hydroelectric_Power_Station" TargetMode="External"/><Relationship Id="rId137" Type="http://schemas.openxmlformats.org/officeDocument/2006/relationships/hyperlink" Target="https://en.wikipedia.org/wiki/John_Butters_Power_Station" TargetMode="External"/><Relationship Id="rId158" Type="http://schemas.openxmlformats.org/officeDocument/2006/relationships/hyperlink" Target="https://en.wikipedia.org/wiki/Blue_Rock_Dam" TargetMode="External"/><Relationship Id="rId20" Type="http://schemas.openxmlformats.org/officeDocument/2006/relationships/hyperlink" Target="https://en.wikipedia.org/wiki/Miboro_Dam" TargetMode="External"/><Relationship Id="rId41" Type="http://schemas.openxmlformats.org/officeDocument/2006/relationships/hyperlink" Target="https://en.wikipedia.org/wiki/Bhakra_Dam" TargetMode="External"/><Relationship Id="rId62" Type="http://schemas.openxmlformats.org/officeDocument/2006/relationships/hyperlink" Target="https://en.wikipedia.org/wiki/Na_Hang_Dam" TargetMode="External"/><Relationship Id="rId83" Type="http://schemas.openxmlformats.org/officeDocument/2006/relationships/hyperlink" Target="https://en.wikipedia.org/wiki/Kohala_Hydropower_Project" TargetMode="External"/><Relationship Id="rId88" Type="http://schemas.openxmlformats.org/officeDocument/2006/relationships/hyperlink" Target="https://en.wikipedia.org/wiki/Atiamuri_Power_Station" TargetMode="External"/><Relationship Id="rId111" Type="http://schemas.openxmlformats.org/officeDocument/2006/relationships/hyperlink" Target="https://en.wikipedia.org/wiki/Shoalhaven_Scheme" TargetMode="External"/><Relationship Id="rId132" Type="http://schemas.openxmlformats.org/officeDocument/2006/relationships/hyperlink" Target="https://en.wikipedia.org/wiki/Cluny_Power_Station" TargetMode="External"/><Relationship Id="rId153" Type="http://schemas.openxmlformats.org/officeDocument/2006/relationships/hyperlink" Target="https://en.wikipedia.org/wiki/Tribute_Power_Station" TargetMode="External"/><Relationship Id="rId174" Type="http://schemas.openxmlformats.org/officeDocument/2006/relationships/hyperlink" Target="http://globalenergyobservatory.org/geoid/41451" TargetMode="External"/><Relationship Id="rId179" Type="http://schemas.openxmlformats.org/officeDocument/2006/relationships/hyperlink" Target="http://globalenergyobservatory.org/geoid/41524" TargetMode="External"/><Relationship Id="rId15" Type="http://schemas.openxmlformats.org/officeDocument/2006/relationships/hyperlink" Target="https://en.wikipedia.org/wiki/Hatanagi-I_Dam" TargetMode="External"/><Relationship Id="rId36" Type="http://schemas.openxmlformats.org/officeDocument/2006/relationships/hyperlink" Target="https://en.wikipedia.org/wiki/Tokuyama_Dam" TargetMode="External"/><Relationship Id="rId57" Type="http://schemas.openxmlformats.org/officeDocument/2006/relationships/hyperlink" Target="https://en.wikipedia.org/wiki/S%C6%A1n_La_Dam" TargetMode="External"/><Relationship Id="rId106" Type="http://schemas.openxmlformats.org/officeDocument/2006/relationships/hyperlink" Target="https://en.wikipedia.org/wiki/Cochrane_Dam_(New_South_Wales)" TargetMode="External"/><Relationship Id="rId127" Type="http://schemas.openxmlformats.org/officeDocument/2006/relationships/hyperlink" Target="https://en.wikipedia.org/wiki/Terminal_Storage_Mini_Hydro" TargetMode="External"/><Relationship Id="rId10" Type="http://schemas.openxmlformats.org/officeDocument/2006/relationships/hyperlink" Target="https://en.wikipedia.org/wiki/Xiaowan_Dam" TargetMode="External"/><Relationship Id="rId31" Type="http://schemas.openxmlformats.org/officeDocument/2006/relationships/hyperlink" Target="https://en.wikipedia.org/wiki/Senzu_Dam" TargetMode="External"/><Relationship Id="rId52" Type="http://schemas.openxmlformats.org/officeDocument/2006/relationships/hyperlink" Target="https://en.wikipedia.org/wiki/Subansiri_Lower_Dam" TargetMode="External"/><Relationship Id="rId73" Type="http://schemas.openxmlformats.org/officeDocument/2006/relationships/hyperlink" Target="https://en.wikipedia.org/wiki/Golen_Gol_Hydropower_Project" TargetMode="External"/><Relationship Id="rId78" Type="http://schemas.openxmlformats.org/officeDocument/2006/relationships/hyperlink" Target="https://en.wikipedia.org/wiki/Satpara_Dam" TargetMode="External"/><Relationship Id="rId94" Type="http://schemas.openxmlformats.org/officeDocument/2006/relationships/hyperlink" Target="https://en.wikipedia.org/wiki/Manapouri_Power_Station" TargetMode="External"/><Relationship Id="rId99" Type="http://schemas.openxmlformats.org/officeDocument/2006/relationships/hyperlink" Target="https://en.wikipedia.org/wiki/Ohakuri_Dam" TargetMode="External"/><Relationship Id="rId101" Type="http://schemas.openxmlformats.org/officeDocument/2006/relationships/hyperlink" Target="https://en.wikipedia.org/wiki/Roxburgh_Dam" TargetMode="External"/><Relationship Id="rId122" Type="http://schemas.openxmlformats.org/officeDocument/2006/relationships/hyperlink" Target="https://en.wikipedia.org/wiki/Koombooloomba_Dam" TargetMode="External"/><Relationship Id="rId143" Type="http://schemas.openxmlformats.org/officeDocument/2006/relationships/hyperlink" Target="https://en.wikipedia.org/wiki/Meadowbank_Power_Station" TargetMode="External"/><Relationship Id="rId148" Type="http://schemas.openxmlformats.org/officeDocument/2006/relationships/hyperlink" Target="https://en.wikipedia.org/wiki/Repulse_Power_Station" TargetMode="External"/><Relationship Id="rId164" Type="http://schemas.openxmlformats.org/officeDocument/2006/relationships/hyperlink" Target="https://en.wikipedia.org/w/index.php?title=Theun-Hinboun_Dam&amp;action=edit&amp;redlink=1" TargetMode="External"/><Relationship Id="rId169" Type="http://schemas.openxmlformats.org/officeDocument/2006/relationships/hyperlink" Target="https://en.wikipedia.org/wiki/Chenderoh_Dam" TargetMode="External"/><Relationship Id="rId4" Type="http://schemas.openxmlformats.org/officeDocument/2006/relationships/hyperlink" Target="https://en.wikipedia.org/wiki/Longtan_Dam" TargetMode="External"/><Relationship Id="rId9" Type="http://schemas.openxmlformats.org/officeDocument/2006/relationships/hyperlink" Target="https://en.wikipedia.org/wiki/Tianshengqiao-I" TargetMode="External"/><Relationship Id="rId180" Type="http://schemas.openxmlformats.org/officeDocument/2006/relationships/hyperlink" Target="http://globalenergyobservatory.org/geoid/41527" TargetMode="External"/><Relationship Id="rId26" Type="http://schemas.openxmlformats.org/officeDocument/2006/relationships/hyperlink" Target="https://en.wikipedia.org/wiki/Okutadami_Dam" TargetMode="External"/><Relationship Id="rId47" Type="http://schemas.openxmlformats.org/officeDocument/2006/relationships/hyperlink" Target="https://en.wikipedia.org/wiki/Pulichinthala_Project" TargetMode="External"/><Relationship Id="rId68" Type="http://schemas.openxmlformats.org/officeDocument/2006/relationships/hyperlink" Target="https://en.wikipedia.org/wiki/Neelum%E2%80%93Jhelum_Hydropower_Plant" TargetMode="External"/><Relationship Id="rId89" Type="http://schemas.openxmlformats.org/officeDocument/2006/relationships/hyperlink" Target="https://en.wikipedia.org/wiki/Aviemore_Dam" TargetMode="External"/><Relationship Id="rId112" Type="http://schemas.openxmlformats.org/officeDocument/2006/relationships/hyperlink" Target="https://en.wikipedia.org/wiki/Keepit_Dam" TargetMode="External"/><Relationship Id="rId133" Type="http://schemas.openxmlformats.org/officeDocument/2006/relationships/hyperlink" Target="https://en.wikipedia.org/wiki/Devils_Gate_Power_Station" TargetMode="External"/><Relationship Id="rId154" Type="http://schemas.openxmlformats.org/officeDocument/2006/relationships/hyperlink" Target="https://en.wikipedia.org/wiki/Tungatinah_Power_Station" TargetMode="External"/><Relationship Id="rId175" Type="http://schemas.openxmlformats.org/officeDocument/2006/relationships/hyperlink" Target="https://www.smec.com/what-we-do/projects/Ulu-Jelai-Hydroelectric-Project" TargetMode="External"/><Relationship Id="rId16" Type="http://schemas.openxmlformats.org/officeDocument/2006/relationships/hyperlink" Target="https://en.wikipedia.org/wiki/Hatanagi-II_Dam" TargetMode="External"/><Relationship Id="rId37" Type="http://schemas.openxmlformats.org/officeDocument/2006/relationships/hyperlink" Target="https://en.wikipedia.org/wiki/Tehri_Dam" TargetMode="External"/><Relationship Id="rId58" Type="http://schemas.openxmlformats.org/officeDocument/2006/relationships/hyperlink" Target="https://en.wikipedia.org/wiki/Lai_Ch%C3%A2u_Dam" TargetMode="External"/><Relationship Id="rId79" Type="http://schemas.openxmlformats.org/officeDocument/2006/relationships/hyperlink" Target="https://en.wikipedia.org/wiki/Darawat_Dam" TargetMode="External"/><Relationship Id="rId102" Type="http://schemas.openxmlformats.org/officeDocument/2006/relationships/hyperlink" Target="https://en.wikipedia.org/wiki/Lake_Tekapo" TargetMode="External"/><Relationship Id="rId123" Type="http://schemas.openxmlformats.org/officeDocument/2006/relationships/hyperlink" Target="https://en.wikipedia.org/wiki/Koombooloomba_Dam" TargetMode="External"/><Relationship Id="rId144" Type="http://schemas.openxmlformats.org/officeDocument/2006/relationships/hyperlink" Target="https://en.wikipedia.org/wiki/Nieterana_Power_Station" TargetMode="External"/><Relationship Id="rId90" Type="http://schemas.openxmlformats.org/officeDocument/2006/relationships/hyperlink" Target="https://en.wikipedia.org/wiki/Benmore_Power_Station" TargetMode="External"/><Relationship Id="rId165" Type="http://schemas.openxmlformats.org/officeDocument/2006/relationships/hyperlink" Target="https://en.wikipedia.org/w/index.php?title=Nam_Ngiep_1_Dam&amp;action=edit&amp;redlink=1" TargetMode="External"/><Relationship Id="rId27" Type="http://schemas.openxmlformats.org/officeDocument/2006/relationships/hyperlink" Target="https://en.wikipedia.org/wiki/Otori_Dam" TargetMode="External"/><Relationship Id="rId48" Type="http://schemas.openxmlformats.org/officeDocument/2006/relationships/hyperlink" Target="https://en.wikipedia.org/wiki/Polavaram_Project" TargetMode="External"/><Relationship Id="rId69" Type="http://schemas.openxmlformats.org/officeDocument/2006/relationships/hyperlink" Target="https://en.wikipedia.org/wiki/Warsak_Dam" TargetMode="External"/><Relationship Id="rId113" Type="http://schemas.openxmlformats.org/officeDocument/2006/relationships/hyperlink" Target="https://en.wikipedia.org/wiki/Murray_Hydroelectric_Power_Station" TargetMode="External"/><Relationship Id="rId134" Type="http://schemas.openxmlformats.org/officeDocument/2006/relationships/hyperlink" Target="https://en.wikipedia.org/wiki/Fisher_Power_Station" TargetMode="External"/><Relationship Id="rId80" Type="http://schemas.openxmlformats.org/officeDocument/2006/relationships/hyperlink" Target="https://en.wikipedia.org/wiki/Naulong_Dam" TargetMode="External"/><Relationship Id="rId155" Type="http://schemas.openxmlformats.org/officeDocument/2006/relationships/hyperlink" Target="https://en.wikipedia.org/wiki/Wayatinah_Power_Station" TargetMode="External"/><Relationship Id="rId176" Type="http://schemas.openxmlformats.org/officeDocument/2006/relationships/hyperlink" Target="https://en.wikipedia.org/wiki/Bakun_Dam" TargetMode="External"/><Relationship Id="rId17" Type="http://schemas.openxmlformats.org/officeDocument/2006/relationships/hyperlink" Target="https://en.wikipedia.org/wiki/Ikawa_Dam" TargetMode="External"/><Relationship Id="rId38" Type="http://schemas.openxmlformats.org/officeDocument/2006/relationships/hyperlink" Target="https://en.wikipedia.org/wiki/Koteshwar_Dam" TargetMode="External"/><Relationship Id="rId59" Type="http://schemas.openxmlformats.org/officeDocument/2006/relationships/hyperlink" Target="https://en.wikipedia.org/wiki/H%C3%B2a_B%C3%ACnh_Dam" TargetMode="External"/><Relationship Id="rId103" Type="http://schemas.openxmlformats.org/officeDocument/2006/relationships/hyperlink" Target="https://en.wikipedia.org/wiki/Wairere_Power_Station" TargetMode="External"/><Relationship Id="rId124" Type="http://schemas.openxmlformats.org/officeDocument/2006/relationships/hyperlink" Target="https://en.wikipedia.org/wiki/Somerset_Dam" TargetMode="External"/><Relationship Id="rId70" Type="http://schemas.openxmlformats.org/officeDocument/2006/relationships/hyperlink" Target="https://en.wikipedia.org/wiki/Chashma_Barrage" TargetMode="External"/><Relationship Id="rId91" Type="http://schemas.openxmlformats.org/officeDocument/2006/relationships/hyperlink" Target="https://en.wikipedia.org/wiki/Clyde_Dam" TargetMode="External"/><Relationship Id="rId145" Type="http://schemas.openxmlformats.org/officeDocument/2006/relationships/hyperlink" Target="https://en.wikipedia.org/wiki/Paloona_Power_Station" TargetMode="External"/><Relationship Id="rId166" Type="http://schemas.openxmlformats.org/officeDocument/2006/relationships/hyperlink" Target="https://en.wikipedia.org/w/index.php?title=Nam_Ngum_5_Dam&amp;action=edit&amp;redlink=1" TargetMode="External"/><Relationship Id="rId1" Type="http://schemas.openxmlformats.org/officeDocument/2006/relationships/hyperlink" Target="https://en.wikipedia.org/wiki/Three_Gorges_Dam" TargetMode="External"/><Relationship Id="rId28" Type="http://schemas.openxmlformats.org/officeDocument/2006/relationships/hyperlink" Target="https://en.wikipedia.org/wiki/Sagami_Dam" TargetMode="External"/><Relationship Id="rId49" Type="http://schemas.openxmlformats.org/officeDocument/2006/relationships/hyperlink" Target="https://en.wikipedia.org/wiki/Narmada_Dam" TargetMode="External"/><Relationship Id="rId114" Type="http://schemas.openxmlformats.org/officeDocument/2006/relationships/hyperlink" Target="https://en.wikipedia.org/wiki/Murray_Hydroelectric_Power_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U1000"/>
  <sheetViews>
    <sheetView tabSelected="1" zoomScale="144" workbookViewId="0">
      <selection activeCell="C42" sqref="C42"/>
    </sheetView>
  </sheetViews>
  <sheetFormatPr baseColWidth="10" defaultColWidth="12.6640625" defaultRowHeight="15.75" customHeight="1"/>
  <cols>
    <col min="1" max="1" width="17.1640625" customWidth="1"/>
    <col min="3" max="3" width="18.33203125" customWidth="1"/>
    <col min="15" max="15" width="23.6640625" customWidth="1"/>
  </cols>
  <sheetData>
    <row r="2" spans="1:9" ht="15.75" customHeight="1">
      <c r="A2" s="17"/>
      <c r="B2" s="18"/>
      <c r="C2" s="18"/>
      <c r="D2" s="18"/>
      <c r="E2" s="19"/>
      <c r="F2" s="19"/>
      <c r="G2" s="19"/>
      <c r="H2" s="19"/>
      <c r="I2" s="20"/>
    </row>
    <row r="3" spans="1:9" ht="26" customHeight="1">
      <c r="A3" s="21"/>
      <c r="B3" s="117" t="s">
        <v>615</v>
      </c>
      <c r="C3" s="22"/>
      <c r="D3" s="22"/>
      <c r="E3" s="23"/>
      <c r="F3" s="23"/>
      <c r="G3" s="23"/>
      <c r="H3" s="23"/>
      <c r="I3" s="24"/>
    </row>
    <row r="4" spans="1:9" ht="15.75" customHeight="1">
      <c r="A4" s="21"/>
      <c r="B4" s="25"/>
      <c r="C4" s="22"/>
      <c r="D4" s="22"/>
      <c r="E4" s="23"/>
      <c r="F4" s="23"/>
      <c r="G4" s="23"/>
      <c r="H4" s="23"/>
      <c r="I4" s="24"/>
    </row>
    <row r="5" spans="1:9" ht="19" customHeight="1">
      <c r="A5" s="116" t="s">
        <v>620</v>
      </c>
      <c r="B5" s="115" t="s">
        <v>646</v>
      </c>
      <c r="C5" s="22"/>
      <c r="D5" s="22"/>
      <c r="E5" s="23"/>
      <c r="F5" s="23"/>
      <c r="G5" s="23"/>
      <c r="H5" s="23"/>
      <c r="I5" s="24"/>
    </row>
    <row r="6" spans="1:9" ht="19" customHeight="1">
      <c r="A6" s="116" t="s">
        <v>621</v>
      </c>
      <c r="B6" s="115" t="s">
        <v>647</v>
      </c>
      <c r="C6" s="22"/>
      <c r="D6" s="22"/>
      <c r="E6" s="23"/>
      <c r="F6" s="23"/>
      <c r="G6" s="23"/>
      <c r="H6" s="23"/>
      <c r="I6" s="24"/>
    </row>
    <row r="7" spans="1:9" ht="18" customHeight="1">
      <c r="A7" s="116" t="s">
        <v>622</v>
      </c>
      <c r="B7" s="115" t="s">
        <v>648</v>
      </c>
      <c r="C7" s="22"/>
      <c r="D7" s="22"/>
      <c r="E7" s="23"/>
      <c r="F7" s="23"/>
      <c r="G7" s="23"/>
      <c r="H7" s="23"/>
      <c r="I7" s="24"/>
    </row>
    <row r="8" spans="1:9" ht="19" customHeight="1">
      <c r="A8" s="116" t="s">
        <v>623</v>
      </c>
      <c r="B8" s="115" t="s">
        <v>649</v>
      </c>
      <c r="C8" s="22"/>
      <c r="D8" s="22"/>
      <c r="E8" s="23"/>
      <c r="F8" s="23"/>
      <c r="G8" s="23"/>
      <c r="H8" s="23"/>
      <c r="I8" s="24"/>
    </row>
    <row r="9" spans="1:9" ht="19" customHeight="1">
      <c r="A9" s="116" t="s">
        <v>624</v>
      </c>
      <c r="B9" s="115" t="s">
        <v>650</v>
      </c>
      <c r="C9" s="22"/>
      <c r="D9" s="22"/>
      <c r="E9" s="23"/>
      <c r="F9" s="23"/>
      <c r="G9" s="23"/>
      <c r="H9" s="23"/>
      <c r="I9" s="24"/>
    </row>
    <row r="10" spans="1:9" ht="19" customHeight="1">
      <c r="A10" s="116" t="s">
        <v>625</v>
      </c>
      <c r="B10" s="115" t="s">
        <v>651</v>
      </c>
      <c r="C10" s="22"/>
      <c r="D10" s="22"/>
      <c r="E10" s="23"/>
      <c r="F10" s="23"/>
      <c r="G10" s="23"/>
      <c r="H10" s="23"/>
      <c r="I10" s="24"/>
    </row>
    <row r="11" spans="1:9" ht="19" customHeight="1">
      <c r="A11" s="116" t="s">
        <v>626</v>
      </c>
      <c r="B11" s="115" t="s">
        <v>652</v>
      </c>
      <c r="C11" s="22"/>
      <c r="D11" s="22"/>
      <c r="E11" s="23"/>
      <c r="F11" s="23"/>
      <c r="G11" s="23"/>
      <c r="H11" s="23"/>
      <c r="I11" s="24"/>
    </row>
    <row r="12" spans="1:9" ht="19" customHeight="1">
      <c r="A12" s="116" t="s">
        <v>627</v>
      </c>
      <c r="B12" s="115" t="s">
        <v>653</v>
      </c>
      <c r="C12" s="28"/>
      <c r="D12" s="28"/>
      <c r="E12" s="29"/>
      <c r="F12" s="29"/>
      <c r="G12" s="29"/>
      <c r="H12" s="29"/>
      <c r="I12" s="24"/>
    </row>
    <row r="13" spans="1:9" ht="15.75" customHeight="1">
      <c r="A13" s="30"/>
      <c r="B13" s="26"/>
      <c r="C13" s="26"/>
      <c r="D13" s="26"/>
      <c r="E13" s="26"/>
      <c r="F13" s="26"/>
      <c r="G13" s="26"/>
      <c r="H13" s="26"/>
      <c r="I13" s="27"/>
    </row>
    <row r="67" ht="13"/>
    <row r="68" ht="13"/>
    <row r="69" ht="13"/>
    <row r="70" ht="13"/>
    <row r="71" ht="13"/>
    <row r="72" ht="13"/>
    <row r="73" ht="13"/>
    <row r="74" ht="13"/>
    <row r="75" ht="13"/>
    <row r="76" ht="13"/>
    <row r="77" ht="13"/>
    <row r="78" ht="13"/>
    <row r="79" ht="13"/>
    <row r="80" ht="13"/>
    <row r="81" ht="13"/>
    <row r="82" ht="13"/>
    <row r="83" ht="13"/>
    <row r="84" ht="13"/>
    <row r="85" ht="13"/>
    <row r="86" ht="13"/>
    <row r="87" ht="13"/>
    <row r="88" ht="13"/>
    <row r="89" ht="13"/>
    <row r="90" ht="13"/>
    <row r="91" ht="13"/>
    <row r="92" ht="13"/>
    <row r="93" ht="13"/>
    <row r="94" ht="13"/>
    <row r="95" ht="13"/>
    <row r="96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  <row r="116" ht="13"/>
    <row r="117" ht="13"/>
    <row r="118" ht="13"/>
    <row r="119" ht="13"/>
    <row r="120" ht="13"/>
    <row r="121" ht="13"/>
    <row r="122" ht="13"/>
    <row r="123" ht="13"/>
    <row r="124" ht="13"/>
    <row r="125" ht="13"/>
    <row r="126" ht="13"/>
    <row r="127" ht="13"/>
    <row r="128" ht="13"/>
    <row r="129" ht="13"/>
    <row r="130" ht="13"/>
    <row r="131" ht="13"/>
    <row r="132" ht="13"/>
    <row r="133" ht="13"/>
    <row r="134" ht="13"/>
    <row r="135" ht="13"/>
    <row r="136" ht="13"/>
    <row r="137" ht="13"/>
    <row r="138" ht="13"/>
    <row r="139" ht="13"/>
    <row r="140" ht="13"/>
    <row r="141" ht="13"/>
    <row r="142" ht="13"/>
    <row r="143" ht="13"/>
    <row r="144" ht="13"/>
    <row r="145" ht="13"/>
    <row r="146" ht="13"/>
    <row r="147" ht="13"/>
    <row r="148" ht="13"/>
    <row r="149" ht="13"/>
    <row r="150" ht="13"/>
    <row r="151" ht="13"/>
    <row r="152" ht="13"/>
    <row r="153" ht="13"/>
    <row r="154" ht="13"/>
    <row r="155" ht="13"/>
    <row r="156" ht="13"/>
    <row r="157" ht="13"/>
    <row r="158" ht="13"/>
    <row r="159" ht="13"/>
    <row r="160" ht="13"/>
    <row r="161" ht="13"/>
    <row r="162" ht="13"/>
    <row r="163" ht="13"/>
    <row r="164" ht="13"/>
    <row r="165" ht="13"/>
    <row r="166" ht="13"/>
    <row r="167" ht="13"/>
    <row r="168" ht="13"/>
    <row r="169" ht="13"/>
    <row r="170" ht="13"/>
    <row r="171" ht="13"/>
    <row r="172" ht="13"/>
    <row r="173" ht="13"/>
    <row r="174" ht="13"/>
    <row r="175" ht="13"/>
    <row r="176" ht="13"/>
    <row r="177" ht="13"/>
    <row r="178" ht="13"/>
    <row r="179" ht="13"/>
    <row r="180" ht="13"/>
    <row r="181" ht="13"/>
    <row r="182" ht="13"/>
    <row r="183" ht="13"/>
    <row r="184" ht="13"/>
    <row r="185" ht="13"/>
    <row r="186" ht="13"/>
    <row r="187" ht="13"/>
    <row r="188" ht="13"/>
    <row r="189" ht="13"/>
    <row r="190" ht="13"/>
    <row r="191" ht="13"/>
    <row r="192" ht="13"/>
    <row r="193" spans="1:21" ht="13"/>
    <row r="194" spans="1:21" ht="13"/>
    <row r="195" spans="1:21" ht="13">
      <c r="A195" s="2"/>
      <c r="B195" s="9"/>
      <c r="C195" s="9"/>
      <c r="D195" s="9"/>
      <c r="E195" s="1"/>
      <c r="F195" s="5"/>
      <c r="G195" s="3"/>
      <c r="H195" s="4"/>
      <c r="I195" s="5"/>
      <c r="J195" s="6"/>
      <c r="K195" s="7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 spans="1:21" ht="13">
      <c r="A196" s="2"/>
      <c r="B196" s="9"/>
      <c r="C196" s="9"/>
      <c r="D196" s="9"/>
      <c r="E196" s="1"/>
      <c r="F196" s="5"/>
      <c r="G196" s="3"/>
      <c r="H196" s="4"/>
      <c r="I196" s="5"/>
      <c r="J196" s="6"/>
      <c r="K196" s="7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1:21" ht="13">
      <c r="A197" s="2"/>
      <c r="B197" s="9"/>
      <c r="C197" s="9"/>
      <c r="D197" s="9"/>
      <c r="E197" s="1"/>
      <c r="F197" s="5"/>
      <c r="G197" s="3"/>
      <c r="H197" s="4"/>
      <c r="I197" s="5"/>
      <c r="J197" s="6"/>
      <c r="K197" s="7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spans="1:21" ht="13">
      <c r="A198" s="2"/>
      <c r="B198" s="9"/>
      <c r="C198" s="9"/>
      <c r="D198" s="9"/>
      <c r="E198" s="1"/>
      <c r="F198" s="5"/>
      <c r="G198" s="3"/>
      <c r="H198" s="4"/>
      <c r="I198" s="5"/>
      <c r="J198" s="6"/>
      <c r="K198" s="7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 spans="1:21" ht="13">
      <c r="A199" s="2"/>
      <c r="B199" s="9"/>
      <c r="C199" s="9"/>
      <c r="D199" s="9"/>
      <c r="E199" s="1"/>
      <c r="F199" s="5"/>
      <c r="G199" s="3"/>
      <c r="H199" s="4"/>
      <c r="I199" s="5"/>
      <c r="J199" s="6"/>
      <c r="K199" s="7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1:21" ht="13">
      <c r="A200" s="2"/>
      <c r="B200" s="9"/>
      <c r="C200" s="9"/>
      <c r="D200" s="9"/>
      <c r="E200" s="1"/>
      <c r="F200" s="5"/>
      <c r="G200" s="3"/>
      <c r="H200" s="4"/>
      <c r="I200" s="5"/>
      <c r="J200" s="6"/>
      <c r="K200" s="7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 spans="1:21" ht="13">
      <c r="A201" s="2"/>
      <c r="B201" s="9"/>
      <c r="C201" s="9"/>
      <c r="D201" s="9"/>
      <c r="E201" s="1"/>
      <c r="F201" s="5"/>
      <c r="G201" s="3"/>
      <c r="H201" s="4"/>
      <c r="I201" s="5"/>
      <c r="J201" s="6"/>
      <c r="K201" s="7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 spans="1:21" ht="13">
      <c r="A202" s="2"/>
      <c r="B202" s="9"/>
      <c r="C202" s="9"/>
      <c r="D202" s="9"/>
      <c r="E202" s="1"/>
      <c r="F202" s="5"/>
      <c r="G202" s="3"/>
      <c r="H202" s="4"/>
      <c r="I202" s="5"/>
      <c r="J202" s="6"/>
      <c r="K202" s="7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 spans="1:21" ht="13">
      <c r="A203" s="2"/>
      <c r="B203" s="9"/>
      <c r="C203" s="9"/>
      <c r="D203" s="9"/>
      <c r="E203" s="1"/>
      <c r="F203" s="5"/>
      <c r="G203" s="3"/>
      <c r="H203" s="4"/>
      <c r="I203" s="5"/>
      <c r="J203" s="6"/>
      <c r="K203" s="7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 spans="1:21" ht="13">
      <c r="A204" s="2"/>
      <c r="B204" s="9"/>
      <c r="C204" s="9"/>
      <c r="D204" s="9"/>
      <c r="E204" s="1"/>
      <c r="F204" s="5"/>
      <c r="G204" s="3"/>
      <c r="H204" s="4"/>
      <c r="I204" s="5"/>
      <c r="J204" s="6"/>
      <c r="K204" s="7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 spans="1:21" ht="13">
      <c r="A205" s="2"/>
      <c r="B205" s="9"/>
      <c r="C205" s="9"/>
      <c r="D205" s="9"/>
      <c r="E205" s="1"/>
      <c r="F205" s="5"/>
      <c r="G205" s="3"/>
      <c r="H205" s="4"/>
      <c r="I205" s="5"/>
      <c r="J205" s="6"/>
      <c r="K205" s="7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 spans="1:21" ht="13">
      <c r="A206" s="2"/>
      <c r="B206" s="9"/>
      <c r="C206" s="9"/>
      <c r="D206" s="9"/>
      <c r="E206" s="1"/>
      <c r="F206" s="5"/>
      <c r="G206" s="3"/>
      <c r="H206" s="4"/>
      <c r="I206" s="5"/>
      <c r="J206" s="6"/>
      <c r="K206" s="7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spans="1:21" ht="13">
      <c r="A207" s="2"/>
      <c r="B207" s="9"/>
      <c r="C207" s="9"/>
      <c r="D207" s="9"/>
      <c r="E207" s="1"/>
      <c r="F207" s="5"/>
      <c r="G207" s="3"/>
      <c r="H207" s="4"/>
      <c r="I207" s="5"/>
      <c r="J207" s="6"/>
      <c r="K207" s="7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 spans="1:21" ht="13">
      <c r="A208" s="2"/>
      <c r="B208" s="9"/>
      <c r="C208" s="9"/>
      <c r="D208" s="9"/>
      <c r="E208" s="1"/>
      <c r="F208" s="5"/>
      <c r="G208" s="3"/>
      <c r="H208" s="4"/>
      <c r="I208" s="5"/>
      <c r="J208" s="6"/>
      <c r="K208" s="7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 spans="1:21" ht="13">
      <c r="A209" s="2"/>
      <c r="B209" s="9"/>
      <c r="C209" s="9"/>
      <c r="D209" s="9"/>
      <c r="E209" s="1"/>
      <c r="F209" s="5"/>
      <c r="G209" s="3"/>
      <c r="H209" s="4"/>
      <c r="I209" s="5"/>
      <c r="J209" s="6"/>
      <c r="K209" s="7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 spans="1:21" ht="13">
      <c r="A210" s="2"/>
      <c r="B210" s="9"/>
      <c r="C210" s="9"/>
      <c r="D210" s="9"/>
      <c r="E210" s="1"/>
      <c r="F210" s="5"/>
      <c r="G210" s="3"/>
      <c r="H210" s="4"/>
      <c r="I210" s="5"/>
      <c r="J210" s="6"/>
      <c r="K210" s="7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 spans="1:21" ht="13">
      <c r="A211" s="2"/>
      <c r="B211" s="9"/>
      <c r="C211" s="9"/>
      <c r="D211" s="9"/>
      <c r="E211" s="1"/>
      <c r="F211" s="5"/>
      <c r="G211" s="3"/>
      <c r="H211" s="4"/>
      <c r="I211" s="5"/>
      <c r="J211" s="6"/>
      <c r="K211" s="7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 spans="1:21" ht="13">
      <c r="A212" s="2"/>
      <c r="B212" s="9"/>
      <c r="C212" s="9"/>
      <c r="D212" s="9"/>
      <c r="E212" s="1"/>
      <c r="F212" s="5"/>
      <c r="G212" s="3"/>
      <c r="H212" s="4"/>
      <c r="I212" s="5"/>
      <c r="J212" s="6"/>
      <c r="K212" s="7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 spans="1:21" ht="13">
      <c r="A213" s="2"/>
      <c r="B213" s="9"/>
      <c r="C213" s="9"/>
      <c r="D213" s="9"/>
      <c r="E213" s="1"/>
      <c r="F213" s="5"/>
      <c r="G213" s="3"/>
      <c r="H213" s="4"/>
      <c r="I213" s="5"/>
      <c r="J213" s="6"/>
      <c r="K213" s="7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 spans="1:21" ht="13">
      <c r="A214" s="2"/>
      <c r="B214" s="9"/>
      <c r="C214" s="9"/>
      <c r="D214" s="9"/>
      <c r="E214" s="1"/>
      <c r="F214" s="5"/>
      <c r="G214" s="3"/>
      <c r="H214" s="4"/>
      <c r="I214" s="5"/>
      <c r="J214" s="6"/>
      <c r="K214" s="7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 spans="1:21" ht="13">
      <c r="A215" s="2"/>
      <c r="B215" s="9"/>
      <c r="C215" s="9"/>
      <c r="D215" s="9"/>
      <c r="E215" s="1"/>
      <c r="F215" s="5"/>
      <c r="G215" s="3"/>
      <c r="H215" s="4"/>
      <c r="I215" s="5"/>
      <c r="J215" s="6"/>
      <c r="K215" s="7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 spans="1:21" ht="13">
      <c r="A216" s="2"/>
      <c r="B216" s="9"/>
      <c r="C216" s="9"/>
      <c r="D216" s="9"/>
      <c r="E216" s="1"/>
      <c r="F216" s="5"/>
      <c r="G216" s="3"/>
      <c r="H216" s="4"/>
      <c r="I216" s="5"/>
      <c r="J216" s="6"/>
      <c r="K216" s="7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 spans="1:21" ht="13">
      <c r="A217" s="2"/>
      <c r="B217" s="9"/>
      <c r="C217" s="9"/>
      <c r="D217" s="9"/>
      <c r="E217" s="1"/>
      <c r="F217" s="5"/>
      <c r="G217" s="3"/>
      <c r="H217" s="4"/>
      <c r="I217" s="5"/>
      <c r="J217" s="6"/>
      <c r="K217" s="7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 spans="1:21" ht="13">
      <c r="A218" s="2"/>
      <c r="B218" s="9"/>
      <c r="C218" s="9"/>
      <c r="D218" s="9"/>
      <c r="E218" s="1"/>
      <c r="F218" s="5"/>
      <c r="G218" s="3"/>
      <c r="H218" s="4"/>
      <c r="I218" s="5"/>
      <c r="J218" s="6"/>
      <c r="K218" s="7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 spans="1:21" ht="13">
      <c r="A219" s="2"/>
      <c r="B219" s="9"/>
      <c r="C219" s="9"/>
      <c r="D219" s="9"/>
      <c r="E219" s="1"/>
      <c r="F219" s="5"/>
      <c r="G219" s="3"/>
      <c r="H219" s="4"/>
      <c r="I219" s="5"/>
      <c r="J219" s="6"/>
      <c r="K219" s="7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 spans="1:21" ht="13">
      <c r="A220" s="2"/>
      <c r="B220" s="9"/>
      <c r="C220" s="9"/>
      <c r="D220" s="9"/>
      <c r="E220" s="1"/>
      <c r="F220" s="5"/>
      <c r="G220" s="3"/>
      <c r="H220" s="4"/>
      <c r="I220" s="5"/>
      <c r="J220" s="6"/>
      <c r="K220" s="7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 spans="1:21" ht="13">
      <c r="A221" s="2"/>
      <c r="B221" s="9"/>
      <c r="C221" s="9"/>
      <c r="D221" s="9"/>
      <c r="E221" s="1"/>
      <c r="F221" s="5"/>
      <c r="G221" s="3"/>
      <c r="H221" s="4"/>
      <c r="I221" s="5"/>
      <c r="J221" s="6"/>
      <c r="K221" s="7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 spans="1:21" ht="13">
      <c r="A222" s="2"/>
      <c r="B222" s="9"/>
      <c r="C222" s="9"/>
      <c r="D222" s="9"/>
      <c r="E222" s="1"/>
      <c r="F222" s="5"/>
      <c r="G222" s="3"/>
      <c r="H222" s="4"/>
      <c r="I222" s="5"/>
      <c r="J222" s="6"/>
      <c r="K222" s="7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 spans="1:21" ht="13">
      <c r="A223" s="2"/>
      <c r="B223" s="9"/>
      <c r="C223" s="9"/>
      <c r="D223" s="9"/>
      <c r="E223" s="1"/>
      <c r="F223" s="5"/>
      <c r="G223" s="3"/>
      <c r="H223" s="4"/>
      <c r="I223" s="5"/>
      <c r="J223" s="6"/>
      <c r="K223" s="7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 spans="1:21" ht="13">
      <c r="A224" s="2"/>
      <c r="B224" s="9"/>
      <c r="C224" s="9"/>
      <c r="D224" s="9"/>
      <c r="E224" s="1"/>
      <c r="F224" s="5"/>
      <c r="G224" s="3"/>
      <c r="H224" s="4"/>
      <c r="I224" s="5"/>
      <c r="J224" s="6"/>
      <c r="K224" s="7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 spans="1:21" ht="13">
      <c r="A225" s="2"/>
      <c r="B225" s="9"/>
      <c r="C225" s="9"/>
      <c r="D225" s="9"/>
      <c r="E225" s="1"/>
      <c r="F225" s="5"/>
      <c r="G225" s="3"/>
      <c r="H225" s="4"/>
      <c r="I225" s="5"/>
      <c r="J225" s="6"/>
      <c r="K225" s="7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 spans="1:21" ht="13">
      <c r="A226" s="2"/>
      <c r="B226" s="9"/>
      <c r="C226" s="9"/>
      <c r="D226" s="9"/>
      <c r="E226" s="1"/>
      <c r="F226" s="5"/>
      <c r="G226" s="3"/>
      <c r="H226" s="4"/>
      <c r="I226" s="5"/>
      <c r="J226" s="6"/>
      <c r="K226" s="7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 spans="1:21" ht="13">
      <c r="A227" s="2"/>
      <c r="B227" s="9"/>
      <c r="C227" s="9"/>
      <c r="D227" s="9"/>
      <c r="E227" s="1"/>
      <c r="F227" s="5"/>
      <c r="G227" s="3"/>
      <c r="H227" s="4"/>
      <c r="I227" s="5"/>
      <c r="J227" s="6"/>
      <c r="K227" s="7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 spans="1:21" ht="13">
      <c r="A228" s="2"/>
      <c r="B228" s="9"/>
      <c r="C228" s="9"/>
      <c r="D228" s="9"/>
      <c r="E228" s="1"/>
      <c r="F228" s="5"/>
      <c r="G228" s="3"/>
      <c r="H228" s="4"/>
      <c r="I228" s="5"/>
      <c r="J228" s="6"/>
      <c r="K228" s="7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 spans="1:21" ht="13">
      <c r="A229" s="2"/>
      <c r="B229" s="9"/>
      <c r="C229" s="9"/>
      <c r="D229" s="9"/>
      <c r="E229" s="1"/>
      <c r="F229" s="5"/>
      <c r="G229" s="3"/>
      <c r="H229" s="4"/>
      <c r="I229" s="5"/>
      <c r="J229" s="6"/>
      <c r="K229" s="7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 spans="1:21" ht="13">
      <c r="A230" s="2"/>
      <c r="B230" s="9"/>
      <c r="C230" s="9"/>
      <c r="D230" s="9"/>
      <c r="E230" s="1"/>
      <c r="F230" s="5"/>
      <c r="G230" s="3"/>
      <c r="H230" s="4"/>
      <c r="I230" s="5"/>
      <c r="J230" s="6"/>
      <c r="K230" s="7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 spans="1:21" ht="13">
      <c r="A231" s="2"/>
      <c r="B231" s="9"/>
      <c r="C231" s="9"/>
      <c r="D231" s="9"/>
      <c r="E231" s="1"/>
      <c r="F231" s="5"/>
      <c r="G231" s="3"/>
      <c r="H231" s="4"/>
      <c r="I231" s="5"/>
      <c r="J231" s="6"/>
      <c r="K231" s="7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 spans="1:21" ht="13">
      <c r="A232" s="2"/>
      <c r="B232" s="9"/>
      <c r="C232" s="9"/>
      <c r="D232" s="9"/>
      <c r="E232" s="1"/>
      <c r="F232" s="5"/>
      <c r="G232" s="3"/>
      <c r="H232" s="4"/>
      <c r="I232" s="5"/>
      <c r="J232" s="6"/>
      <c r="K232" s="7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 spans="1:21" ht="13">
      <c r="A233" s="2"/>
      <c r="B233" s="9"/>
      <c r="C233" s="9"/>
      <c r="D233" s="9"/>
      <c r="E233" s="1"/>
      <c r="F233" s="5"/>
      <c r="G233" s="3"/>
      <c r="H233" s="4"/>
      <c r="I233" s="5"/>
      <c r="J233" s="6"/>
      <c r="K233" s="7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 spans="1:21" ht="13">
      <c r="A234" s="2"/>
      <c r="B234" s="9"/>
      <c r="C234" s="9"/>
      <c r="D234" s="9"/>
      <c r="E234" s="1"/>
      <c r="F234" s="5"/>
      <c r="G234" s="3"/>
      <c r="H234" s="4"/>
      <c r="I234" s="5"/>
      <c r="J234" s="6"/>
      <c r="K234" s="7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 spans="1:21" ht="13">
      <c r="A235" s="2"/>
      <c r="B235" s="9"/>
      <c r="C235" s="9"/>
      <c r="D235" s="9"/>
      <c r="E235" s="1"/>
      <c r="F235" s="5"/>
      <c r="G235" s="3"/>
      <c r="H235" s="4"/>
      <c r="I235" s="5"/>
      <c r="J235" s="6"/>
      <c r="K235" s="7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 spans="1:21" ht="13">
      <c r="A236" s="2"/>
      <c r="B236" s="9"/>
      <c r="C236" s="9"/>
      <c r="D236" s="9"/>
      <c r="E236" s="1"/>
      <c r="F236" s="5"/>
      <c r="G236" s="3"/>
      <c r="H236" s="4"/>
      <c r="I236" s="5"/>
      <c r="J236" s="6"/>
      <c r="K236" s="7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 spans="1:21" ht="13">
      <c r="A237" s="2"/>
      <c r="B237" s="9"/>
      <c r="C237" s="9"/>
      <c r="D237" s="9"/>
      <c r="E237" s="1"/>
      <c r="F237" s="5"/>
      <c r="G237" s="3"/>
      <c r="H237" s="4"/>
      <c r="I237" s="5"/>
      <c r="J237" s="6"/>
      <c r="K237" s="7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 spans="1:21" ht="13">
      <c r="A238" s="2"/>
      <c r="B238" s="9"/>
      <c r="C238" s="9"/>
      <c r="D238" s="9"/>
      <c r="E238" s="1"/>
      <c r="F238" s="5"/>
      <c r="G238" s="3"/>
      <c r="H238" s="4"/>
      <c r="I238" s="5"/>
      <c r="J238" s="6"/>
      <c r="K238" s="7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 spans="1:21" ht="13">
      <c r="A239" s="2"/>
      <c r="B239" s="9"/>
      <c r="C239" s="9"/>
      <c r="D239" s="9"/>
      <c r="E239" s="1"/>
      <c r="F239" s="5"/>
      <c r="G239" s="3"/>
      <c r="H239" s="4"/>
      <c r="I239" s="5"/>
      <c r="J239" s="6"/>
      <c r="K239" s="7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 spans="1:21" ht="13">
      <c r="A240" s="2"/>
      <c r="B240" s="9"/>
      <c r="C240" s="9"/>
      <c r="D240" s="9"/>
      <c r="E240" s="1"/>
      <c r="F240" s="5"/>
      <c r="G240" s="3"/>
      <c r="H240" s="4"/>
      <c r="I240" s="5"/>
      <c r="J240" s="6"/>
      <c r="K240" s="7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 spans="1:21" ht="13">
      <c r="A241" s="2"/>
      <c r="B241" s="9"/>
      <c r="C241" s="9"/>
      <c r="D241" s="9"/>
      <c r="E241" s="1"/>
      <c r="F241" s="5"/>
      <c r="G241" s="3"/>
      <c r="H241" s="4"/>
      <c r="I241" s="5"/>
      <c r="J241" s="6"/>
      <c r="K241" s="7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 spans="1:21" ht="13">
      <c r="A242" s="2"/>
      <c r="B242" s="9"/>
      <c r="C242" s="9"/>
      <c r="D242" s="9"/>
      <c r="E242" s="1"/>
      <c r="F242" s="5"/>
      <c r="G242" s="3"/>
      <c r="H242" s="4"/>
      <c r="I242" s="5"/>
      <c r="J242" s="6"/>
      <c r="K242" s="7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 spans="1:21" ht="13">
      <c r="A243" s="2"/>
      <c r="B243" s="9"/>
      <c r="C243" s="9"/>
      <c r="D243" s="9"/>
      <c r="E243" s="1"/>
      <c r="F243" s="5"/>
      <c r="G243" s="3"/>
      <c r="H243" s="4"/>
      <c r="I243" s="5"/>
      <c r="J243" s="6"/>
      <c r="K243" s="7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 spans="1:21" ht="13">
      <c r="A244" s="2"/>
      <c r="B244" s="9"/>
      <c r="C244" s="9"/>
      <c r="D244" s="9"/>
      <c r="E244" s="1"/>
      <c r="F244" s="5"/>
      <c r="G244" s="3"/>
      <c r="H244" s="4"/>
      <c r="I244" s="5"/>
      <c r="J244" s="6"/>
      <c r="K244" s="7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 spans="1:21" ht="13">
      <c r="A245" s="2"/>
      <c r="B245" s="9"/>
      <c r="C245" s="9"/>
      <c r="D245" s="9"/>
      <c r="E245" s="1"/>
      <c r="F245" s="5"/>
      <c r="G245" s="3"/>
      <c r="H245" s="4"/>
      <c r="I245" s="5"/>
      <c r="J245" s="6"/>
      <c r="K245" s="7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 spans="1:21" ht="13">
      <c r="A246" s="2"/>
      <c r="B246" s="9"/>
      <c r="C246" s="9"/>
      <c r="D246" s="9"/>
      <c r="E246" s="1"/>
      <c r="F246" s="5"/>
      <c r="G246" s="3"/>
      <c r="H246" s="4"/>
      <c r="I246" s="5"/>
      <c r="J246" s="6"/>
      <c r="K246" s="7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 spans="1:21" ht="13">
      <c r="A247" s="2"/>
      <c r="B247" s="9"/>
      <c r="C247" s="9"/>
      <c r="D247" s="9"/>
      <c r="E247" s="1"/>
      <c r="F247" s="5"/>
      <c r="G247" s="3"/>
      <c r="H247" s="4"/>
      <c r="I247" s="5"/>
      <c r="J247" s="6"/>
      <c r="K247" s="7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 spans="1:21" ht="13">
      <c r="A248" s="2"/>
      <c r="B248" s="9"/>
      <c r="C248" s="9"/>
      <c r="D248" s="9"/>
      <c r="E248" s="1"/>
      <c r="F248" s="5"/>
      <c r="G248" s="3"/>
      <c r="H248" s="4"/>
      <c r="I248" s="5"/>
      <c r="J248" s="6"/>
      <c r="K248" s="7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 spans="1:21" ht="13">
      <c r="A249" s="2"/>
      <c r="B249" s="9"/>
      <c r="C249" s="9"/>
      <c r="D249" s="9"/>
      <c r="E249" s="1"/>
      <c r="F249" s="5"/>
      <c r="G249" s="3"/>
      <c r="H249" s="4"/>
      <c r="I249" s="5"/>
      <c r="J249" s="6"/>
      <c r="K249" s="7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 spans="1:21" ht="13">
      <c r="A250" s="2"/>
      <c r="B250" s="9"/>
      <c r="C250" s="9"/>
      <c r="D250" s="9"/>
      <c r="E250" s="1"/>
      <c r="F250" s="5"/>
      <c r="G250" s="3"/>
      <c r="H250" s="4"/>
      <c r="I250" s="5"/>
      <c r="J250" s="6"/>
      <c r="K250" s="7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 spans="1:21" ht="13">
      <c r="A251" s="2"/>
      <c r="B251" s="9"/>
      <c r="C251" s="9"/>
      <c r="D251" s="9"/>
      <c r="E251" s="1"/>
      <c r="F251" s="5"/>
      <c r="G251" s="3"/>
      <c r="H251" s="4"/>
      <c r="I251" s="5"/>
      <c r="J251" s="6"/>
      <c r="K251" s="7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 spans="1:21" ht="13">
      <c r="A252" s="2"/>
      <c r="B252" s="9"/>
      <c r="C252" s="9"/>
      <c r="D252" s="9"/>
      <c r="E252" s="1"/>
      <c r="F252" s="5"/>
      <c r="G252" s="3"/>
      <c r="H252" s="4"/>
      <c r="I252" s="5"/>
      <c r="J252" s="6"/>
      <c r="K252" s="7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 spans="1:21" ht="13">
      <c r="A253" s="2"/>
      <c r="B253" s="9"/>
      <c r="C253" s="9"/>
      <c r="D253" s="9"/>
      <c r="E253" s="1"/>
      <c r="F253" s="5"/>
      <c r="G253" s="3"/>
      <c r="H253" s="4"/>
      <c r="I253" s="5"/>
      <c r="J253" s="6"/>
      <c r="K253" s="7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 spans="1:21" ht="13">
      <c r="A254" s="2"/>
      <c r="B254" s="9"/>
      <c r="C254" s="9"/>
      <c r="D254" s="9"/>
      <c r="E254" s="1"/>
      <c r="F254" s="5"/>
      <c r="G254" s="3"/>
      <c r="H254" s="4"/>
      <c r="I254" s="5"/>
      <c r="J254" s="6"/>
      <c r="K254" s="7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 spans="1:21" ht="13">
      <c r="A255" s="2"/>
      <c r="B255" s="9"/>
      <c r="C255" s="9"/>
      <c r="D255" s="9"/>
      <c r="E255" s="1"/>
      <c r="F255" s="5"/>
      <c r="G255" s="3"/>
      <c r="H255" s="4"/>
      <c r="I255" s="5"/>
      <c r="J255" s="6"/>
      <c r="K255" s="7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 spans="1:21" ht="13">
      <c r="A256" s="2"/>
      <c r="B256" s="9"/>
      <c r="C256" s="9"/>
      <c r="D256" s="9"/>
      <c r="E256" s="1"/>
      <c r="F256" s="5"/>
      <c r="G256" s="3"/>
      <c r="H256" s="4"/>
      <c r="I256" s="5"/>
      <c r="J256" s="6"/>
      <c r="K256" s="7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 spans="1:21" ht="13">
      <c r="A257" s="2"/>
      <c r="B257" s="9"/>
      <c r="C257" s="9"/>
      <c r="D257" s="9"/>
      <c r="E257" s="1"/>
      <c r="F257" s="5"/>
      <c r="G257" s="3"/>
      <c r="H257" s="4"/>
      <c r="I257" s="5"/>
      <c r="J257" s="6"/>
      <c r="K257" s="7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 spans="1:21" ht="13">
      <c r="A258" s="2"/>
      <c r="B258" s="9"/>
      <c r="C258" s="9"/>
      <c r="D258" s="9"/>
      <c r="E258" s="1"/>
      <c r="F258" s="5"/>
      <c r="G258" s="3"/>
      <c r="H258" s="4"/>
      <c r="I258" s="5"/>
      <c r="J258" s="6"/>
      <c r="K258" s="7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 spans="1:21" ht="13">
      <c r="A259" s="2"/>
      <c r="B259" s="9"/>
      <c r="C259" s="9"/>
      <c r="D259" s="9"/>
      <c r="E259" s="1"/>
      <c r="F259" s="5"/>
      <c r="G259" s="3"/>
      <c r="H259" s="4"/>
      <c r="I259" s="5"/>
      <c r="J259" s="6"/>
      <c r="K259" s="7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 spans="1:21" ht="13">
      <c r="A260" s="2"/>
      <c r="B260" s="9"/>
      <c r="C260" s="9"/>
      <c r="D260" s="9"/>
      <c r="E260" s="1"/>
      <c r="F260" s="5"/>
      <c r="G260" s="3"/>
      <c r="H260" s="4"/>
      <c r="I260" s="5"/>
      <c r="J260" s="6"/>
      <c r="K260" s="7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 spans="1:21" ht="13">
      <c r="A261" s="2"/>
      <c r="B261" s="9"/>
      <c r="C261" s="9"/>
      <c r="D261" s="9"/>
      <c r="E261" s="1"/>
      <c r="F261" s="5"/>
      <c r="G261" s="3"/>
      <c r="H261" s="4"/>
      <c r="I261" s="5"/>
      <c r="J261" s="6"/>
      <c r="K261" s="7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 spans="1:21" ht="13">
      <c r="A262" s="2"/>
      <c r="B262" s="9"/>
      <c r="C262" s="9"/>
      <c r="D262" s="9"/>
      <c r="E262" s="1"/>
      <c r="F262" s="5"/>
      <c r="G262" s="3"/>
      <c r="H262" s="4"/>
      <c r="I262" s="5"/>
      <c r="J262" s="6"/>
      <c r="K262" s="7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 spans="1:21" ht="13">
      <c r="A263" s="2"/>
      <c r="B263" s="9"/>
      <c r="C263" s="9"/>
      <c r="D263" s="9"/>
      <c r="E263" s="1"/>
      <c r="F263" s="5"/>
      <c r="G263" s="3"/>
      <c r="H263" s="4"/>
      <c r="I263" s="5"/>
      <c r="J263" s="6"/>
      <c r="K263" s="7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 spans="1:21" ht="13">
      <c r="A264" s="2"/>
      <c r="B264" s="9"/>
      <c r="C264" s="9"/>
      <c r="D264" s="9"/>
      <c r="E264" s="1"/>
      <c r="F264" s="5"/>
      <c r="G264" s="3"/>
      <c r="H264" s="4"/>
      <c r="I264" s="5"/>
      <c r="J264" s="6"/>
      <c r="K264" s="7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 spans="1:21" ht="13">
      <c r="A265" s="2"/>
      <c r="B265" s="9"/>
      <c r="C265" s="9"/>
      <c r="D265" s="9"/>
      <c r="E265" s="1"/>
      <c r="F265" s="5"/>
      <c r="G265" s="3"/>
      <c r="H265" s="4"/>
      <c r="I265" s="5"/>
      <c r="J265" s="6"/>
      <c r="K265" s="7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 spans="1:21" ht="13">
      <c r="A266" s="2"/>
      <c r="B266" s="9"/>
      <c r="C266" s="9"/>
      <c r="D266" s="9"/>
      <c r="E266" s="1"/>
      <c r="F266" s="5"/>
      <c r="G266" s="3"/>
      <c r="H266" s="4"/>
      <c r="I266" s="5"/>
      <c r="J266" s="6"/>
      <c r="K266" s="7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 spans="1:21" ht="13">
      <c r="A267" s="2"/>
      <c r="B267" s="9"/>
      <c r="C267" s="9"/>
      <c r="D267" s="9"/>
      <c r="E267" s="1"/>
      <c r="F267" s="5"/>
      <c r="G267" s="3"/>
      <c r="H267" s="4"/>
      <c r="I267" s="5"/>
      <c r="J267" s="6"/>
      <c r="K267" s="7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 spans="1:21" ht="13">
      <c r="A268" s="2"/>
      <c r="B268" s="9"/>
      <c r="C268" s="9"/>
      <c r="D268" s="9"/>
      <c r="E268" s="1"/>
      <c r="F268" s="5"/>
      <c r="G268" s="3"/>
      <c r="H268" s="4"/>
      <c r="I268" s="5"/>
      <c r="J268" s="6"/>
      <c r="K268" s="7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 spans="1:21" ht="13">
      <c r="A269" s="2"/>
      <c r="B269" s="9"/>
      <c r="C269" s="9"/>
      <c r="D269" s="9"/>
      <c r="E269" s="1"/>
      <c r="F269" s="5"/>
      <c r="G269" s="3"/>
      <c r="H269" s="4"/>
      <c r="I269" s="5"/>
      <c r="J269" s="6"/>
      <c r="K269" s="7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 spans="1:21" ht="13">
      <c r="A270" s="2"/>
      <c r="B270" s="9"/>
      <c r="C270" s="9"/>
      <c r="D270" s="9"/>
      <c r="E270" s="1"/>
      <c r="F270" s="5"/>
      <c r="G270" s="3"/>
      <c r="H270" s="4"/>
      <c r="I270" s="5"/>
      <c r="J270" s="6"/>
      <c r="K270" s="7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 spans="1:21" ht="13">
      <c r="A271" s="2"/>
      <c r="B271" s="9"/>
      <c r="C271" s="9"/>
      <c r="D271" s="9"/>
      <c r="E271" s="1"/>
      <c r="F271" s="5"/>
      <c r="G271" s="3"/>
      <c r="H271" s="4"/>
      <c r="I271" s="5"/>
      <c r="J271" s="6"/>
      <c r="K271" s="7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 spans="1:21" ht="13">
      <c r="A272" s="2"/>
      <c r="B272" s="9"/>
      <c r="C272" s="9"/>
      <c r="D272" s="9"/>
      <c r="E272" s="1"/>
      <c r="F272" s="5"/>
      <c r="G272" s="3"/>
      <c r="H272" s="4"/>
      <c r="I272" s="5"/>
      <c r="J272" s="6"/>
      <c r="K272" s="7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 spans="1:21" ht="13">
      <c r="A273" s="2"/>
      <c r="B273" s="9"/>
      <c r="C273" s="9"/>
      <c r="D273" s="9"/>
      <c r="E273" s="1"/>
      <c r="F273" s="5"/>
      <c r="G273" s="3"/>
      <c r="H273" s="4"/>
      <c r="I273" s="5"/>
      <c r="J273" s="6"/>
      <c r="K273" s="7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 spans="1:21" ht="13">
      <c r="A274" s="2"/>
      <c r="B274" s="9"/>
      <c r="C274" s="9"/>
      <c r="D274" s="9"/>
      <c r="E274" s="1"/>
      <c r="F274" s="5"/>
      <c r="G274" s="3"/>
      <c r="H274" s="4"/>
      <c r="I274" s="5"/>
      <c r="J274" s="6"/>
      <c r="K274" s="7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 spans="1:21" ht="13">
      <c r="A275" s="2"/>
      <c r="B275" s="9"/>
      <c r="C275" s="9"/>
      <c r="D275" s="9"/>
      <c r="E275" s="1"/>
      <c r="F275" s="5"/>
      <c r="G275" s="3"/>
      <c r="H275" s="4"/>
      <c r="I275" s="5"/>
      <c r="J275" s="6"/>
      <c r="K275" s="7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 spans="1:21" ht="13">
      <c r="A276" s="2"/>
      <c r="B276" s="9"/>
      <c r="C276" s="9"/>
      <c r="D276" s="9"/>
      <c r="E276" s="1"/>
      <c r="F276" s="5"/>
      <c r="G276" s="3"/>
      <c r="H276" s="4"/>
      <c r="I276" s="5"/>
      <c r="J276" s="6"/>
      <c r="K276" s="7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 spans="1:21" ht="13">
      <c r="A277" s="2"/>
      <c r="B277" s="9"/>
      <c r="C277" s="9"/>
      <c r="D277" s="9"/>
      <c r="E277" s="1"/>
      <c r="F277" s="5"/>
      <c r="G277" s="3"/>
      <c r="H277" s="4"/>
      <c r="I277" s="5"/>
      <c r="J277" s="6"/>
      <c r="K277" s="7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 spans="1:21" ht="13">
      <c r="A278" s="2"/>
      <c r="B278" s="9"/>
      <c r="C278" s="9"/>
      <c r="D278" s="9"/>
      <c r="E278" s="1"/>
      <c r="F278" s="5"/>
      <c r="G278" s="3"/>
      <c r="H278" s="4"/>
      <c r="I278" s="5"/>
      <c r="J278" s="6"/>
      <c r="K278" s="7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 spans="1:21" ht="13">
      <c r="A279" s="2"/>
      <c r="B279" s="9"/>
      <c r="C279" s="9"/>
      <c r="D279" s="9"/>
      <c r="E279" s="1"/>
      <c r="F279" s="5"/>
      <c r="G279" s="3"/>
      <c r="H279" s="4"/>
      <c r="I279" s="5"/>
      <c r="J279" s="6"/>
      <c r="K279" s="7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 spans="1:21" ht="13">
      <c r="A280" s="2"/>
      <c r="B280" s="9"/>
      <c r="C280" s="9"/>
      <c r="D280" s="9"/>
      <c r="E280" s="1"/>
      <c r="F280" s="5"/>
      <c r="G280" s="3"/>
      <c r="H280" s="4"/>
      <c r="I280" s="5"/>
      <c r="J280" s="6"/>
      <c r="K280" s="7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 spans="1:21" ht="13">
      <c r="A281" s="2"/>
      <c r="B281" s="9"/>
      <c r="C281" s="9"/>
      <c r="D281" s="9"/>
      <c r="E281" s="1"/>
      <c r="F281" s="5"/>
      <c r="G281" s="3"/>
      <c r="H281" s="4"/>
      <c r="I281" s="5"/>
      <c r="J281" s="6"/>
      <c r="K281" s="7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 spans="1:21" ht="13">
      <c r="A282" s="2"/>
      <c r="B282" s="9"/>
      <c r="C282" s="9"/>
      <c r="D282" s="9"/>
      <c r="E282" s="1"/>
      <c r="F282" s="5"/>
      <c r="G282" s="3"/>
      <c r="H282" s="4"/>
      <c r="I282" s="5"/>
      <c r="J282" s="6"/>
      <c r="K282" s="7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 spans="1:21" ht="13">
      <c r="A283" s="2"/>
      <c r="B283" s="9"/>
      <c r="C283" s="9"/>
      <c r="D283" s="9"/>
      <c r="E283" s="1"/>
      <c r="F283" s="5"/>
      <c r="G283" s="3"/>
      <c r="H283" s="4"/>
      <c r="I283" s="5"/>
      <c r="J283" s="6"/>
      <c r="K283" s="7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 spans="1:21" ht="13">
      <c r="A284" s="2"/>
      <c r="B284" s="9"/>
      <c r="C284" s="9"/>
      <c r="D284" s="9"/>
      <c r="E284" s="1"/>
      <c r="F284" s="5"/>
      <c r="G284" s="3"/>
      <c r="H284" s="4"/>
      <c r="I284" s="5"/>
      <c r="J284" s="6"/>
      <c r="K284" s="7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 spans="1:21" ht="13">
      <c r="A285" s="2"/>
      <c r="B285" s="9"/>
      <c r="C285" s="9"/>
      <c r="D285" s="9"/>
      <c r="E285" s="1"/>
      <c r="F285" s="5"/>
      <c r="G285" s="3"/>
      <c r="H285" s="4"/>
      <c r="I285" s="5"/>
      <c r="J285" s="6"/>
      <c r="K285" s="7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 spans="1:21" ht="13">
      <c r="A286" s="2"/>
      <c r="B286" s="9"/>
      <c r="C286" s="9"/>
      <c r="D286" s="9"/>
      <c r="E286" s="1"/>
      <c r="F286" s="5"/>
      <c r="G286" s="3"/>
      <c r="H286" s="4"/>
      <c r="I286" s="5"/>
      <c r="J286" s="6"/>
      <c r="K286" s="7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 spans="1:21" ht="13">
      <c r="A287" s="2"/>
      <c r="B287" s="9"/>
      <c r="C287" s="9"/>
      <c r="D287" s="9"/>
      <c r="E287" s="1"/>
      <c r="F287" s="5"/>
      <c r="G287" s="3"/>
      <c r="H287" s="4"/>
      <c r="I287" s="5"/>
      <c r="J287" s="6"/>
      <c r="K287" s="7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 spans="1:21" ht="13">
      <c r="A288" s="2"/>
      <c r="B288" s="9"/>
      <c r="C288" s="9"/>
      <c r="D288" s="9"/>
      <c r="E288" s="1"/>
      <c r="F288" s="5"/>
      <c r="G288" s="3"/>
      <c r="H288" s="4"/>
      <c r="I288" s="5"/>
      <c r="J288" s="6"/>
      <c r="K288" s="7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 spans="1:21" ht="13">
      <c r="A289" s="2"/>
      <c r="B289" s="9"/>
      <c r="C289" s="9"/>
      <c r="D289" s="9"/>
      <c r="E289" s="1"/>
      <c r="F289" s="5"/>
      <c r="G289" s="3"/>
      <c r="H289" s="4"/>
      <c r="I289" s="5"/>
      <c r="J289" s="6"/>
      <c r="K289" s="7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 spans="1:21" ht="13">
      <c r="A290" s="2"/>
      <c r="B290" s="9"/>
      <c r="C290" s="9"/>
      <c r="D290" s="9"/>
      <c r="E290" s="1"/>
      <c r="F290" s="5"/>
      <c r="G290" s="3"/>
      <c r="H290" s="4"/>
      <c r="I290" s="5"/>
      <c r="J290" s="6"/>
      <c r="K290" s="7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 spans="1:21" ht="13">
      <c r="A291" s="2"/>
      <c r="B291" s="9"/>
      <c r="C291" s="9"/>
      <c r="D291" s="9"/>
      <c r="E291" s="1"/>
      <c r="F291" s="5"/>
      <c r="G291" s="3"/>
      <c r="H291" s="4"/>
      <c r="I291" s="5"/>
      <c r="J291" s="6"/>
      <c r="K291" s="7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 spans="1:21" ht="13">
      <c r="A292" s="2"/>
      <c r="B292" s="9"/>
      <c r="C292" s="9"/>
      <c r="D292" s="9"/>
      <c r="E292" s="1"/>
      <c r="F292" s="5"/>
      <c r="G292" s="3"/>
      <c r="H292" s="4"/>
      <c r="I292" s="5"/>
      <c r="J292" s="6"/>
      <c r="K292" s="7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 spans="1:21" ht="13">
      <c r="A293" s="2"/>
      <c r="B293" s="9"/>
      <c r="C293" s="9"/>
      <c r="D293" s="9"/>
      <c r="E293" s="1"/>
      <c r="F293" s="5"/>
      <c r="G293" s="3"/>
      <c r="H293" s="4"/>
      <c r="I293" s="5"/>
      <c r="J293" s="6"/>
      <c r="K293" s="7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 spans="1:21" ht="13">
      <c r="A294" s="2"/>
      <c r="B294" s="9"/>
      <c r="C294" s="9"/>
      <c r="D294" s="9"/>
      <c r="E294" s="1"/>
      <c r="F294" s="5"/>
      <c r="G294" s="3"/>
      <c r="H294" s="4"/>
      <c r="I294" s="5"/>
      <c r="J294" s="6"/>
      <c r="K294" s="7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 spans="1:21" ht="13">
      <c r="A295" s="2"/>
      <c r="B295" s="9"/>
      <c r="C295" s="9"/>
      <c r="D295" s="9"/>
      <c r="E295" s="1"/>
      <c r="F295" s="5"/>
      <c r="G295" s="3"/>
      <c r="H295" s="4"/>
      <c r="I295" s="5"/>
      <c r="J295" s="6"/>
      <c r="K295" s="7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 spans="1:21" ht="13">
      <c r="A296" s="2"/>
      <c r="B296" s="9"/>
      <c r="C296" s="9"/>
      <c r="D296" s="9"/>
      <c r="E296" s="1"/>
      <c r="F296" s="5"/>
      <c r="G296" s="3"/>
      <c r="H296" s="4"/>
      <c r="I296" s="5"/>
      <c r="J296" s="6"/>
      <c r="K296" s="7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 spans="1:21" ht="13">
      <c r="A297" s="2"/>
      <c r="B297" s="9"/>
      <c r="C297" s="9"/>
      <c r="D297" s="9"/>
      <c r="E297" s="1"/>
      <c r="F297" s="5"/>
      <c r="G297" s="3"/>
      <c r="H297" s="4"/>
      <c r="I297" s="5"/>
      <c r="J297" s="6"/>
      <c r="K297" s="7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 spans="1:21" ht="13">
      <c r="A298" s="2"/>
      <c r="B298" s="9"/>
      <c r="C298" s="9"/>
      <c r="D298" s="9"/>
      <c r="E298" s="1"/>
      <c r="F298" s="5"/>
      <c r="G298" s="3"/>
      <c r="H298" s="4"/>
      <c r="I298" s="5"/>
      <c r="J298" s="6"/>
      <c r="K298" s="7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 spans="1:21" ht="13">
      <c r="A299" s="2"/>
      <c r="B299" s="9"/>
      <c r="C299" s="9"/>
      <c r="D299" s="9"/>
      <c r="E299" s="1"/>
      <c r="F299" s="5"/>
      <c r="G299" s="3"/>
      <c r="H299" s="4"/>
      <c r="I299" s="5"/>
      <c r="J299" s="6"/>
      <c r="K299" s="7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 spans="1:21" ht="13">
      <c r="A300" s="2"/>
      <c r="B300" s="9"/>
      <c r="C300" s="9"/>
      <c r="D300" s="9"/>
      <c r="E300" s="1"/>
      <c r="F300" s="5"/>
      <c r="G300" s="3"/>
      <c r="H300" s="4"/>
      <c r="I300" s="5"/>
      <c r="J300" s="6"/>
      <c r="K300" s="7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 spans="1:21" ht="13">
      <c r="A301" s="2"/>
      <c r="B301" s="9"/>
      <c r="C301" s="9"/>
      <c r="D301" s="9"/>
      <c r="E301" s="1"/>
      <c r="F301" s="5"/>
      <c r="G301" s="3"/>
      <c r="H301" s="4"/>
      <c r="I301" s="5"/>
      <c r="J301" s="6"/>
      <c r="K301" s="7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 spans="1:21" ht="13">
      <c r="A302" s="2"/>
      <c r="B302" s="9"/>
      <c r="C302" s="9"/>
      <c r="D302" s="9"/>
      <c r="E302" s="1"/>
      <c r="F302" s="5"/>
      <c r="G302" s="3"/>
      <c r="H302" s="4"/>
      <c r="I302" s="5"/>
      <c r="J302" s="6"/>
      <c r="K302" s="7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 spans="1:21" ht="13">
      <c r="A303" s="2"/>
      <c r="B303" s="9"/>
      <c r="C303" s="9"/>
      <c r="D303" s="9"/>
      <c r="E303" s="1"/>
      <c r="F303" s="5"/>
      <c r="G303" s="3"/>
      <c r="H303" s="4"/>
      <c r="I303" s="5"/>
      <c r="J303" s="6"/>
      <c r="K303" s="7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 spans="1:21" ht="13">
      <c r="A304" s="2"/>
      <c r="B304" s="9"/>
      <c r="C304" s="9"/>
      <c r="D304" s="9"/>
      <c r="E304" s="1"/>
      <c r="F304" s="5"/>
      <c r="G304" s="3"/>
      <c r="H304" s="4"/>
      <c r="I304" s="5"/>
      <c r="J304" s="6"/>
      <c r="K304" s="7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 spans="1:21" ht="13">
      <c r="A305" s="2"/>
      <c r="B305" s="9"/>
      <c r="C305" s="9"/>
      <c r="D305" s="9"/>
      <c r="E305" s="1"/>
      <c r="F305" s="5"/>
      <c r="G305" s="3"/>
      <c r="H305" s="4"/>
      <c r="I305" s="5"/>
      <c r="J305" s="6"/>
      <c r="K305" s="7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 spans="1:21" ht="13">
      <c r="A306" s="2"/>
      <c r="B306" s="9"/>
      <c r="C306" s="9"/>
      <c r="D306" s="9"/>
      <c r="E306" s="1"/>
      <c r="F306" s="5"/>
      <c r="G306" s="3"/>
      <c r="H306" s="4"/>
      <c r="I306" s="5"/>
      <c r="J306" s="6"/>
      <c r="K306" s="7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 spans="1:21" ht="13">
      <c r="A307" s="2"/>
      <c r="B307" s="9"/>
      <c r="C307" s="9"/>
      <c r="D307" s="9"/>
      <c r="E307" s="1"/>
      <c r="F307" s="5"/>
      <c r="G307" s="3"/>
      <c r="H307" s="4"/>
      <c r="I307" s="5"/>
      <c r="J307" s="6"/>
      <c r="K307" s="7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 spans="1:21" ht="13">
      <c r="A308" s="2"/>
      <c r="B308" s="9"/>
      <c r="C308" s="9"/>
      <c r="D308" s="9"/>
      <c r="E308" s="1"/>
      <c r="F308" s="5"/>
      <c r="G308" s="3"/>
      <c r="H308" s="4"/>
      <c r="I308" s="5"/>
      <c r="J308" s="6"/>
      <c r="K308" s="7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 spans="1:21" ht="13">
      <c r="A309" s="2"/>
      <c r="B309" s="9"/>
      <c r="C309" s="9"/>
      <c r="D309" s="9"/>
      <c r="E309" s="1"/>
      <c r="F309" s="5"/>
      <c r="G309" s="3"/>
      <c r="H309" s="4"/>
      <c r="I309" s="5"/>
      <c r="J309" s="6"/>
      <c r="K309" s="7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 spans="1:21" ht="13">
      <c r="A310" s="2"/>
      <c r="B310" s="9"/>
      <c r="C310" s="9"/>
      <c r="D310" s="9"/>
      <c r="E310" s="1"/>
      <c r="F310" s="5"/>
      <c r="G310" s="3"/>
      <c r="H310" s="4"/>
      <c r="I310" s="5"/>
      <c r="J310" s="6"/>
      <c r="K310" s="7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 spans="1:21" ht="13">
      <c r="A311" s="2"/>
      <c r="B311" s="9"/>
      <c r="C311" s="9"/>
      <c r="D311" s="9"/>
      <c r="E311" s="1"/>
      <c r="F311" s="5"/>
      <c r="G311" s="3"/>
      <c r="H311" s="4"/>
      <c r="I311" s="5"/>
      <c r="J311" s="6"/>
      <c r="K311" s="7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 spans="1:21" ht="13">
      <c r="A312" s="2"/>
      <c r="B312" s="9"/>
      <c r="C312" s="9"/>
      <c r="D312" s="9"/>
      <c r="E312" s="1"/>
      <c r="F312" s="5"/>
      <c r="G312" s="3"/>
      <c r="H312" s="4"/>
      <c r="I312" s="5"/>
      <c r="J312" s="6"/>
      <c r="K312" s="7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 spans="1:21" ht="13">
      <c r="A313" s="2"/>
      <c r="B313" s="9"/>
      <c r="C313" s="9"/>
      <c r="D313" s="9"/>
      <c r="E313" s="1"/>
      <c r="F313" s="5"/>
      <c r="G313" s="3"/>
      <c r="H313" s="4"/>
      <c r="I313" s="5"/>
      <c r="J313" s="6"/>
      <c r="K313" s="7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 spans="1:21" ht="13">
      <c r="A314" s="2"/>
      <c r="B314" s="9"/>
      <c r="C314" s="9"/>
      <c r="D314" s="9"/>
      <c r="E314" s="1"/>
      <c r="F314" s="5"/>
      <c r="G314" s="3"/>
      <c r="H314" s="4"/>
      <c r="I314" s="5"/>
      <c r="J314" s="6"/>
      <c r="K314" s="7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 spans="1:21" ht="13">
      <c r="A315" s="2"/>
      <c r="B315" s="9"/>
      <c r="C315" s="9"/>
      <c r="D315" s="9"/>
      <c r="E315" s="1"/>
      <c r="F315" s="5"/>
      <c r="G315" s="3"/>
      <c r="H315" s="4"/>
      <c r="I315" s="5"/>
      <c r="J315" s="6"/>
      <c r="K315" s="7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 spans="1:21" ht="13">
      <c r="A316" s="2"/>
      <c r="B316" s="9"/>
      <c r="C316" s="9"/>
      <c r="D316" s="9"/>
      <c r="E316" s="1"/>
      <c r="F316" s="5"/>
      <c r="G316" s="3"/>
      <c r="H316" s="4"/>
      <c r="I316" s="5"/>
      <c r="J316" s="6"/>
      <c r="K316" s="7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 spans="1:21" ht="13">
      <c r="A317" s="2"/>
      <c r="B317" s="9"/>
      <c r="C317" s="9"/>
      <c r="D317" s="9"/>
      <c r="E317" s="1"/>
      <c r="F317" s="5"/>
      <c r="G317" s="3"/>
      <c r="H317" s="4"/>
      <c r="I317" s="5"/>
      <c r="J317" s="6"/>
      <c r="K317" s="7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spans="1:21" ht="13">
      <c r="A318" s="2"/>
      <c r="B318" s="9"/>
      <c r="C318" s="9"/>
      <c r="D318" s="9"/>
      <c r="E318" s="1"/>
      <c r="F318" s="5"/>
      <c r="G318" s="3"/>
      <c r="H318" s="4"/>
      <c r="I318" s="5"/>
      <c r="J318" s="6"/>
      <c r="K318" s="7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 spans="1:21" ht="13">
      <c r="A319" s="2"/>
      <c r="B319" s="9"/>
      <c r="C319" s="9"/>
      <c r="D319" s="9"/>
      <c r="E319" s="1"/>
      <c r="F319" s="5"/>
      <c r="G319" s="3"/>
      <c r="H319" s="4"/>
      <c r="I319" s="5"/>
      <c r="J319" s="6"/>
      <c r="K319" s="7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 spans="1:21" ht="13">
      <c r="A320" s="2"/>
      <c r="B320" s="9"/>
      <c r="C320" s="9"/>
      <c r="D320" s="9"/>
      <c r="E320" s="1"/>
      <c r="F320" s="5"/>
      <c r="G320" s="3"/>
      <c r="H320" s="4"/>
      <c r="I320" s="5"/>
      <c r="J320" s="6"/>
      <c r="K320" s="7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 spans="1:21" ht="13">
      <c r="A321" s="2"/>
      <c r="B321" s="9"/>
      <c r="C321" s="9"/>
      <c r="D321" s="9"/>
      <c r="E321" s="1"/>
      <c r="F321" s="5"/>
      <c r="G321" s="3"/>
      <c r="H321" s="4"/>
      <c r="I321" s="5"/>
      <c r="J321" s="6"/>
      <c r="K321" s="7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 spans="1:21" ht="13">
      <c r="A322" s="2"/>
      <c r="B322" s="9"/>
      <c r="C322" s="9"/>
      <c r="D322" s="9"/>
      <c r="E322" s="1"/>
      <c r="F322" s="5"/>
      <c r="G322" s="3"/>
      <c r="H322" s="4"/>
      <c r="I322" s="5"/>
      <c r="J322" s="6"/>
      <c r="K322" s="7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 spans="1:21" ht="13">
      <c r="A323" s="2"/>
      <c r="B323" s="9"/>
      <c r="C323" s="9"/>
      <c r="D323" s="9"/>
      <c r="E323" s="1"/>
      <c r="F323" s="5"/>
      <c r="G323" s="3"/>
      <c r="H323" s="4"/>
      <c r="I323" s="5"/>
      <c r="J323" s="6"/>
      <c r="K323" s="7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 spans="1:21" ht="13">
      <c r="A324" s="2"/>
      <c r="B324" s="9"/>
      <c r="C324" s="9"/>
      <c r="D324" s="9"/>
      <c r="E324" s="1"/>
      <c r="F324" s="5"/>
      <c r="G324" s="3"/>
      <c r="H324" s="4"/>
      <c r="I324" s="5"/>
      <c r="J324" s="6"/>
      <c r="K324" s="7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 spans="1:21" ht="13">
      <c r="A325" s="2"/>
      <c r="B325" s="9"/>
      <c r="C325" s="9"/>
      <c r="D325" s="9"/>
      <c r="E325" s="1"/>
      <c r="F325" s="5"/>
      <c r="G325" s="3"/>
      <c r="H325" s="4"/>
      <c r="I325" s="5"/>
      <c r="J325" s="6"/>
      <c r="K325" s="7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 spans="1:21" ht="13">
      <c r="A326" s="2"/>
      <c r="B326" s="9"/>
      <c r="C326" s="9"/>
      <c r="D326" s="9"/>
      <c r="E326" s="1"/>
      <c r="F326" s="5"/>
      <c r="G326" s="3"/>
      <c r="H326" s="4"/>
      <c r="I326" s="5"/>
      <c r="J326" s="6"/>
      <c r="K326" s="7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 spans="1:21" ht="13">
      <c r="A327" s="2"/>
      <c r="B327" s="9"/>
      <c r="C327" s="9"/>
      <c r="D327" s="9"/>
      <c r="E327" s="1"/>
      <c r="F327" s="5"/>
      <c r="G327" s="3"/>
      <c r="H327" s="4"/>
      <c r="I327" s="5"/>
      <c r="J327" s="6"/>
      <c r="K327" s="7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 spans="1:21" ht="13">
      <c r="A328" s="2"/>
      <c r="B328" s="9"/>
      <c r="C328" s="9"/>
      <c r="D328" s="9"/>
      <c r="E328" s="1"/>
      <c r="F328" s="5"/>
      <c r="G328" s="3"/>
      <c r="H328" s="4"/>
      <c r="I328" s="5"/>
      <c r="J328" s="6"/>
      <c r="K328" s="7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 spans="1:21" ht="13">
      <c r="A329" s="2"/>
      <c r="B329" s="9"/>
      <c r="C329" s="9"/>
      <c r="D329" s="9"/>
      <c r="E329" s="1"/>
      <c r="F329" s="5"/>
      <c r="G329" s="3"/>
      <c r="H329" s="4"/>
      <c r="I329" s="5"/>
      <c r="J329" s="6"/>
      <c r="K329" s="7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 spans="1:21" ht="13">
      <c r="A330" s="2"/>
      <c r="B330" s="9"/>
      <c r="C330" s="9"/>
      <c r="D330" s="9"/>
      <c r="E330" s="1"/>
      <c r="F330" s="5"/>
      <c r="G330" s="3"/>
      <c r="H330" s="4"/>
      <c r="I330" s="5"/>
      <c r="J330" s="6"/>
      <c r="K330" s="7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 spans="1:21" ht="13">
      <c r="A331" s="2"/>
      <c r="B331" s="9"/>
      <c r="C331" s="9"/>
      <c r="D331" s="9"/>
      <c r="E331" s="1"/>
      <c r="F331" s="5"/>
      <c r="G331" s="3"/>
      <c r="H331" s="4"/>
      <c r="I331" s="5"/>
      <c r="J331" s="6"/>
      <c r="K331" s="7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 spans="1:21" ht="13">
      <c r="A332" s="2"/>
      <c r="B332" s="9"/>
      <c r="C332" s="9"/>
      <c r="D332" s="9"/>
      <c r="E332" s="1"/>
      <c r="F332" s="5"/>
      <c r="G332" s="3"/>
      <c r="H332" s="4"/>
      <c r="I332" s="5"/>
      <c r="J332" s="6"/>
      <c r="K332" s="7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 spans="1:21" ht="13">
      <c r="A333" s="2"/>
      <c r="B333" s="9"/>
      <c r="C333" s="9"/>
      <c r="D333" s="9"/>
      <c r="E333" s="1"/>
      <c r="F333" s="5"/>
      <c r="G333" s="3"/>
      <c r="H333" s="4"/>
      <c r="I333" s="5"/>
      <c r="J333" s="6"/>
      <c r="K333" s="7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 spans="1:21" ht="13">
      <c r="A334" s="2"/>
      <c r="B334" s="9"/>
      <c r="C334" s="9"/>
      <c r="D334" s="9"/>
      <c r="E334" s="1"/>
      <c r="F334" s="5"/>
      <c r="G334" s="3"/>
      <c r="H334" s="4"/>
      <c r="I334" s="5"/>
      <c r="J334" s="6"/>
      <c r="K334" s="7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 spans="1:21" ht="13">
      <c r="A335" s="2"/>
      <c r="B335" s="9"/>
      <c r="C335" s="9"/>
      <c r="D335" s="9"/>
      <c r="E335" s="1"/>
      <c r="F335" s="5"/>
      <c r="G335" s="3"/>
      <c r="H335" s="4"/>
      <c r="I335" s="5"/>
      <c r="J335" s="6"/>
      <c r="K335" s="7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 spans="1:21" ht="13">
      <c r="A336" s="2"/>
      <c r="B336" s="9"/>
      <c r="C336" s="9"/>
      <c r="D336" s="9"/>
      <c r="E336" s="1"/>
      <c r="F336" s="5"/>
      <c r="G336" s="3"/>
      <c r="H336" s="4"/>
      <c r="I336" s="5"/>
      <c r="J336" s="6"/>
      <c r="K336" s="7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 spans="1:21" ht="13">
      <c r="A337" s="2"/>
      <c r="B337" s="9"/>
      <c r="C337" s="9"/>
      <c r="D337" s="9"/>
      <c r="E337" s="1"/>
      <c r="F337" s="5"/>
      <c r="G337" s="3"/>
      <c r="H337" s="4"/>
      <c r="I337" s="5"/>
      <c r="J337" s="6"/>
      <c r="K337" s="7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 spans="1:21" ht="13">
      <c r="A338" s="2"/>
      <c r="B338" s="9"/>
      <c r="C338" s="9"/>
      <c r="D338" s="9"/>
      <c r="E338" s="1"/>
      <c r="F338" s="5"/>
      <c r="G338" s="3"/>
      <c r="H338" s="4"/>
      <c r="I338" s="5"/>
      <c r="J338" s="6"/>
      <c r="K338" s="7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 spans="1:21" ht="13">
      <c r="A339" s="2"/>
      <c r="B339" s="9"/>
      <c r="C339" s="9"/>
      <c r="D339" s="9"/>
      <c r="E339" s="1"/>
      <c r="F339" s="5"/>
      <c r="G339" s="3"/>
      <c r="H339" s="4"/>
      <c r="I339" s="5"/>
      <c r="J339" s="6"/>
      <c r="K339" s="7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 spans="1:21" ht="13">
      <c r="A340" s="2"/>
      <c r="B340" s="9"/>
      <c r="C340" s="9"/>
      <c r="D340" s="9"/>
      <c r="E340" s="1"/>
      <c r="F340" s="5"/>
      <c r="G340" s="3"/>
      <c r="H340" s="4"/>
      <c r="I340" s="5"/>
      <c r="J340" s="6"/>
      <c r="K340" s="7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 spans="1:21" ht="13">
      <c r="A341" s="2"/>
      <c r="B341" s="9"/>
      <c r="C341" s="9"/>
      <c r="D341" s="9"/>
      <c r="E341" s="1"/>
      <c r="F341" s="5"/>
      <c r="G341" s="3"/>
      <c r="H341" s="4"/>
      <c r="I341" s="5"/>
      <c r="J341" s="6"/>
      <c r="K341" s="7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 spans="1:21" ht="13">
      <c r="A342" s="2"/>
      <c r="B342" s="9"/>
      <c r="C342" s="9"/>
      <c r="D342" s="9"/>
      <c r="E342" s="1"/>
      <c r="F342" s="5"/>
      <c r="G342" s="3"/>
      <c r="H342" s="4"/>
      <c r="I342" s="5"/>
      <c r="J342" s="6"/>
      <c r="K342" s="7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 spans="1:21" ht="13">
      <c r="A343" s="2"/>
      <c r="B343" s="9"/>
      <c r="C343" s="9"/>
      <c r="D343" s="9"/>
      <c r="E343" s="1"/>
      <c r="F343" s="5"/>
      <c r="G343" s="3"/>
      <c r="H343" s="4"/>
      <c r="I343" s="5"/>
      <c r="J343" s="6"/>
      <c r="K343" s="7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 spans="1:21" ht="13">
      <c r="A344" s="2"/>
      <c r="B344" s="9"/>
      <c r="C344" s="9"/>
      <c r="D344" s="9"/>
      <c r="E344" s="1"/>
      <c r="F344" s="5"/>
      <c r="G344" s="3"/>
      <c r="H344" s="4"/>
      <c r="I344" s="5"/>
      <c r="J344" s="6"/>
      <c r="K344" s="7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 spans="1:21" ht="13">
      <c r="A345" s="2"/>
      <c r="B345" s="9"/>
      <c r="C345" s="9"/>
      <c r="D345" s="9"/>
      <c r="E345" s="1"/>
      <c r="F345" s="5"/>
      <c r="G345" s="3"/>
      <c r="H345" s="4"/>
      <c r="I345" s="5"/>
      <c r="J345" s="6"/>
      <c r="K345" s="7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 spans="1:21" ht="13">
      <c r="A346" s="2"/>
      <c r="B346" s="9"/>
      <c r="C346" s="9"/>
      <c r="D346" s="9"/>
      <c r="E346" s="1"/>
      <c r="F346" s="5"/>
      <c r="G346" s="3"/>
      <c r="H346" s="4"/>
      <c r="I346" s="5"/>
      <c r="J346" s="6"/>
      <c r="K346" s="7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 spans="1:21" ht="13">
      <c r="A347" s="2"/>
      <c r="B347" s="9"/>
      <c r="C347" s="9"/>
      <c r="D347" s="9"/>
      <c r="E347" s="1"/>
      <c r="F347" s="5"/>
      <c r="G347" s="3"/>
      <c r="H347" s="4"/>
      <c r="I347" s="5"/>
      <c r="J347" s="6"/>
      <c r="K347" s="7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 spans="1:21" ht="13">
      <c r="A348" s="2"/>
      <c r="B348" s="9"/>
      <c r="C348" s="9"/>
      <c r="D348" s="9"/>
      <c r="E348" s="1"/>
      <c r="F348" s="5"/>
      <c r="G348" s="3"/>
      <c r="H348" s="4"/>
      <c r="I348" s="5"/>
      <c r="J348" s="6"/>
      <c r="K348" s="7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 spans="1:21" ht="13">
      <c r="A349" s="2"/>
      <c r="B349" s="9"/>
      <c r="C349" s="9"/>
      <c r="D349" s="9"/>
      <c r="E349" s="1"/>
      <c r="F349" s="5"/>
      <c r="G349" s="3"/>
      <c r="H349" s="4"/>
      <c r="I349" s="5"/>
      <c r="J349" s="6"/>
      <c r="K349" s="7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 spans="1:21" ht="13">
      <c r="A350" s="2"/>
      <c r="B350" s="9"/>
      <c r="C350" s="9"/>
      <c r="D350" s="9"/>
      <c r="E350" s="1"/>
      <c r="F350" s="5"/>
      <c r="G350" s="3"/>
      <c r="H350" s="4"/>
      <c r="I350" s="5"/>
      <c r="J350" s="6"/>
      <c r="K350" s="7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 spans="1:21" ht="13">
      <c r="A351" s="2"/>
      <c r="B351" s="9"/>
      <c r="C351" s="9"/>
      <c r="D351" s="9"/>
      <c r="E351" s="1"/>
      <c r="F351" s="5"/>
      <c r="G351" s="3"/>
      <c r="H351" s="4"/>
      <c r="I351" s="5"/>
      <c r="J351" s="6"/>
      <c r="K351" s="7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 spans="1:21" ht="13">
      <c r="A352" s="2"/>
      <c r="B352" s="9"/>
      <c r="C352" s="9"/>
      <c r="D352" s="9"/>
      <c r="E352" s="1"/>
      <c r="F352" s="5"/>
      <c r="G352" s="3"/>
      <c r="H352" s="4"/>
      <c r="I352" s="5"/>
      <c r="J352" s="6"/>
      <c r="K352" s="7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 spans="1:21" ht="13">
      <c r="A353" s="2"/>
      <c r="B353" s="9"/>
      <c r="C353" s="9"/>
      <c r="D353" s="9"/>
      <c r="E353" s="1"/>
      <c r="F353" s="5"/>
      <c r="G353" s="3"/>
      <c r="H353" s="4"/>
      <c r="I353" s="5"/>
      <c r="J353" s="6"/>
      <c r="K353" s="7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 spans="1:21" ht="13">
      <c r="A354" s="2"/>
      <c r="B354" s="9"/>
      <c r="C354" s="9"/>
      <c r="D354" s="9"/>
      <c r="E354" s="1"/>
      <c r="F354" s="5"/>
      <c r="G354" s="3"/>
      <c r="H354" s="4"/>
      <c r="I354" s="5"/>
      <c r="J354" s="6"/>
      <c r="K354" s="7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 spans="1:21" ht="13">
      <c r="A355" s="2"/>
      <c r="B355" s="9"/>
      <c r="C355" s="9"/>
      <c r="D355" s="9"/>
      <c r="E355" s="1"/>
      <c r="F355" s="5"/>
      <c r="G355" s="3"/>
      <c r="H355" s="4"/>
      <c r="I355" s="5"/>
      <c r="J355" s="6"/>
      <c r="K355" s="7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 spans="1:21" ht="13">
      <c r="A356" s="2"/>
      <c r="B356" s="9"/>
      <c r="C356" s="9"/>
      <c r="D356" s="9"/>
      <c r="E356" s="1"/>
      <c r="F356" s="5"/>
      <c r="G356" s="3"/>
      <c r="H356" s="4"/>
      <c r="I356" s="5"/>
      <c r="J356" s="6"/>
      <c r="K356" s="7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 spans="1:21" ht="13">
      <c r="A357" s="2"/>
      <c r="B357" s="9"/>
      <c r="C357" s="9"/>
      <c r="D357" s="9"/>
      <c r="E357" s="1"/>
      <c r="F357" s="5"/>
      <c r="G357" s="3"/>
      <c r="H357" s="4"/>
      <c r="I357" s="5"/>
      <c r="J357" s="6"/>
      <c r="K357" s="7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 spans="1:21" ht="13">
      <c r="A358" s="2"/>
      <c r="B358" s="9"/>
      <c r="C358" s="9"/>
      <c r="D358" s="9"/>
      <c r="E358" s="1"/>
      <c r="F358" s="5"/>
      <c r="G358" s="3"/>
      <c r="H358" s="4"/>
      <c r="I358" s="5"/>
      <c r="J358" s="6"/>
      <c r="K358" s="7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 spans="1:21" ht="13">
      <c r="A359" s="2"/>
      <c r="B359" s="9"/>
      <c r="C359" s="9"/>
      <c r="D359" s="9"/>
      <c r="E359" s="1"/>
      <c r="F359" s="5"/>
      <c r="G359" s="3"/>
      <c r="H359" s="4"/>
      <c r="I359" s="5"/>
      <c r="J359" s="6"/>
      <c r="K359" s="7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 spans="1:21" ht="13">
      <c r="A360" s="2"/>
      <c r="B360" s="9"/>
      <c r="C360" s="9"/>
      <c r="D360" s="9"/>
      <c r="E360" s="1"/>
      <c r="F360" s="5"/>
      <c r="G360" s="3"/>
      <c r="H360" s="4"/>
      <c r="I360" s="5"/>
      <c r="J360" s="6"/>
      <c r="K360" s="7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 spans="1:21" ht="13">
      <c r="A361" s="2"/>
      <c r="B361" s="9"/>
      <c r="C361" s="9"/>
      <c r="D361" s="9"/>
      <c r="E361" s="1"/>
      <c r="F361" s="5"/>
      <c r="G361" s="3"/>
      <c r="H361" s="4"/>
      <c r="I361" s="5"/>
      <c r="J361" s="6"/>
      <c r="K361" s="7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 spans="1:21" ht="13">
      <c r="A362" s="2"/>
      <c r="B362" s="9"/>
      <c r="C362" s="9"/>
      <c r="D362" s="9"/>
      <c r="E362" s="1"/>
      <c r="F362" s="5"/>
      <c r="G362" s="3"/>
      <c r="H362" s="4"/>
      <c r="I362" s="5"/>
      <c r="J362" s="6"/>
      <c r="K362" s="7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 spans="1:21" ht="13">
      <c r="A363" s="2"/>
      <c r="B363" s="9"/>
      <c r="C363" s="9"/>
      <c r="D363" s="9"/>
      <c r="E363" s="1"/>
      <c r="F363" s="5"/>
      <c r="G363" s="3"/>
      <c r="H363" s="4"/>
      <c r="I363" s="5"/>
      <c r="J363" s="6"/>
      <c r="K363" s="7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 spans="1:21" ht="13">
      <c r="A364" s="2"/>
      <c r="B364" s="9"/>
      <c r="C364" s="9"/>
      <c r="D364" s="9"/>
      <c r="E364" s="1"/>
      <c r="F364" s="5"/>
      <c r="G364" s="3"/>
      <c r="H364" s="4"/>
      <c r="I364" s="5"/>
      <c r="J364" s="6"/>
      <c r="K364" s="7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 spans="1:21" ht="13">
      <c r="A365" s="2"/>
      <c r="B365" s="9"/>
      <c r="C365" s="9"/>
      <c r="D365" s="9"/>
      <c r="E365" s="1"/>
      <c r="F365" s="5"/>
      <c r="G365" s="3"/>
      <c r="H365" s="4"/>
      <c r="I365" s="5"/>
      <c r="J365" s="6"/>
      <c r="K365" s="7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 spans="1:21" ht="13">
      <c r="A366" s="2"/>
      <c r="B366" s="9"/>
      <c r="C366" s="9"/>
      <c r="D366" s="9"/>
      <c r="E366" s="1"/>
      <c r="F366" s="5"/>
      <c r="G366" s="3"/>
      <c r="H366" s="4"/>
      <c r="I366" s="5"/>
      <c r="J366" s="6"/>
      <c r="K366" s="7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 spans="1:21" ht="13">
      <c r="A367" s="2"/>
      <c r="B367" s="9"/>
      <c r="C367" s="9"/>
      <c r="D367" s="9"/>
      <c r="E367" s="1"/>
      <c r="F367" s="5"/>
      <c r="G367" s="3"/>
      <c r="H367" s="4"/>
      <c r="I367" s="5"/>
      <c r="J367" s="6"/>
      <c r="K367" s="7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 spans="1:21" ht="13">
      <c r="A368" s="2"/>
      <c r="B368" s="9"/>
      <c r="C368" s="9"/>
      <c r="D368" s="9"/>
      <c r="E368" s="1"/>
      <c r="F368" s="5"/>
      <c r="G368" s="3"/>
      <c r="H368" s="4"/>
      <c r="I368" s="5"/>
      <c r="J368" s="6"/>
      <c r="K368" s="7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 spans="1:21" ht="13">
      <c r="A369" s="2"/>
      <c r="B369" s="9"/>
      <c r="C369" s="9"/>
      <c r="D369" s="9"/>
      <c r="E369" s="1"/>
      <c r="F369" s="5"/>
      <c r="G369" s="3"/>
      <c r="H369" s="4"/>
      <c r="I369" s="5"/>
      <c r="J369" s="6"/>
      <c r="K369" s="7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 spans="1:21" ht="13">
      <c r="A370" s="2"/>
      <c r="B370" s="9"/>
      <c r="C370" s="9"/>
      <c r="D370" s="9"/>
      <c r="E370" s="1"/>
      <c r="F370" s="5"/>
      <c r="G370" s="3"/>
      <c r="H370" s="4"/>
      <c r="I370" s="5"/>
      <c r="J370" s="6"/>
      <c r="K370" s="7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 spans="1:21" ht="13">
      <c r="A371" s="2"/>
      <c r="B371" s="9"/>
      <c r="C371" s="9"/>
      <c r="D371" s="9"/>
      <c r="E371" s="1"/>
      <c r="F371" s="5"/>
      <c r="G371" s="3"/>
      <c r="H371" s="4"/>
      <c r="I371" s="5"/>
      <c r="J371" s="6"/>
      <c r="K371" s="7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 spans="1:21" ht="13">
      <c r="A372" s="2"/>
      <c r="B372" s="9"/>
      <c r="C372" s="9"/>
      <c r="D372" s="9"/>
      <c r="E372" s="1"/>
      <c r="F372" s="5"/>
      <c r="G372" s="3"/>
      <c r="H372" s="4"/>
      <c r="I372" s="5"/>
      <c r="J372" s="6"/>
      <c r="K372" s="7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 spans="1:21" ht="13">
      <c r="A373" s="2"/>
      <c r="B373" s="9"/>
      <c r="C373" s="9"/>
      <c r="D373" s="9"/>
      <c r="E373" s="1"/>
      <c r="F373" s="5"/>
      <c r="G373" s="3"/>
      <c r="H373" s="4"/>
      <c r="I373" s="5"/>
      <c r="J373" s="6"/>
      <c r="K373" s="7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 spans="1:21" ht="13">
      <c r="A374" s="2"/>
      <c r="B374" s="9"/>
      <c r="C374" s="9"/>
      <c r="D374" s="9"/>
      <c r="E374" s="1"/>
      <c r="F374" s="5"/>
      <c r="G374" s="3"/>
      <c r="H374" s="4"/>
      <c r="I374" s="5"/>
      <c r="J374" s="6"/>
      <c r="K374" s="7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 spans="1:21" ht="13">
      <c r="A375" s="2"/>
      <c r="B375" s="9"/>
      <c r="C375" s="9"/>
      <c r="D375" s="9"/>
      <c r="E375" s="1"/>
      <c r="F375" s="5"/>
      <c r="G375" s="3"/>
      <c r="H375" s="4"/>
      <c r="I375" s="5"/>
      <c r="J375" s="6"/>
      <c r="K375" s="7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 spans="1:21" ht="13">
      <c r="A376" s="2"/>
      <c r="B376" s="9"/>
      <c r="C376" s="9"/>
      <c r="D376" s="9"/>
      <c r="E376" s="1"/>
      <c r="F376" s="5"/>
      <c r="G376" s="3"/>
      <c r="H376" s="4"/>
      <c r="I376" s="5"/>
      <c r="J376" s="6"/>
      <c r="K376" s="7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 spans="1:21" ht="13">
      <c r="A377" s="2"/>
      <c r="B377" s="9"/>
      <c r="C377" s="9"/>
      <c r="D377" s="9"/>
      <c r="E377" s="1"/>
      <c r="F377" s="5"/>
      <c r="G377" s="3"/>
      <c r="H377" s="4"/>
      <c r="I377" s="5"/>
      <c r="J377" s="6"/>
      <c r="K377" s="7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 spans="1:21" ht="13">
      <c r="A378" s="2"/>
      <c r="B378" s="9"/>
      <c r="C378" s="9"/>
      <c r="D378" s="9"/>
      <c r="E378" s="1"/>
      <c r="F378" s="5"/>
      <c r="G378" s="3"/>
      <c r="H378" s="4"/>
      <c r="I378" s="5"/>
      <c r="J378" s="6"/>
      <c r="K378" s="7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 spans="1:21" ht="13">
      <c r="A379" s="2"/>
      <c r="B379" s="9"/>
      <c r="C379" s="9"/>
      <c r="D379" s="9"/>
      <c r="E379" s="1"/>
      <c r="F379" s="5"/>
      <c r="G379" s="3"/>
      <c r="H379" s="4"/>
      <c r="I379" s="5"/>
      <c r="J379" s="6"/>
      <c r="K379" s="7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 spans="1:21" ht="13">
      <c r="A380" s="2"/>
      <c r="B380" s="9"/>
      <c r="C380" s="9"/>
      <c r="D380" s="9"/>
      <c r="E380" s="1"/>
      <c r="F380" s="5"/>
      <c r="G380" s="3"/>
      <c r="H380" s="4"/>
      <c r="I380" s="5"/>
      <c r="J380" s="6"/>
      <c r="K380" s="7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 spans="1:21" ht="13">
      <c r="A381" s="2"/>
      <c r="B381" s="9"/>
      <c r="C381" s="9"/>
      <c r="D381" s="9"/>
      <c r="E381" s="1"/>
      <c r="F381" s="5"/>
      <c r="G381" s="3"/>
      <c r="H381" s="4"/>
      <c r="I381" s="5"/>
      <c r="J381" s="6"/>
      <c r="K381" s="7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 spans="1:21" ht="13">
      <c r="A382" s="2"/>
      <c r="B382" s="9"/>
      <c r="C382" s="9"/>
      <c r="D382" s="9"/>
      <c r="E382" s="1"/>
      <c r="F382" s="5"/>
      <c r="G382" s="3"/>
      <c r="H382" s="4"/>
      <c r="I382" s="5"/>
      <c r="J382" s="6"/>
      <c r="K382" s="7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 spans="1:21" ht="13">
      <c r="A383" s="2"/>
      <c r="B383" s="9"/>
      <c r="C383" s="9"/>
      <c r="D383" s="9"/>
      <c r="E383" s="1"/>
      <c r="F383" s="5"/>
      <c r="G383" s="3"/>
      <c r="H383" s="4"/>
      <c r="I383" s="5"/>
      <c r="J383" s="6"/>
      <c r="K383" s="7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 spans="1:21" ht="13">
      <c r="A384" s="2"/>
      <c r="B384" s="9"/>
      <c r="C384" s="9"/>
      <c r="D384" s="9"/>
      <c r="E384" s="1"/>
      <c r="F384" s="5"/>
      <c r="G384" s="3"/>
      <c r="H384" s="4"/>
      <c r="I384" s="5"/>
      <c r="J384" s="6"/>
      <c r="K384" s="7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 spans="1:21" ht="13">
      <c r="A385" s="2"/>
      <c r="B385" s="9"/>
      <c r="C385" s="9"/>
      <c r="D385" s="9"/>
      <c r="E385" s="1"/>
      <c r="F385" s="5"/>
      <c r="G385" s="3"/>
      <c r="H385" s="4"/>
      <c r="I385" s="5"/>
      <c r="J385" s="6"/>
      <c r="K385" s="7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 spans="1:21" ht="13">
      <c r="A386" s="2"/>
      <c r="B386" s="9"/>
      <c r="C386" s="9"/>
      <c r="D386" s="9"/>
      <c r="E386" s="1"/>
      <c r="F386" s="5"/>
      <c r="G386" s="3"/>
      <c r="H386" s="4"/>
      <c r="I386" s="5"/>
      <c r="J386" s="6"/>
      <c r="K386" s="7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 spans="1:21" ht="13">
      <c r="A387" s="2"/>
      <c r="B387" s="9"/>
      <c r="C387" s="9"/>
      <c r="D387" s="9"/>
      <c r="E387" s="1"/>
      <c r="F387" s="5"/>
      <c r="G387" s="3"/>
      <c r="H387" s="4"/>
      <c r="I387" s="5"/>
      <c r="J387" s="6"/>
      <c r="K387" s="7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 spans="1:21" ht="13">
      <c r="A388" s="2"/>
      <c r="B388" s="9"/>
      <c r="C388" s="9"/>
      <c r="D388" s="9"/>
      <c r="E388" s="1"/>
      <c r="F388" s="5"/>
      <c r="G388" s="3"/>
      <c r="H388" s="4"/>
      <c r="I388" s="5"/>
      <c r="J388" s="6"/>
      <c r="K388" s="7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 spans="1:21" ht="13">
      <c r="A389" s="2"/>
      <c r="B389" s="9"/>
      <c r="C389" s="9"/>
      <c r="D389" s="9"/>
      <c r="E389" s="1"/>
      <c r="F389" s="5"/>
      <c r="G389" s="3"/>
      <c r="H389" s="4"/>
      <c r="I389" s="5"/>
      <c r="J389" s="6"/>
      <c r="K389" s="7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 spans="1:21" ht="13">
      <c r="A390" s="2"/>
      <c r="B390" s="9"/>
      <c r="C390" s="9"/>
      <c r="D390" s="9"/>
      <c r="E390" s="1"/>
      <c r="F390" s="5"/>
      <c r="G390" s="3"/>
      <c r="H390" s="4"/>
      <c r="I390" s="5"/>
      <c r="J390" s="6"/>
      <c r="K390" s="7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 spans="1:21" ht="13">
      <c r="A391" s="2"/>
      <c r="B391" s="9"/>
      <c r="C391" s="9"/>
      <c r="D391" s="9"/>
      <c r="E391" s="1"/>
      <c r="F391" s="5"/>
      <c r="G391" s="3"/>
      <c r="H391" s="4"/>
      <c r="I391" s="5"/>
      <c r="J391" s="6"/>
      <c r="K391" s="7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 spans="1:21" ht="13">
      <c r="A392" s="2"/>
      <c r="B392" s="9"/>
      <c r="C392" s="9"/>
      <c r="D392" s="9"/>
      <c r="E392" s="1"/>
      <c r="F392" s="5"/>
      <c r="G392" s="3"/>
      <c r="H392" s="4"/>
      <c r="I392" s="5"/>
      <c r="J392" s="6"/>
      <c r="K392" s="7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 spans="1:21" ht="13">
      <c r="A393" s="2"/>
      <c r="B393" s="9"/>
      <c r="C393" s="9"/>
      <c r="D393" s="9"/>
      <c r="E393" s="1"/>
      <c r="F393" s="5"/>
      <c r="G393" s="3"/>
      <c r="H393" s="4"/>
      <c r="I393" s="5"/>
      <c r="J393" s="6"/>
      <c r="K393" s="7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 spans="1:21" ht="13">
      <c r="A394" s="2"/>
      <c r="B394" s="9"/>
      <c r="C394" s="9"/>
      <c r="D394" s="9"/>
      <c r="E394" s="1"/>
      <c r="F394" s="5"/>
      <c r="G394" s="3"/>
      <c r="H394" s="4"/>
      <c r="I394" s="5"/>
      <c r="J394" s="6"/>
      <c r="K394" s="7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 spans="1:21" ht="13">
      <c r="A395" s="2"/>
      <c r="B395" s="9"/>
      <c r="C395" s="9"/>
      <c r="D395" s="9"/>
      <c r="E395" s="1"/>
      <c r="F395" s="5"/>
      <c r="G395" s="3"/>
      <c r="H395" s="4"/>
      <c r="I395" s="5"/>
      <c r="J395" s="6"/>
      <c r="K395" s="7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 spans="1:21" ht="13">
      <c r="A396" s="2"/>
      <c r="B396" s="9"/>
      <c r="C396" s="9"/>
      <c r="D396" s="9"/>
      <c r="E396" s="1"/>
      <c r="F396" s="5"/>
      <c r="G396" s="3"/>
      <c r="H396" s="4"/>
      <c r="I396" s="5"/>
      <c r="J396" s="6"/>
      <c r="K396" s="7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 spans="1:21" ht="13">
      <c r="A397" s="2"/>
      <c r="B397" s="9"/>
      <c r="C397" s="9"/>
      <c r="D397" s="9"/>
      <c r="E397" s="1"/>
      <c r="F397" s="5"/>
      <c r="G397" s="3"/>
      <c r="H397" s="4"/>
      <c r="I397" s="5"/>
      <c r="J397" s="6"/>
      <c r="K397" s="7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 spans="1:21" ht="13">
      <c r="A398" s="2"/>
      <c r="B398" s="9"/>
      <c r="C398" s="9"/>
      <c r="D398" s="9"/>
      <c r="E398" s="1"/>
      <c r="F398" s="5"/>
      <c r="G398" s="3"/>
      <c r="H398" s="4"/>
      <c r="I398" s="5"/>
      <c r="J398" s="6"/>
      <c r="K398" s="7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 spans="1:21" ht="13">
      <c r="A399" s="2"/>
      <c r="B399" s="9"/>
      <c r="C399" s="9"/>
      <c r="D399" s="9"/>
      <c r="E399" s="1"/>
      <c r="F399" s="5"/>
      <c r="G399" s="3"/>
      <c r="H399" s="4"/>
      <c r="I399" s="5"/>
      <c r="J399" s="6"/>
      <c r="K399" s="7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 spans="1:21" ht="13">
      <c r="A400" s="2"/>
      <c r="B400" s="9"/>
      <c r="C400" s="9"/>
      <c r="D400" s="9"/>
      <c r="E400" s="1"/>
      <c r="F400" s="5"/>
      <c r="G400" s="3"/>
      <c r="H400" s="4"/>
      <c r="I400" s="5"/>
      <c r="J400" s="6"/>
      <c r="K400" s="7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 spans="1:21" ht="13">
      <c r="A401" s="2"/>
      <c r="B401" s="9"/>
      <c r="C401" s="9"/>
      <c r="D401" s="9"/>
      <c r="E401" s="1"/>
      <c r="F401" s="5"/>
      <c r="G401" s="3"/>
      <c r="H401" s="4"/>
      <c r="I401" s="5"/>
      <c r="J401" s="6"/>
      <c r="K401" s="7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 spans="1:21" ht="13">
      <c r="A402" s="2"/>
      <c r="B402" s="9"/>
      <c r="C402" s="9"/>
      <c r="D402" s="9"/>
      <c r="E402" s="1"/>
      <c r="F402" s="5"/>
      <c r="G402" s="3"/>
      <c r="H402" s="4"/>
      <c r="I402" s="5"/>
      <c r="J402" s="6"/>
      <c r="K402" s="7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 spans="1:21" ht="13">
      <c r="A403" s="2"/>
      <c r="B403" s="9"/>
      <c r="C403" s="9"/>
      <c r="D403" s="9"/>
      <c r="E403" s="1"/>
      <c r="F403" s="5"/>
      <c r="G403" s="3"/>
      <c r="H403" s="4"/>
      <c r="I403" s="5"/>
      <c r="J403" s="6"/>
      <c r="K403" s="7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 spans="1:21" ht="13">
      <c r="A404" s="2"/>
      <c r="B404" s="9"/>
      <c r="C404" s="9"/>
      <c r="D404" s="9"/>
      <c r="E404" s="1"/>
      <c r="F404" s="5"/>
      <c r="G404" s="3"/>
      <c r="H404" s="4"/>
      <c r="I404" s="5"/>
      <c r="J404" s="6"/>
      <c r="K404" s="7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 spans="1:21" ht="13">
      <c r="A405" s="2"/>
      <c r="B405" s="9"/>
      <c r="C405" s="9"/>
      <c r="D405" s="9"/>
      <c r="E405" s="1"/>
      <c r="F405" s="5"/>
      <c r="G405" s="3"/>
      <c r="H405" s="4"/>
      <c r="I405" s="5"/>
      <c r="J405" s="6"/>
      <c r="K405" s="7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 spans="1:21" ht="13">
      <c r="A406" s="2"/>
      <c r="B406" s="9"/>
      <c r="C406" s="9"/>
      <c r="D406" s="9"/>
      <c r="E406" s="1"/>
      <c r="F406" s="5"/>
      <c r="G406" s="3"/>
      <c r="H406" s="4"/>
      <c r="I406" s="5"/>
      <c r="J406" s="6"/>
      <c r="K406" s="7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 spans="1:21" ht="13">
      <c r="A407" s="2"/>
      <c r="B407" s="9"/>
      <c r="C407" s="9"/>
      <c r="D407" s="9"/>
      <c r="E407" s="1"/>
      <c r="F407" s="5"/>
      <c r="G407" s="3"/>
      <c r="H407" s="4"/>
      <c r="I407" s="5"/>
      <c r="J407" s="6"/>
      <c r="K407" s="7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 spans="1:21" ht="13">
      <c r="A408" s="2"/>
      <c r="B408" s="9"/>
      <c r="C408" s="9"/>
      <c r="D408" s="9"/>
      <c r="E408" s="1"/>
      <c r="F408" s="5"/>
      <c r="G408" s="3"/>
      <c r="H408" s="4"/>
      <c r="I408" s="5"/>
      <c r="J408" s="6"/>
      <c r="K408" s="7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 spans="1:21" ht="13">
      <c r="A409" s="2"/>
      <c r="B409" s="9"/>
      <c r="C409" s="9"/>
      <c r="D409" s="9"/>
      <c r="E409" s="1"/>
      <c r="F409" s="5"/>
      <c r="G409" s="3"/>
      <c r="H409" s="4"/>
      <c r="I409" s="5"/>
      <c r="J409" s="6"/>
      <c r="K409" s="7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 spans="1:21" ht="13">
      <c r="A410" s="2"/>
      <c r="B410" s="9"/>
      <c r="C410" s="9"/>
      <c r="D410" s="9"/>
      <c r="E410" s="1"/>
      <c r="F410" s="5"/>
      <c r="G410" s="3"/>
      <c r="H410" s="4"/>
      <c r="I410" s="5"/>
      <c r="J410" s="6"/>
      <c r="K410" s="7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 spans="1:21" ht="13">
      <c r="A411" s="2"/>
      <c r="B411" s="9"/>
      <c r="C411" s="9"/>
      <c r="D411" s="9"/>
      <c r="E411" s="1"/>
      <c r="F411" s="5"/>
      <c r="G411" s="3"/>
      <c r="H411" s="4"/>
      <c r="I411" s="5"/>
      <c r="J411" s="6"/>
      <c r="K411" s="7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 spans="1:21" ht="13">
      <c r="A412" s="2"/>
      <c r="B412" s="9"/>
      <c r="C412" s="9"/>
      <c r="D412" s="9"/>
      <c r="E412" s="1"/>
      <c r="F412" s="5"/>
      <c r="G412" s="3"/>
      <c r="H412" s="4"/>
      <c r="I412" s="5"/>
      <c r="J412" s="6"/>
      <c r="K412" s="7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 spans="1:21" ht="13">
      <c r="A413" s="2"/>
      <c r="B413" s="9"/>
      <c r="C413" s="9"/>
      <c r="D413" s="9"/>
      <c r="E413" s="1"/>
      <c r="F413" s="5"/>
      <c r="G413" s="3"/>
      <c r="H413" s="4"/>
      <c r="I413" s="5"/>
      <c r="J413" s="6"/>
      <c r="K413" s="7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 spans="1:21" ht="13">
      <c r="A414" s="2"/>
      <c r="B414" s="9"/>
      <c r="C414" s="9"/>
      <c r="D414" s="9"/>
      <c r="E414" s="1"/>
      <c r="F414" s="5"/>
      <c r="G414" s="3"/>
      <c r="H414" s="4"/>
      <c r="I414" s="5"/>
      <c r="J414" s="6"/>
      <c r="K414" s="7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 spans="1:21" ht="13">
      <c r="A415" s="2"/>
      <c r="B415" s="9"/>
      <c r="C415" s="9"/>
      <c r="D415" s="9"/>
      <c r="E415" s="1"/>
      <c r="F415" s="5"/>
      <c r="G415" s="3"/>
      <c r="H415" s="4"/>
      <c r="I415" s="5"/>
      <c r="J415" s="6"/>
      <c r="K415" s="7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 spans="1:21" ht="13">
      <c r="A416" s="2"/>
      <c r="B416" s="9"/>
      <c r="C416" s="9"/>
      <c r="D416" s="9"/>
      <c r="E416" s="1"/>
      <c r="F416" s="5"/>
      <c r="G416" s="3"/>
      <c r="H416" s="4"/>
      <c r="I416" s="5"/>
      <c r="J416" s="6"/>
      <c r="K416" s="7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 spans="1:21" ht="13">
      <c r="A417" s="2"/>
      <c r="B417" s="9"/>
      <c r="C417" s="9"/>
      <c r="D417" s="9"/>
      <c r="E417" s="1"/>
      <c r="F417" s="5"/>
      <c r="G417" s="3"/>
      <c r="H417" s="4"/>
      <c r="I417" s="5"/>
      <c r="J417" s="6"/>
      <c r="K417" s="7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 spans="1:21" ht="13">
      <c r="A418" s="2"/>
      <c r="B418" s="9"/>
      <c r="C418" s="9"/>
      <c r="D418" s="9"/>
      <c r="E418" s="1"/>
      <c r="F418" s="5"/>
      <c r="G418" s="3"/>
      <c r="H418" s="4"/>
      <c r="I418" s="5"/>
      <c r="J418" s="6"/>
      <c r="K418" s="7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 spans="1:21" ht="13">
      <c r="A419" s="2"/>
      <c r="B419" s="9"/>
      <c r="C419" s="9"/>
      <c r="D419" s="9"/>
      <c r="E419" s="1"/>
      <c r="F419" s="5"/>
      <c r="G419" s="3"/>
      <c r="H419" s="4"/>
      <c r="I419" s="5"/>
      <c r="J419" s="6"/>
      <c r="K419" s="7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 spans="1:21" ht="13">
      <c r="A420" s="2"/>
      <c r="B420" s="9"/>
      <c r="C420" s="9"/>
      <c r="D420" s="9"/>
      <c r="E420" s="1"/>
      <c r="F420" s="5"/>
      <c r="G420" s="3"/>
      <c r="H420" s="4"/>
      <c r="I420" s="5"/>
      <c r="J420" s="6"/>
      <c r="K420" s="7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 spans="1:21" ht="13">
      <c r="A421" s="2"/>
      <c r="B421" s="9"/>
      <c r="C421" s="9"/>
      <c r="D421" s="9"/>
      <c r="E421" s="1"/>
      <c r="F421" s="5"/>
      <c r="G421" s="3"/>
      <c r="H421" s="4"/>
      <c r="I421" s="5"/>
      <c r="J421" s="6"/>
      <c r="K421" s="7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 spans="1:21" ht="13">
      <c r="A422" s="2"/>
      <c r="B422" s="9"/>
      <c r="C422" s="9"/>
      <c r="D422" s="9"/>
      <c r="E422" s="1"/>
      <c r="F422" s="5"/>
      <c r="G422" s="3"/>
      <c r="H422" s="4"/>
      <c r="I422" s="5"/>
      <c r="J422" s="6"/>
      <c r="K422" s="7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 spans="1:21" ht="13">
      <c r="A423" s="2"/>
      <c r="B423" s="9"/>
      <c r="C423" s="9"/>
      <c r="D423" s="9"/>
      <c r="E423" s="1"/>
      <c r="F423" s="5"/>
      <c r="G423" s="3"/>
      <c r="H423" s="4"/>
      <c r="I423" s="5"/>
      <c r="J423" s="6"/>
      <c r="K423" s="7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 spans="1:21" ht="13">
      <c r="A424" s="2"/>
      <c r="B424" s="9"/>
      <c r="C424" s="9"/>
      <c r="D424" s="9"/>
      <c r="E424" s="1"/>
      <c r="F424" s="5"/>
      <c r="G424" s="3"/>
      <c r="H424" s="4"/>
      <c r="I424" s="5"/>
      <c r="J424" s="6"/>
      <c r="K424" s="7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 spans="1:21" ht="13">
      <c r="A425" s="2"/>
      <c r="B425" s="9"/>
      <c r="C425" s="9"/>
      <c r="D425" s="9"/>
      <c r="E425" s="1"/>
      <c r="F425" s="5"/>
      <c r="G425" s="3"/>
      <c r="H425" s="4"/>
      <c r="I425" s="5"/>
      <c r="J425" s="6"/>
      <c r="K425" s="7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 spans="1:21" ht="13">
      <c r="A426" s="2"/>
      <c r="B426" s="9"/>
      <c r="C426" s="9"/>
      <c r="D426" s="9"/>
      <c r="E426" s="1"/>
      <c r="F426" s="5"/>
      <c r="G426" s="3"/>
      <c r="H426" s="4"/>
      <c r="I426" s="5"/>
      <c r="J426" s="6"/>
      <c r="K426" s="7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 spans="1:21" ht="13">
      <c r="A427" s="2"/>
      <c r="B427" s="9"/>
      <c r="C427" s="9"/>
      <c r="D427" s="9"/>
      <c r="E427" s="1"/>
      <c r="F427" s="5"/>
      <c r="G427" s="3"/>
      <c r="H427" s="4"/>
      <c r="I427" s="5"/>
      <c r="J427" s="6"/>
      <c r="K427" s="7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 spans="1:21" ht="13">
      <c r="A428" s="2"/>
      <c r="B428" s="9"/>
      <c r="C428" s="9"/>
      <c r="D428" s="9"/>
      <c r="E428" s="1"/>
      <c r="F428" s="5"/>
      <c r="G428" s="3"/>
      <c r="H428" s="4"/>
      <c r="I428" s="5"/>
      <c r="J428" s="6"/>
      <c r="K428" s="7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 spans="1:21" ht="13">
      <c r="A429" s="2"/>
      <c r="B429" s="9"/>
      <c r="C429" s="9"/>
      <c r="D429" s="9"/>
      <c r="E429" s="1"/>
      <c r="F429" s="5"/>
      <c r="G429" s="3"/>
      <c r="H429" s="4"/>
      <c r="I429" s="5"/>
      <c r="J429" s="6"/>
      <c r="K429" s="7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 spans="1:21" ht="13">
      <c r="A430" s="2"/>
      <c r="B430" s="9"/>
      <c r="C430" s="9"/>
      <c r="D430" s="9"/>
      <c r="E430" s="1"/>
      <c r="F430" s="5"/>
      <c r="G430" s="3"/>
      <c r="H430" s="4"/>
      <c r="I430" s="5"/>
      <c r="J430" s="6"/>
      <c r="K430" s="7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 spans="1:21" ht="13">
      <c r="A431" s="2"/>
      <c r="B431" s="9"/>
      <c r="C431" s="9"/>
      <c r="D431" s="9"/>
      <c r="E431" s="1"/>
      <c r="F431" s="5"/>
      <c r="G431" s="3"/>
      <c r="H431" s="4"/>
      <c r="I431" s="5"/>
      <c r="J431" s="6"/>
      <c r="K431" s="7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 spans="1:21" ht="13">
      <c r="A432" s="2"/>
      <c r="B432" s="9"/>
      <c r="C432" s="9"/>
      <c r="D432" s="9"/>
      <c r="E432" s="1"/>
      <c r="F432" s="5"/>
      <c r="G432" s="3"/>
      <c r="H432" s="4"/>
      <c r="I432" s="5"/>
      <c r="J432" s="6"/>
      <c r="K432" s="7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 spans="1:21" ht="13">
      <c r="A433" s="2"/>
      <c r="B433" s="9"/>
      <c r="C433" s="9"/>
      <c r="D433" s="9"/>
      <c r="E433" s="1"/>
      <c r="F433" s="5"/>
      <c r="G433" s="3"/>
      <c r="H433" s="4"/>
      <c r="I433" s="5"/>
      <c r="J433" s="6"/>
      <c r="K433" s="7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 spans="1:21" ht="13">
      <c r="A434" s="2"/>
      <c r="B434" s="9"/>
      <c r="C434" s="9"/>
      <c r="D434" s="9"/>
      <c r="E434" s="1"/>
      <c r="F434" s="5"/>
      <c r="G434" s="3"/>
      <c r="H434" s="4"/>
      <c r="I434" s="5"/>
      <c r="J434" s="6"/>
      <c r="K434" s="7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 spans="1:21" ht="13">
      <c r="A435" s="2"/>
      <c r="B435" s="9"/>
      <c r="C435" s="9"/>
      <c r="D435" s="9"/>
      <c r="E435" s="1"/>
      <c r="F435" s="5"/>
      <c r="G435" s="3"/>
      <c r="H435" s="4"/>
      <c r="I435" s="5"/>
      <c r="J435" s="6"/>
      <c r="K435" s="7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 spans="1:21" ht="13">
      <c r="A436" s="2"/>
      <c r="B436" s="9"/>
      <c r="C436" s="9"/>
      <c r="D436" s="9"/>
      <c r="E436" s="1"/>
      <c r="F436" s="5"/>
      <c r="G436" s="3"/>
      <c r="H436" s="4"/>
      <c r="I436" s="5"/>
      <c r="J436" s="6"/>
      <c r="K436" s="7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 spans="1:21" ht="13">
      <c r="A437" s="2"/>
      <c r="B437" s="9"/>
      <c r="C437" s="9"/>
      <c r="D437" s="9"/>
      <c r="E437" s="1"/>
      <c r="F437" s="5"/>
      <c r="G437" s="3"/>
      <c r="H437" s="4"/>
      <c r="I437" s="5"/>
      <c r="J437" s="6"/>
      <c r="K437" s="7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 spans="1:21" ht="13">
      <c r="A438" s="2"/>
      <c r="B438" s="9"/>
      <c r="C438" s="9"/>
      <c r="D438" s="9"/>
      <c r="E438" s="1"/>
      <c r="F438" s="5"/>
      <c r="G438" s="3"/>
      <c r="H438" s="4"/>
      <c r="I438" s="5"/>
      <c r="J438" s="6"/>
      <c r="K438" s="7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 spans="1:21" ht="13">
      <c r="A439" s="2"/>
      <c r="B439" s="9"/>
      <c r="C439" s="9"/>
      <c r="D439" s="9"/>
      <c r="E439" s="1"/>
      <c r="F439" s="5"/>
      <c r="G439" s="3"/>
      <c r="H439" s="4"/>
      <c r="I439" s="5"/>
      <c r="J439" s="6"/>
      <c r="K439" s="7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 spans="1:21" ht="13">
      <c r="A440" s="2"/>
      <c r="B440" s="9"/>
      <c r="C440" s="9"/>
      <c r="D440" s="9"/>
      <c r="E440" s="1"/>
      <c r="F440" s="5"/>
      <c r="G440" s="3"/>
      <c r="H440" s="4"/>
      <c r="I440" s="5"/>
      <c r="J440" s="6"/>
      <c r="K440" s="7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 spans="1:21" ht="13">
      <c r="A441" s="2"/>
      <c r="B441" s="9"/>
      <c r="C441" s="9"/>
      <c r="D441" s="9"/>
      <c r="E441" s="1"/>
      <c r="F441" s="5"/>
      <c r="G441" s="3"/>
      <c r="H441" s="4"/>
      <c r="I441" s="5"/>
      <c r="J441" s="6"/>
      <c r="K441" s="7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 spans="1:21" ht="13">
      <c r="A442" s="2"/>
      <c r="B442" s="9"/>
      <c r="C442" s="9"/>
      <c r="D442" s="9"/>
      <c r="E442" s="1"/>
      <c r="F442" s="5"/>
      <c r="G442" s="3"/>
      <c r="H442" s="4"/>
      <c r="I442" s="5"/>
      <c r="J442" s="6"/>
      <c r="K442" s="7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 spans="1:21" ht="13">
      <c r="A443" s="2"/>
      <c r="B443" s="9"/>
      <c r="C443" s="9"/>
      <c r="D443" s="9"/>
      <c r="E443" s="1"/>
      <c r="F443" s="5"/>
      <c r="G443" s="3"/>
      <c r="H443" s="4"/>
      <c r="I443" s="5"/>
      <c r="J443" s="6"/>
      <c r="K443" s="7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 spans="1:21" ht="13">
      <c r="A444" s="2"/>
      <c r="B444" s="9"/>
      <c r="C444" s="9"/>
      <c r="D444" s="9"/>
      <c r="E444" s="1"/>
      <c r="F444" s="5"/>
      <c r="G444" s="3"/>
      <c r="H444" s="4"/>
      <c r="I444" s="5"/>
      <c r="J444" s="6"/>
      <c r="K444" s="7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 spans="1:21" ht="13">
      <c r="A445" s="2"/>
      <c r="B445" s="9"/>
      <c r="C445" s="9"/>
      <c r="D445" s="9"/>
      <c r="E445" s="1"/>
      <c r="F445" s="5"/>
      <c r="G445" s="3"/>
      <c r="H445" s="4"/>
      <c r="I445" s="5"/>
      <c r="J445" s="6"/>
      <c r="K445" s="7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 spans="1:21" ht="13">
      <c r="A446" s="2"/>
      <c r="B446" s="9"/>
      <c r="C446" s="9"/>
      <c r="D446" s="9"/>
      <c r="E446" s="1"/>
      <c r="F446" s="5"/>
      <c r="G446" s="3"/>
      <c r="H446" s="4"/>
      <c r="I446" s="5"/>
      <c r="J446" s="6"/>
      <c r="K446" s="7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 spans="1:21" ht="13">
      <c r="A447" s="2"/>
      <c r="B447" s="9"/>
      <c r="C447" s="9"/>
      <c r="D447" s="9"/>
      <c r="E447" s="1"/>
      <c r="F447" s="5"/>
      <c r="G447" s="3"/>
      <c r="H447" s="4"/>
      <c r="I447" s="5"/>
      <c r="J447" s="6"/>
      <c r="K447" s="7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 spans="1:21" ht="13">
      <c r="A448" s="2"/>
      <c r="B448" s="9"/>
      <c r="C448" s="9"/>
      <c r="D448" s="9"/>
      <c r="E448" s="1"/>
      <c r="F448" s="5"/>
      <c r="G448" s="3"/>
      <c r="H448" s="4"/>
      <c r="I448" s="5"/>
      <c r="J448" s="6"/>
      <c r="K448" s="7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 spans="1:21" ht="13">
      <c r="A449" s="2"/>
      <c r="B449" s="9"/>
      <c r="C449" s="9"/>
      <c r="D449" s="9"/>
      <c r="E449" s="1"/>
      <c r="F449" s="5"/>
      <c r="G449" s="3"/>
      <c r="H449" s="4"/>
      <c r="I449" s="5"/>
      <c r="J449" s="6"/>
      <c r="K449" s="7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 spans="1:21" ht="13">
      <c r="A450" s="2"/>
      <c r="B450" s="9"/>
      <c r="C450" s="9"/>
      <c r="D450" s="9"/>
      <c r="E450" s="1"/>
      <c r="F450" s="5"/>
      <c r="G450" s="3"/>
      <c r="H450" s="4"/>
      <c r="I450" s="5"/>
      <c r="J450" s="6"/>
      <c r="K450" s="7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 spans="1:21" ht="13">
      <c r="A451" s="2"/>
      <c r="B451" s="9"/>
      <c r="C451" s="9"/>
      <c r="D451" s="9"/>
      <c r="E451" s="1"/>
      <c r="F451" s="5"/>
      <c r="G451" s="3"/>
      <c r="H451" s="4"/>
      <c r="I451" s="5"/>
      <c r="J451" s="6"/>
      <c r="K451" s="7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 spans="1:21" ht="13">
      <c r="A452" s="2"/>
      <c r="B452" s="9"/>
      <c r="C452" s="9"/>
      <c r="D452" s="9"/>
      <c r="E452" s="1"/>
      <c r="F452" s="5"/>
      <c r="G452" s="3"/>
      <c r="H452" s="4"/>
      <c r="I452" s="5"/>
      <c r="J452" s="6"/>
      <c r="K452" s="7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 spans="1:21" ht="13">
      <c r="A453" s="2"/>
      <c r="B453" s="9"/>
      <c r="C453" s="9"/>
      <c r="D453" s="9"/>
      <c r="E453" s="1"/>
      <c r="F453" s="5"/>
      <c r="G453" s="3"/>
      <c r="H453" s="4"/>
      <c r="I453" s="5"/>
      <c r="J453" s="6"/>
      <c r="K453" s="7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 spans="1:21" ht="13">
      <c r="A454" s="2"/>
      <c r="B454" s="9"/>
      <c r="C454" s="9"/>
      <c r="D454" s="9"/>
      <c r="E454" s="1"/>
      <c r="F454" s="5"/>
      <c r="G454" s="3"/>
      <c r="H454" s="4"/>
      <c r="I454" s="5"/>
      <c r="J454" s="6"/>
      <c r="K454" s="7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 spans="1:21" ht="13">
      <c r="A455" s="2"/>
      <c r="B455" s="9"/>
      <c r="C455" s="9"/>
      <c r="D455" s="9"/>
      <c r="E455" s="1"/>
      <c r="F455" s="5"/>
      <c r="G455" s="3"/>
      <c r="H455" s="4"/>
      <c r="I455" s="5"/>
      <c r="J455" s="6"/>
      <c r="K455" s="7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 spans="1:21" ht="13">
      <c r="A456" s="2"/>
      <c r="B456" s="9"/>
      <c r="C456" s="9"/>
      <c r="D456" s="9"/>
      <c r="E456" s="1"/>
      <c r="F456" s="5"/>
      <c r="G456" s="3"/>
      <c r="H456" s="4"/>
      <c r="I456" s="5"/>
      <c r="J456" s="6"/>
      <c r="K456" s="7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 spans="1:21" ht="13">
      <c r="A457" s="2"/>
      <c r="B457" s="9"/>
      <c r="C457" s="9"/>
      <c r="D457" s="9"/>
      <c r="E457" s="1"/>
      <c r="F457" s="5"/>
      <c r="G457" s="3"/>
      <c r="H457" s="4"/>
      <c r="I457" s="5"/>
      <c r="J457" s="6"/>
      <c r="K457" s="7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 spans="1:21" ht="13">
      <c r="A458" s="2"/>
      <c r="B458" s="9"/>
      <c r="C458" s="9"/>
      <c r="D458" s="9"/>
      <c r="E458" s="1"/>
      <c r="F458" s="5"/>
      <c r="G458" s="3"/>
      <c r="H458" s="4"/>
      <c r="I458" s="5"/>
      <c r="J458" s="6"/>
      <c r="K458" s="7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 spans="1:21" ht="13">
      <c r="A459" s="2"/>
      <c r="B459" s="9"/>
      <c r="C459" s="9"/>
      <c r="D459" s="9"/>
      <c r="E459" s="1"/>
      <c r="F459" s="5"/>
      <c r="G459" s="3"/>
      <c r="H459" s="4"/>
      <c r="I459" s="5"/>
      <c r="J459" s="6"/>
      <c r="K459" s="7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 spans="1:21" ht="13">
      <c r="A460" s="2"/>
      <c r="B460" s="9"/>
      <c r="C460" s="9"/>
      <c r="D460" s="9"/>
      <c r="E460" s="1"/>
      <c r="F460" s="5"/>
      <c r="G460" s="3"/>
      <c r="H460" s="4"/>
      <c r="I460" s="5"/>
      <c r="J460" s="6"/>
      <c r="K460" s="7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 spans="1:21" ht="13">
      <c r="A461" s="2"/>
      <c r="B461" s="9"/>
      <c r="C461" s="9"/>
      <c r="D461" s="9"/>
      <c r="E461" s="1"/>
      <c r="F461" s="5"/>
      <c r="G461" s="3"/>
      <c r="H461" s="4"/>
      <c r="I461" s="5"/>
      <c r="J461" s="6"/>
      <c r="K461" s="7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 spans="1:21" ht="13">
      <c r="A462" s="2"/>
      <c r="B462" s="9"/>
      <c r="C462" s="9"/>
      <c r="D462" s="9"/>
      <c r="E462" s="1"/>
      <c r="F462" s="5"/>
      <c r="G462" s="3"/>
      <c r="H462" s="4"/>
      <c r="I462" s="5"/>
      <c r="J462" s="6"/>
      <c r="K462" s="7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 spans="1:21" ht="13">
      <c r="A463" s="2"/>
      <c r="B463" s="9"/>
      <c r="C463" s="9"/>
      <c r="D463" s="9"/>
      <c r="E463" s="1"/>
      <c r="F463" s="5"/>
      <c r="G463" s="3"/>
      <c r="H463" s="4"/>
      <c r="I463" s="5"/>
      <c r="J463" s="6"/>
      <c r="K463" s="7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 spans="1:21" ht="13">
      <c r="A464" s="2"/>
      <c r="B464" s="9"/>
      <c r="C464" s="9"/>
      <c r="D464" s="9"/>
      <c r="E464" s="1"/>
      <c r="F464" s="5"/>
      <c r="G464" s="3"/>
      <c r="H464" s="4"/>
      <c r="I464" s="5"/>
      <c r="J464" s="6"/>
      <c r="K464" s="7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 spans="1:21" ht="13">
      <c r="A465" s="2"/>
      <c r="B465" s="9"/>
      <c r="C465" s="9"/>
      <c r="D465" s="9"/>
      <c r="E465" s="1"/>
      <c r="F465" s="5"/>
      <c r="G465" s="3"/>
      <c r="H465" s="4"/>
      <c r="I465" s="5"/>
      <c r="J465" s="6"/>
      <c r="K465" s="7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 spans="1:21" ht="13">
      <c r="A466" s="2"/>
      <c r="B466" s="9"/>
      <c r="C466" s="9"/>
      <c r="D466" s="9"/>
      <c r="E466" s="1"/>
      <c r="F466" s="5"/>
      <c r="G466" s="3"/>
      <c r="H466" s="4"/>
      <c r="I466" s="5"/>
      <c r="J466" s="6"/>
      <c r="K466" s="7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 spans="1:21" ht="13">
      <c r="A467" s="2"/>
      <c r="B467" s="9"/>
      <c r="C467" s="9"/>
      <c r="D467" s="9"/>
      <c r="E467" s="1"/>
      <c r="F467" s="5"/>
      <c r="G467" s="3"/>
      <c r="H467" s="4"/>
      <c r="I467" s="5"/>
      <c r="J467" s="6"/>
      <c r="K467" s="7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 spans="1:21" ht="13">
      <c r="A468" s="2"/>
      <c r="B468" s="9"/>
      <c r="C468" s="9"/>
      <c r="D468" s="9"/>
      <c r="E468" s="1"/>
      <c r="F468" s="5"/>
      <c r="G468" s="3"/>
      <c r="H468" s="4"/>
      <c r="I468" s="5"/>
      <c r="J468" s="6"/>
      <c r="K468" s="7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 spans="1:21" ht="13">
      <c r="A469" s="2"/>
      <c r="B469" s="9"/>
      <c r="C469" s="9"/>
      <c r="D469" s="9"/>
      <c r="E469" s="1"/>
      <c r="F469" s="5"/>
      <c r="G469" s="3"/>
      <c r="H469" s="4"/>
      <c r="I469" s="5"/>
      <c r="J469" s="6"/>
      <c r="K469" s="7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 spans="1:21" ht="13">
      <c r="A470" s="2"/>
      <c r="B470" s="9"/>
      <c r="C470" s="9"/>
      <c r="D470" s="9"/>
      <c r="E470" s="1"/>
      <c r="F470" s="5"/>
      <c r="G470" s="3"/>
      <c r="H470" s="4"/>
      <c r="I470" s="5"/>
      <c r="J470" s="6"/>
      <c r="K470" s="7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 spans="1:21" ht="13">
      <c r="A471" s="2"/>
      <c r="B471" s="9"/>
      <c r="C471" s="9"/>
      <c r="D471" s="9"/>
      <c r="E471" s="1"/>
      <c r="F471" s="5"/>
      <c r="G471" s="3"/>
      <c r="H471" s="4"/>
      <c r="I471" s="5"/>
      <c r="J471" s="6"/>
      <c r="K471" s="7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 spans="1:21" ht="13">
      <c r="A472" s="2"/>
      <c r="B472" s="9"/>
      <c r="C472" s="9"/>
      <c r="D472" s="9"/>
      <c r="E472" s="1"/>
      <c r="F472" s="5"/>
      <c r="G472" s="3"/>
      <c r="H472" s="4"/>
      <c r="I472" s="5"/>
      <c r="J472" s="6"/>
      <c r="K472" s="7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 spans="1:21" ht="13">
      <c r="A473" s="2"/>
      <c r="B473" s="9"/>
      <c r="C473" s="9"/>
      <c r="D473" s="9"/>
      <c r="E473" s="1"/>
      <c r="F473" s="5"/>
      <c r="G473" s="3"/>
      <c r="H473" s="4"/>
      <c r="I473" s="5"/>
      <c r="J473" s="6"/>
      <c r="K473" s="7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 spans="1:21" ht="13">
      <c r="A474" s="2"/>
      <c r="B474" s="9"/>
      <c r="C474" s="9"/>
      <c r="D474" s="9"/>
      <c r="E474" s="1"/>
      <c r="F474" s="5"/>
      <c r="G474" s="3"/>
      <c r="H474" s="4"/>
      <c r="I474" s="5"/>
      <c r="J474" s="6"/>
      <c r="K474" s="7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 spans="1:21" ht="13">
      <c r="A475" s="2"/>
      <c r="B475" s="9"/>
      <c r="C475" s="9"/>
      <c r="D475" s="9"/>
      <c r="E475" s="1"/>
      <c r="F475" s="5"/>
      <c r="G475" s="3"/>
      <c r="H475" s="4"/>
      <c r="I475" s="5"/>
      <c r="J475" s="6"/>
      <c r="K475" s="7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 spans="1:21" ht="13">
      <c r="A476" s="2"/>
      <c r="B476" s="9"/>
      <c r="C476" s="9"/>
      <c r="D476" s="9"/>
      <c r="E476" s="1"/>
      <c r="F476" s="5"/>
      <c r="G476" s="3"/>
      <c r="H476" s="4"/>
      <c r="I476" s="5"/>
      <c r="J476" s="6"/>
      <c r="K476" s="7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 spans="1:21" ht="13">
      <c r="A477" s="2"/>
      <c r="B477" s="9"/>
      <c r="C477" s="9"/>
      <c r="D477" s="9"/>
      <c r="E477" s="1"/>
      <c r="F477" s="5"/>
      <c r="G477" s="3"/>
      <c r="H477" s="4"/>
      <c r="I477" s="5"/>
      <c r="J477" s="6"/>
      <c r="K477" s="7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 spans="1:21" ht="13">
      <c r="A478" s="2"/>
      <c r="B478" s="9"/>
      <c r="C478" s="9"/>
      <c r="D478" s="9"/>
      <c r="E478" s="1"/>
      <c r="F478" s="5"/>
      <c r="G478" s="3"/>
      <c r="H478" s="4"/>
      <c r="I478" s="5"/>
      <c r="J478" s="6"/>
      <c r="K478" s="7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 spans="1:21" ht="13">
      <c r="A479" s="2"/>
      <c r="B479" s="9"/>
      <c r="C479" s="9"/>
      <c r="D479" s="9"/>
      <c r="E479" s="1"/>
      <c r="F479" s="5"/>
      <c r="G479" s="3"/>
      <c r="H479" s="4"/>
      <c r="I479" s="5"/>
      <c r="J479" s="6"/>
      <c r="K479" s="7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 spans="1:21" ht="13">
      <c r="A480" s="2"/>
      <c r="B480" s="9"/>
      <c r="C480" s="9"/>
      <c r="D480" s="9"/>
      <c r="E480" s="1"/>
      <c r="F480" s="5"/>
      <c r="G480" s="3"/>
      <c r="H480" s="4"/>
      <c r="I480" s="5"/>
      <c r="J480" s="6"/>
      <c r="K480" s="7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 spans="1:21" ht="13">
      <c r="A481" s="2"/>
      <c r="B481" s="9"/>
      <c r="C481" s="9"/>
      <c r="D481" s="9"/>
      <c r="E481" s="1"/>
      <c r="F481" s="5"/>
      <c r="G481" s="3"/>
      <c r="H481" s="4"/>
      <c r="I481" s="5"/>
      <c r="J481" s="6"/>
      <c r="K481" s="7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 spans="1:21" ht="13">
      <c r="A482" s="2"/>
      <c r="B482" s="9"/>
      <c r="C482" s="9"/>
      <c r="D482" s="9"/>
      <c r="E482" s="1"/>
      <c r="F482" s="5"/>
      <c r="G482" s="3"/>
      <c r="H482" s="4"/>
      <c r="I482" s="5"/>
      <c r="J482" s="6"/>
      <c r="K482" s="7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 spans="1:21" ht="13">
      <c r="A483" s="2"/>
      <c r="B483" s="9"/>
      <c r="C483" s="9"/>
      <c r="D483" s="9"/>
      <c r="E483" s="1"/>
      <c r="F483" s="5"/>
      <c r="G483" s="3"/>
      <c r="H483" s="4"/>
      <c r="I483" s="5"/>
      <c r="J483" s="6"/>
      <c r="K483" s="7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 spans="1:21" ht="13">
      <c r="A484" s="2"/>
      <c r="B484" s="9"/>
      <c r="C484" s="9"/>
      <c r="D484" s="9"/>
      <c r="E484" s="1"/>
      <c r="F484" s="5"/>
      <c r="G484" s="3"/>
      <c r="H484" s="4"/>
      <c r="I484" s="5"/>
      <c r="J484" s="6"/>
      <c r="K484" s="7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 spans="1:21" ht="13">
      <c r="A485" s="2"/>
      <c r="B485" s="9"/>
      <c r="C485" s="9"/>
      <c r="D485" s="9"/>
      <c r="E485" s="1"/>
      <c r="F485" s="5"/>
      <c r="G485" s="3"/>
      <c r="H485" s="4"/>
      <c r="I485" s="5"/>
      <c r="J485" s="6"/>
      <c r="K485" s="7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 spans="1:21" ht="13">
      <c r="A486" s="2"/>
      <c r="B486" s="9"/>
      <c r="C486" s="9"/>
      <c r="D486" s="9"/>
      <c r="E486" s="1"/>
      <c r="F486" s="5"/>
      <c r="G486" s="3"/>
      <c r="H486" s="4"/>
      <c r="I486" s="5"/>
      <c r="J486" s="6"/>
      <c r="K486" s="7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 spans="1:21" ht="13">
      <c r="A487" s="2"/>
      <c r="B487" s="9"/>
      <c r="C487" s="9"/>
      <c r="D487" s="9"/>
      <c r="E487" s="1"/>
      <c r="F487" s="5"/>
      <c r="G487" s="3"/>
      <c r="H487" s="4"/>
      <c r="I487" s="5"/>
      <c r="J487" s="6"/>
      <c r="K487" s="7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 spans="1:21" ht="13">
      <c r="A488" s="2"/>
      <c r="B488" s="9"/>
      <c r="C488" s="9"/>
      <c r="D488" s="9"/>
      <c r="E488" s="1"/>
      <c r="F488" s="5"/>
      <c r="G488" s="3"/>
      <c r="H488" s="4"/>
      <c r="I488" s="5"/>
      <c r="J488" s="6"/>
      <c r="K488" s="7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 spans="1:21" ht="13">
      <c r="A489" s="2"/>
      <c r="B489" s="9"/>
      <c r="C489" s="9"/>
      <c r="D489" s="9"/>
      <c r="E489" s="1"/>
      <c r="F489" s="5"/>
      <c r="G489" s="3"/>
      <c r="H489" s="4"/>
      <c r="I489" s="5"/>
      <c r="J489" s="6"/>
      <c r="K489" s="7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 spans="1:21" ht="13">
      <c r="A490" s="2"/>
      <c r="B490" s="9"/>
      <c r="C490" s="9"/>
      <c r="D490" s="9"/>
      <c r="E490" s="1"/>
      <c r="F490" s="5"/>
      <c r="G490" s="3"/>
      <c r="H490" s="4"/>
      <c r="I490" s="5"/>
      <c r="J490" s="6"/>
      <c r="K490" s="7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 spans="1:21" ht="13">
      <c r="A491" s="2"/>
      <c r="B491" s="9"/>
      <c r="C491" s="9"/>
      <c r="D491" s="9"/>
      <c r="E491" s="1"/>
      <c r="F491" s="5"/>
      <c r="G491" s="3"/>
      <c r="H491" s="4"/>
      <c r="I491" s="5"/>
      <c r="J491" s="6"/>
      <c r="K491" s="7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 spans="1:21" ht="13">
      <c r="A492" s="2"/>
      <c r="B492" s="9"/>
      <c r="C492" s="9"/>
      <c r="D492" s="9"/>
      <c r="E492" s="1"/>
      <c r="F492" s="5"/>
      <c r="G492" s="3"/>
      <c r="H492" s="4"/>
      <c r="I492" s="5"/>
      <c r="J492" s="6"/>
      <c r="K492" s="7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 spans="1:21" ht="13">
      <c r="A493" s="2"/>
      <c r="B493" s="9"/>
      <c r="C493" s="9"/>
      <c r="D493" s="9"/>
      <c r="E493" s="1"/>
      <c r="F493" s="5"/>
      <c r="G493" s="3"/>
      <c r="H493" s="4"/>
      <c r="I493" s="5"/>
      <c r="J493" s="6"/>
      <c r="K493" s="7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 spans="1:21" ht="13">
      <c r="A494" s="2"/>
      <c r="B494" s="9"/>
      <c r="C494" s="9"/>
      <c r="D494" s="9"/>
      <c r="E494" s="1"/>
      <c r="F494" s="5"/>
      <c r="G494" s="3"/>
      <c r="H494" s="4"/>
      <c r="I494" s="5"/>
      <c r="J494" s="6"/>
      <c r="K494" s="7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 spans="1:21" ht="13">
      <c r="A495" s="2"/>
      <c r="B495" s="9"/>
      <c r="C495" s="9"/>
      <c r="D495" s="9"/>
      <c r="E495" s="1"/>
      <c r="F495" s="5"/>
      <c r="G495" s="3"/>
      <c r="H495" s="4"/>
      <c r="I495" s="5"/>
      <c r="J495" s="6"/>
      <c r="K495" s="7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 spans="1:21" ht="13">
      <c r="A496" s="2"/>
      <c r="B496" s="9"/>
      <c r="C496" s="9"/>
      <c r="D496" s="9"/>
      <c r="E496" s="1"/>
      <c r="F496" s="5"/>
      <c r="G496" s="3"/>
      <c r="H496" s="4"/>
      <c r="I496" s="5"/>
      <c r="J496" s="6"/>
      <c r="K496" s="7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 spans="1:21" ht="13">
      <c r="A497" s="2"/>
      <c r="B497" s="9"/>
      <c r="C497" s="9"/>
      <c r="D497" s="9"/>
      <c r="E497" s="1"/>
      <c r="F497" s="5"/>
      <c r="G497" s="3"/>
      <c r="H497" s="4"/>
      <c r="I497" s="5"/>
      <c r="J497" s="6"/>
      <c r="K497" s="7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 spans="1:21" ht="13">
      <c r="A498" s="2"/>
      <c r="B498" s="9"/>
      <c r="C498" s="9"/>
      <c r="D498" s="9"/>
      <c r="E498" s="1"/>
      <c r="F498" s="5"/>
      <c r="G498" s="3"/>
      <c r="H498" s="4"/>
      <c r="I498" s="5"/>
      <c r="J498" s="6"/>
      <c r="K498" s="7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 spans="1:21" ht="13">
      <c r="A499" s="2"/>
      <c r="B499" s="9"/>
      <c r="C499" s="9"/>
      <c r="D499" s="9"/>
      <c r="E499" s="1"/>
      <c r="F499" s="5"/>
      <c r="G499" s="3"/>
      <c r="H499" s="4"/>
      <c r="I499" s="5"/>
      <c r="J499" s="6"/>
      <c r="K499" s="7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 spans="1:21" ht="13">
      <c r="A500" s="2"/>
      <c r="B500" s="9"/>
      <c r="C500" s="9"/>
      <c r="D500" s="9"/>
      <c r="E500" s="1"/>
      <c r="F500" s="5"/>
      <c r="G500" s="3"/>
      <c r="H500" s="4"/>
      <c r="I500" s="5"/>
      <c r="J500" s="6"/>
      <c r="K500" s="7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 spans="1:21" ht="13">
      <c r="A501" s="2"/>
      <c r="B501" s="9"/>
      <c r="C501" s="9"/>
      <c r="D501" s="9"/>
      <c r="E501" s="1"/>
      <c r="F501" s="5"/>
      <c r="G501" s="3"/>
      <c r="H501" s="4"/>
      <c r="I501" s="5"/>
      <c r="J501" s="6"/>
      <c r="K501" s="7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 spans="1:21" ht="13">
      <c r="A502" s="2"/>
      <c r="B502" s="9"/>
      <c r="C502" s="9"/>
      <c r="D502" s="9"/>
      <c r="E502" s="1"/>
      <c r="F502" s="5"/>
      <c r="G502" s="3"/>
      <c r="H502" s="4"/>
      <c r="I502" s="5"/>
      <c r="J502" s="6"/>
      <c r="K502" s="7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 spans="1:21" ht="13">
      <c r="A503" s="2"/>
      <c r="B503" s="9"/>
      <c r="C503" s="9"/>
      <c r="D503" s="9"/>
      <c r="E503" s="1"/>
      <c r="F503" s="5"/>
      <c r="G503" s="3"/>
      <c r="H503" s="4"/>
      <c r="I503" s="5"/>
      <c r="J503" s="6"/>
      <c r="K503" s="7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 spans="1:21" ht="13">
      <c r="A504" s="2"/>
      <c r="B504" s="9"/>
      <c r="C504" s="9"/>
      <c r="D504" s="9"/>
      <c r="E504" s="1"/>
      <c r="F504" s="5"/>
      <c r="G504" s="3"/>
      <c r="H504" s="4"/>
      <c r="I504" s="5"/>
      <c r="J504" s="6"/>
      <c r="K504" s="7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 spans="1:21" ht="13">
      <c r="A505" s="2"/>
      <c r="B505" s="9"/>
      <c r="C505" s="9"/>
      <c r="D505" s="9"/>
      <c r="E505" s="1"/>
      <c r="F505" s="5"/>
      <c r="G505" s="3"/>
      <c r="H505" s="4"/>
      <c r="I505" s="5"/>
      <c r="J505" s="6"/>
      <c r="K505" s="7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 spans="1:21" ht="13">
      <c r="A506" s="2"/>
      <c r="B506" s="9"/>
      <c r="C506" s="9"/>
      <c r="D506" s="9"/>
      <c r="E506" s="1"/>
      <c r="F506" s="5"/>
      <c r="G506" s="3"/>
      <c r="H506" s="4"/>
      <c r="I506" s="5"/>
      <c r="J506" s="6"/>
      <c r="K506" s="7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 spans="1:21" ht="13">
      <c r="A507" s="2"/>
      <c r="B507" s="9"/>
      <c r="C507" s="9"/>
      <c r="D507" s="9"/>
      <c r="E507" s="1"/>
      <c r="F507" s="5"/>
      <c r="G507" s="3"/>
      <c r="H507" s="4"/>
      <c r="I507" s="5"/>
      <c r="J507" s="6"/>
      <c r="K507" s="7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 spans="1:21" ht="13">
      <c r="A508" s="2"/>
      <c r="B508" s="9"/>
      <c r="C508" s="9"/>
      <c r="D508" s="9"/>
      <c r="E508" s="1"/>
      <c r="F508" s="5"/>
      <c r="G508" s="3"/>
      <c r="H508" s="4"/>
      <c r="I508" s="5"/>
      <c r="J508" s="6"/>
      <c r="K508" s="7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 spans="1:21" ht="13">
      <c r="A509" s="2"/>
      <c r="B509" s="9"/>
      <c r="C509" s="9"/>
      <c r="D509" s="9"/>
      <c r="E509" s="1"/>
      <c r="F509" s="5"/>
      <c r="G509" s="3"/>
      <c r="H509" s="4"/>
      <c r="I509" s="5"/>
      <c r="J509" s="6"/>
      <c r="K509" s="7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 spans="1:21" ht="13">
      <c r="A510" s="2"/>
      <c r="B510" s="9"/>
      <c r="C510" s="9"/>
      <c r="D510" s="9"/>
      <c r="E510" s="1"/>
      <c r="F510" s="5"/>
      <c r="G510" s="3"/>
      <c r="H510" s="4"/>
      <c r="I510" s="5"/>
      <c r="J510" s="6"/>
      <c r="K510" s="7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 spans="1:21" ht="13">
      <c r="A511" s="2"/>
      <c r="B511" s="9"/>
      <c r="C511" s="9"/>
      <c r="D511" s="9"/>
      <c r="E511" s="1"/>
      <c r="F511" s="5"/>
      <c r="G511" s="3"/>
      <c r="H511" s="4"/>
      <c r="I511" s="5"/>
      <c r="J511" s="6"/>
      <c r="K511" s="7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 spans="1:21" ht="13">
      <c r="A512" s="2"/>
      <c r="B512" s="9"/>
      <c r="C512" s="9"/>
      <c r="D512" s="9"/>
      <c r="E512" s="1"/>
      <c r="F512" s="5"/>
      <c r="G512" s="3"/>
      <c r="H512" s="4"/>
      <c r="I512" s="5"/>
      <c r="J512" s="6"/>
      <c r="K512" s="7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 spans="1:21" ht="13">
      <c r="A513" s="2"/>
      <c r="B513" s="9"/>
      <c r="C513" s="9"/>
      <c r="D513" s="9"/>
      <c r="E513" s="1"/>
      <c r="F513" s="5"/>
      <c r="G513" s="3"/>
      <c r="H513" s="4"/>
      <c r="I513" s="5"/>
      <c r="J513" s="6"/>
      <c r="K513" s="7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 spans="1:21" ht="13">
      <c r="A514" s="2"/>
      <c r="B514" s="9"/>
      <c r="C514" s="9"/>
      <c r="D514" s="9"/>
      <c r="E514" s="1"/>
      <c r="F514" s="5"/>
      <c r="G514" s="3"/>
      <c r="H514" s="4"/>
      <c r="I514" s="5"/>
      <c r="J514" s="6"/>
      <c r="K514" s="7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 spans="1:21" ht="13">
      <c r="A515" s="2"/>
      <c r="B515" s="9"/>
      <c r="C515" s="9"/>
      <c r="D515" s="9"/>
      <c r="E515" s="1"/>
      <c r="F515" s="5"/>
      <c r="G515" s="3"/>
      <c r="H515" s="4"/>
      <c r="I515" s="5"/>
      <c r="J515" s="6"/>
      <c r="K515" s="7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 spans="1:21" ht="13">
      <c r="A516" s="2"/>
      <c r="B516" s="9"/>
      <c r="C516" s="9"/>
      <c r="D516" s="9"/>
      <c r="E516" s="1"/>
      <c r="F516" s="5"/>
      <c r="G516" s="3"/>
      <c r="H516" s="4"/>
      <c r="I516" s="5"/>
      <c r="J516" s="6"/>
      <c r="K516" s="7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 spans="1:21" ht="13">
      <c r="A517" s="2"/>
      <c r="B517" s="9"/>
      <c r="C517" s="9"/>
      <c r="D517" s="9"/>
      <c r="E517" s="1"/>
      <c r="F517" s="5"/>
      <c r="G517" s="3"/>
      <c r="H517" s="4"/>
      <c r="I517" s="5"/>
      <c r="J517" s="6"/>
      <c r="K517" s="7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 spans="1:21" ht="13">
      <c r="A518" s="2"/>
      <c r="B518" s="9"/>
      <c r="C518" s="9"/>
      <c r="D518" s="9"/>
      <c r="E518" s="1"/>
      <c r="F518" s="5"/>
      <c r="G518" s="3"/>
      <c r="H518" s="4"/>
      <c r="I518" s="5"/>
      <c r="J518" s="6"/>
      <c r="K518" s="7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 spans="1:21" ht="13">
      <c r="A519" s="2"/>
      <c r="B519" s="9"/>
      <c r="C519" s="9"/>
      <c r="D519" s="9"/>
      <c r="E519" s="1"/>
      <c r="F519" s="5"/>
      <c r="G519" s="3"/>
      <c r="H519" s="4"/>
      <c r="I519" s="5"/>
      <c r="J519" s="6"/>
      <c r="K519" s="7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 spans="1:21" ht="13">
      <c r="A520" s="2"/>
      <c r="B520" s="9"/>
      <c r="C520" s="9"/>
      <c r="D520" s="9"/>
      <c r="E520" s="1"/>
      <c r="F520" s="5"/>
      <c r="G520" s="3"/>
      <c r="H520" s="4"/>
      <c r="I520" s="5"/>
      <c r="J520" s="6"/>
      <c r="K520" s="7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 spans="1:21" ht="13">
      <c r="A521" s="2"/>
      <c r="B521" s="9"/>
      <c r="C521" s="9"/>
      <c r="D521" s="9"/>
      <c r="E521" s="1"/>
      <c r="F521" s="5"/>
      <c r="G521" s="3"/>
      <c r="H521" s="4"/>
      <c r="I521" s="5"/>
      <c r="J521" s="6"/>
      <c r="K521" s="7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 spans="1:21" ht="13">
      <c r="A522" s="2"/>
      <c r="B522" s="9"/>
      <c r="C522" s="9"/>
      <c r="D522" s="9"/>
      <c r="E522" s="1"/>
      <c r="F522" s="5"/>
      <c r="G522" s="3"/>
      <c r="H522" s="4"/>
      <c r="I522" s="5"/>
      <c r="J522" s="6"/>
      <c r="K522" s="7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 spans="1:21" ht="13">
      <c r="A523" s="2"/>
      <c r="B523" s="9"/>
      <c r="C523" s="9"/>
      <c r="D523" s="9"/>
      <c r="E523" s="1"/>
      <c r="F523" s="5"/>
      <c r="G523" s="3"/>
      <c r="H523" s="4"/>
      <c r="I523" s="5"/>
      <c r="J523" s="6"/>
      <c r="K523" s="7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 spans="1:21" ht="13">
      <c r="A524" s="2"/>
      <c r="B524" s="9"/>
      <c r="C524" s="9"/>
      <c r="D524" s="9"/>
      <c r="E524" s="1"/>
      <c r="F524" s="5"/>
      <c r="G524" s="3"/>
      <c r="H524" s="4"/>
      <c r="I524" s="5"/>
      <c r="J524" s="6"/>
      <c r="K524" s="7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 spans="1:21" ht="13">
      <c r="A525" s="2"/>
      <c r="B525" s="9"/>
      <c r="C525" s="9"/>
      <c r="D525" s="9"/>
      <c r="E525" s="1"/>
      <c r="F525" s="5"/>
      <c r="G525" s="3"/>
      <c r="H525" s="4"/>
      <c r="I525" s="5"/>
      <c r="J525" s="6"/>
      <c r="K525" s="7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 spans="1:21" ht="13">
      <c r="A526" s="2"/>
      <c r="B526" s="9"/>
      <c r="C526" s="9"/>
      <c r="D526" s="9"/>
      <c r="E526" s="1"/>
      <c r="F526" s="5"/>
      <c r="G526" s="3"/>
      <c r="H526" s="4"/>
      <c r="I526" s="5"/>
      <c r="J526" s="6"/>
      <c r="K526" s="7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 spans="1:21" ht="13">
      <c r="A527" s="2"/>
      <c r="B527" s="9"/>
      <c r="C527" s="9"/>
      <c r="D527" s="9"/>
      <c r="E527" s="1"/>
      <c r="F527" s="5"/>
      <c r="G527" s="3"/>
      <c r="H527" s="4"/>
      <c r="I527" s="5"/>
      <c r="J527" s="6"/>
      <c r="K527" s="7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 spans="1:21" ht="13">
      <c r="A528" s="2"/>
      <c r="B528" s="9"/>
      <c r="C528" s="9"/>
      <c r="D528" s="9"/>
      <c r="E528" s="1"/>
      <c r="F528" s="5"/>
      <c r="G528" s="3"/>
      <c r="H528" s="4"/>
      <c r="I528" s="5"/>
      <c r="J528" s="6"/>
      <c r="K528" s="7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 spans="1:21" ht="13">
      <c r="A529" s="2"/>
      <c r="B529" s="9"/>
      <c r="C529" s="9"/>
      <c r="D529" s="9"/>
      <c r="E529" s="1"/>
      <c r="F529" s="5"/>
      <c r="G529" s="3"/>
      <c r="H529" s="4"/>
      <c r="I529" s="5"/>
      <c r="J529" s="6"/>
      <c r="K529" s="7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 spans="1:21" ht="13">
      <c r="A530" s="2"/>
      <c r="B530" s="9"/>
      <c r="C530" s="9"/>
      <c r="D530" s="9"/>
      <c r="E530" s="1"/>
      <c r="F530" s="5"/>
      <c r="G530" s="3"/>
      <c r="H530" s="4"/>
      <c r="I530" s="5"/>
      <c r="J530" s="6"/>
      <c r="K530" s="7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 spans="1:21" ht="13">
      <c r="A531" s="2"/>
      <c r="B531" s="9"/>
      <c r="C531" s="9"/>
      <c r="D531" s="9"/>
      <c r="E531" s="1"/>
      <c r="F531" s="5"/>
      <c r="G531" s="3"/>
      <c r="H531" s="4"/>
      <c r="I531" s="5"/>
      <c r="J531" s="6"/>
      <c r="K531" s="7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 spans="1:21" ht="13">
      <c r="A532" s="2"/>
      <c r="B532" s="9"/>
      <c r="C532" s="9"/>
      <c r="D532" s="9"/>
      <c r="E532" s="1"/>
      <c r="F532" s="5"/>
      <c r="G532" s="3"/>
      <c r="H532" s="4"/>
      <c r="I532" s="5"/>
      <c r="J532" s="6"/>
      <c r="K532" s="7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 spans="1:21" ht="13">
      <c r="A533" s="2"/>
      <c r="B533" s="9"/>
      <c r="C533" s="9"/>
      <c r="D533" s="9"/>
      <c r="E533" s="1"/>
      <c r="F533" s="5"/>
      <c r="G533" s="3"/>
      <c r="H533" s="4"/>
      <c r="I533" s="5"/>
      <c r="J533" s="6"/>
      <c r="K533" s="7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 spans="1:21" ht="13">
      <c r="A534" s="2"/>
      <c r="B534" s="9"/>
      <c r="C534" s="9"/>
      <c r="D534" s="9"/>
      <c r="E534" s="1"/>
      <c r="F534" s="5"/>
      <c r="G534" s="3"/>
      <c r="H534" s="4"/>
      <c r="I534" s="5"/>
      <c r="J534" s="6"/>
      <c r="K534" s="7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 spans="1:21" ht="13">
      <c r="A535" s="2"/>
      <c r="B535" s="9"/>
      <c r="C535" s="9"/>
      <c r="D535" s="9"/>
      <c r="E535" s="1"/>
      <c r="F535" s="5"/>
      <c r="G535" s="3"/>
      <c r="H535" s="4"/>
      <c r="I535" s="5"/>
      <c r="J535" s="6"/>
      <c r="K535" s="7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 spans="1:21" ht="13">
      <c r="A536" s="2"/>
      <c r="B536" s="9"/>
      <c r="C536" s="9"/>
      <c r="D536" s="9"/>
      <c r="E536" s="1"/>
      <c r="F536" s="5"/>
      <c r="G536" s="3"/>
      <c r="H536" s="4"/>
      <c r="I536" s="5"/>
      <c r="J536" s="6"/>
      <c r="K536" s="7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 spans="1:21" ht="13">
      <c r="A537" s="2"/>
      <c r="B537" s="9"/>
      <c r="C537" s="9"/>
      <c r="D537" s="9"/>
      <c r="E537" s="1"/>
      <c r="F537" s="5"/>
      <c r="G537" s="3"/>
      <c r="H537" s="4"/>
      <c r="I537" s="5"/>
      <c r="J537" s="6"/>
      <c r="K537" s="7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 spans="1:21" ht="13">
      <c r="A538" s="2"/>
      <c r="B538" s="9"/>
      <c r="C538" s="9"/>
      <c r="D538" s="9"/>
      <c r="E538" s="1"/>
      <c r="F538" s="5"/>
      <c r="G538" s="3"/>
      <c r="H538" s="4"/>
      <c r="I538" s="5"/>
      <c r="J538" s="6"/>
      <c r="K538" s="7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 spans="1:21" ht="13">
      <c r="A539" s="2"/>
      <c r="B539" s="9"/>
      <c r="C539" s="9"/>
      <c r="D539" s="9"/>
      <c r="E539" s="1"/>
      <c r="F539" s="5"/>
      <c r="G539" s="3"/>
      <c r="H539" s="4"/>
      <c r="I539" s="5"/>
      <c r="J539" s="6"/>
      <c r="K539" s="7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 spans="1:21" ht="13">
      <c r="A540" s="2"/>
      <c r="B540" s="9"/>
      <c r="C540" s="9"/>
      <c r="D540" s="9"/>
      <c r="E540" s="1"/>
      <c r="F540" s="5"/>
      <c r="G540" s="3"/>
      <c r="H540" s="4"/>
      <c r="I540" s="5"/>
      <c r="J540" s="6"/>
      <c r="K540" s="7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 spans="1:21" ht="13">
      <c r="A541" s="2"/>
      <c r="B541" s="9"/>
      <c r="C541" s="9"/>
      <c r="D541" s="9"/>
      <c r="E541" s="1"/>
      <c r="F541" s="5"/>
      <c r="G541" s="3"/>
      <c r="H541" s="4"/>
      <c r="I541" s="5"/>
      <c r="J541" s="6"/>
      <c r="K541" s="7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 spans="1:21" ht="13">
      <c r="A542" s="2"/>
      <c r="B542" s="9"/>
      <c r="C542" s="9"/>
      <c r="D542" s="9"/>
      <c r="E542" s="1"/>
      <c r="F542" s="5"/>
      <c r="G542" s="3"/>
      <c r="H542" s="4"/>
      <c r="I542" s="5"/>
      <c r="J542" s="6"/>
      <c r="K542" s="7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 spans="1:21" ht="13">
      <c r="A543" s="2"/>
      <c r="B543" s="9"/>
      <c r="C543" s="9"/>
      <c r="D543" s="9"/>
      <c r="E543" s="1"/>
      <c r="F543" s="5"/>
      <c r="G543" s="3"/>
      <c r="H543" s="4"/>
      <c r="I543" s="5"/>
      <c r="J543" s="6"/>
      <c r="K543" s="7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 spans="1:21" ht="13">
      <c r="A544" s="2"/>
      <c r="B544" s="9"/>
      <c r="C544" s="9"/>
      <c r="D544" s="9"/>
      <c r="E544" s="1"/>
      <c r="F544" s="5"/>
      <c r="G544" s="3"/>
      <c r="H544" s="4"/>
      <c r="I544" s="5"/>
      <c r="J544" s="6"/>
      <c r="K544" s="7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 spans="1:21" ht="13">
      <c r="A545" s="2"/>
      <c r="B545" s="9"/>
      <c r="C545" s="9"/>
      <c r="D545" s="9"/>
      <c r="E545" s="1"/>
      <c r="F545" s="5"/>
      <c r="G545" s="3"/>
      <c r="H545" s="4"/>
      <c r="I545" s="5"/>
      <c r="J545" s="6"/>
      <c r="K545" s="7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 spans="1:21" ht="13">
      <c r="A546" s="2"/>
      <c r="B546" s="9"/>
      <c r="C546" s="9"/>
      <c r="D546" s="9"/>
      <c r="E546" s="1"/>
      <c r="F546" s="5"/>
      <c r="G546" s="3"/>
      <c r="H546" s="4"/>
      <c r="I546" s="5"/>
      <c r="J546" s="6"/>
      <c r="K546" s="7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 spans="1:21" ht="13">
      <c r="A547" s="2"/>
      <c r="B547" s="9"/>
      <c r="C547" s="9"/>
      <c r="D547" s="9"/>
      <c r="E547" s="1"/>
      <c r="F547" s="5"/>
      <c r="G547" s="3"/>
      <c r="H547" s="4"/>
      <c r="I547" s="5"/>
      <c r="J547" s="6"/>
      <c r="K547" s="7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 spans="1:21" ht="13">
      <c r="A548" s="2"/>
      <c r="B548" s="9"/>
      <c r="C548" s="9"/>
      <c r="D548" s="9"/>
      <c r="E548" s="1"/>
      <c r="F548" s="5"/>
      <c r="G548" s="3"/>
      <c r="H548" s="4"/>
      <c r="I548" s="5"/>
      <c r="J548" s="6"/>
      <c r="K548" s="7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 spans="1:21" ht="13">
      <c r="A549" s="2"/>
      <c r="B549" s="9"/>
      <c r="C549" s="9"/>
      <c r="D549" s="9"/>
      <c r="E549" s="1"/>
      <c r="F549" s="5"/>
      <c r="G549" s="3"/>
      <c r="H549" s="4"/>
      <c r="I549" s="5"/>
      <c r="J549" s="6"/>
      <c r="K549" s="7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 spans="1:21" ht="13">
      <c r="A550" s="2"/>
      <c r="B550" s="9"/>
      <c r="C550" s="9"/>
      <c r="D550" s="9"/>
      <c r="E550" s="1"/>
      <c r="F550" s="5"/>
      <c r="G550" s="3"/>
      <c r="H550" s="4"/>
      <c r="I550" s="5"/>
      <c r="J550" s="6"/>
      <c r="K550" s="7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 spans="1:21" ht="13">
      <c r="A551" s="2"/>
      <c r="B551" s="9"/>
      <c r="C551" s="9"/>
      <c r="D551" s="9"/>
      <c r="E551" s="1"/>
      <c r="F551" s="5"/>
      <c r="G551" s="3"/>
      <c r="H551" s="4"/>
      <c r="I551" s="5"/>
      <c r="J551" s="6"/>
      <c r="K551" s="7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 spans="1:21" ht="13">
      <c r="A552" s="2"/>
      <c r="B552" s="9"/>
      <c r="C552" s="9"/>
      <c r="D552" s="9"/>
      <c r="E552" s="1"/>
      <c r="F552" s="5"/>
      <c r="G552" s="3"/>
      <c r="H552" s="4"/>
      <c r="I552" s="5"/>
      <c r="J552" s="6"/>
      <c r="K552" s="7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 spans="1:21" ht="13">
      <c r="A553" s="2"/>
      <c r="B553" s="9"/>
      <c r="C553" s="9"/>
      <c r="D553" s="9"/>
      <c r="E553" s="1"/>
      <c r="F553" s="5"/>
      <c r="G553" s="3"/>
      <c r="H553" s="4"/>
      <c r="I553" s="5"/>
      <c r="J553" s="6"/>
      <c r="K553" s="7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 spans="1:21" ht="13">
      <c r="A554" s="2"/>
      <c r="B554" s="9"/>
      <c r="C554" s="9"/>
      <c r="D554" s="9"/>
      <c r="E554" s="1"/>
      <c r="F554" s="5"/>
      <c r="G554" s="3"/>
      <c r="H554" s="4"/>
      <c r="I554" s="5"/>
      <c r="J554" s="6"/>
      <c r="K554" s="7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 spans="1:21" ht="13">
      <c r="A555" s="2"/>
      <c r="B555" s="9"/>
      <c r="C555" s="9"/>
      <c r="D555" s="9"/>
      <c r="E555" s="1"/>
      <c r="F555" s="5"/>
      <c r="G555" s="3"/>
      <c r="H555" s="4"/>
      <c r="I555" s="5"/>
      <c r="J555" s="6"/>
      <c r="K555" s="7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 spans="1:21" ht="13">
      <c r="A556" s="2"/>
      <c r="B556" s="9"/>
      <c r="C556" s="9"/>
      <c r="D556" s="9"/>
      <c r="E556" s="1"/>
      <c r="F556" s="5"/>
      <c r="G556" s="3"/>
      <c r="H556" s="4"/>
      <c r="I556" s="5"/>
      <c r="J556" s="6"/>
      <c r="K556" s="7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 spans="1:21" ht="13">
      <c r="A557" s="2"/>
      <c r="B557" s="9"/>
      <c r="C557" s="9"/>
      <c r="D557" s="9"/>
      <c r="E557" s="1"/>
      <c r="F557" s="5"/>
      <c r="G557" s="3"/>
      <c r="H557" s="4"/>
      <c r="I557" s="5"/>
      <c r="J557" s="6"/>
      <c r="K557" s="7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 spans="1:21" ht="13">
      <c r="A558" s="2"/>
      <c r="B558" s="9"/>
      <c r="C558" s="9"/>
      <c r="D558" s="9"/>
      <c r="E558" s="1"/>
      <c r="F558" s="5"/>
      <c r="G558" s="3"/>
      <c r="H558" s="4"/>
      <c r="I558" s="5"/>
      <c r="J558" s="6"/>
      <c r="K558" s="7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 spans="1:21" ht="13">
      <c r="A559" s="2"/>
      <c r="B559" s="9"/>
      <c r="C559" s="9"/>
      <c r="D559" s="9"/>
      <c r="E559" s="1"/>
      <c r="F559" s="5"/>
      <c r="G559" s="3"/>
      <c r="H559" s="4"/>
      <c r="I559" s="5"/>
      <c r="J559" s="6"/>
      <c r="K559" s="7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 spans="1:21" ht="13">
      <c r="A560" s="2"/>
      <c r="B560" s="9"/>
      <c r="C560" s="9"/>
      <c r="D560" s="9"/>
      <c r="E560" s="1"/>
      <c r="F560" s="5"/>
      <c r="G560" s="3"/>
      <c r="H560" s="4"/>
      <c r="I560" s="5"/>
      <c r="J560" s="6"/>
      <c r="K560" s="7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 spans="1:21" ht="13">
      <c r="A561" s="2"/>
      <c r="B561" s="9"/>
      <c r="C561" s="9"/>
      <c r="D561" s="9"/>
      <c r="E561" s="1"/>
      <c r="F561" s="5"/>
      <c r="G561" s="3"/>
      <c r="H561" s="4"/>
      <c r="I561" s="5"/>
      <c r="J561" s="6"/>
      <c r="K561" s="7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 spans="1:21" ht="13">
      <c r="A562" s="2"/>
      <c r="B562" s="9"/>
      <c r="C562" s="9"/>
      <c r="D562" s="9"/>
      <c r="E562" s="1"/>
      <c r="F562" s="5"/>
      <c r="G562" s="3"/>
      <c r="H562" s="4"/>
      <c r="I562" s="5"/>
      <c r="J562" s="6"/>
      <c r="K562" s="7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 spans="1:21" ht="13">
      <c r="A563" s="2"/>
      <c r="B563" s="9"/>
      <c r="C563" s="9"/>
      <c r="D563" s="9"/>
      <c r="E563" s="1"/>
      <c r="F563" s="5"/>
      <c r="G563" s="3"/>
      <c r="H563" s="4"/>
      <c r="I563" s="5"/>
      <c r="J563" s="6"/>
      <c r="K563" s="7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 spans="1:21" ht="13">
      <c r="A564" s="2"/>
      <c r="B564" s="9"/>
      <c r="C564" s="9"/>
      <c r="D564" s="9"/>
      <c r="E564" s="1"/>
      <c r="F564" s="5"/>
      <c r="G564" s="3"/>
      <c r="H564" s="4"/>
      <c r="I564" s="5"/>
      <c r="J564" s="6"/>
      <c r="K564" s="7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 spans="1:21" ht="13">
      <c r="A565" s="2"/>
      <c r="B565" s="9"/>
      <c r="C565" s="9"/>
      <c r="D565" s="9"/>
      <c r="E565" s="1"/>
      <c r="F565" s="5"/>
      <c r="G565" s="3"/>
      <c r="H565" s="4"/>
      <c r="I565" s="5"/>
      <c r="J565" s="6"/>
      <c r="K565" s="7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 spans="1:21" ht="13">
      <c r="A566" s="2"/>
      <c r="B566" s="9"/>
      <c r="C566" s="9"/>
      <c r="D566" s="9"/>
      <c r="E566" s="1"/>
      <c r="F566" s="5"/>
      <c r="G566" s="3"/>
      <c r="H566" s="4"/>
      <c r="I566" s="5"/>
      <c r="J566" s="6"/>
      <c r="K566" s="7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 spans="1:21" ht="13">
      <c r="A567" s="2"/>
      <c r="B567" s="9"/>
      <c r="C567" s="9"/>
      <c r="D567" s="9"/>
      <c r="E567" s="1"/>
      <c r="F567" s="5"/>
      <c r="G567" s="3"/>
      <c r="H567" s="4"/>
      <c r="I567" s="5"/>
      <c r="J567" s="6"/>
      <c r="K567" s="7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 spans="1:21" ht="13">
      <c r="A568" s="2"/>
      <c r="B568" s="9"/>
      <c r="C568" s="9"/>
      <c r="D568" s="9"/>
      <c r="E568" s="1"/>
      <c r="F568" s="5"/>
      <c r="G568" s="3"/>
      <c r="H568" s="4"/>
      <c r="I568" s="5"/>
      <c r="J568" s="6"/>
      <c r="K568" s="7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 spans="1:21" ht="13">
      <c r="A569" s="2"/>
      <c r="B569" s="9"/>
      <c r="C569" s="9"/>
      <c r="D569" s="9"/>
      <c r="E569" s="1"/>
      <c r="F569" s="5"/>
      <c r="G569" s="3"/>
      <c r="H569" s="4"/>
      <c r="I569" s="5"/>
      <c r="J569" s="6"/>
      <c r="K569" s="7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 spans="1:21" ht="13">
      <c r="A570" s="2"/>
      <c r="B570" s="9"/>
      <c r="C570" s="9"/>
      <c r="D570" s="9"/>
      <c r="E570" s="1"/>
      <c r="F570" s="5"/>
      <c r="G570" s="3"/>
      <c r="H570" s="4"/>
      <c r="I570" s="5"/>
      <c r="J570" s="6"/>
      <c r="K570" s="7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 spans="1:21" ht="13">
      <c r="A571" s="2"/>
      <c r="B571" s="9"/>
      <c r="C571" s="9"/>
      <c r="D571" s="9"/>
      <c r="E571" s="1"/>
      <c r="F571" s="5"/>
      <c r="G571" s="3"/>
      <c r="H571" s="4"/>
      <c r="I571" s="5"/>
      <c r="J571" s="6"/>
      <c r="K571" s="7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 spans="1:21" ht="13">
      <c r="A572" s="2"/>
      <c r="B572" s="9"/>
      <c r="C572" s="9"/>
      <c r="D572" s="9"/>
      <c r="E572" s="1"/>
      <c r="F572" s="5"/>
      <c r="G572" s="3"/>
      <c r="H572" s="4"/>
      <c r="I572" s="5"/>
      <c r="J572" s="6"/>
      <c r="K572" s="7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 spans="1:21" ht="13">
      <c r="A573" s="2"/>
      <c r="B573" s="9"/>
      <c r="C573" s="9"/>
      <c r="D573" s="9"/>
      <c r="E573" s="1"/>
      <c r="F573" s="5"/>
      <c r="G573" s="3"/>
      <c r="H573" s="4"/>
      <c r="I573" s="5"/>
      <c r="J573" s="6"/>
      <c r="K573" s="7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 spans="1:21" ht="13">
      <c r="A574" s="2"/>
      <c r="B574" s="9"/>
      <c r="C574" s="9"/>
      <c r="D574" s="9"/>
      <c r="E574" s="1"/>
      <c r="F574" s="5"/>
      <c r="G574" s="3"/>
      <c r="H574" s="4"/>
      <c r="I574" s="5"/>
      <c r="J574" s="6"/>
      <c r="K574" s="7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 spans="1:21" ht="13">
      <c r="A575" s="2"/>
      <c r="B575" s="9"/>
      <c r="C575" s="9"/>
      <c r="D575" s="9"/>
      <c r="E575" s="1"/>
      <c r="F575" s="5"/>
      <c r="G575" s="3"/>
      <c r="H575" s="4"/>
      <c r="I575" s="5"/>
      <c r="J575" s="6"/>
      <c r="K575" s="7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 spans="1:21" ht="13">
      <c r="A576" s="2"/>
      <c r="B576" s="9"/>
      <c r="C576" s="9"/>
      <c r="D576" s="9"/>
      <c r="E576" s="1"/>
      <c r="F576" s="5"/>
      <c r="G576" s="3"/>
      <c r="H576" s="4"/>
      <c r="I576" s="5"/>
      <c r="J576" s="6"/>
      <c r="K576" s="7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 spans="1:21" ht="13">
      <c r="A577" s="2"/>
      <c r="B577" s="9"/>
      <c r="C577" s="9"/>
      <c r="D577" s="9"/>
      <c r="E577" s="1"/>
      <c r="F577" s="5"/>
      <c r="G577" s="3"/>
      <c r="H577" s="4"/>
      <c r="I577" s="5"/>
      <c r="J577" s="6"/>
      <c r="K577" s="7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 spans="1:21" ht="13">
      <c r="A578" s="2"/>
      <c r="B578" s="9"/>
      <c r="C578" s="9"/>
      <c r="D578" s="9"/>
      <c r="E578" s="1"/>
      <c r="F578" s="5"/>
      <c r="G578" s="3"/>
      <c r="H578" s="4"/>
      <c r="I578" s="5"/>
      <c r="J578" s="6"/>
      <c r="K578" s="7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 spans="1:21" ht="13">
      <c r="A579" s="2"/>
      <c r="B579" s="9"/>
      <c r="C579" s="9"/>
      <c r="D579" s="9"/>
      <c r="E579" s="1"/>
      <c r="F579" s="5"/>
      <c r="G579" s="3"/>
      <c r="H579" s="4"/>
      <c r="I579" s="5"/>
      <c r="J579" s="6"/>
      <c r="K579" s="7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 spans="1:21" ht="13">
      <c r="A580" s="2"/>
      <c r="B580" s="9"/>
      <c r="C580" s="9"/>
      <c r="D580" s="9"/>
      <c r="E580" s="1"/>
      <c r="F580" s="5"/>
      <c r="G580" s="3"/>
      <c r="H580" s="4"/>
      <c r="I580" s="5"/>
      <c r="J580" s="6"/>
      <c r="K580" s="7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 spans="1:21" ht="13">
      <c r="A581" s="2"/>
      <c r="B581" s="9"/>
      <c r="C581" s="9"/>
      <c r="D581" s="9"/>
      <c r="E581" s="1"/>
      <c r="F581" s="5"/>
      <c r="G581" s="3"/>
      <c r="H581" s="4"/>
      <c r="I581" s="5"/>
      <c r="J581" s="6"/>
      <c r="K581" s="7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 spans="1:21" ht="13">
      <c r="A582" s="2"/>
      <c r="B582" s="9"/>
      <c r="C582" s="9"/>
      <c r="D582" s="9"/>
      <c r="E582" s="1"/>
      <c r="F582" s="5"/>
      <c r="G582" s="3"/>
      <c r="H582" s="4"/>
      <c r="I582" s="5"/>
      <c r="J582" s="6"/>
      <c r="K582" s="7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 spans="1:21" ht="13">
      <c r="A583" s="2"/>
      <c r="B583" s="9"/>
      <c r="C583" s="9"/>
      <c r="D583" s="9"/>
      <c r="E583" s="1"/>
      <c r="F583" s="5"/>
      <c r="G583" s="3"/>
      <c r="H583" s="4"/>
      <c r="I583" s="5"/>
      <c r="J583" s="6"/>
      <c r="K583" s="7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 spans="1:21" ht="13">
      <c r="A584" s="2"/>
      <c r="B584" s="9"/>
      <c r="C584" s="9"/>
      <c r="D584" s="9"/>
      <c r="E584" s="1"/>
      <c r="F584" s="5"/>
      <c r="G584" s="3"/>
      <c r="H584" s="4"/>
      <c r="I584" s="5"/>
      <c r="J584" s="6"/>
      <c r="K584" s="7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 spans="1:21" ht="13">
      <c r="A585" s="2"/>
      <c r="B585" s="9"/>
      <c r="C585" s="9"/>
      <c r="D585" s="9"/>
      <c r="E585" s="1"/>
      <c r="F585" s="5"/>
      <c r="G585" s="3"/>
      <c r="H585" s="4"/>
      <c r="I585" s="5"/>
      <c r="J585" s="6"/>
      <c r="K585" s="7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 spans="1:21" ht="13">
      <c r="A586" s="2"/>
      <c r="B586" s="9"/>
      <c r="C586" s="9"/>
      <c r="D586" s="9"/>
      <c r="E586" s="1"/>
      <c r="F586" s="5"/>
      <c r="G586" s="3"/>
      <c r="H586" s="4"/>
      <c r="I586" s="5"/>
      <c r="J586" s="6"/>
      <c r="K586" s="7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 spans="1:21" ht="13">
      <c r="A587" s="2"/>
      <c r="B587" s="9"/>
      <c r="C587" s="9"/>
      <c r="D587" s="9"/>
      <c r="E587" s="1"/>
      <c r="F587" s="5"/>
      <c r="G587" s="3"/>
      <c r="H587" s="4"/>
      <c r="I587" s="5"/>
      <c r="J587" s="6"/>
      <c r="K587" s="7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 spans="1:21" ht="13">
      <c r="A588" s="2"/>
      <c r="B588" s="9"/>
      <c r="C588" s="9"/>
      <c r="D588" s="9"/>
      <c r="E588" s="1"/>
      <c r="F588" s="5"/>
      <c r="G588" s="3"/>
      <c r="H588" s="4"/>
      <c r="I588" s="5"/>
      <c r="J588" s="6"/>
      <c r="K588" s="7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 spans="1:21" ht="13">
      <c r="A589" s="2"/>
      <c r="B589" s="9"/>
      <c r="C589" s="9"/>
      <c r="D589" s="9"/>
      <c r="E589" s="1"/>
      <c r="F589" s="5"/>
      <c r="G589" s="3"/>
      <c r="H589" s="4"/>
      <c r="I589" s="5"/>
      <c r="J589" s="6"/>
      <c r="K589" s="7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 spans="1:21" ht="13">
      <c r="A590" s="2"/>
      <c r="B590" s="9"/>
      <c r="C590" s="9"/>
      <c r="D590" s="9"/>
      <c r="E590" s="1"/>
      <c r="F590" s="5"/>
      <c r="G590" s="3"/>
      <c r="H590" s="4"/>
      <c r="I590" s="5"/>
      <c r="J590" s="6"/>
      <c r="K590" s="7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 spans="1:21" ht="13">
      <c r="A591" s="2"/>
      <c r="B591" s="9"/>
      <c r="C591" s="9"/>
      <c r="D591" s="9"/>
      <c r="E591" s="1"/>
      <c r="F591" s="5"/>
      <c r="G591" s="3"/>
      <c r="H591" s="4"/>
      <c r="I591" s="5"/>
      <c r="J591" s="6"/>
      <c r="K591" s="7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 spans="1:21" ht="13">
      <c r="A592" s="2"/>
      <c r="B592" s="9"/>
      <c r="C592" s="9"/>
      <c r="D592" s="9"/>
      <c r="E592" s="1"/>
      <c r="F592" s="5"/>
      <c r="G592" s="3"/>
      <c r="H592" s="4"/>
      <c r="I592" s="5"/>
      <c r="J592" s="6"/>
      <c r="K592" s="7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 spans="1:21" ht="13">
      <c r="A593" s="2"/>
      <c r="B593" s="9"/>
      <c r="C593" s="9"/>
      <c r="D593" s="9"/>
      <c r="E593" s="1"/>
      <c r="F593" s="5"/>
      <c r="G593" s="3"/>
      <c r="H593" s="4"/>
      <c r="I593" s="5"/>
      <c r="J593" s="6"/>
      <c r="K593" s="7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 spans="1:21" ht="13">
      <c r="A594" s="2"/>
      <c r="B594" s="9"/>
      <c r="C594" s="9"/>
      <c r="D594" s="9"/>
      <c r="E594" s="1"/>
      <c r="F594" s="5"/>
      <c r="G594" s="3"/>
      <c r="H594" s="4"/>
      <c r="I594" s="5"/>
      <c r="J594" s="6"/>
      <c r="K594" s="7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 spans="1:21" ht="13">
      <c r="A595" s="2"/>
      <c r="B595" s="9"/>
      <c r="C595" s="9"/>
      <c r="D595" s="9"/>
      <c r="E595" s="1"/>
      <c r="F595" s="5"/>
      <c r="G595" s="3"/>
      <c r="H595" s="4"/>
      <c r="I595" s="5"/>
      <c r="J595" s="6"/>
      <c r="K595" s="7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 spans="1:21" ht="13">
      <c r="A596" s="2"/>
      <c r="B596" s="9"/>
      <c r="C596" s="9"/>
      <c r="D596" s="9"/>
      <c r="E596" s="1"/>
      <c r="F596" s="5"/>
      <c r="G596" s="3"/>
      <c r="H596" s="4"/>
      <c r="I596" s="5"/>
      <c r="J596" s="6"/>
      <c r="K596" s="7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 spans="1:21" ht="13">
      <c r="A597" s="2"/>
      <c r="B597" s="9"/>
      <c r="C597" s="9"/>
      <c r="D597" s="9"/>
      <c r="E597" s="1"/>
      <c r="F597" s="5"/>
      <c r="G597" s="3"/>
      <c r="H597" s="4"/>
      <c r="I597" s="5"/>
      <c r="J597" s="6"/>
      <c r="K597" s="7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 spans="1:21" ht="13">
      <c r="A598" s="2"/>
      <c r="B598" s="9"/>
      <c r="C598" s="9"/>
      <c r="D598" s="9"/>
      <c r="E598" s="1"/>
      <c r="F598" s="5"/>
      <c r="G598" s="3"/>
      <c r="H598" s="4"/>
      <c r="I598" s="5"/>
      <c r="J598" s="6"/>
      <c r="K598" s="7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 spans="1:21" ht="13">
      <c r="A599" s="2"/>
      <c r="B599" s="9"/>
      <c r="C599" s="9"/>
      <c r="D599" s="9"/>
      <c r="E599" s="1"/>
      <c r="F599" s="5"/>
      <c r="G599" s="3"/>
      <c r="H599" s="4"/>
      <c r="I599" s="5"/>
      <c r="J599" s="6"/>
      <c r="K599" s="7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 spans="1:21" ht="13">
      <c r="A600" s="2"/>
      <c r="B600" s="9"/>
      <c r="C600" s="9"/>
      <c r="D600" s="9"/>
      <c r="E600" s="1"/>
      <c r="F600" s="5"/>
      <c r="G600" s="3"/>
      <c r="H600" s="4"/>
      <c r="I600" s="5"/>
      <c r="J600" s="6"/>
      <c r="K600" s="7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 spans="1:21" ht="13">
      <c r="A601" s="2"/>
      <c r="B601" s="9"/>
      <c r="C601" s="9"/>
      <c r="D601" s="9"/>
      <c r="E601" s="1"/>
      <c r="F601" s="5"/>
      <c r="G601" s="3"/>
      <c r="H601" s="4"/>
      <c r="I601" s="5"/>
      <c r="J601" s="6"/>
      <c r="K601" s="7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 spans="1:21" ht="13">
      <c r="A602" s="2"/>
      <c r="B602" s="9"/>
      <c r="C602" s="9"/>
      <c r="D602" s="9"/>
      <c r="E602" s="1"/>
      <c r="F602" s="5"/>
      <c r="G602" s="3"/>
      <c r="H602" s="4"/>
      <c r="I602" s="5"/>
      <c r="J602" s="6"/>
      <c r="K602" s="7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 spans="1:21" ht="13">
      <c r="A603" s="2"/>
      <c r="B603" s="9"/>
      <c r="C603" s="9"/>
      <c r="D603" s="9"/>
      <c r="E603" s="1"/>
      <c r="F603" s="5"/>
      <c r="G603" s="3"/>
      <c r="H603" s="4"/>
      <c r="I603" s="5"/>
      <c r="J603" s="6"/>
      <c r="K603" s="7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 spans="1:21" ht="13">
      <c r="A604" s="2"/>
      <c r="B604" s="9"/>
      <c r="C604" s="9"/>
      <c r="D604" s="9"/>
      <c r="E604" s="1"/>
      <c r="F604" s="5"/>
      <c r="G604" s="3"/>
      <c r="H604" s="4"/>
      <c r="I604" s="5"/>
      <c r="J604" s="6"/>
      <c r="K604" s="7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 spans="1:21" ht="13">
      <c r="A605" s="2"/>
      <c r="B605" s="9"/>
      <c r="C605" s="9"/>
      <c r="D605" s="9"/>
      <c r="E605" s="1"/>
      <c r="F605" s="5"/>
      <c r="G605" s="3"/>
      <c r="H605" s="4"/>
      <c r="I605" s="5"/>
      <c r="J605" s="6"/>
      <c r="K605" s="7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 spans="1:21" ht="13">
      <c r="A606" s="2"/>
      <c r="B606" s="9"/>
      <c r="C606" s="9"/>
      <c r="D606" s="9"/>
      <c r="E606" s="1"/>
      <c r="F606" s="5"/>
      <c r="G606" s="3"/>
      <c r="H606" s="4"/>
      <c r="I606" s="5"/>
      <c r="J606" s="6"/>
      <c r="K606" s="7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 spans="1:21" ht="13">
      <c r="A607" s="2"/>
      <c r="B607" s="9"/>
      <c r="C607" s="9"/>
      <c r="D607" s="9"/>
      <c r="E607" s="1"/>
      <c r="F607" s="5"/>
      <c r="G607" s="3"/>
      <c r="H607" s="4"/>
      <c r="I607" s="5"/>
      <c r="J607" s="6"/>
      <c r="K607" s="7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 spans="1:21" ht="13">
      <c r="A608" s="2"/>
      <c r="B608" s="9"/>
      <c r="C608" s="9"/>
      <c r="D608" s="9"/>
      <c r="E608" s="1"/>
      <c r="F608" s="5"/>
      <c r="G608" s="3"/>
      <c r="H608" s="4"/>
      <c r="I608" s="5"/>
      <c r="J608" s="6"/>
      <c r="K608" s="7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 spans="1:21" ht="13">
      <c r="A609" s="2"/>
      <c r="B609" s="9"/>
      <c r="C609" s="9"/>
      <c r="D609" s="9"/>
      <c r="E609" s="1"/>
      <c r="F609" s="5"/>
      <c r="G609" s="3"/>
      <c r="H609" s="4"/>
      <c r="I609" s="5"/>
      <c r="J609" s="6"/>
      <c r="K609" s="7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 spans="1:21" ht="13">
      <c r="A610" s="2"/>
      <c r="B610" s="9"/>
      <c r="C610" s="9"/>
      <c r="D610" s="9"/>
      <c r="E610" s="1"/>
      <c r="F610" s="5"/>
      <c r="G610" s="3"/>
      <c r="H610" s="4"/>
      <c r="I610" s="5"/>
      <c r="J610" s="6"/>
      <c r="K610" s="7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 spans="1:21" ht="13">
      <c r="A611" s="2"/>
      <c r="B611" s="9"/>
      <c r="C611" s="9"/>
      <c r="D611" s="9"/>
      <c r="E611" s="1"/>
      <c r="F611" s="5"/>
      <c r="G611" s="3"/>
      <c r="H611" s="4"/>
      <c r="I611" s="5"/>
      <c r="J611" s="6"/>
      <c r="K611" s="7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 spans="1:21" ht="13">
      <c r="A612" s="2"/>
      <c r="B612" s="9"/>
      <c r="C612" s="9"/>
      <c r="D612" s="9"/>
      <c r="E612" s="1"/>
      <c r="F612" s="5"/>
      <c r="G612" s="3"/>
      <c r="H612" s="4"/>
      <c r="I612" s="5"/>
      <c r="J612" s="6"/>
      <c r="K612" s="7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 spans="1:21" ht="13">
      <c r="A613" s="2"/>
      <c r="B613" s="9"/>
      <c r="C613" s="9"/>
      <c r="D613" s="9"/>
      <c r="E613" s="1"/>
      <c r="F613" s="5"/>
      <c r="G613" s="3"/>
      <c r="H613" s="4"/>
      <c r="I613" s="5"/>
      <c r="J613" s="6"/>
      <c r="K613" s="7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 spans="1:21" ht="13">
      <c r="A614" s="2"/>
      <c r="B614" s="9"/>
      <c r="C614" s="9"/>
      <c r="D614" s="9"/>
      <c r="E614" s="1"/>
      <c r="F614" s="5"/>
      <c r="G614" s="3"/>
      <c r="H614" s="4"/>
      <c r="I614" s="5"/>
      <c r="J614" s="6"/>
      <c r="K614" s="7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 spans="1:21" ht="13">
      <c r="A615" s="2"/>
      <c r="B615" s="9"/>
      <c r="C615" s="9"/>
      <c r="D615" s="9"/>
      <c r="E615" s="1"/>
      <c r="F615" s="5"/>
      <c r="G615" s="3"/>
      <c r="H615" s="4"/>
      <c r="I615" s="5"/>
      <c r="J615" s="6"/>
      <c r="K615" s="7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 spans="1:21" ht="13">
      <c r="A616" s="2"/>
      <c r="B616" s="9"/>
      <c r="C616" s="9"/>
      <c r="D616" s="9"/>
      <c r="E616" s="1"/>
      <c r="F616" s="5"/>
      <c r="G616" s="3"/>
      <c r="H616" s="4"/>
      <c r="I616" s="5"/>
      <c r="J616" s="6"/>
      <c r="K616" s="7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 spans="1:21" ht="13">
      <c r="A617" s="2"/>
      <c r="B617" s="9"/>
      <c r="C617" s="9"/>
      <c r="D617" s="9"/>
      <c r="E617" s="1"/>
      <c r="F617" s="5"/>
      <c r="G617" s="3"/>
      <c r="H617" s="4"/>
      <c r="I617" s="5"/>
      <c r="J617" s="6"/>
      <c r="K617" s="7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 spans="1:21" ht="13">
      <c r="A618" s="2"/>
      <c r="B618" s="9"/>
      <c r="C618" s="9"/>
      <c r="D618" s="9"/>
      <c r="E618" s="1"/>
      <c r="F618" s="5"/>
      <c r="G618" s="3"/>
      <c r="H618" s="4"/>
      <c r="I618" s="5"/>
      <c r="J618" s="6"/>
      <c r="K618" s="7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 spans="1:21" ht="13">
      <c r="A619" s="2"/>
      <c r="B619" s="9"/>
      <c r="C619" s="9"/>
      <c r="D619" s="9"/>
      <c r="E619" s="1"/>
      <c r="F619" s="5"/>
      <c r="G619" s="3"/>
      <c r="H619" s="4"/>
      <c r="I619" s="5"/>
      <c r="J619" s="6"/>
      <c r="K619" s="7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 spans="1:21" ht="13">
      <c r="A620" s="2"/>
      <c r="B620" s="9"/>
      <c r="C620" s="9"/>
      <c r="D620" s="9"/>
      <c r="E620" s="1"/>
      <c r="F620" s="5"/>
      <c r="G620" s="3"/>
      <c r="H620" s="4"/>
      <c r="I620" s="5"/>
      <c r="J620" s="6"/>
      <c r="K620" s="7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 spans="1:21" ht="13">
      <c r="A621" s="2"/>
      <c r="B621" s="9"/>
      <c r="C621" s="9"/>
      <c r="D621" s="9"/>
      <c r="E621" s="1"/>
      <c r="F621" s="5"/>
      <c r="G621" s="3"/>
      <c r="H621" s="4"/>
      <c r="I621" s="5"/>
      <c r="J621" s="6"/>
      <c r="K621" s="7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 spans="1:21" ht="13">
      <c r="A622" s="2"/>
      <c r="B622" s="9"/>
      <c r="C622" s="9"/>
      <c r="D622" s="9"/>
      <c r="E622" s="1"/>
      <c r="F622" s="5"/>
      <c r="G622" s="3"/>
      <c r="H622" s="4"/>
      <c r="I622" s="5"/>
      <c r="J622" s="6"/>
      <c r="K622" s="7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 spans="1:21" ht="13">
      <c r="A623" s="2"/>
      <c r="B623" s="9"/>
      <c r="C623" s="9"/>
      <c r="D623" s="9"/>
      <c r="E623" s="1"/>
      <c r="F623" s="5"/>
      <c r="G623" s="3"/>
      <c r="H623" s="4"/>
      <c r="I623" s="5"/>
      <c r="J623" s="6"/>
      <c r="K623" s="7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 spans="1:21" ht="13">
      <c r="A624" s="2"/>
      <c r="B624" s="9"/>
      <c r="C624" s="9"/>
      <c r="D624" s="9"/>
      <c r="E624" s="1"/>
      <c r="F624" s="5"/>
      <c r="G624" s="3"/>
      <c r="H624" s="4"/>
      <c r="I624" s="5"/>
      <c r="J624" s="6"/>
      <c r="K624" s="7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 spans="1:21" ht="13">
      <c r="A625" s="2"/>
      <c r="B625" s="9"/>
      <c r="C625" s="9"/>
      <c r="D625" s="9"/>
      <c r="E625" s="1"/>
      <c r="F625" s="5"/>
      <c r="G625" s="3"/>
      <c r="H625" s="4"/>
      <c r="I625" s="5"/>
      <c r="J625" s="6"/>
      <c r="K625" s="7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 spans="1:21" ht="13">
      <c r="A626" s="2"/>
      <c r="B626" s="9"/>
      <c r="C626" s="9"/>
      <c r="D626" s="9"/>
      <c r="E626" s="1"/>
      <c r="F626" s="5"/>
      <c r="G626" s="3"/>
      <c r="H626" s="4"/>
      <c r="I626" s="5"/>
      <c r="J626" s="6"/>
      <c r="K626" s="7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 spans="1:21" ht="13">
      <c r="A627" s="2"/>
      <c r="B627" s="9"/>
      <c r="C627" s="9"/>
      <c r="D627" s="9"/>
      <c r="E627" s="1"/>
      <c r="F627" s="5"/>
      <c r="G627" s="3"/>
      <c r="H627" s="4"/>
      <c r="I627" s="5"/>
      <c r="J627" s="6"/>
      <c r="K627" s="7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 spans="1:21" ht="13">
      <c r="A628" s="2"/>
      <c r="B628" s="9"/>
      <c r="C628" s="9"/>
      <c r="D628" s="9"/>
      <c r="E628" s="1"/>
      <c r="F628" s="5"/>
      <c r="G628" s="3"/>
      <c r="H628" s="4"/>
      <c r="I628" s="5"/>
      <c r="J628" s="6"/>
      <c r="K628" s="7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 spans="1:21" ht="13">
      <c r="A629" s="2"/>
      <c r="B629" s="9"/>
      <c r="C629" s="9"/>
      <c r="D629" s="9"/>
      <c r="E629" s="1"/>
      <c r="F629" s="5"/>
      <c r="G629" s="3"/>
      <c r="H629" s="4"/>
      <c r="I629" s="5"/>
      <c r="J629" s="6"/>
      <c r="K629" s="7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 spans="1:21" ht="13">
      <c r="A630" s="2"/>
      <c r="B630" s="9"/>
      <c r="C630" s="9"/>
      <c r="D630" s="9"/>
      <c r="E630" s="1"/>
      <c r="F630" s="5"/>
      <c r="G630" s="3"/>
      <c r="H630" s="4"/>
      <c r="I630" s="5"/>
      <c r="J630" s="6"/>
      <c r="K630" s="7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 spans="1:21" ht="13">
      <c r="A631" s="2"/>
      <c r="B631" s="9"/>
      <c r="C631" s="9"/>
      <c r="D631" s="9"/>
      <c r="E631" s="1"/>
      <c r="F631" s="5"/>
      <c r="G631" s="3"/>
      <c r="H631" s="4"/>
      <c r="I631" s="5"/>
      <c r="J631" s="6"/>
      <c r="K631" s="7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 spans="1:21" ht="13">
      <c r="A632" s="2"/>
      <c r="B632" s="9"/>
      <c r="C632" s="9"/>
      <c r="D632" s="9"/>
      <c r="E632" s="1"/>
      <c r="F632" s="5"/>
      <c r="G632" s="3"/>
      <c r="H632" s="4"/>
      <c r="I632" s="5"/>
      <c r="J632" s="6"/>
      <c r="K632" s="7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 spans="1:21" ht="13">
      <c r="A633" s="2"/>
      <c r="B633" s="9"/>
      <c r="C633" s="9"/>
      <c r="D633" s="9"/>
      <c r="E633" s="1"/>
      <c r="F633" s="5"/>
      <c r="G633" s="3"/>
      <c r="H633" s="4"/>
      <c r="I633" s="5"/>
      <c r="J633" s="6"/>
      <c r="K633" s="7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 spans="1:21" ht="13">
      <c r="A634" s="2"/>
      <c r="B634" s="9"/>
      <c r="C634" s="9"/>
      <c r="D634" s="9"/>
      <c r="E634" s="1"/>
      <c r="F634" s="5"/>
      <c r="G634" s="3"/>
      <c r="H634" s="4"/>
      <c r="I634" s="5"/>
      <c r="J634" s="6"/>
      <c r="K634" s="7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 spans="1:21" ht="13">
      <c r="A635" s="2"/>
      <c r="B635" s="9"/>
      <c r="C635" s="9"/>
      <c r="D635" s="9"/>
      <c r="E635" s="1"/>
      <c r="F635" s="5"/>
      <c r="G635" s="3"/>
      <c r="H635" s="4"/>
      <c r="I635" s="5"/>
      <c r="J635" s="6"/>
      <c r="K635" s="7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 spans="1:21" ht="13">
      <c r="A636" s="2"/>
      <c r="B636" s="9"/>
      <c r="C636" s="9"/>
      <c r="D636" s="9"/>
      <c r="E636" s="1"/>
      <c r="F636" s="5"/>
      <c r="G636" s="3"/>
      <c r="H636" s="4"/>
      <c r="I636" s="5"/>
      <c r="J636" s="6"/>
      <c r="K636" s="7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 spans="1:21" ht="13">
      <c r="A637" s="2"/>
      <c r="B637" s="9"/>
      <c r="C637" s="9"/>
      <c r="D637" s="9"/>
      <c r="E637" s="1"/>
      <c r="F637" s="5"/>
      <c r="G637" s="3"/>
      <c r="H637" s="4"/>
      <c r="I637" s="5"/>
      <c r="J637" s="6"/>
      <c r="K637" s="7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 spans="1:21" ht="13">
      <c r="A638" s="2"/>
      <c r="B638" s="9"/>
      <c r="C638" s="9"/>
      <c r="D638" s="9"/>
      <c r="E638" s="1"/>
      <c r="F638" s="5"/>
      <c r="G638" s="3"/>
      <c r="H638" s="4"/>
      <c r="I638" s="5"/>
      <c r="J638" s="6"/>
      <c r="K638" s="7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 spans="1:21" ht="13">
      <c r="A639" s="2"/>
      <c r="B639" s="9"/>
      <c r="C639" s="9"/>
      <c r="D639" s="9"/>
      <c r="E639" s="1"/>
      <c r="F639" s="5"/>
      <c r="G639" s="3"/>
      <c r="H639" s="4"/>
      <c r="I639" s="5"/>
      <c r="J639" s="6"/>
      <c r="K639" s="7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 spans="1:21" ht="13">
      <c r="A640" s="2"/>
      <c r="B640" s="9"/>
      <c r="C640" s="9"/>
      <c r="D640" s="9"/>
      <c r="E640" s="1"/>
      <c r="F640" s="5"/>
      <c r="G640" s="3"/>
      <c r="H640" s="4"/>
      <c r="I640" s="5"/>
      <c r="J640" s="6"/>
      <c r="K640" s="7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 spans="1:21" ht="13">
      <c r="A641" s="2"/>
      <c r="B641" s="9"/>
      <c r="C641" s="9"/>
      <c r="D641" s="9"/>
      <c r="E641" s="1"/>
      <c r="F641" s="5"/>
      <c r="G641" s="3"/>
      <c r="H641" s="4"/>
      <c r="I641" s="5"/>
      <c r="J641" s="6"/>
      <c r="K641" s="7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 spans="1:21" ht="13">
      <c r="A642" s="2"/>
      <c r="B642" s="9"/>
      <c r="C642" s="9"/>
      <c r="D642" s="9"/>
      <c r="E642" s="1"/>
      <c r="F642" s="5"/>
      <c r="G642" s="3"/>
      <c r="H642" s="4"/>
      <c r="I642" s="5"/>
      <c r="J642" s="6"/>
      <c r="K642" s="7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 spans="1:21" ht="13">
      <c r="A643" s="2"/>
      <c r="B643" s="9"/>
      <c r="C643" s="9"/>
      <c r="D643" s="9"/>
      <c r="E643" s="1"/>
      <c r="F643" s="5"/>
      <c r="G643" s="3"/>
      <c r="H643" s="4"/>
      <c r="I643" s="5"/>
      <c r="J643" s="6"/>
      <c r="K643" s="7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 spans="1:21" ht="13">
      <c r="A644" s="2"/>
      <c r="B644" s="9"/>
      <c r="C644" s="9"/>
      <c r="D644" s="9"/>
      <c r="E644" s="1"/>
      <c r="F644" s="5"/>
      <c r="G644" s="3"/>
      <c r="H644" s="4"/>
      <c r="I644" s="5"/>
      <c r="J644" s="6"/>
      <c r="K644" s="7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 spans="1:21" ht="13">
      <c r="A645" s="2"/>
      <c r="B645" s="9"/>
      <c r="C645" s="9"/>
      <c r="D645" s="9"/>
      <c r="E645" s="1"/>
      <c r="F645" s="5"/>
      <c r="G645" s="3"/>
      <c r="H645" s="4"/>
      <c r="I645" s="5"/>
      <c r="J645" s="6"/>
      <c r="K645" s="7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 spans="1:21" ht="13">
      <c r="A646" s="2"/>
      <c r="B646" s="9"/>
      <c r="C646" s="9"/>
      <c r="D646" s="9"/>
      <c r="E646" s="1"/>
      <c r="F646" s="5"/>
      <c r="G646" s="3"/>
      <c r="H646" s="4"/>
      <c r="I646" s="5"/>
      <c r="J646" s="6"/>
      <c r="K646" s="7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 spans="1:21" ht="13">
      <c r="A647" s="2"/>
      <c r="B647" s="9"/>
      <c r="C647" s="9"/>
      <c r="D647" s="9"/>
      <c r="E647" s="1"/>
      <c r="F647" s="5"/>
      <c r="G647" s="3"/>
      <c r="H647" s="4"/>
      <c r="I647" s="5"/>
      <c r="J647" s="6"/>
      <c r="K647" s="7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 spans="1:21" ht="13">
      <c r="A648" s="2"/>
      <c r="B648" s="9"/>
      <c r="C648" s="9"/>
      <c r="D648" s="9"/>
      <c r="E648" s="1"/>
      <c r="F648" s="5"/>
      <c r="G648" s="3"/>
      <c r="H648" s="4"/>
      <c r="I648" s="5"/>
      <c r="J648" s="6"/>
      <c r="K648" s="7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 spans="1:21" ht="13">
      <c r="A649" s="2"/>
      <c r="B649" s="9"/>
      <c r="C649" s="9"/>
      <c r="D649" s="9"/>
      <c r="E649" s="1"/>
      <c r="F649" s="5"/>
      <c r="G649" s="3"/>
      <c r="H649" s="4"/>
      <c r="I649" s="5"/>
      <c r="J649" s="6"/>
      <c r="K649" s="7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 spans="1:21" ht="13">
      <c r="A650" s="2"/>
      <c r="B650" s="9"/>
      <c r="C650" s="9"/>
      <c r="D650" s="9"/>
      <c r="E650" s="1"/>
      <c r="F650" s="5"/>
      <c r="G650" s="3"/>
      <c r="H650" s="4"/>
      <c r="I650" s="5"/>
      <c r="J650" s="6"/>
      <c r="K650" s="7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 spans="1:21" ht="13">
      <c r="A651" s="2"/>
      <c r="B651" s="9"/>
      <c r="C651" s="9"/>
      <c r="D651" s="9"/>
      <c r="E651" s="1"/>
      <c r="F651" s="5"/>
      <c r="G651" s="3"/>
      <c r="H651" s="4"/>
      <c r="I651" s="5"/>
      <c r="J651" s="6"/>
      <c r="K651" s="7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 spans="1:21" ht="13">
      <c r="A652" s="2"/>
      <c r="B652" s="9"/>
      <c r="C652" s="9"/>
      <c r="D652" s="9"/>
      <c r="E652" s="1"/>
      <c r="F652" s="5"/>
      <c r="G652" s="3"/>
      <c r="H652" s="4"/>
      <c r="I652" s="5"/>
      <c r="J652" s="6"/>
      <c r="K652" s="7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 spans="1:21" ht="13">
      <c r="A653" s="2"/>
      <c r="B653" s="9"/>
      <c r="C653" s="9"/>
      <c r="D653" s="9"/>
      <c r="E653" s="1"/>
      <c r="F653" s="5"/>
      <c r="G653" s="3"/>
      <c r="H653" s="4"/>
      <c r="I653" s="5"/>
      <c r="J653" s="6"/>
      <c r="K653" s="7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 spans="1:21" ht="13">
      <c r="A654" s="2"/>
      <c r="B654" s="9"/>
      <c r="C654" s="9"/>
      <c r="D654" s="9"/>
      <c r="E654" s="1"/>
      <c r="F654" s="5"/>
      <c r="G654" s="3"/>
      <c r="H654" s="4"/>
      <c r="I654" s="5"/>
      <c r="J654" s="6"/>
      <c r="K654" s="7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 spans="1:21" ht="13">
      <c r="A655" s="2"/>
      <c r="B655" s="9"/>
      <c r="C655" s="9"/>
      <c r="D655" s="9"/>
      <c r="E655" s="1"/>
      <c r="F655" s="5"/>
      <c r="G655" s="3"/>
      <c r="H655" s="4"/>
      <c r="I655" s="5"/>
      <c r="J655" s="6"/>
      <c r="K655" s="7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 spans="1:21" ht="13">
      <c r="A656" s="2"/>
      <c r="B656" s="9"/>
      <c r="C656" s="9"/>
      <c r="D656" s="9"/>
      <c r="E656" s="1"/>
      <c r="F656" s="5"/>
      <c r="G656" s="3"/>
      <c r="H656" s="4"/>
      <c r="I656" s="5"/>
      <c r="J656" s="6"/>
      <c r="K656" s="7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 spans="1:21" ht="13">
      <c r="A657" s="2"/>
      <c r="B657" s="9"/>
      <c r="C657" s="9"/>
      <c r="D657" s="9"/>
      <c r="E657" s="1"/>
      <c r="F657" s="5"/>
      <c r="G657" s="3"/>
      <c r="H657" s="4"/>
      <c r="I657" s="5"/>
      <c r="J657" s="6"/>
      <c r="K657" s="7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 spans="1:21" ht="13">
      <c r="A658" s="2"/>
      <c r="B658" s="9"/>
      <c r="C658" s="9"/>
      <c r="D658" s="9"/>
      <c r="E658" s="1"/>
      <c r="F658" s="5"/>
      <c r="G658" s="3"/>
      <c r="H658" s="4"/>
      <c r="I658" s="5"/>
      <c r="J658" s="6"/>
      <c r="K658" s="7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 spans="1:21" ht="13">
      <c r="A659" s="2"/>
      <c r="B659" s="9"/>
      <c r="C659" s="9"/>
      <c r="D659" s="9"/>
      <c r="E659" s="1"/>
      <c r="F659" s="5"/>
      <c r="G659" s="3"/>
      <c r="H659" s="4"/>
      <c r="I659" s="5"/>
      <c r="J659" s="6"/>
      <c r="K659" s="7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 spans="1:21" ht="13">
      <c r="A660" s="2"/>
      <c r="B660" s="9"/>
      <c r="C660" s="9"/>
      <c r="D660" s="9"/>
      <c r="E660" s="1"/>
      <c r="F660" s="5"/>
      <c r="G660" s="3"/>
      <c r="H660" s="4"/>
      <c r="I660" s="5"/>
      <c r="J660" s="6"/>
      <c r="K660" s="7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 spans="1:21" ht="13">
      <c r="A661" s="2"/>
      <c r="B661" s="9"/>
      <c r="C661" s="9"/>
      <c r="D661" s="9"/>
      <c r="E661" s="1"/>
      <c r="F661" s="5"/>
      <c r="G661" s="3"/>
      <c r="H661" s="4"/>
      <c r="I661" s="5"/>
      <c r="J661" s="6"/>
      <c r="K661" s="7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 spans="1:21" ht="13">
      <c r="A662" s="2"/>
      <c r="B662" s="9"/>
      <c r="C662" s="9"/>
      <c r="D662" s="9"/>
      <c r="E662" s="1"/>
      <c r="F662" s="5"/>
      <c r="G662" s="3"/>
      <c r="H662" s="4"/>
      <c r="I662" s="5"/>
      <c r="J662" s="6"/>
      <c r="K662" s="7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 spans="1:21" ht="13">
      <c r="A663" s="2"/>
      <c r="B663" s="9"/>
      <c r="C663" s="9"/>
      <c r="D663" s="9"/>
      <c r="E663" s="1"/>
      <c r="F663" s="5"/>
      <c r="G663" s="3"/>
      <c r="H663" s="4"/>
      <c r="I663" s="5"/>
      <c r="J663" s="6"/>
      <c r="K663" s="7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 spans="1:21" ht="13">
      <c r="A664" s="2"/>
      <c r="B664" s="9"/>
      <c r="C664" s="9"/>
      <c r="D664" s="9"/>
      <c r="E664" s="1"/>
      <c r="F664" s="5"/>
      <c r="G664" s="3"/>
      <c r="H664" s="4"/>
      <c r="I664" s="5"/>
      <c r="J664" s="6"/>
      <c r="K664" s="7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 spans="1:21" ht="13">
      <c r="A665" s="2"/>
      <c r="B665" s="9"/>
      <c r="C665" s="9"/>
      <c r="D665" s="9"/>
      <c r="E665" s="1"/>
      <c r="F665" s="5"/>
      <c r="G665" s="3"/>
      <c r="H665" s="4"/>
      <c r="I665" s="5"/>
      <c r="J665" s="6"/>
      <c r="K665" s="7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 spans="1:21" ht="13">
      <c r="A666" s="2"/>
      <c r="B666" s="9"/>
      <c r="C666" s="9"/>
      <c r="D666" s="9"/>
      <c r="E666" s="1"/>
      <c r="F666" s="5"/>
      <c r="G666" s="3"/>
      <c r="H666" s="4"/>
      <c r="I666" s="5"/>
      <c r="J666" s="6"/>
      <c r="K666" s="7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 spans="1:21" ht="13">
      <c r="A667" s="2"/>
      <c r="B667" s="9"/>
      <c r="C667" s="9"/>
      <c r="D667" s="9"/>
      <c r="E667" s="1"/>
      <c r="F667" s="5"/>
      <c r="G667" s="3"/>
      <c r="H667" s="4"/>
      <c r="I667" s="5"/>
      <c r="J667" s="6"/>
      <c r="K667" s="7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 spans="1:21" ht="13">
      <c r="A668" s="2"/>
      <c r="B668" s="9"/>
      <c r="C668" s="9"/>
      <c r="D668" s="9"/>
      <c r="E668" s="1"/>
      <c r="F668" s="5"/>
      <c r="G668" s="3"/>
      <c r="H668" s="4"/>
      <c r="I668" s="5"/>
      <c r="J668" s="6"/>
      <c r="K668" s="7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 spans="1:21" ht="13">
      <c r="A669" s="2"/>
      <c r="B669" s="9"/>
      <c r="C669" s="9"/>
      <c r="D669" s="9"/>
      <c r="E669" s="1"/>
      <c r="F669" s="5"/>
      <c r="G669" s="3"/>
      <c r="H669" s="4"/>
      <c r="I669" s="5"/>
      <c r="J669" s="6"/>
      <c r="K669" s="7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 spans="1:21" ht="13">
      <c r="A670" s="2"/>
      <c r="B670" s="9"/>
      <c r="C670" s="9"/>
      <c r="D670" s="9"/>
      <c r="E670" s="1"/>
      <c r="F670" s="5"/>
      <c r="G670" s="3"/>
      <c r="H670" s="4"/>
      <c r="I670" s="5"/>
      <c r="J670" s="6"/>
      <c r="K670" s="7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 spans="1:21" ht="13">
      <c r="A671" s="2"/>
      <c r="B671" s="9"/>
      <c r="C671" s="9"/>
      <c r="D671" s="9"/>
      <c r="E671" s="1"/>
      <c r="F671" s="5"/>
      <c r="G671" s="3"/>
      <c r="H671" s="4"/>
      <c r="I671" s="5"/>
      <c r="J671" s="6"/>
      <c r="K671" s="7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 spans="1:21" ht="13">
      <c r="A672" s="2"/>
      <c r="B672" s="9"/>
      <c r="C672" s="9"/>
      <c r="D672" s="9"/>
      <c r="E672" s="1"/>
      <c r="F672" s="5"/>
      <c r="G672" s="3"/>
      <c r="H672" s="4"/>
      <c r="I672" s="5"/>
      <c r="J672" s="6"/>
      <c r="K672" s="7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 spans="1:21" ht="13">
      <c r="A673" s="2"/>
      <c r="B673" s="9"/>
      <c r="C673" s="9"/>
      <c r="D673" s="9"/>
      <c r="E673" s="1"/>
      <c r="F673" s="5"/>
      <c r="G673" s="3"/>
      <c r="H673" s="4"/>
      <c r="I673" s="5"/>
      <c r="J673" s="6"/>
      <c r="K673" s="7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 spans="1:21" ht="13">
      <c r="A674" s="2"/>
      <c r="B674" s="9"/>
      <c r="C674" s="9"/>
      <c r="D674" s="9"/>
      <c r="E674" s="1"/>
      <c r="F674" s="5"/>
      <c r="G674" s="3"/>
      <c r="H674" s="4"/>
      <c r="I674" s="5"/>
      <c r="J674" s="6"/>
      <c r="K674" s="7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 spans="1:21" ht="13">
      <c r="A675" s="2"/>
      <c r="B675" s="9"/>
      <c r="C675" s="9"/>
      <c r="D675" s="9"/>
      <c r="E675" s="1"/>
      <c r="F675" s="5"/>
      <c r="G675" s="3"/>
      <c r="H675" s="4"/>
      <c r="I675" s="5"/>
      <c r="J675" s="6"/>
      <c r="K675" s="7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 spans="1:21" ht="13">
      <c r="A676" s="2"/>
      <c r="B676" s="9"/>
      <c r="C676" s="9"/>
      <c r="D676" s="9"/>
      <c r="E676" s="1"/>
      <c r="F676" s="5"/>
      <c r="G676" s="3"/>
      <c r="H676" s="4"/>
      <c r="I676" s="5"/>
      <c r="J676" s="6"/>
      <c r="K676" s="7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 spans="1:21" ht="13">
      <c r="A677" s="2"/>
      <c r="B677" s="9"/>
      <c r="C677" s="9"/>
      <c r="D677" s="9"/>
      <c r="E677" s="1"/>
      <c r="F677" s="5"/>
      <c r="G677" s="3"/>
      <c r="H677" s="4"/>
      <c r="I677" s="5"/>
      <c r="J677" s="6"/>
      <c r="K677" s="7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 spans="1:21" ht="13">
      <c r="A678" s="2"/>
      <c r="B678" s="9"/>
      <c r="C678" s="9"/>
      <c r="D678" s="9"/>
      <c r="E678" s="1"/>
      <c r="F678" s="5"/>
      <c r="G678" s="3"/>
      <c r="H678" s="4"/>
      <c r="I678" s="5"/>
      <c r="J678" s="6"/>
      <c r="K678" s="7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 spans="1:21" ht="13">
      <c r="A679" s="2"/>
      <c r="B679" s="9"/>
      <c r="C679" s="9"/>
      <c r="D679" s="9"/>
      <c r="E679" s="1"/>
      <c r="F679" s="5"/>
      <c r="G679" s="3"/>
      <c r="H679" s="4"/>
      <c r="I679" s="5"/>
      <c r="J679" s="6"/>
      <c r="K679" s="7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 spans="1:21" ht="13">
      <c r="A680" s="2"/>
      <c r="B680" s="9"/>
      <c r="C680" s="9"/>
      <c r="D680" s="9"/>
      <c r="E680" s="1"/>
      <c r="F680" s="5"/>
      <c r="G680" s="3"/>
      <c r="H680" s="4"/>
      <c r="I680" s="5"/>
      <c r="J680" s="6"/>
      <c r="K680" s="7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 spans="1:21" ht="13">
      <c r="A681" s="2"/>
      <c r="B681" s="9"/>
      <c r="C681" s="9"/>
      <c r="D681" s="9"/>
      <c r="E681" s="1"/>
      <c r="F681" s="5"/>
      <c r="G681" s="3"/>
      <c r="H681" s="4"/>
      <c r="I681" s="5"/>
      <c r="J681" s="6"/>
      <c r="K681" s="7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 spans="1:21" ht="13">
      <c r="A682" s="2"/>
      <c r="B682" s="9"/>
      <c r="C682" s="9"/>
      <c r="D682" s="9"/>
      <c r="E682" s="1"/>
      <c r="F682" s="5"/>
      <c r="G682" s="3"/>
      <c r="H682" s="4"/>
      <c r="I682" s="5"/>
      <c r="J682" s="6"/>
      <c r="K682" s="7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 spans="1:21" ht="13">
      <c r="A683" s="2"/>
      <c r="B683" s="9"/>
      <c r="C683" s="9"/>
      <c r="D683" s="9"/>
      <c r="E683" s="1"/>
      <c r="F683" s="5"/>
      <c r="G683" s="3"/>
      <c r="H683" s="4"/>
      <c r="I683" s="5"/>
      <c r="J683" s="6"/>
      <c r="K683" s="7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 spans="1:21" ht="13">
      <c r="A684" s="2"/>
      <c r="B684" s="9"/>
      <c r="C684" s="9"/>
      <c r="D684" s="9"/>
      <c r="E684" s="1"/>
      <c r="F684" s="5"/>
      <c r="G684" s="3"/>
      <c r="H684" s="4"/>
      <c r="I684" s="5"/>
      <c r="J684" s="6"/>
      <c r="K684" s="7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 spans="1:21" ht="13">
      <c r="A685" s="2"/>
      <c r="B685" s="9"/>
      <c r="C685" s="9"/>
      <c r="D685" s="9"/>
      <c r="E685" s="1"/>
      <c r="F685" s="5"/>
      <c r="G685" s="3"/>
      <c r="H685" s="4"/>
      <c r="I685" s="5"/>
      <c r="J685" s="6"/>
      <c r="K685" s="7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 spans="1:21" ht="13">
      <c r="A686" s="2"/>
      <c r="B686" s="9"/>
      <c r="C686" s="9"/>
      <c r="D686" s="9"/>
      <c r="E686" s="1"/>
      <c r="F686" s="5"/>
      <c r="G686" s="3"/>
      <c r="H686" s="4"/>
      <c r="I686" s="5"/>
      <c r="J686" s="6"/>
      <c r="K686" s="7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 spans="1:21" ht="13">
      <c r="A687" s="2"/>
      <c r="B687" s="9"/>
      <c r="C687" s="9"/>
      <c r="D687" s="9"/>
      <c r="E687" s="1"/>
      <c r="F687" s="5"/>
      <c r="G687" s="3"/>
      <c r="H687" s="4"/>
      <c r="I687" s="5"/>
      <c r="J687" s="6"/>
      <c r="K687" s="7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 spans="1:21" ht="13">
      <c r="A688" s="2"/>
      <c r="B688" s="9"/>
      <c r="C688" s="9"/>
      <c r="D688" s="9"/>
      <c r="E688" s="1"/>
      <c r="F688" s="5"/>
      <c r="G688" s="3"/>
      <c r="H688" s="4"/>
      <c r="I688" s="5"/>
      <c r="J688" s="6"/>
      <c r="K688" s="7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 spans="1:21" ht="13">
      <c r="A689" s="2"/>
      <c r="B689" s="9"/>
      <c r="C689" s="9"/>
      <c r="D689" s="9"/>
      <c r="E689" s="1"/>
      <c r="F689" s="5"/>
      <c r="G689" s="3"/>
      <c r="H689" s="4"/>
      <c r="I689" s="5"/>
      <c r="J689" s="6"/>
      <c r="K689" s="7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 spans="1:21" ht="13">
      <c r="A690" s="2"/>
      <c r="B690" s="9"/>
      <c r="C690" s="9"/>
      <c r="D690" s="9"/>
      <c r="E690" s="1"/>
      <c r="F690" s="5"/>
      <c r="G690" s="3"/>
      <c r="H690" s="4"/>
      <c r="I690" s="5"/>
      <c r="J690" s="6"/>
      <c r="K690" s="7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 spans="1:21" ht="13">
      <c r="A691" s="2"/>
      <c r="B691" s="9"/>
      <c r="C691" s="9"/>
      <c r="D691" s="9"/>
      <c r="E691" s="1"/>
      <c r="F691" s="5"/>
      <c r="G691" s="3"/>
      <c r="H691" s="4"/>
      <c r="I691" s="5"/>
      <c r="J691" s="6"/>
      <c r="K691" s="7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 spans="1:21" ht="13">
      <c r="A692" s="2"/>
      <c r="B692" s="9"/>
      <c r="C692" s="9"/>
      <c r="D692" s="9"/>
      <c r="E692" s="1"/>
      <c r="F692" s="5"/>
      <c r="G692" s="3"/>
      <c r="H692" s="4"/>
      <c r="I692" s="5"/>
      <c r="J692" s="6"/>
      <c r="K692" s="7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 spans="1:21" ht="13">
      <c r="A693" s="2"/>
      <c r="B693" s="9"/>
      <c r="C693" s="9"/>
      <c r="D693" s="9"/>
      <c r="E693" s="1"/>
      <c r="F693" s="5"/>
      <c r="G693" s="3"/>
      <c r="H693" s="4"/>
      <c r="I693" s="5"/>
      <c r="J693" s="6"/>
      <c r="K693" s="7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 spans="1:21" ht="13">
      <c r="A694" s="2"/>
      <c r="B694" s="9"/>
      <c r="C694" s="9"/>
      <c r="D694" s="9"/>
      <c r="E694" s="1"/>
      <c r="F694" s="5"/>
      <c r="G694" s="3"/>
      <c r="H694" s="4"/>
      <c r="I694" s="5"/>
      <c r="J694" s="6"/>
      <c r="K694" s="7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 spans="1:21" ht="13">
      <c r="A695" s="2"/>
      <c r="B695" s="9"/>
      <c r="C695" s="9"/>
      <c r="D695" s="9"/>
      <c r="E695" s="1"/>
      <c r="F695" s="5"/>
      <c r="G695" s="3"/>
      <c r="H695" s="4"/>
      <c r="I695" s="5"/>
      <c r="J695" s="6"/>
      <c r="K695" s="7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 spans="1:21" ht="13">
      <c r="A696" s="2"/>
      <c r="B696" s="9"/>
      <c r="C696" s="9"/>
      <c r="D696" s="9"/>
      <c r="E696" s="1"/>
      <c r="F696" s="5"/>
      <c r="G696" s="3"/>
      <c r="H696" s="4"/>
      <c r="I696" s="5"/>
      <c r="J696" s="6"/>
      <c r="K696" s="7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 spans="1:21" ht="13">
      <c r="A697" s="2"/>
      <c r="B697" s="9"/>
      <c r="C697" s="9"/>
      <c r="D697" s="9"/>
      <c r="E697" s="1"/>
      <c r="F697" s="5"/>
      <c r="G697" s="3"/>
      <c r="H697" s="4"/>
      <c r="I697" s="5"/>
      <c r="J697" s="6"/>
      <c r="K697" s="7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 spans="1:21" ht="13">
      <c r="A698" s="2"/>
      <c r="B698" s="9"/>
      <c r="C698" s="9"/>
      <c r="D698" s="9"/>
      <c r="E698" s="1"/>
      <c r="F698" s="5"/>
      <c r="G698" s="3"/>
      <c r="H698" s="4"/>
      <c r="I698" s="5"/>
      <c r="J698" s="6"/>
      <c r="K698" s="7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 spans="1:21" ht="13">
      <c r="A699" s="2"/>
      <c r="B699" s="9"/>
      <c r="C699" s="9"/>
      <c r="D699" s="9"/>
      <c r="E699" s="1"/>
      <c r="F699" s="5"/>
      <c r="G699" s="3"/>
      <c r="H699" s="4"/>
      <c r="I699" s="5"/>
      <c r="J699" s="6"/>
      <c r="K699" s="7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 spans="1:21" ht="13">
      <c r="A700" s="2"/>
      <c r="B700" s="9"/>
      <c r="C700" s="9"/>
      <c r="D700" s="9"/>
      <c r="E700" s="1"/>
      <c r="F700" s="5"/>
      <c r="G700" s="3"/>
      <c r="H700" s="4"/>
      <c r="I700" s="5"/>
      <c r="J700" s="6"/>
      <c r="K700" s="7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 spans="1:21" ht="13">
      <c r="A701" s="2"/>
      <c r="B701" s="9"/>
      <c r="C701" s="9"/>
      <c r="D701" s="9"/>
      <c r="E701" s="1"/>
      <c r="F701" s="5"/>
      <c r="G701" s="3"/>
      <c r="H701" s="4"/>
      <c r="I701" s="5"/>
      <c r="J701" s="6"/>
      <c r="K701" s="7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 spans="1:21" ht="13">
      <c r="A702" s="2"/>
      <c r="B702" s="9"/>
      <c r="C702" s="9"/>
      <c r="D702" s="9"/>
      <c r="E702" s="1"/>
      <c r="F702" s="5"/>
      <c r="G702" s="3"/>
      <c r="H702" s="4"/>
      <c r="I702" s="5"/>
      <c r="J702" s="6"/>
      <c r="K702" s="7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 spans="1:21" ht="13">
      <c r="A703" s="2"/>
      <c r="B703" s="9"/>
      <c r="C703" s="9"/>
      <c r="D703" s="9"/>
      <c r="E703" s="1"/>
      <c r="F703" s="5"/>
      <c r="G703" s="3"/>
      <c r="H703" s="4"/>
      <c r="I703" s="5"/>
      <c r="J703" s="6"/>
      <c r="K703" s="7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 spans="1:21" ht="13">
      <c r="A704" s="2"/>
      <c r="B704" s="9"/>
      <c r="C704" s="9"/>
      <c r="D704" s="9"/>
      <c r="E704" s="1"/>
      <c r="F704" s="5"/>
      <c r="G704" s="3"/>
      <c r="H704" s="4"/>
      <c r="I704" s="5"/>
      <c r="J704" s="6"/>
      <c r="K704" s="7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 spans="1:21" ht="13">
      <c r="A705" s="2"/>
      <c r="B705" s="9"/>
      <c r="C705" s="9"/>
      <c r="D705" s="9"/>
      <c r="E705" s="1"/>
      <c r="F705" s="5"/>
      <c r="G705" s="3"/>
      <c r="H705" s="4"/>
      <c r="I705" s="5"/>
      <c r="J705" s="6"/>
      <c r="K705" s="7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 spans="1:21" ht="13">
      <c r="A706" s="2"/>
      <c r="B706" s="9"/>
      <c r="C706" s="9"/>
      <c r="D706" s="9"/>
      <c r="E706" s="1"/>
      <c r="F706" s="5"/>
      <c r="G706" s="3"/>
      <c r="H706" s="4"/>
      <c r="I706" s="5"/>
      <c r="J706" s="6"/>
      <c r="K706" s="7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 spans="1:21" ht="13">
      <c r="A707" s="2"/>
      <c r="B707" s="9"/>
      <c r="C707" s="9"/>
      <c r="D707" s="9"/>
      <c r="E707" s="1"/>
      <c r="F707" s="5"/>
      <c r="G707" s="3"/>
      <c r="H707" s="4"/>
      <c r="I707" s="5"/>
      <c r="J707" s="6"/>
      <c r="K707" s="7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 spans="1:21" ht="13">
      <c r="A708" s="2"/>
      <c r="B708" s="9"/>
      <c r="C708" s="9"/>
      <c r="D708" s="9"/>
      <c r="E708" s="1"/>
      <c r="F708" s="5"/>
      <c r="G708" s="3"/>
      <c r="H708" s="4"/>
      <c r="I708" s="5"/>
      <c r="J708" s="6"/>
      <c r="K708" s="7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 spans="1:21" ht="13">
      <c r="A709" s="2"/>
      <c r="B709" s="9"/>
      <c r="C709" s="9"/>
      <c r="D709" s="9"/>
      <c r="E709" s="1"/>
      <c r="F709" s="5"/>
      <c r="G709" s="3"/>
      <c r="H709" s="4"/>
      <c r="I709" s="5"/>
      <c r="J709" s="6"/>
      <c r="K709" s="7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 spans="1:21" ht="13">
      <c r="A710" s="2"/>
      <c r="B710" s="9"/>
      <c r="C710" s="9"/>
      <c r="D710" s="9"/>
      <c r="E710" s="1"/>
      <c r="F710" s="5"/>
      <c r="G710" s="3"/>
      <c r="H710" s="4"/>
      <c r="I710" s="5"/>
      <c r="J710" s="6"/>
      <c r="K710" s="7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 spans="1:21" ht="13">
      <c r="A711" s="2"/>
      <c r="B711" s="9"/>
      <c r="C711" s="9"/>
      <c r="D711" s="9"/>
      <c r="E711" s="1"/>
      <c r="F711" s="5"/>
      <c r="G711" s="3"/>
      <c r="H711" s="4"/>
      <c r="I711" s="5"/>
      <c r="J711" s="6"/>
      <c r="K711" s="7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 spans="1:21" ht="13">
      <c r="A712" s="2"/>
      <c r="B712" s="9"/>
      <c r="C712" s="9"/>
      <c r="D712" s="9"/>
      <c r="E712" s="1"/>
      <c r="F712" s="5"/>
      <c r="G712" s="3"/>
      <c r="H712" s="4"/>
      <c r="I712" s="5"/>
      <c r="J712" s="6"/>
      <c r="K712" s="7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 spans="1:21" ht="13">
      <c r="A713" s="2"/>
      <c r="B713" s="9"/>
      <c r="C713" s="9"/>
      <c r="D713" s="9"/>
      <c r="E713" s="1"/>
      <c r="F713" s="5"/>
      <c r="G713" s="3"/>
      <c r="H713" s="4"/>
      <c r="I713" s="5"/>
      <c r="J713" s="6"/>
      <c r="K713" s="7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 spans="1:21" ht="13">
      <c r="A714" s="2"/>
      <c r="B714" s="9"/>
      <c r="C714" s="9"/>
      <c r="D714" s="9"/>
      <c r="E714" s="1"/>
      <c r="F714" s="5"/>
      <c r="G714" s="3"/>
      <c r="H714" s="4"/>
      <c r="I714" s="5"/>
      <c r="J714" s="6"/>
      <c r="K714" s="7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 spans="1:21" ht="13">
      <c r="A715" s="2"/>
      <c r="B715" s="9"/>
      <c r="C715" s="9"/>
      <c r="D715" s="9"/>
      <c r="E715" s="1"/>
      <c r="F715" s="5"/>
      <c r="G715" s="3"/>
      <c r="H715" s="4"/>
      <c r="I715" s="5"/>
      <c r="J715" s="6"/>
      <c r="K715" s="7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 spans="1:21" ht="13">
      <c r="A716" s="2"/>
      <c r="B716" s="9"/>
      <c r="C716" s="9"/>
      <c r="D716" s="9"/>
      <c r="E716" s="1"/>
      <c r="F716" s="5"/>
      <c r="G716" s="3"/>
      <c r="H716" s="4"/>
      <c r="I716" s="5"/>
      <c r="J716" s="6"/>
      <c r="K716" s="7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 spans="1:21" ht="13">
      <c r="A717" s="2"/>
      <c r="B717" s="9"/>
      <c r="C717" s="9"/>
      <c r="D717" s="9"/>
      <c r="E717" s="1"/>
      <c r="F717" s="5"/>
      <c r="G717" s="3"/>
      <c r="H717" s="4"/>
      <c r="I717" s="5"/>
      <c r="J717" s="6"/>
      <c r="K717" s="7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 spans="1:21" ht="13">
      <c r="A718" s="2"/>
      <c r="B718" s="9"/>
      <c r="C718" s="9"/>
      <c r="D718" s="9"/>
      <c r="E718" s="1"/>
      <c r="F718" s="5"/>
      <c r="G718" s="3"/>
      <c r="H718" s="4"/>
      <c r="I718" s="5"/>
      <c r="J718" s="6"/>
      <c r="K718" s="7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 spans="1:21" ht="13">
      <c r="A719" s="2"/>
      <c r="B719" s="9"/>
      <c r="C719" s="9"/>
      <c r="D719" s="9"/>
      <c r="E719" s="1"/>
      <c r="F719" s="5"/>
      <c r="G719" s="3"/>
      <c r="H719" s="4"/>
      <c r="I719" s="5"/>
      <c r="J719" s="6"/>
      <c r="K719" s="7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 spans="1:21" ht="13">
      <c r="A720" s="2"/>
      <c r="B720" s="9"/>
      <c r="C720" s="9"/>
      <c r="D720" s="9"/>
      <c r="E720" s="1"/>
      <c r="F720" s="5"/>
      <c r="G720" s="3"/>
      <c r="H720" s="4"/>
      <c r="I720" s="5"/>
      <c r="J720" s="6"/>
      <c r="K720" s="7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 spans="1:21" ht="13">
      <c r="A721" s="2"/>
      <c r="B721" s="9"/>
      <c r="C721" s="9"/>
      <c r="D721" s="9"/>
      <c r="E721" s="1"/>
      <c r="F721" s="5"/>
      <c r="G721" s="3"/>
      <c r="H721" s="4"/>
      <c r="I721" s="5"/>
      <c r="J721" s="6"/>
      <c r="K721" s="7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 spans="1:21" ht="13">
      <c r="A722" s="2"/>
      <c r="B722" s="9"/>
      <c r="C722" s="9"/>
      <c r="D722" s="9"/>
      <c r="E722" s="1"/>
      <c r="F722" s="5"/>
      <c r="G722" s="3"/>
      <c r="H722" s="4"/>
      <c r="I722" s="5"/>
      <c r="J722" s="6"/>
      <c r="K722" s="7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 spans="1:21" ht="13">
      <c r="A723" s="2"/>
      <c r="B723" s="9"/>
      <c r="C723" s="9"/>
      <c r="D723" s="9"/>
      <c r="E723" s="1"/>
      <c r="F723" s="5"/>
      <c r="G723" s="3"/>
      <c r="H723" s="4"/>
      <c r="I723" s="5"/>
      <c r="J723" s="6"/>
      <c r="K723" s="7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 spans="1:21" ht="13">
      <c r="A724" s="2"/>
      <c r="B724" s="9"/>
      <c r="C724" s="9"/>
      <c r="D724" s="9"/>
      <c r="E724" s="1"/>
      <c r="F724" s="5"/>
      <c r="G724" s="3"/>
      <c r="H724" s="4"/>
      <c r="I724" s="5"/>
      <c r="J724" s="6"/>
      <c r="K724" s="7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 spans="1:21" ht="13">
      <c r="A725" s="2"/>
      <c r="B725" s="9"/>
      <c r="C725" s="9"/>
      <c r="D725" s="9"/>
      <c r="E725" s="1"/>
      <c r="F725" s="5"/>
      <c r="G725" s="3"/>
      <c r="H725" s="4"/>
      <c r="I725" s="5"/>
      <c r="J725" s="6"/>
      <c r="K725" s="7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 spans="1:21" ht="13">
      <c r="A726" s="2"/>
      <c r="B726" s="9"/>
      <c r="C726" s="9"/>
      <c r="D726" s="9"/>
      <c r="E726" s="1"/>
      <c r="F726" s="5"/>
      <c r="G726" s="3"/>
      <c r="H726" s="4"/>
      <c r="I726" s="5"/>
      <c r="J726" s="6"/>
      <c r="K726" s="7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 spans="1:21" ht="13">
      <c r="A727" s="2"/>
      <c r="B727" s="9"/>
      <c r="C727" s="9"/>
      <c r="D727" s="9"/>
      <c r="E727" s="1"/>
      <c r="F727" s="5"/>
      <c r="G727" s="3"/>
      <c r="H727" s="4"/>
      <c r="I727" s="5"/>
      <c r="J727" s="6"/>
      <c r="K727" s="7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 spans="1:21" ht="13">
      <c r="A728" s="2"/>
      <c r="B728" s="9"/>
      <c r="C728" s="9"/>
      <c r="D728" s="9"/>
      <c r="E728" s="1"/>
      <c r="F728" s="5"/>
      <c r="G728" s="3"/>
      <c r="H728" s="4"/>
      <c r="I728" s="5"/>
      <c r="J728" s="6"/>
      <c r="K728" s="7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 spans="1:21" ht="13">
      <c r="A729" s="2"/>
      <c r="B729" s="9"/>
      <c r="C729" s="9"/>
      <c r="D729" s="9"/>
      <c r="E729" s="1"/>
      <c r="F729" s="5"/>
      <c r="G729" s="3"/>
      <c r="H729" s="4"/>
      <c r="I729" s="5"/>
      <c r="J729" s="6"/>
      <c r="K729" s="7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 spans="1:21" ht="13">
      <c r="A730" s="2"/>
      <c r="B730" s="9"/>
      <c r="C730" s="9"/>
      <c r="D730" s="9"/>
      <c r="E730" s="1"/>
      <c r="F730" s="5"/>
      <c r="G730" s="3"/>
      <c r="H730" s="4"/>
      <c r="I730" s="5"/>
      <c r="J730" s="6"/>
      <c r="K730" s="7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 spans="1:21" ht="13">
      <c r="A731" s="2"/>
      <c r="B731" s="9"/>
      <c r="C731" s="9"/>
      <c r="D731" s="9"/>
      <c r="E731" s="1"/>
      <c r="F731" s="5"/>
      <c r="G731" s="3"/>
      <c r="H731" s="4"/>
      <c r="I731" s="5"/>
      <c r="J731" s="6"/>
      <c r="K731" s="7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 spans="1:21" ht="13">
      <c r="A732" s="2"/>
      <c r="B732" s="9"/>
      <c r="C732" s="9"/>
      <c r="D732" s="9"/>
      <c r="E732" s="1"/>
      <c r="F732" s="5"/>
      <c r="G732" s="3"/>
      <c r="H732" s="4"/>
      <c r="I732" s="5"/>
      <c r="J732" s="6"/>
      <c r="K732" s="7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 spans="1:21" ht="13">
      <c r="A733" s="2"/>
      <c r="B733" s="9"/>
      <c r="C733" s="9"/>
      <c r="D733" s="9"/>
      <c r="E733" s="1"/>
      <c r="F733" s="5"/>
      <c r="G733" s="3"/>
      <c r="H733" s="4"/>
      <c r="I733" s="5"/>
      <c r="J733" s="6"/>
      <c r="K733" s="7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 spans="1:21" ht="13">
      <c r="A734" s="2"/>
      <c r="B734" s="9"/>
      <c r="C734" s="9"/>
      <c r="D734" s="9"/>
      <c r="E734" s="1"/>
      <c r="F734" s="5"/>
      <c r="G734" s="3"/>
      <c r="H734" s="4"/>
      <c r="I734" s="5"/>
      <c r="J734" s="6"/>
      <c r="K734" s="7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 spans="1:21" ht="13">
      <c r="A735" s="2"/>
      <c r="B735" s="9"/>
      <c r="C735" s="9"/>
      <c r="D735" s="9"/>
      <c r="E735" s="1"/>
      <c r="F735" s="5"/>
      <c r="G735" s="3"/>
      <c r="H735" s="4"/>
      <c r="I735" s="5"/>
      <c r="J735" s="6"/>
      <c r="K735" s="7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 spans="1:21" ht="13">
      <c r="A736" s="2"/>
      <c r="B736" s="9"/>
      <c r="C736" s="9"/>
      <c r="D736" s="9"/>
      <c r="E736" s="1"/>
      <c r="F736" s="5"/>
      <c r="G736" s="3"/>
      <c r="H736" s="4"/>
      <c r="I736" s="5"/>
      <c r="J736" s="6"/>
      <c r="K736" s="7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 spans="1:21" ht="13">
      <c r="A737" s="2"/>
      <c r="B737" s="9"/>
      <c r="C737" s="9"/>
      <c r="D737" s="9"/>
      <c r="E737" s="1"/>
      <c r="F737" s="5"/>
      <c r="G737" s="3"/>
      <c r="H737" s="4"/>
      <c r="I737" s="5"/>
      <c r="J737" s="6"/>
      <c r="K737" s="7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 spans="1:21" ht="13">
      <c r="A738" s="2"/>
      <c r="B738" s="9"/>
      <c r="C738" s="9"/>
      <c r="D738" s="9"/>
      <c r="E738" s="1"/>
      <c r="F738" s="5"/>
      <c r="G738" s="3"/>
      <c r="H738" s="4"/>
      <c r="I738" s="5"/>
      <c r="J738" s="6"/>
      <c r="K738" s="7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 spans="1:21" ht="13">
      <c r="A739" s="2"/>
      <c r="B739" s="9"/>
      <c r="C739" s="9"/>
      <c r="D739" s="9"/>
      <c r="E739" s="1"/>
      <c r="F739" s="5"/>
      <c r="G739" s="3"/>
      <c r="H739" s="4"/>
      <c r="I739" s="5"/>
      <c r="J739" s="6"/>
      <c r="K739" s="7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 spans="1:21" ht="13">
      <c r="A740" s="2"/>
      <c r="B740" s="9"/>
      <c r="C740" s="9"/>
      <c r="D740" s="9"/>
      <c r="E740" s="1"/>
      <c r="F740" s="5"/>
      <c r="G740" s="3"/>
      <c r="H740" s="4"/>
      <c r="I740" s="5"/>
      <c r="J740" s="6"/>
      <c r="K740" s="7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 spans="1:21" ht="13">
      <c r="A741" s="2"/>
      <c r="B741" s="9"/>
      <c r="C741" s="9"/>
      <c r="D741" s="9"/>
      <c r="E741" s="1"/>
      <c r="F741" s="5"/>
      <c r="G741" s="3"/>
      <c r="H741" s="4"/>
      <c r="I741" s="5"/>
      <c r="J741" s="6"/>
      <c r="K741" s="7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 spans="1:21" ht="13">
      <c r="A742" s="2"/>
      <c r="B742" s="9"/>
      <c r="C742" s="9"/>
      <c r="D742" s="9"/>
      <c r="E742" s="1"/>
      <c r="F742" s="5"/>
      <c r="G742" s="3"/>
      <c r="H742" s="4"/>
      <c r="I742" s="5"/>
      <c r="J742" s="6"/>
      <c r="K742" s="7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 spans="1:21" ht="13">
      <c r="A743" s="2"/>
      <c r="B743" s="9"/>
      <c r="C743" s="9"/>
      <c r="D743" s="9"/>
      <c r="E743" s="1"/>
      <c r="F743" s="5"/>
      <c r="G743" s="3"/>
      <c r="H743" s="4"/>
      <c r="I743" s="5"/>
      <c r="J743" s="6"/>
      <c r="K743" s="7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 spans="1:21" ht="13">
      <c r="A744" s="2"/>
      <c r="B744" s="9"/>
      <c r="C744" s="9"/>
      <c r="D744" s="9"/>
      <c r="E744" s="1"/>
      <c r="F744" s="5"/>
      <c r="G744" s="3"/>
      <c r="H744" s="4"/>
      <c r="I744" s="5"/>
      <c r="J744" s="6"/>
      <c r="K744" s="7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 spans="1:21" ht="13">
      <c r="A745" s="2"/>
      <c r="B745" s="9"/>
      <c r="C745" s="9"/>
      <c r="D745" s="9"/>
      <c r="E745" s="1"/>
      <c r="F745" s="5"/>
      <c r="G745" s="3"/>
      <c r="H745" s="4"/>
      <c r="I745" s="5"/>
      <c r="J745" s="6"/>
      <c r="K745" s="7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 spans="1:21" ht="13">
      <c r="A746" s="2"/>
      <c r="B746" s="9"/>
      <c r="C746" s="9"/>
      <c r="D746" s="9"/>
      <c r="E746" s="1"/>
      <c r="F746" s="5"/>
      <c r="G746" s="3"/>
      <c r="H746" s="4"/>
      <c r="I746" s="5"/>
      <c r="J746" s="6"/>
      <c r="K746" s="7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 spans="1:21" ht="13">
      <c r="A747" s="2"/>
      <c r="B747" s="9"/>
      <c r="C747" s="9"/>
      <c r="D747" s="9"/>
      <c r="E747" s="1"/>
      <c r="F747" s="5"/>
      <c r="G747" s="3"/>
      <c r="H747" s="4"/>
      <c r="I747" s="5"/>
      <c r="J747" s="6"/>
      <c r="K747" s="7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 spans="1:21" ht="13">
      <c r="A748" s="2"/>
      <c r="B748" s="9"/>
      <c r="C748" s="9"/>
      <c r="D748" s="9"/>
      <c r="E748" s="1"/>
      <c r="F748" s="5"/>
      <c r="G748" s="3"/>
      <c r="H748" s="4"/>
      <c r="I748" s="5"/>
      <c r="J748" s="6"/>
      <c r="K748" s="7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 spans="1:21" ht="13">
      <c r="A749" s="2"/>
      <c r="B749" s="9"/>
      <c r="C749" s="9"/>
      <c r="D749" s="9"/>
      <c r="E749" s="1"/>
      <c r="F749" s="5"/>
      <c r="G749" s="3"/>
      <c r="H749" s="4"/>
      <c r="I749" s="5"/>
      <c r="J749" s="6"/>
      <c r="K749" s="7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 spans="1:21" ht="13">
      <c r="A750" s="2"/>
      <c r="B750" s="9"/>
      <c r="C750" s="9"/>
      <c r="D750" s="9"/>
      <c r="E750" s="1"/>
      <c r="F750" s="5"/>
      <c r="G750" s="3"/>
      <c r="H750" s="4"/>
      <c r="I750" s="5"/>
      <c r="J750" s="6"/>
      <c r="K750" s="7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 spans="1:21" ht="13">
      <c r="A751" s="2"/>
      <c r="B751" s="9"/>
      <c r="C751" s="9"/>
      <c r="D751" s="9"/>
      <c r="E751" s="1"/>
      <c r="F751" s="5"/>
      <c r="G751" s="3"/>
      <c r="H751" s="4"/>
      <c r="I751" s="5"/>
      <c r="J751" s="6"/>
      <c r="K751" s="7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 spans="1:21" ht="13">
      <c r="A752" s="2"/>
      <c r="B752" s="9"/>
      <c r="C752" s="9"/>
      <c r="D752" s="9"/>
      <c r="E752" s="1"/>
      <c r="F752" s="5"/>
      <c r="G752" s="3"/>
      <c r="H752" s="4"/>
      <c r="I752" s="5"/>
      <c r="J752" s="6"/>
      <c r="K752" s="7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 spans="1:21" ht="13">
      <c r="A753" s="2"/>
      <c r="B753" s="9"/>
      <c r="C753" s="9"/>
      <c r="D753" s="9"/>
      <c r="E753" s="1"/>
      <c r="F753" s="5"/>
      <c r="G753" s="3"/>
      <c r="H753" s="4"/>
      <c r="I753" s="5"/>
      <c r="J753" s="6"/>
      <c r="K753" s="7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 spans="1:21" ht="13">
      <c r="A754" s="2"/>
      <c r="B754" s="9"/>
      <c r="C754" s="9"/>
      <c r="D754" s="9"/>
      <c r="E754" s="1"/>
      <c r="F754" s="5"/>
      <c r="G754" s="3"/>
      <c r="H754" s="4"/>
      <c r="I754" s="5"/>
      <c r="J754" s="6"/>
      <c r="K754" s="7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 spans="1:21" ht="13">
      <c r="A755" s="2"/>
      <c r="B755" s="9"/>
      <c r="C755" s="9"/>
      <c r="D755" s="9"/>
      <c r="E755" s="1"/>
      <c r="F755" s="5"/>
      <c r="G755" s="3"/>
      <c r="H755" s="4"/>
      <c r="I755" s="5"/>
      <c r="J755" s="6"/>
      <c r="K755" s="7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 spans="1:21" ht="13">
      <c r="A756" s="2"/>
      <c r="B756" s="9"/>
      <c r="C756" s="9"/>
      <c r="D756" s="9"/>
      <c r="E756" s="1"/>
      <c r="F756" s="5"/>
      <c r="G756" s="3"/>
      <c r="H756" s="4"/>
      <c r="I756" s="5"/>
      <c r="J756" s="6"/>
      <c r="K756" s="7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 spans="1:21" ht="13">
      <c r="A757" s="2"/>
      <c r="B757" s="9"/>
      <c r="C757" s="9"/>
      <c r="D757" s="9"/>
      <c r="E757" s="1"/>
      <c r="F757" s="5"/>
      <c r="G757" s="3"/>
      <c r="H757" s="4"/>
      <c r="I757" s="5"/>
      <c r="J757" s="6"/>
      <c r="K757" s="7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 spans="1:21" ht="13">
      <c r="A758" s="2"/>
      <c r="B758" s="9"/>
      <c r="C758" s="9"/>
      <c r="D758" s="9"/>
      <c r="E758" s="1"/>
      <c r="F758" s="5"/>
      <c r="G758" s="3"/>
      <c r="H758" s="4"/>
      <c r="I758" s="5"/>
      <c r="J758" s="6"/>
      <c r="K758" s="7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 spans="1:21" ht="13">
      <c r="A759" s="2"/>
      <c r="B759" s="9"/>
      <c r="C759" s="9"/>
      <c r="D759" s="9"/>
      <c r="E759" s="1"/>
      <c r="F759" s="5"/>
      <c r="G759" s="3"/>
      <c r="H759" s="4"/>
      <c r="I759" s="5"/>
      <c r="J759" s="6"/>
      <c r="K759" s="7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 spans="1:21" ht="13">
      <c r="A760" s="2"/>
      <c r="B760" s="9"/>
      <c r="C760" s="9"/>
      <c r="D760" s="9"/>
      <c r="E760" s="1"/>
      <c r="F760" s="5"/>
      <c r="G760" s="3"/>
      <c r="H760" s="4"/>
      <c r="I760" s="5"/>
      <c r="J760" s="6"/>
      <c r="K760" s="7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 spans="1:21" ht="13">
      <c r="A761" s="2"/>
      <c r="B761" s="9"/>
      <c r="C761" s="9"/>
      <c r="D761" s="9"/>
      <c r="E761" s="1"/>
      <c r="F761" s="5"/>
      <c r="G761" s="3"/>
      <c r="H761" s="4"/>
      <c r="I761" s="5"/>
      <c r="J761" s="6"/>
      <c r="K761" s="7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 spans="1:21" ht="13">
      <c r="A762" s="2"/>
      <c r="B762" s="9"/>
      <c r="C762" s="9"/>
      <c r="D762" s="9"/>
      <c r="E762" s="1"/>
      <c r="F762" s="5"/>
      <c r="G762" s="3"/>
      <c r="H762" s="4"/>
      <c r="I762" s="5"/>
      <c r="J762" s="6"/>
      <c r="K762" s="7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 spans="1:21" ht="13">
      <c r="A763" s="2"/>
      <c r="B763" s="9"/>
      <c r="C763" s="9"/>
      <c r="D763" s="9"/>
      <c r="E763" s="1"/>
      <c r="F763" s="5"/>
      <c r="G763" s="3"/>
      <c r="H763" s="4"/>
      <c r="I763" s="5"/>
      <c r="J763" s="6"/>
      <c r="K763" s="7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 spans="1:21" ht="13">
      <c r="A764" s="2"/>
      <c r="B764" s="9"/>
      <c r="C764" s="9"/>
      <c r="D764" s="9"/>
      <c r="E764" s="1"/>
      <c r="F764" s="5"/>
      <c r="G764" s="3"/>
      <c r="H764" s="4"/>
      <c r="I764" s="5"/>
      <c r="J764" s="6"/>
      <c r="K764" s="7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 spans="1:21" ht="13">
      <c r="A765" s="2"/>
      <c r="B765" s="9"/>
      <c r="C765" s="9"/>
      <c r="D765" s="9"/>
      <c r="E765" s="1"/>
      <c r="F765" s="5"/>
      <c r="G765" s="3"/>
      <c r="H765" s="4"/>
      <c r="I765" s="5"/>
      <c r="J765" s="6"/>
      <c r="K765" s="7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 spans="1:21" ht="13">
      <c r="A766" s="2"/>
      <c r="B766" s="9"/>
      <c r="C766" s="9"/>
      <c r="D766" s="9"/>
      <c r="E766" s="1"/>
      <c r="F766" s="5"/>
      <c r="G766" s="3"/>
      <c r="H766" s="4"/>
      <c r="I766" s="5"/>
      <c r="J766" s="6"/>
      <c r="K766" s="7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 spans="1:21" ht="13">
      <c r="A767" s="2"/>
      <c r="B767" s="9"/>
      <c r="C767" s="9"/>
      <c r="D767" s="9"/>
      <c r="E767" s="1"/>
      <c r="F767" s="5"/>
      <c r="G767" s="3"/>
      <c r="H767" s="4"/>
      <c r="I767" s="5"/>
      <c r="J767" s="6"/>
      <c r="K767" s="7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 spans="1:21" ht="13">
      <c r="A768" s="2"/>
      <c r="B768" s="9"/>
      <c r="C768" s="9"/>
      <c r="D768" s="9"/>
      <c r="E768" s="1"/>
      <c r="F768" s="5"/>
      <c r="G768" s="3"/>
      <c r="H768" s="4"/>
      <c r="I768" s="5"/>
      <c r="J768" s="6"/>
      <c r="K768" s="7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 spans="1:21" ht="13">
      <c r="A769" s="2"/>
      <c r="B769" s="9"/>
      <c r="C769" s="9"/>
      <c r="D769" s="9"/>
      <c r="E769" s="1"/>
      <c r="F769" s="5"/>
      <c r="G769" s="3"/>
      <c r="H769" s="4"/>
      <c r="I769" s="5"/>
      <c r="J769" s="6"/>
      <c r="K769" s="7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 spans="1:21" ht="13">
      <c r="A770" s="2"/>
      <c r="B770" s="9"/>
      <c r="C770" s="9"/>
      <c r="D770" s="9"/>
      <c r="E770" s="1"/>
      <c r="F770" s="5"/>
      <c r="G770" s="3"/>
      <c r="H770" s="4"/>
      <c r="I770" s="5"/>
      <c r="J770" s="6"/>
      <c r="K770" s="7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 spans="1:21" ht="13">
      <c r="A771" s="2"/>
      <c r="B771" s="9"/>
      <c r="C771" s="9"/>
      <c r="D771" s="9"/>
      <c r="E771" s="1"/>
      <c r="F771" s="5"/>
      <c r="G771" s="3"/>
      <c r="H771" s="4"/>
      <c r="I771" s="5"/>
      <c r="J771" s="6"/>
      <c r="K771" s="7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 spans="1:21" ht="13">
      <c r="A772" s="2"/>
      <c r="B772" s="9"/>
      <c r="C772" s="9"/>
      <c r="D772" s="9"/>
      <c r="E772" s="1"/>
      <c r="F772" s="5"/>
      <c r="G772" s="3"/>
      <c r="H772" s="4"/>
      <c r="I772" s="5"/>
      <c r="J772" s="6"/>
      <c r="K772" s="7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 spans="1:21" ht="13">
      <c r="A773" s="2"/>
      <c r="B773" s="9"/>
      <c r="C773" s="9"/>
      <c r="D773" s="9"/>
      <c r="E773" s="1"/>
      <c r="F773" s="5"/>
      <c r="G773" s="3"/>
      <c r="H773" s="4"/>
      <c r="I773" s="5"/>
      <c r="J773" s="6"/>
      <c r="K773" s="7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 spans="1:21" ht="13">
      <c r="A774" s="2"/>
      <c r="B774" s="9"/>
      <c r="C774" s="9"/>
      <c r="D774" s="9"/>
      <c r="E774" s="1"/>
      <c r="F774" s="5"/>
      <c r="G774" s="3"/>
      <c r="H774" s="4"/>
      <c r="I774" s="5"/>
      <c r="J774" s="6"/>
      <c r="K774" s="7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 spans="1:21" ht="13">
      <c r="A775" s="2"/>
      <c r="B775" s="9"/>
      <c r="C775" s="9"/>
      <c r="D775" s="9"/>
      <c r="E775" s="1"/>
      <c r="F775" s="5"/>
      <c r="G775" s="3"/>
      <c r="H775" s="4"/>
      <c r="I775" s="5"/>
      <c r="J775" s="6"/>
      <c r="K775" s="7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 spans="1:21" ht="13">
      <c r="A776" s="2"/>
      <c r="B776" s="9"/>
      <c r="C776" s="9"/>
      <c r="D776" s="9"/>
      <c r="E776" s="1"/>
      <c r="F776" s="5"/>
      <c r="G776" s="3"/>
      <c r="H776" s="4"/>
      <c r="I776" s="5"/>
      <c r="J776" s="6"/>
      <c r="K776" s="7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 spans="1:21" ht="13">
      <c r="A777" s="2"/>
      <c r="B777" s="9"/>
      <c r="C777" s="9"/>
      <c r="D777" s="9"/>
      <c r="E777" s="1"/>
      <c r="F777" s="5"/>
      <c r="G777" s="3"/>
      <c r="H777" s="4"/>
      <c r="I777" s="5"/>
      <c r="J777" s="6"/>
      <c r="K777" s="7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 spans="1:21" ht="13">
      <c r="A778" s="2"/>
      <c r="B778" s="9"/>
      <c r="C778" s="9"/>
      <c r="D778" s="9"/>
      <c r="E778" s="1"/>
      <c r="F778" s="5"/>
      <c r="G778" s="3"/>
      <c r="H778" s="4"/>
      <c r="I778" s="5"/>
      <c r="J778" s="6"/>
      <c r="K778" s="7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 spans="1:21" ht="13">
      <c r="A779" s="2"/>
      <c r="B779" s="9"/>
      <c r="C779" s="9"/>
      <c r="D779" s="9"/>
      <c r="E779" s="1"/>
      <c r="F779" s="5"/>
      <c r="G779" s="3"/>
      <c r="H779" s="4"/>
      <c r="I779" s="5"/>
      <c r="J779" s="6"/>
      <c r="K779" s="7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 spans="1:21" ht="13">
      <c r="A780" s="2"/>
      <c r="B780" s="9"/>
      <c r="C780" s="9"/>
      <c r="D780" s="9"/>
      <c r="E780" s="1"/>
      <c r="F780" s="5"/>
      <c r="G780" s="3"/>
      <c r="H780" s="4"/>
      <c r="I780" s="5"/>
      <c r="J780" s="6"/>
      <c r="K780" s="7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 spans="1:21" ht="13">
      <c r="A781" s="2"/>
      <c r="B781" s="9"/>
      <c r="C781" s="9"/>
      <c r="D781" s="9"/>
      <c r="E781" s="1"/>
      <c r="F781" s="5"/>
      <c r="G781" s="3"/>
      <c r="H781" s="4"/>
      <c r="I781" s="5"/>
      <c r="J781" s="6"/>
      <c r="K781" s="7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 spans="1:21" ht="13">
      <c r="A782" s="2"/>
      <c r="B782" s="9"/>
      <c r="C782" s="9"/>
      <c r="D782" s="9"/>
      <c r="E782" s="1"/>
      <c r="F782" s="5"/>
      <c r="G782" s="3"/>
      <c r="H782" s="4"/>
      <c r="I782" s="5"/>
      <c r="J782" s="6"/>
      <c r="K782" s="7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 spans="1:21" ht="13">
      <c r="A783" s="2"/>
      <c r="B783" s="9"/>
      <c r="C783" s="9"/>
      <c r="D783" s="9"/>
      <c r="E783" s="1"/>
      <c r="F783" s="5"/>
      <c r="G783" s="3"/>
      <c r="H783" s="4"/>
      <c r="I783" s="5"/>
      <c r="J783" s="6"/>
      <c r="K783" s="7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 spans="1:21" ht="13">
      <c r="A784" s="2"/>
      <c r="B784" s="9"/>
      <c r="C784" s="9"/>
      <c r="D784" s="9"/>
      <c r="E784" s="1"/>
      <c r="F784" s="5"/>
      <c r="G784" s="3"/>
      <c r="H784" s="4"/>
      <c r="I784" s="5"/>
      <c r="J784" s="6"/>
      <c r="K784" s="7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 spans="1:21" ht="13">
      <c r="A785" s="2"/>
      <c r="B785" s="9"/>
      <c r="C785" s="9"/>
      <c r="D785" s="9"/>
      <c r="E785" s="1"/>
      <c r="F785" s="5"/>
      <c r="G785" s="3"/>
      <c r="H785" s="4"/>
      <c r="I785" s="5"/>
      <c r="J785" s="6"/>
      <c r="K785" s="7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 spans="1:21" ht="13">
      <c r="A786" s="2"/>
      <c r="B786" s="9"/>
      <c r="C786" s="9"/>
      <c r="D786" s="9"/>
      <c r="E786" s="1"/>
      <c r="F786" s="5"/>
      <c r="G786" s="3"/>
      <c r="H786" s="4"/>
      <c r="I786" s="5"/>
      <c r="J786" s="6"/>
      <c r="K786" s="7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 spans="1:21" ht="13">
      <c r="A787" s="2"/>
      <c r="B787" s="9"/>
      <c r="C787" s="9"/>
      <c r="D787" s="9"/>
      <c r="E787" s="1"/>
      <c r="F787" s="5"/>
      <c r="G787" s="3"/>
      <c r="H787" s="4"/>
      <c r="I787" s="5"/>
      <c r="J787" s="6"/>
      <c r="K787" s="7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 spans="1:21" ht="13">
      <c r="A788" s="2"/>
      <c r="B788" s="9"/>
      <c r="C788" s="9"/>
      <c r="D788" s="9"/>
      <c r="E788" s="1"/>
      <c r="F788" s="5"/>
      <c r="G788" s="3"/>
      <c r="H788" s="4"/>
      <c r="I788" s="5"/>
      <c r="J788" s="6"/>
      <c r="K788" s="7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 spans="1:21" ht="13">
      <c r="A789" s="2"/>
      <c r="B789" s="9"/>
      <c r="C789" s="9"/>
      <c r="D789" s="9"/>
      <c r="E789" s="1"/>
      <c r="F789" s="5"/>
      <c r="G789" s="3"/>
      <c r="H789" s="4"/>
      <c r="I789" s="5"/>
      <c r="J789" s="6"/>
      <c r="K789" s="7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 spans="1:21" ht="13">
      <c r="A790" s="2"/>
      <c r="B790" s="9"/>
      <c r="C790" s="9"/>
      <c r="D790" s="9"/>
      <c r="E790" s="1"/>
      <c r="F790" s="5"/>
      <c r="G790" s="3"/>
      <c r="H790" s="4"/>
      <c r="I790" s="5"/>
      <c r="J790" s="6"/>
      <c r="K790" s="7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 spans="1:21" ht="13">
      <c r="A791" s="2"/>
      <c r="B791" s="9"/>
      <c r="C791" s="9"/>
      <c r="D791" s="9"/>
      <c r="E791" s="1"/>
      <c r="F791" s="5"/>
      <c r="G791" s="3"/>
      <c r="H791" s="4"/>
      <c r="I791" s="5"/>
      <c r="J791" s="6"/>
      <c r="K791" s="7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 spans="1:21" ht="13">
      <c r="A792" s="2"/>
      <c r="B792" s="9"/>
      <c r="C792" s="9"/>
      <c r="D792" s="9"/>
      <c r="E792" s="1"/>
      <c r="F792" s="5"/>
      <c r="G792" s="3"/>
      <c r="H792" s="4"/>
      <c r="I792" s="5"/>
      <c r="J792" s="6"/>
      <c r="K792" s="7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 spans="1:21" ht="13">
      <c r="A793" s="2"/>
      <c r="B793" s="9"/>
      <c r="C793" s="9"/>
      <c r="D793" s="9"/>
      <c r="E793" s="1"/>
      <c r="F793" s="5"/>
      <c r="G793" s="3"/>
      <c r="H793" s="4"/>
      <c r="I793" s="5"/>
      <c r="J793" s="6"/>
      <c r="K793" s="7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 spans="1:21" ht="13">
      <c r="A794" s="2"/>
      <c r="B794" s="9"/>
      <c r="C794" s="9"/>
      <c r="D794" s="9"/>
      <c r="E794" s="1"/>
      <c r="F794" s="5"/>
      <c r="G794" s="3"/>
      <c r="H794" s="4"/>
      <c r="I794" s="5"/>
      <c r="J794" s="6"/>
      <c r="K794" s="7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 spans="1:21" ht="13">
      <c r="A795" s="2"/>
      <c r="B795" s="9"/>
      <c r="C795" s="9"/>
      <c r="D795" s="9"/>
      <c r="E795" s="1"/>
      <c r="F795" s="5"/>
      <c r="G795" s="3"/>
      <c r="H795" s="4"/>
      <c r="I795" s="5"/>
      <c r="J795" s="6"/>
      <c r="K795" s="7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 spans="1:21" ht="13">
      <c r="A796" s="2"/>
      <c r="B796" s="9"/>
      <c r="C796" s="9"/>
      <c r="D796" s="9"/>
      <c r="E796" s="1"/>
      <c r="F796" s="5"/>
      <c r="G796" s="3"/>
      <c r="H796" s="4"/>
      <c r="I796" s="5"/>
      <c r="J796" s="6"/>
      <c r="K796" s="7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 spans="1:21" ht="13">
      <c r="A797" s="2"/>
      <c r="B797" s="9"/>
      <c r="C797" s="9"/>
      <c r="D797" s="9"/>
      <c r="E797" s="1"/>
      <c r="F797" s="5"/>
      <c r="G797" s="3"/>
      <c r="H797" s="4"/>
      <c r="I797" s="5"/>
      <c r="J797" s="6"/>
      <c r="K797" s="7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 spans="1:21" ht="13">
      <c r="A798" s="2"/>
      <c r="B798" s="9"/>
      <c r="C798" s="9"/>
      <c r="D798" s="9"/>
      <c r="E798" s="1"/>
      <c r="F798" s="5"/>
      <c r="G798" s="3"/>
      <c r="H798" s="4"/>
      <c r="I798" s="5"/>
      <c r="J798" s="6"/>
      <c r="K798" s="7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 spans="1:21" ht="13">
      <c r="A799" s="2"/>
      <c r="B799" s="9"/>
      <c r="C799" s="9"/>
      <c r="D799" s="9"/>
      <c r="E799" s="1"/>
      <c r="F799" s="5"/>
      <c r="G799" s="3"/>
      <c r="H799" s="4"/>
      <c r="I799" s="5"/>
      <c r="J799" s="6"/>
      <c r="K799" s="7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 spans="1:21" ht="13">
      <c r="A800" s="2"/>
      <c r="B800" s="9"/>
      <c r="C800" s="9"/>
      <c r="D800" s="9"/>
      <c r="E800" s="1"/>
      <c r="F800" s="5"/>
      <c r="G800" s="3"/>
      <c r="H800" s="4"/>
      <c r="I800" s="5"/>
      <c r="J800" s="6"/>
      <c r="K800" s="7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 spans="1:21" ht="13">
      <c r="A801" s="2"/>
      <c r="B801" s="9"/>
      <c r="C801" s="9"/>
      <c r="D801" s="9"/>
      <c r="E801" s="1"/>
      <c r="F801" s="5"/>
      <c r="G801" s="3"/>
      <c r="H801" s="4"/>
      <c r="I801" s="5"/>
      <c r="J801" s="6"/>
      <c r="K801" s="7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 spans="1:21" ht="13">
      <c r="A802" s="2"/>
      <c r="B802" s="9"/>
      <c r="C802" s="9"/>
      <c r="D802" s="9"/>
      <c r="E802" s="1"/>
      <c r="F802" s="5"/>
      <c r="G802" s="3"/>
      <c r="H802" s="4"/>
      <c r="I802" s="5"/>
      <c r="J802" s="6"/>
      <c r="K802" s="7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 spans="1:21" ht="13">
      <c r="A803" s="2"/>
      <c r="B803" s="9"/>
      <c r="C803" s="9"/>
      <c r="D803" s="9"/>
      <c r="E803" s="1"/>
      <c r="F803" s="5"/>
      <c r="G803" s="3"/>
      <c r="H803" s="4"/>
      <c r="I803" s="5"/>
      <c r="J803" s="6"/>
      <c r="K803" s="7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 spans="1:21" ht="13">
      <c r="A804" s="2"/>
      <c r="B804" s="9"/>
      <c r="C804" s="9"/>
      <c r="D804" s="9"/>
      <c r="E804" s="1"/>
      <c r="F804" s="5"/>
      <c r="G804" s="3"/>
      <c r="H804" s="4"/>
      <c r="I804" s="5"/>
      <c r="J804" s="6"/>
      <c r="K804" s="7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 spans="1:21" ht="13">
      <c r="A805" s="2"/>
      <c r="B805" s="9"/>
      <c r="C805" s="9"/>
      <c r="D805" s="9"/>
      <c r="E805" s="1"/>
      <c r="F805" s="5"/>
      <c r="G805" s="3"/>
      <c r="H805" s="4"/>
      <c r="I805" s="5"/>
      <c r="J805" s="6"/>
      <c r="K805" s="7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 spans="1:21" ht="13">
      <c r="A806" s="2"/>
      <c r="B806" s="9"/>
      <c r="C806" s="9"/>
      <c r="D806" s="9"/>
      <c r="E806" s="1"/>
      <c r="F806" s="5"/>
      <c r="G806" s="3"/>
      <c r="H806" s="4"/>
      <c r="I806" s="5"/>
      <c r="J806" s="6"/>
      <c r="K806" s="7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 spans="1:21" ht="13">
      <c r="A807" s="2"/>
      <c r="B807" s="9"/>
      <c r="C807" s="9"/>
      <c r="D807" s="9"/>
      <c r="E807" s="1"/>
      <c r="F807" s="5"/>
      <c r="G807" s="3"/>
      <c r="H807" s="4"/>
      <c r="I807" s="5"/>
      <c r="J807" s="6"/>
      <c r="K807" s="7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 spans="1:21" ht="13">
      <c r="A808" s="2"/>
      <c r="B808" s="9"/>
      <c r="C808" s="9"/>
      <c r="D808" s="9"/>
      <c r="E808" s="1"/>
      <c r="F808" s="5"/>
      <c r="G808" s="3"/>
      <c r="H808" s="4"/>
      <c r="I808" s="5"/>
      <c r="J808" s="6"/>
      <c r="K808" s="7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 spans="1:21" ht="13">
      <c r="A809" s="2"/>
      <c r="B809" s="9"/>
      <c r="C809" s="9"/>
      <c r="D809" s="9"/>
      <c r="E809" s="1"/>
      <c r="F809" s="5"/>
      <c r="G809" s="3"/>
      <c r="H809" s="4"/>
      <c r="I809" s="5"/>
      <c r="J809" s="6"/>
      <c r="K809" s="7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 spans="1:21" ht="13">
      <c r="A810" s="2"/>
      <c r="B810" s="9"/>
      <c r="C810" s="9"/>
      <c r="D810" s="9"/>
      <c r="E810" s="1"/>
      <c r="F810" s="5"/>
      <c r="G810" s="3"/>
      <c r="H810" s="4"/>
      <c r="I810" s="5"/>
      <c r="J810" s="6"/>
      <c r="K810" s="7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 spans="1:21" ht="13">
      <c r="A811" s="2"/>
      <c r="B811" s="9"/>
      <c r="C811" s="9"/>
      <c r="D811" s="9"/>
      <c r="E811" s="1"/>
      <c r="F811" s="5"/>
      <c r="G811" s="3"/>
      <c r="H811" s="4"/>
      <c r="I811" s="5"/>
      <c r="J811" s="6"/>
      <c r="K811" s="7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 spans="1:21" ht="13">
      <c r="A812" s="2"/>
      <c r="B812" s="9"/>
      <c r="C812" s="9"/>
      <c r="D812" s="9"/>
      <c r="E812" s="1"/>
      <c r="F812" s="5"/>
      <c r="G812" s="3"/>
      <c r="H812" s="4"/>
      <c r="I812" s="5"/>
      <c r="J812" s="6"/>
      <c r="K812" s="7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 spans="1:21" ht="13">
      <c r="A813" s="2"/>
      <c r="B813" s="9"/>
      <c r="C813" s="9"/>
      <c r="D813" s="9"/>
      <c r="E813" s="1"/>
      <c r="F813" s="5"/>
      <c r="G813" s="3"/>
      <c r="H813" s="4"/>
      <c r="I813" s="5"/>
      <c r="J813" s="6"/>
      <c r="K813" s="7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 spans="1:21" ht="13">
      <c r="A814" s="2"/>
      <c r="B814" s="9"/>
      <c r="C814" s="9"/>
      <c r="D814" s="9"/>
      <c r="E814" s="1"/>
      <c r="F814" s="5"/>
      <c r="G814" s="3"/>
      <c r="H814" s="4"/>
      <c r="I814" s="5"/>
      <c r="J814" s="6"/>
      <c r="K814" s="7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 spans="1:21" ht="13">
      <c r="A815" s="2"/>
      <c r="B815" s="9"/>
      <c r="C815" s="9"/>
      <c r="D815" s="9"/>
      <c r="E815" s="1"/>
      <c r="F815" s="5"/>
      <c r="G815" s="3"/>
      <c r="H815" s="4"/>
      <c r="I815" s="5"/>
      <c r="J815" s="6"/>
      <c r="K815" s="7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 spans="1:21" ht="13">
      <c r="A816" s="2"/>
      <c r="B816" s="9"/>
      <c r="C816" s="9"/>
      <c r="D816" s="9"/>
      <c r="E816" s="1"/>
      <c r="F816" s="5"/>
      <c r="G816" s="3"/>
      <c r="H816" s="4"/>
      <c r="I816" s="5"/>
      <c r="J816" s="6"/>
      <c r="K816" s="7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 spans="1:21" ht="13">
      <c r="A817" s="2"/>
      <c r="B817" s="9"/>
      <c r="C817" s="9"/>
      <c r="D817" s="9"/>
      <c r="E817" s="1"/>
      <c r="F817" s="5"/>
      <c r="G817" s="3"/>
      <c r="H817" s="4"/>
      <c r="I817" s="5"/>
      <c r="J817" s="6"/>
      <c r="K817" s="7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 spans="1:21" ht="13">
      <c r="A818" s="2"/>
      <c r="B818" s="9"/>
      <c r="C818" s="9"/>
      <c r="D818" s="9"/>
      <c r="E818" s="1"/>
      <c r="F818" s="5"/>
      <c r="G818" s="3"/>
      <c r="H818" s="4"/>
      <c r="I818" s="5"/>
      <c r="J818" s="6"/>
      <c r="K818" s="7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 spans="1:21" ht="13">
      <c r="A819" s="2"/>
      <c r="B819" s="9"/>
      <c r="C819" s="9"/>
      <c r="D819" s="9"/>
      <c r="E819" s="1"/>
      <c r="F819" s="5"/>
      <c r="G819" s="3"/>
      <c r="H819" s="4"/>
      <c r="I819" s="5"/>
      <c r="J819" s="6"/>
      <c r="K819" s="7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 spans="1:21" ht="13">
      <c r="A820" s="2"/>
      <c r="B820" s="9"/>
      <c r="C820" s="9"/>
      <c r="D820" s="9"/>
      <c r="E820" s="1"/>
      <c r="F820" s="5"/>
      <c r="G820" s="3"/>
      <c r="H820" s="4"/>
      <c r="I820" s="5"/>
      <c r="J820" s="6"/>
      <c r="K820" s="7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 spans="1:21" ht="13">
      <c r="A821" s="2"/>
      <c r="B821" s="9"/>
      <c r="C821" s="9"/>
      <c r="D821" s="9"/>
      <c r="E821" s="1"/>
      <c r="F821" s="5"/>
      <c r="G821" s="3"/>
      <c r="H821" s="4"/>
      <c r="I821" s="5"/>
      <c r="J821" s="6"/>
      <c r="K821" s="7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 spans="1:21" ht="13">
      <c r="A822" s="2"/>
      <c r="B822" s="9"/>
      <c r="C822" s="9"/>
      <c r="D822" s="9"/>
      <c r="E822" s="1"/>
      <c r="F822" s="5"/>
      <c r="G822" s="3"/>
      <c r="H822" s="4"/>
      <c r="I822" s="5"/>
      <c r="J822" s="6"/>
      <c r="K822" s="7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 spans="1:21" ht="13">
      <c r="A823" s="2"/>
      <c r="B823" s="9"/>
      <c r="C823" s="9"/>
      <c r="D823" s="9"/>
      <c r="E823" s="1"/>
      <c r="F823" s="5"/>
      <c r="G823" s="3"/>
      <c r="H823" s="4"/>
      <c r="I823" s="5"/>
      <c r="J823" s="6"/>
      <c r="K823" s="7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 spans="1:21" ht="13">
      <c r="A824" s="2"/>
      <c r="B824" s="9"/>
      <c r="C824" s="9"/>
      <c r="D824" s="9"/>
      <c r="E824" s="1"/>
      <c r="F824" s="5"/>
      <c r="G824" s="3"/>
      <c r="H824" s="4"/>
      <c r="I824" s="5"/>
      <c r="J824" s="6"/>
      <c r="K824" s="7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 spans="1:21" ht="13">
      <c r="A825" s="2"/>
      <c r="B825" s="9"/>
      <c r="C825" s="9"/>
      <c r="D825" s="9"/>
      <c r="E825" s="1"/>
      <c r="F825" s="5"/>
      <c r="G825" s="3"/>
      <c r="H825" s="4"/>
      <c r="I825" s="5"/>
      <c r="J825" s="6"/>
      <c r="K825" s="7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 spans="1:21" ht="13">
      <c r="A826" s="2"/>
      <c r="B826" s="9"/>
      <c r="C826" s="9"/>
      <c r="D826" s="9"/>
      <c r="E826" s="1"/>
      <c r="F826" s="5"/>
      <c r="G826" s="3"/>
      <c r="H826" s="4"/>
      <c r="I826" s="5"/>
      <c r="J826" s="6"/>
      <c r="K826" s="7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 spans="1:21" ht="13">
      <c r="A827" s="2"/>
      <c r="B827" s="9"/>
      <c r="C827" s="9"/>
      <c r="D827" s="9"/>
      <c r="E827" s="1"/>
      <c r="F827" s="5"/>
      <c r="G827" s="3"/>
      <c r="H827" s="4"/>
      <c r="I827" s="5"/>
      <c r="J827" s="6"/>
      <c r="K827" s="7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 spans="1:21" ht="13">
      <c r="A828" s="2"/>
      <c r="B828" s="9"/>
      <c r="C828" s="9"/>
      <c r="D828" s="9"/>
      <c r="E828" s="1"/>
      <c r="F828" s="5"/>
      <c r="G828" s="3"/>
      <c r="H828" s="4"/>
      <c r="I828" s="5"/>
      <c r="J828" s="6"/>
      <c r="K828" s="7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 spans="1:21" ht="13">
      <c r="A829" s="2"/>
      <c r="B829" s="9"/>
      <c r="C829" s="9"/>
      <c r="D829" s="9"/>
      <c r="E829" s="1"/>
      <c r="F829" s="5"/>
      <c r="G829" s="3"/>
      <c r="H829" s="4"/>
      <c r="I829" s="5"/>
      <c r="J829" s="6"/>
      <c r="K829" s="7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 spans="1:21" ht="13">
      <c r="A830" s="2"/>
      <c r="B830" s="9"/>
      <c r="C830" s="9"/>
      <c r="D830" s="9"/>
      <c r="E830" s="1"/>
      <c r="F830" s="5"/>
      <c r="G830" s="3"/>
      <c r="H830" s="4"/>
      <c r="I830" s="5"/>
      <c r="J830" s="6"/>
      <c r="K830" s="7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 spans="1:21" ht="13">
      <c r="A831" s="2"/>
      <c r="B831" s="9"/>
      <c r="C831" s="9"/>
      <c r="D831" s="9"/>
      <c r="E831" s="1"/>
      <c r="F831" s="5"/>
      <c r="G831" s="3"/>
      <c r="H831" s="4"/>
      <c r="I831" s="5"/>
      <c r="J831" s="6"/>
      <c r="K831" s="7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 spans="1:21" ht="13">
      <c r="A832" s="2"/>
      <c r="B832" s="9"/>
      <c r="C832" s="9"/>
      <c r="D832" s="9"/>
      <c r="E832" s="1"/>
      <c r="F832" s="5"/>
      <c r="G832" s="3"/>
      <c r="H832" s="4"/>
      <c r="I832" s="5"/>
      <c r="J832" s="6"/>
      <c r="K832" s="7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 spans="1:21" ht="13">
      <c r="A833" s="2"/>
      <c r="B833" s="9"/>
      <c r="C833" s="9"/>
      <c r="D833" s="9"/>
      <c r="E833" s="1"/>
      <c r="F833" s="5"/>
      <c r="G833" s="3"/>
      <c r="H833" s="4"/>
      <c r="I833" s="5"/>
      <c r="J833" s="6"/>
      <c r="K833" s="7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 spans="1:21" ht="13">
      <c r="A834" s="2"/>
      <c r="B834" s="9"/>
      <c r="C834" s="9"/>
      <c r="D834" s="9"/>
      <c r="E834" s="1"/>
      <c r="F834" s="5"/>
      <c r="G834" s="3"/>
      <c r="H834" s="4"/>
      <c r="I834" s="5"/>
      <c r="J834" s="6"/>
      <c r="K834" s="7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 spans="1:21" ht="13">
      <c r="A835" s="2"/>
      <c r="B835" s="9"/>
      <c r="C835" s="9"/>
      <c r="D835" s="9"/>
      <c r="E835" s="1"/>
      <c r="F835" s="5"/>
      <c r="G835" s="3"/>
      <c r="H835" s="4"/>
      <c r="I835" s="5"/>
      <c r="J835" s="6"/>
      <c r="K835" s="7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 spans="1:21" ht="13">
      <c r="A836" s="2"/>
      <c r="B836" s="9"/>
      <c r="C836" s="9"/>
      <c r="D836" s="9"/>
      <c r="E836" s="1"/>
      <c r="F836" s="5"/>
      <c r="G836" s="3"/>
      <c r="H836" s="4"/>
      <c r="I836" s="5"/>
      <c r="J836" s="6"/>
      <c r="K836" s="7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 spans="1:21" ht="13">
      <c r="A837" s="2"/>
      <c r="B837" s="9"/>
      <c r="C837" s="9"/>
      <c r="D837" s="9"/>
      <c r="E837" s="1"/>
      <c r="F837" s="5"/>
      <c r="G837" s="3"/>
      <c r="H837" s="4"/>
      <c r="I837" s="5"/>
      <c r="J837" s="6"/>
      <c r="K837" s="7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 spans="1:21" ht="13">
      <c r="A838" s="2"/>
      <c r="B838" s="9"/>
      <c r="C838" s="9"/>
      <c r="D838" s="9"/>
      <c r="E838" s="1"/>
      <c r="F838" s="5"/>
      <c r="G838" s="3"/>
      <c r="H838" s="4"/>
      <c r="I838" s="5"/>
      <c r="J838" s="6"/>
      <c r="K838" s="7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 spans="1:21" ht="13">
      <c r="A839" s="2"/>
      <c r="B839" s="9"/>
      <c r="C839" s="9"/>
      <c r="D839" s="9"/>
      <c r="E839" s="1"/>
      <c r="F839" s="5"/>
      <c r="G839" s="3"/>
      <c r="H839" s="4"/>
      <c r="I839" s="5"/>
      <c r="J839" s="6"/>
      <c r="K839" s="7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 spans="1:21" ht="13">
      <c r="A840" s="2"/>
      <c r="B840" s="9"/>
      <c r="C840" s="9"/>
      <c r="D840" s="9"/>
      <c r="E840" s="1"/>
      <c r="F840" s="5"/>
      <c r="G840" s="3"/>
      <c r="H840" s="4"/>
      <c r="I840" s="5"/>
      <c r="J840" s="6"/>
      <c r="K840" s="7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 spans="1:21" ht="13">
      <c r="A841" s="2"/>
      <c r="B841" s="9"/>
      <c r="C841" s="9"/>
      <c r="D841" s="9"/>
      <c r="E841" s="1"/>
      <c r="F841" s="5"/>
      <c r="G841" s="3"/>
      <c r="H841" s="4"/>
      <c r="I841" s="5"/>
      <c r="J841" s="6"/>
      <c r="K841" s="7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 spans="1:21" ht="13">
      <c r="A842" s="2"/>
      <c r="B842" s="9"/>
      <c r="C842" s="9"/>
      <c r="D842" s="9"/>
      <c r="E842" s="1"/>
      <c r="F842" s="5"/>
      <c r="G842" s="3"/>
      <c r="H842" s="4"/>
      <c r="I842" s="5"/>
      <c r="J842" s="6"/>
      <c r="K842" s="7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 spans="1:21" ht="13">
      <c r="A843" s="2"/>
      <c r="B843" s="9"/>
      <c r="C843" s="9"/>
      <c r="D843" s="9"/>
      <c r="E843" s="1"/>
      <c r="F843" s="5"/>
      <c r="G843" s="3"/>
      <c r="H843" s="4"/>
      <c r="I843" s="5"/>
      <c r="J843" s="6"/>
      <c r="K843" s="7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 spans="1:21" ht="13">
      <c r="A844" s="2"/>
      <c r="B844" s="9"/>
      <c r="C844" s="9"/>
      <c r="D844" s="9"/>
      <c r="E844" s="1"/>
      <c r="F844" s="5"/>
      <c r="G844" s="3"/>
      <c r="H844" s="4"/>
      <c r="I844" s="5"/>
      <c r="J844" s="6"/>
      <c r="K844" s="7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 spans="1:21" ht="13">
      <c r="A845" s="2"/>
      <c r="B845" s="9"/>
      <c r="C845" s="9"/>
      <c r="D845" s="9"/>
      <c r="E845" s="1"/>
      <c r="F845" s="5"/>
      <c r="G845" s="3"/>
      <c r="H845" s="4"/>
      <c r="I845" s="5"/>
      <c r="J845" s="6"/>
      <c r="K845" s="7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 spans="1:21" ht="13">
      <c r="A846" s="2"/>
      <c r="B846" s="9"/>
      <c r="C846" s="9"/>
      <c r="D846" s="9"/>
      <c r="E846" s="1"/>
      <c r="F846" s="5"/>
      <c r="G846" s="3"/>
      <c r="H846" s="4"/>
      <c r="I846" s="5"/>
      <c r="J846" s="6"/>
      <c r="K846" s="7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 spans="1:21" ht="13">
      <c r="A847" s="2"/>
      <c r="B847" s="9"/>
      <c r="C847" s="9"/>
      <c r="D847" s="9"/>
      <c r="E847" s="1"/>
      <c r="F847" s="5"/>
      <c r="G847" s="3"/>
      <c r="H847" s="4"/>
      <c r="I847" s="5"/>
      <c r="J847" s="6"/>
      <c r="K847" s="7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 spans="1:21" ht="13">
      <c r="A848" s="2"/>
      <c r="B848" s="9"/>
      <c r="C848" s="9"/>
      <c r="D848" s="9"/>
      <c r="E848" s="1"/>
      <c r="F848" s="5"/>
      <c r="G848" s="3"/>
      <c r="H848" s="4"/>
      <c r="I848" s="5"/>
      <c r="J848" s="6"/>
      <c r="K848" s="7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 spans="1:21" ht="13">
      <c r="A849" s="2"/>
      <c r="B849" s="9"/>
      <c r="C849" s="9"/>
      <c r="D849" s="9"/>
      <c r="E849" s="1"/>
      <c r="F849" s="5"/>
      <c r="G849" s="3"/>
      <c r="H849" s="4"/>
      <c r="I849" s="5"/>
      <c r="J849" s="6"/>
      <c r="K849" s="7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 spans="1:21" ht="13">
      <c r="A850" s="2"/>
      <c r="B850" s="9"/>
      <c r="C850" s="9"/>
      <c r="D850" s="9"/>
      <c r="E850" s="1"/>
      <c r="F850" s="5"/>
      <c r="G850" s="3"/>
      <c r="H850" s="4"/>
      <c r="I850" s="5"/>
      <c r="J850" s="6"/>
      <c r="K850" s="7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 spans="1:21" ht="13">
      <c r="A851" s="2"/>
      <c r="B851" s="9"/>
      <c r="C851" s="9"/>
      <c r="D851" s="9"/>
      <c r="E851" s="1"/>
      <c r="F851" s="5"/>
      <c r="G851" s="3"/>
      <c r="H851" s="4"/>
      <c r="I851" s="5"/>
      <c r="J851" s="6"/>
      <c r="K851" s="7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 spans="1:21" ht="13">
      <c r="A852" s="2"/>
      <c r="B852" s="9"/>
      <c r="C852" s="9"/>
      <c r="D852" s="9"/>
      <c r="E852" s="1"/>
      <c r="F852" s="5"/>
      <c r="G852" s="3"/>
      <c r="H852" s="4"/>
      <c r="I852" s="5"/>
      <c r="J852" s="6"/>
      <c r="K852" s="7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 spans="1:21" ht="13">
      <c r="A853" s="2"/>
      <c r="B853" s="9"/>
      <c r="C853" s="9"/>
      <c r="D853" s="9"/>
      <c r="E853" s="1"/>
      <c r="F853" s="5"/>
      <c r="G853" s="3"/>
      <c r="H853" s="4"/>
      <c r="I853" s="5"/>
      <c r="J853" s="6"/>
      <c r="K853" s="7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 spans="1:21" ht="13">
      <c r="A854" s="2"/>
      <c r="B854" s="9"/>
      <c r="C854" s="9"/>
      <c r="D854" s="9"/>
      <c r="E854" s="1"/>
      <c r="F854" s="5"/>
      <c r="G854" s="3"/>
      <c r="H854" s="4"/>
      <c r="I854" s="5"/>
      <c r="J854" s="6"/>
      <c r="K854" s="7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 spans="1:21" ht="13">
      <c r="A855" s="2"/>
      <c r="B855" s="9"/>
      <c r="C855" s="9"/>
      <c r="D855" s="9"/>
      <c r="E855" s="1"/>
      <c r="F855" s="5"/>
      <c r="G855" s="3"/>
      <c r="H855" s="4"/>
      <c r="I855" s="5"/>
      <c r="J855" s="6"/>
      <c r="K855" s="7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 spans="1:21" ht="13">
      <c r="A856" s="2"/>
      <c r="B856" s="9"/>
      <c r="C856" s="9"/>
      <c r="D856" s="9"/>
      <c r="E856" s="1"/>
      <c r="F856" s="5"/>
      <c r="G856" s="3"/>
      <c r="H856" s="4"/>
      <c r="I856" s="5"/>
      <c r="J856" s="6"/>
      <c r="K856" s="7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 spans="1:21" ht="13">
      <c r="A857" s="2"/>
      <c r="B857" s="9"/>
      <c r="C857" s="9"/>
      <c r="D857" s="9"/>
      <c r="E857" s="1"/>
      <c r="F857" s="5"/>
      <c r="G857" s="3"/>
      <c r="H857" s="4"/>
      <c r="I857" s="5"/>
      <c r="J857" s="6"/>
      <c r="K857" s="7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 spans="1:21" ht="13">
      <c r="A858" s="2"/>
      <c r="B858" s="9"/>
      <c r="C858" s="9"/>
      <c r="D858" s="9"/>
      <c r="E858" s="1"/>
      <c r="F858" s="5"/>
      <c r="G858" s="3"/>
      <c r="H858" s="4"/>
      <c r="I858" s="5"/>
      <c r="J858" s="6"/>
      <c r="K858" s="7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 spans="1:21" ht="13">
      <c r="A859" s="2"/>
      <c r="B859" s="9"/>
      <c r="C859" s="9"/>
      <c r="D859" s="9"/>
      <c r="E859" s="1"/>
      <c r="F859" s="5"/>
      <c r="G859" s="3"/>
      <c r="H859" s="4"/>
      <c r="I859" s="5"/>
      <c r="J859" s="6"/>
      <c r="K859" s="7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 spans="1:21" ht="13">
      <c r="A860" s="2"/>
      <c r="B860" s="9"/>
      <c r="C860" s="9"/>
      <c r="D860" s="9"/>
      <c r="E860" s="1"/>
      <c r="F860" s="5"/>
      <c r="G860" s="3"/>
      <c r="H860" s="4"/>
      <c r="I860" s="5"/>
      <c r="J860" s="6"/>
      <c r="K860" s="7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 spans="1:21" ht="13">
      <c r="A861" s="2"/>
      <c r="B861" s="9"/>
      <c r="C861" s="9"/>
      <c r="D861" s="9"/>
      <c r="E861" s="1"/>
      <c r="F861" s="5"/>
      <c r="G861" s="3"/>
      <c r="H861" s="4"/>
      <c r="I861" s="5"/>
      <c r="J861" s="6"/>
      <c r="K861" s="7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 spans="1:21" ht="13">
      <c r="A862" s="2"/>
      <c r="B862" s="9"/>
      <c r="C862" s="9"/>
      <c r="D862" s="9"/>
      <c r="E862" s="1"/>
      <c r="F862" s="5"/>
      <c r="G862" s="3"/>
      <c r="H862" s="4"/>
      <c r="I862" s="5"/>
      <c r="J862" s="6"/>
      <c r="K862" s="7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 spans="1:21" ht="13">
      <c r="A863" s="2"/>
      <c r="B863" s="9"/>
      <c r="C863" s="9"/>
      <c r="D863" s="9"/>
      <c r="E863" s="1"/>
      <c r="F863" s="5"/>
      <c r="G863" s="3"/>
      <c r="H863" s="4"/>
      <c r="I863" s="5"/>
      <c r="J863" s="6"/>
      <c r="K863" s="7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 spans="1:21" ht="13">
      <c r="A864" s="2"/>
      <c r="B864" s="9"/>
      <c r="C864" s="9"/>
      <c r="D864" s="9"/>
      <c r="E864" s="1"/>
      <c r="F864" s="5"/>
      <c r="G864" s="3"/>
      <c r="H864" s="4"/>
      <c r="I864" s="5"/>
      <c r="J864" s="6"/>
      <c r="K864" s="7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 spans="1:21" ht="13">
      <c r="A865" s="2"/>
      <c r="B865" s="9"/>
      <c r="C865" s="9"/>
      <c r="D865" s="9"/>
      <c r="E865" s="1"/>
      <c r="F865" s="5"/>
      <c r="G865" s="3"/>
      <c r="H865" s="4"/>
      <c r="I865" s="5"/>
      <c r="J865" s="6"/>
      <c r="K865" s="7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 spans="1:21" ht="13">
      <c r="A866" s="2"/>
      <c r="B866" s="9"/>
      <c r="C866" s="9"/>
      <c r="D866" s="9"/>
      <c r="E866" s="1"/>
      <c r="F866" s="5"/>
      <c r="G866" s="3"/>
      <c r="H866" s="4"/>
      <c r="I866" s="5"/>
      <c r="J866" s="6"/>
      <c r="K866" s="7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 spans="1:21" ht="13">
      <c r="A867" s="2"/>
      <c r="B867" s="9"/>
      <c r="C867" s="9"/>
      <c r="D867" s="9"/>
      <c r="E867" s="1"/>
      <c r="F867" s="5"/>
      <c r="G867" s="3"/>
      <c r="H867" s="4"/>
      <c r="I867" s="5"/>
      <c r="J867" s="6"/>
      <c r="K867" s="7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 spans="1:21" ht="13">
      <c r="A868" s="2"/>
      <c r="B868" s="9"/>
      <c r="C868" s="9"/>
      <c r="D868" s="9"/>
      <c r="E868" s="1"/>
      <c r="F868" s="5"/>
      <c r="G868" s="3"/>
      <c r="H868" s="4"/>
      <c r="I868" s="5"/>
      <c r="J868" s="6"/>
      <c r="K868" s="7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 spans="1:21" ht="13">
      <c r="A869" s="2"/>
      <c r="B869" s="9"/>
      <c r="C869" s="9"/>
      <c r="D869" s="9"/>
      <c r="E869" s="1"/>
      <c r="F869" s="5"/>
      <c r="G869" s="3"/>
      <c r="H869" s="4"/>
      <c r="I869" s="5"/>
      <c r="J869" s="6"/>
      <c r="K869" s="7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 spans="1:21" ht="13">
      <c r="A870" s="2"/>
      <c r="B870" s="9"/>
      <c r="C870" s="9"/>
      <c r="D870" s="9"/>
      <c r="E870" s="1"/>
      <c r="F870" s="5"/>
      <c r="G870" s="3"/>
      <c r="H870" s="4"/>
      <c r="I870" s="5"/>
      <c r="J870" s="6"/>
      <c r="K870" s="7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 spans="1:21" ht="13">
      <c r="A871" s="2"/>
      <c r="B871" s="9"/>
      <c r="C871" s="9"/>
      <c r="D871" s="9"/>
      <c r="E871" s="1"/>
      <c r="F871" s="5"/>
      <c r="G871" s="3"/>
      <c r="H871" s="4"/>
      <c r="I871" s="5"/>
      <c r="J871" s="6"/>
      <c r="K871" s="7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 spans="1:21" ht="13">
      <c r="A872" s="2"/>
      <c r="B872" s="9"/>
      <c r="C872" s="9"/>
      <c r="D872" s="9"/>
      <c r="E872" s="1"/>
      <c r="F872" s="5"/>
      <c r="G872" s="3"/>
      <c r="H872" s="4"/>
      <c r="I872" s="5"/>
      <c r="J872" s="6"/>
      <c r="K872" s="7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 spans="1:21" ht="13">
      <c r="A873" s="2"/>
      <c r="B873" s="9"/>
      <c r="C873" s="9"/>
      <c r="D873" s="9"/>
      <c r="E873" s="1"/>
      <c r="F873" s="5"/>
      <c r="G873" s="3"/>
      <c r="H873" s="4"/>
      <c r="I873" s="5"/>
      <c r="J873" s="6"/>
      <c r="K873" s="7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 spans="1:21" ht="13">
      <c r="A874" s="2"/>
      <c r="B874" s="9"/>
      <c r="C874" s="9"/>
      <c r="D874" s="9"/>
      <c r="E874" s="1"/>
      <c r="F874" s="5"/>
      <c r="G874" s="3"/>
      <c r="H874" s="4"/>
      <c r="I874" s="5"/>
      <c r="J874" s="6"/>
      <c r="K874" s="7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 spans="1:21" ht="13">
      <c r="A875" s="2"/>
      <c r="B875" s="9"/>
      <c r="C875" s="9"/>
      <c r="D875" s="9"/>
      <c r="E875" s="1"/>
      <c r="F875" s="5"/>
      <c r="G875" s="3"/>
      <c r="H875" s="4"/>
      <c r="I875" s="5"/>
      <c r="J875" s="6"/>
      <c r="K875" s="7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 spans="1:21" ht="13">
      <c r="A876" s="2"/>
      <c r="B876" s="9"/>
      <c r="C876" s="9"/>
      <c r="D876" s="9"/>
      <c r="E876" s="1"/>
      <c r="F876" s="5"/>
      <c r="G876" s="3"/>
      <c r="H876" s="4"/>
      <c r="I876" s="5"/>
      <c r="J876" s="6"/>
      <c r="K876" s="7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 spans="1:21" ht="13">
      <c r="A877" s="2"/>
      <c r="B877" s="9"/>
      <c r="C877" s="9"/>
      <c r="D877" s="9"/>
      <c r="E877" s="1"/>
      <c r="F877" s="5"/>
      <c r="G877" s="3"/>
      <c r="H877" s="4"/>
      <c r="I877" s="5"/>
      <c r="J877" s="6"/>
      <c r="K877" s="7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 spans="1:21" ht="13">
      <c r="A878" s="2"/>
      <c r="B878" s="9"/>
      <c r="C878" s="9"/>
      <c r="D878" s="9"/>
      <c r="E878" s="1"/>
      <c r="F878" s="5"/>
      <c r="G878" s="3"/>
      <c r="H878" s="4"/>
      <c r="I878" s="5"/>
      <c r="J878" s="6"/>
      <c r="K878" s="7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 spans="1:21" ht="13">
      <c r="A879" s="2"/>
      <c r="B879" s="9"/>
      <c r="C879" s="9"/>
      <c r="D879" s="9"/>
      <c r="E879" s="1"/>
      <c r="F879" s="5"/>
      <c r="G879" s="3"/>
      <c r="H879" s="4"/>
      <c r="I879" s="5"/>
      <c r="J879" s="6"/>
      <c r="K879" s="7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 spans="1:21" ht="13">
      <c r="A880" s="2"/>
      <c r="B880" s="9"/>
      <c r="C880" s="9"/>
      <c r="D880" s="9"/>
      <c r="E880" s="1"/>
      <c r="F880" s="5"/>
      <c r="G880" s="3"/>
      <c r="H880" s="4"/>
      <c r="I880" s="5"/>
      <c r="J880" s="6"/>
      <c r="K880" s="7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 spans="1:21" ht="13">
      <c r="A881" s="2"/>
      <c r="B881" s="9"/>
      <c r="C881" s="9"/>
      <c r="D881" s="9"/>
      <c r="E881" s="1"/>
      <c r="F881" s="5"/>
      <c r="G881" s="3"/>
      <c r="H881" s="4"/>
      <c r="I881" s="5"/>
      <c r="J881" s="6"/>
      <c r="K881" s="7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 spans="1:21" ht="13">
      <c r="A882" s="2"/>
      <c r="B882" s="9"/>
      <c r="C882" s="9"/>
      <c r="D882" s="9"/>
      <c r="E882" s="1"/>
      <c r="F882" s="5"/>
      <c r="G882" s="3"/>
      <c r="H882" s="4"/>
      <c r="I882" s="5"/>
      <c r="J882" s="6"/>
      <c r="K882" s="7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 spans="1:21" ht="13">
      <c r="A883" s="2"/>
      <c r="B883" s="9"/>
      <c r="C883" s="9"/>
      <c r="D883" s="9"/>
      <c r="E883" s="1"/>
      <c r="F883" s="5"/>
      <c r="G883" s="3"/>
      <c r="H883" s="4"/>
      <c r="I883" s="5"/>
      <c r="J883" s="6"/>
      <c r="K883" s="7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 spans="1:21" ht="13">
      <c r="A884" s="2"/>
      <c r="B884" s="9"/>
      <c r="C884" s="9"/>
      <c r="D884" s="9"/>
      <c r="E884" s="1"/>
      <c r="F884" s="5"/>
      <c r="G884" s="3"/>
      <c r="H884" s="4"/>
      <c r="I884" s="5"/>
      <c r="J884" s="6"/>
      <c r="K884" s="7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 spans="1:21" ht="13">
      <c r="A885" s="2"/>
      <c r="B885" s="9"/>
      <c r="C885" s="9"/>
      <c r="D885" s="9"/>
      <c r="E885" s="1"/>
      <c r="F885" s="5"/>
      <c r="G885" s="3"/>
      <c r="H885" s="4"/>
      <c r="I885" s="5"/>
      <c r="J885" s="6"/>
      <c r="K885" s="7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 spans="1:21" ht="13">
      <c r="A886" s="2"/>
      <c r="B886" s="9"/>
      <c r="C886" s="9"/>
      <c r="D886" s="9"/>
      <c r="E886" s="1"/>
      <c r="F886" s="5"/>
      <c r="G886" s="3"/>
      <c r="H886" s="4"/>
      <c r="I886" s="5"/>
      <c r="J886" s="6"/>
      <c r="K886" s="7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 spans="1:21" ht="13">
      <c r="A887" s="2"/>
      <c r="B887" s="9"/>
      <c r="C887" s="9"/>
      <c r="D887" s="9"/>
      <c r="E887" s="1"/>
      <c r="F887" s="5"/>
      <c r="G887" s="3"/>
      <c r="H887" s="4"/>
      <c r="I887" s="5"/>
      <c r="J887" s="6"/>
      <c r="K887" s="7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 spans="1:21" ht="13">
      <c r="A888" s="2"/>
      <c r="B888" s="9"/>
      <c r="C888" s="9"/>
      <c r="D888" s="9"/>
      <c r="E888" s="1"/>
      <c r="F888" s="5"/>
      <c r="G888" s="3"/>
      <c r="H888" s="4"/>
      <c r="I888" s="5"/>
      <c r="J888" s="6"/>
      <c r="K888" s="7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 spans="1:21" ht="13">
      <c r="A889" s="2"/>
      <c r="B889" s="9"/>
      <c r="C889" s="9"/>
      <c r="D889" s="9"/>
      <c r="E889" s="1"/>
      <c r="F889" s="5"/>
      <c r="G889" s="3"/>
      <c r="H889" s="4"/>
      <c r="I889" s="5"/>
      <c r="J889" s="6"/>
      <c r="K889" s="7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 spans="1:21" ht="13">
      <c r="A890" s="2"/>
      <c r="B890" s="9"/>
      <c r="C890" s="9"/>
      <c r="D890" s="9"/>
      <c r="E890" s="1"/>
      <c r="F890" s="5"/>
      <c r="G890" s="3"/>
      <c r="H890" s="4"/>
      <c r="I890" s="5"/>
      <c r="J890" s="6"/>
      <c r="K890" s="7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 spans="1:21" ht="13">
      <c r="A891" s="2"/>
      <c r="B891" s="9"/>
      <c r="C891" s="9"/>
      <c r="D891" s="9"/>
      <c r="E891" s="1"/>
      <c r="F891" s="5"/>
      <c r="G891" s="3"/>
      <c r="H891" s="4"/>
      <c r="I891" s="5"/>
      <c r="J891" s="6"/>
      <c r="K891" s="7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 spans="1:21" ht="13">
      <c r="A892" s="2"/>
      <c r="B892" s="9"/>
      <c r="C892" s="9"/>
      <c r="D892" s="9"/>
      <c r="E892" s="1"/>
      <c r="F892" s="5"/>
      <c r="G892" s="3"/>
      <c r="H892" s="4"/>
      <c r="I892" s="5"/>
      <c r="J892" s="6"/>
      <c r="K892" s="7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 spans="1:21" ht="13">
      <c r="A893" s="2"/>
      <c r="B893" s="9"/>
      <c r="C893" s="9"/>
      <c r="D893" s="9"/>
      <c r="E893" s="1"/>
      <c r="F893" s="5"/>
      <c r="G893" s="3"/>
      <c r="H893" s="4"/>
      <c r="I893" s="5"/>
      <c r="J893" s="6"/>
      <c r="K893" s="7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 spans="1:21" ht="13">
      <c r="A894" s="2"/>
      <c r="B894" s="9"/>
      <c r="C894" s="9"/>
      <c r="D894" s="9"/>
      <c r="E894" s="1"/>
      <c r="F894" s="5"/>
      <c r="G894" s="3"/>
      <c r="H894" s="4"/>
      <c r="I894" s="5"/>
      <c r="J894" s="6"/>
      <c r="K894" s="7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 spans="1:21" ht="13">
      <c r="A895" s="2"/>
      <c r="B895" s="9"/>
      <c r="C895" s="9"/>
      <c r="D895" s="9"/>
      <c r="E895" s="1"/>
      <c r="F895" s="5"/>
      <c r="G895" s="3"/>
      <c r="H895" s="4"/>
      <c r="I895" s="5"/>
      <c r="J895" s="6"/>
      <c r="K895" s="7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 spans="1:21" ht="13">
      <c r="A896" s="2"/>
      <c r="B896" s="9"/>
      <c r="C896" s="9"/>
      <c r="D896" s="9"/>
      <c r="E896" s="1"/>
      <c r="F896" s="5"/>
      <c r="G896" s="3"/>
      <c r="H896" s="4"/>
      <c r="I896" s="5"/>
      <c r="J896" s="6"/>
      <c r="K896" s="7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 spans="1:21" ht="13">
      <c r="A897" s="2"/>
      <c r="B897" s="9"/>
      <c r="C897" s="9"/>
      <c r="D897" s="9"/>
      <c r="E897" s="1"/>
      <c r="F897" s="5"/>
      <c r="G897" s="3"/>
      <c r="H897" s="4"/>
      <c r="I897" s="5"/>
      <c r="J897" s="6"/>
      <c r="K897" s="7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 spans="1:21" ht="13">
      <c r="A898" s="2"/>
      <c r="B898" s="9"/>
      <c r="C898" s="9"/>
      <c r="D898" s="9"/>
      <c r="E898" s="1"/>
      <c r="F898" s="5"/>
      <c r="G898" s="3"/>
      <c r="H898" s="4"/>
      <c r="I898" s="5"/>
      <c r="J898" s="6"/>
      <c r="K898" s="7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 spans="1:21" ht="13">
      <c r="A899" s="2"/>
      <c r="B899" s="9"/>
      <c r="C899" s="9"/>
      <c r="D899" s="9"/>
      <c r="E899" s="1"/>
      <c r="F899" s="5"/>
      <c r="G899" s="3"/>
      <c r="H899" s="4"/>
      <c r="I899" s="5"/>
      <c r="J899" s="6"/>
      <c r="K899" s="7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 spans="1:21" ht="13">
      <c r="A900" s="2"/>
      <c r="B900" s="9"/>
      <c r="C900" s="9"/>
      <c r="D900" s="9"/>
      <c r="E900" s="1"/>
      <c r="F900" s="5"/>
      <c r="G900" s="3"/>
      <c r="H900" s="4"/>
      <c r="I900" s="5"/>
      <c r="J900" s="6"/>
      <c r="K900" s="7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 spans="1:21" ht="13">
      <c r="A901" s="2"/>
      <c r="B901" s="9"/>
      <c r="C901" s="9"/>
      <c r="D901" s="9"/>
      <c r="E901" s="1"/>
      <c r="F901" s="5"/>
      <c r="G901" s="3"/>
      <c r="H901" s="4"/>
      <c r="I901" s="5"/>
      <c r="J901" s="6"/>
      <c r="K901" s="7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 spans="1:21" ht="13">
      <c r="A902" s="2"/>
      <c r="B902" s="9"/>
      <c r="C902" s="9"/>
      <c r="D902" s="9"/>
      <c r="E902" s="1"/>
      <c r="F902" s="5"/>
      <c r="G902" s="3"/>
      <c r="H902" s="4"/>
      <c r="I902" s="5"/>
      <c r="J902" s="6"/>
      <c r="K902" s="7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 spans="1:21" ht="13">
      <c r="A903" s="2"/>
      <c r="B903" s="9"/>
      <c r="C903" s="9"/>
      <c r="D903" s="9"/>
      <c r="E903" s="5"/>
      <c r="F903" s="5"/>
      <c r="G903" s="3"/>
      <c r="H903" s="4"/>
      <c r="I903" s="5"/>
      <c r="J903" s="6"/>
      <c r="K903" s="7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 spans="1:21" ht="13">
      <c r="A904" s="2"/>
      <c r="B904" s="9"/>
      <c r="C904" s="9"/>
      <c r="D904" s="9"/>
      <c r="E904" s="5"/>
      <c r="F904" s="5"/>
      <c r="G904" s="3"/>
      <c r="H904" s="4"/>
      <c r="I904" s="5"/>
      <c r="J904" s="6"/>
      <c r="K904" s="7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 spans="1:21" ht="13">
      <c r="A905" s="2"/>
      <c r="B905" s="9"/>
      <c r="C905" s="9"/>
      <c r="D905" s="9"/>
      <c r="E905" s="5"/>
      <c r="F905" s="5"/>
      <c r="G905" s="3"/>
      <c r="H905" s="4"/>
      <c r="I905" s="5"/>
      <c r="J905" s="6"/>
      <c r="K905" s="7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 spans="1:21" ht="13">
      <c r="A906" s="2"/>
      <c r="B906" s="9"/>
      <c r="C906" s="9"/>
      <c r="D906" s="9"/>
      <c r="E906" s="5"/>
      <c r="F906" s="5"/>
      <c r="G906" s="3"/>
      <c r="H906" s="4"/>
      <c r="I906" s="5"/>
      <c r="J906" s="6"/>
      <c r="K906" s="7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 spans="1:21" ht="13">
      <c r="A907" s="2"/>
      <c r="B907" s="9"/>
      <c r="C907" s="9"/>
      <c r="D907" s="9"/>
      <c r="E907" s="5"/>
      <c r="F907" s="5"/>
      <c r="G907" s="3"/>
      <c r="H907" s="4"/>
      <c r="I907" s="5"/>
      <c r="J907" s="6"/>
      <c r="K907" s="7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 spans="1:21" ht="13">
      <c r="A908" s="2"/>
      <c r="B908" s="9"/>
      <c r="C908" s="9"/>
      <c r="D908" s="9"/>
      <c r="E908" s="5"/>
      <c r="F908" s="5"/>
      <c r="G908" s="3"/>
      <c r="H908" s="4"/>
      <c r="I908" s="5"/>
      <c r="J908" s="6"/>
      <c r="K908" s="7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 spans="1:21" ht="13">
      <c r="A909" s="2"/>
      <c r="B909" s="9"/>
      <c r="C909" s="9"/>
      <c r="D909" s="9"/>
      <c r="E909" s="5"/>
      <c r="F909" s="5"/>
      <c r="G909" s="3"/>
      <c r="H909" s="4"/>
      <c r="I909" s="5"/>
      <c r="J909" s="6"/>
      <c r="K909" s="7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 spans="1:21" ht="13">
      <c r="A910" s="2"/>
      <c r="B910" s="9"/>
      <c r="C910" s="9"/>
      <c r="D910" s="9"/>
      <c r="E910" s="5"/>
      <c r="F910" s="5"/>
      <c r="G910" s="3"/>
      <c r="H910" s="4"/>
      <c r="I910" s="5"/>
      <c r="J910" s="6"/>
      <c r="K910" s="7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 spans="1:21" ht="13">
      <c r="A911" s="2"/>
      <c r="B911" s="9"/>
      <c r="C911" s="9"/>
      <c r="D911" s="9"/>
      <c r="E911" s="5"/>
      <c r="F911" s="5"/>
      <c r="G911" s="3"/>
      <c r="H911" s="4"/>
      <c r="I911" s="5"/>
      <c r="J911" s="6"/>
      <c r="K911" s="7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 spans="1:21" ht="13">
      <c r="A912" s="2"/>
      <c r="B912" s="9"/>
      <c r="C912" s="9"/>
      <c r="D912" s="9"/>
      <c r="E912" s="5"/>
      <c r="F912" s="5"/>
      <c r="G912" s="3"/>
      <c r="H912" s="4"/>
      <c r="I912" s="5"/>
      <c r="J912" s="6"/>
      <c r="K912" s="7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 spans="1:21" ht="13">
      <c r="A913" s="2"/>
      <c r="B913" s="9"/>
      <c r="C913" s="9"/>
      <c r="D913" s="9"/>
      <c r="E913" s="5"/>
      <c r="F913" s="5"/>
      <c r="G913" s="3"/>
      <c r="H913" s="4"/>
      <c r="I913" s="5"/>
      <c r="J913" s="6"/>
      <c r="K913" s="7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 spans="1:21" ht="13">
      <c r="A914" s="2"/>
      <c r="B914" s="9"/>
      <c r="C914" s="9"/>
      <c r="D914" s="9"/>
      <c r="E914" s="5"/>
      <c r="F914" s="5"/>
      <c r="G914" s="3"/>
      <c r="H914" s="4"/>
      <c r="I914" s="5"/>
      <c r="J914" s="6"/>
      <c r="K914" s="7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 spans="1:21" ht="13">
      <c r="A915" s="2"/>
      <c r="B915" s="9"/>
      <c r="C915" s="9"/>
      <c r="D915" s="9"/>
      <c r="E915" s="5"/>
      <c r="F915" s="5"/>
      <c r="G915" s="3"/>
      <c r="H915" s="4"/>
      <c r="I915" s="5"/>
      <c r="J915" s="6"/>
      <c r="K915" s="7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 spans="1:21" ht="13">
      <c r="A916" s="2"/>
      <c r="B916" s="9"/>
      <c r="C916" s="9"/>
      <c r="D916" s="9"/>
      <c r="E916" s="5"/>
      <c r="F916" s="5"/>
      <c r="G916" s="3"/>
      <c r="H916" s="4"/>
      <c r="I916" s="5"/>
      <c r="J916" s="6"/>
      <c r="K916" s="7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 spans="1:21" ht="13">
      <c r="A917" s="2"/>
      <c r="B917" s="9"/>
      <c r="C917" s="9"/>
      <c r="D917" s="9"/>
      <c r="E917" s="5"/>
      <c r="F917" s="5"/>
      <c r="G917" s="3"/>
      <c r="H917" s="4"/>
      <c r="I917" s="5"/>
      <c r="J917" s="6"/>
      <c r="K917" s="7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 spans="1:21" ht="13">
      <c r="A918" s="2"/>
      <c r="B918" s="9"/>
      <c r="C918" s="9"/>
      <c r="D918" s="9"/>
      <c r="E918" s="5"/>
      <c r="F918" s="5"/>
      <c r="G918" s="3"/>
      <c r="H918" s="4"/>
      <c r="I918" s="5"/>
      <c r="J918" s="6"/>
      <c r="K918" s="7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 spans="1:21" ht="13">
      <c r="A919" s="2"/>
      <c r="B919" s="9"/>
      <c r="C919" s="9"/>
      <c r="D919" s="9"/>
      <c r="E919" s="5"/>
      <c r="F919" s="5"/>
      <c r="G919" s="3"/>
      <c r="H919" s="4"/>
      <c r="I919" s="5"/>
      <c r="J919" s="6"/>
      <c r="K919" s="7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 spans="1:21" ht="13">
      <c r="A920" s="2"/>
      <c r="B920" s="9"/>
      <c r="C920" s="9"/>
      <c r="D920" s="9"/>
      <c r="E920" s="5"/>
      <c r="F920" s="5"/>
      <c r="G920" s="3"/>
      <c r="H920" s="4"/>
      <c r="I920" s="5"/>
      <c r="J920" s="6"/>
      <c r="K920" s="7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 spans="1:21" ht="13">
      <c r="A921" s="2"/>
      <c r="B921" s="9"/>
      <c r="C921" s="9"/>
      <c r="D921" s="9"/>
      <c r="E921" s="5"/>
      <c r="F921" s="5"/>
      <c r="G921" s="3"/>
      <c r="H921" s="4"/>
      <c r="I921" s="5"/>
      <c r="J921" s="6"/>
      <c r="K921" s="7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 spans="1:21" ht="13">
      <c r="A922" s="2"/>
      <c r="B922" s="9"/>
      <c r="C922" s="9"/>
      <c r="D922" s="9"/>
      <c r="E922" s="5"/>
      <c r="F922" s="5"/>
      <c r="G922" s="3"/>
      <c r="H922" s="4"/>
      <c r="I922" s="5"/>
      <c r="J922" s="6"/>
      <c r="K922" s="7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 spans="1:21" ht="13">
      <c r="A923" s="2"/>
      <c r="B923" s="9"/>
      <c r="C923" s="9"/>
      <c r="D923" s="9"/>
      <c r="E923" s="5"/>
      <c r="F923" s="5"/>
      <c r="G923" s="3"/>
      <c r="H923" s="4"/>
      <c r="I923" s="5"/>
      <c r="J923" s="6"/>
      <c r="K923" s="7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 spans="1:21" ht="13">
      <c r="A924" s="2"/>
      <c r="B924" s="9"/>
      <c r="C924" s="9"/>
      <c r="D924" s="9"/>
      <c r="E924" s="5"/>
      <c r="F924" s="5"/>
      <c r="G924" s="3"/>
      <c r="H924" s="4"/>
      <c r="I924" s="5"/>
      <c r="J924" s="6"/>
      <c r="K924" s="7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 spans="1:21" ht="13">
      <c r="A925" s="2"/>
      <c r="B925" s="9"/>
      <c r="C925" s="9"/>
      <c r="D925" s="9"/>
      <c r="E925" s="5"/>
      <c r="F925" s="5"/>
      <c r="G925" s="3"/>
      <c r="H925" s="4"/>
      <c r="I925" s="5"/>
      <c r="J925" s="6"/>
      <c r="K925" s="7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 spans="1:21" ht="13">
      <c r="A926" s="2"/>
      <c r="B926" s="9"/>
      <c r="C926" s="9"/>
      <c r="D926" s="9"/>
      <c r="E926" s="5"/>
      <c r="F926" s="5"/>
      <c r="G926" s="3"/>
      <c r="H926" s="4"/>
      <c r="I926" s="5"/>
      <c r="J926" s="6"/>
      <c r="K926" s="7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 spans="1:21" ht="13">
      <c r="A927" s="2"/>
      <c r="B927" s="9"/>
      <c r="C927" s="9"/>
      <c r="D927" s="9"/>
      <c r="E927" s="5"/>
      <c r="F927" s="5"/>
      <c r="G927" s="3"/>
      <c r="H927" s="4"/>
      <c r="I927" s="5"/>
      <c r="J927" s="6"/>
      <c r="K927" s="7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 spans="1:21" ht="13">
      <c r="A928" s="2"/>
      <c r="B928" s="9"/>
      <c r="C928" s="9"/>
      <c r="D928" s="9"/>
      <c r="E928" s="5"/>
      <c r="F928" s="5"/>
      <c r="G928" s="3"/>
      <c r="H928" s="4"/>
      <c r="I928" s="5"/>
      <c r="J928" s="6"/>
      <c r="K928" s="7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 spans="1:21" ht="13">
      <c r="A929" s="2"/>
      <c r="B929" s="9"/>
      <c r="C929" s="9"/>
      <c r="D929" s="9"/>
      <c r="E929" s="5"/>
      <c r="F929" s="5"/>
      <c r="G929" s="3"/>
      <c r="H929" s="4"/>
      <c r="I929" s="5"/>
      <c r="J929" s="6"/>
      <c r="K929" s="7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 spans="1:21" ht="13">
      <c r="A930" s="2"/>
      <c r="B930" s="9"/>
      <c r="C930" s="9"/>
      <c r="D930" s="9"/>
      <c r="E930" s="5"/>
      <c r="F930" s="5"/>
      <c r="G930" s="3"/>
      <c r="H930" s="4"/>
      <c r="I930" s="5"/>
      <c r="J930" s="6"/>
      <c r="K930" s="7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 spans="1:21" ht="13">
      <c r="A931" s="2"/>
      <c r="B931" s="9"/>
      <c r="C931" s="9"/>
      <c r="D931" s="9"/>
      <c r="E931" s="5"/>
      <c r="F931" s="5"/>
      <c r="G931" s="3"/>
      <c r="H931" s="4"/>
      <c r="I931" s="5"/>
      <c r="J931" s="6"/>
      <c r="K931" s="7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 spans="1:21" ht="13">
      <c r="A932" s="2"/>
      <c r="B932" s="9"/>
      <c r="C932" s="9"/>
      <c r="D932" s="9"/>
      <c r="E932" s="5"/>
      <c r="F932" s="5"/>
      <c r="G932" s="3"/>
      <c r="H932" s="4"/>
      <c r="I932" s="5"/>
      <c r="J932" s="6"/>
      <c r="K932" s="7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 spans="1:21" ht="13">
      <c r="A933" s="2"/>
      <c r="B933" s="9"/>
      <c r="C933" s="9"/>
      <c r="D933" s="9"/>
      <c r="E933" s="5"/>
      <c r="F933" s="5"/>
      <c r="G933" s="3"/>
      <c r="H933" s="4"/>
      <c r="I933" s="5"/>
      <c r="J933" s="6"/>
      <c r="K933" s="7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 spans="1:21" ht="13">
      <c r="A934" s="2"/>
      <c r="B934" s="9"/>
      <c r="C934" s="9"/>
      <c r="D934" s="9"/>
      <c r="E934" s="5"/>
      <c r="F934" s="5"/>
      <c r="G934" s="3"/>
      <c r="H934" s="4"/>
      <c r="I934" s="5"/>
      <c r="J934" s="6"/>
      <c r="K934" s="7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 spans="1:21" ht="13">
      <c r="A935" s="2"/>
      <c r="B935" s="9"/>
      <c r="C935" s="9"/>
      <c r="D935" s="9"/>
      <c r="E935" s="5"/>
      <c r="F935" s="5"/>
      <c r="G935" s="3"/>
      <c r="H935" s="4"/>
      <c r="I935" s="5"/>
      <c r="J935" s="6"/>
      <c r="K935" s="7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 spans="1:21" ht="13">
      <c r="A936" s="2"/>
      <c r="B936" s="9"/>
      <c r="C936" s="9"/>
      <c r="D936" s="9"/>
      <c r="E936" s="5"/>
      <c r="F936" s="5"/>
      <c r="G936" s="3"/>
      <c r="H936" s="4"/>
      <c r="I936" s="5"/>
      <c r="J936" s="6"/>
      <c r="K936" s="7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 spans="1:21" ht="13">
      <c r="A937" s="2"/>
      <c r="B937" s="9"/>
      <c r="C937" s="9"/>
      <c r="D937" s="9"/>
      <c r="E937" s="5"/>
      <c r="F937" s="5"/>
      <c r="G937" s="3"/>
      <c r="H937" s="4"/>
      <c r="I937" s="5"/>
      <c r="J937" s="6"/>
      <c r="K937" s="7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 spans="1:21" ht="13">
      <c r="A938" s="2"/>
      <c r="B938" s="9"/>
      <c r="C938" s="9"/>
      <c r="D938" s="9"/>
      <c r="E938" s="5"/>
      <c r="F938" s="5"/>
      <c r="G938" s="3"/>
      <c r="H938" s="4"/>
      <c r="I938" s="5"/>
      <c r="J938" s="6"/>
      <c r="K938" s="7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 spans="1:21" ht="13">
      <c r="A939" s="2"/>
      <c r="B939" s="9"/>
      <c r="C939" s="9"/>
      <c r="D939" s="9"/>
      <c r="E939" s="5"/>
      <c r="F939" s="5"/>
      <c r="G939" s="3"/>
      <c r="H939" s="4"/>
      <c r="I939" s="5"/>
      <c r="J939" s="6"/>
      <c r="K939" s="7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 spans="1:21" ht="13">
      <c r="A940" s="2"/>
      <c r="B940" s="9"/>
      <c r="C940" s="9"/>
      <c r="D940" s="9"/>
      <c r="E940" s="5"/>
      <c r="F940" s="5"/>
      <c r="G940" s="3"/>
      <c r="H940" s="4"/>
      <c r="I940" s="5"/>
      <c r="J940" s="6"/>
      <c r="K940" s="7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 spans="1:21" ht="13">
      <c r="A941" s="2"/>
      <c r="B941" s="9"/>
      <c r="C941" s="9"/>
      <c r="D941" s="9"/>
      <c r="E941" s="5"/>
      <c r="F941" s="5"/>
      <c r="G941" s="3"/>
      <c r="H941" s="4"/>
      <c r="I941" s="5"/>
      <c r="J941" s="6"/>
      <c r="K941" s="7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 spans="1:21" ht="13">
      <c r="A942" s="2"/>
      <c r="B942" s="9"/>
      <c r="C942" s="9"/>
      <c r="D942" s="9"/>
      <c r="E942" s="5"/>
      <c r="F942" s="5"/>
      <c r="G942" s="3"/>
      <c r="H942" s="4"/>
      <c r="I942" s="5"/>
      <c r="J942" s="6"/>
      <c r="K942" s="7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 spans="1:21" ht="13">
      <c r="A943" s="2"/>
      <c r="B943" s="9"/>
      <c r="C943" s="9"/>
      <c r="D943" s="9"/>
      <c r="E943" s="5"/>
      <c r="F943" s="5"/>
      <c r="G943" s="3"/>
      <c r="H943" s="4"/>
      <c r="I943" s="5"/>
      <c r="J943" s="6"/>
      <c r="K943" s="7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 spans="1:21" ht="13">
      <c r="A944" s="2"/>
      <c r="B944" s="9"/>
      <c r="C944" s="9"/>
      <c r="D944" s="9"/>
      <c r="E944" s="5"/>
      <c r="F944" s="5"/>
      <c r="G944" s="3"/>
      <c r="H944" s="4"/>
      <c r="I944" s="5"/>
      <c r="J944" s="6"/>
      <c r="K944" s="7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 spans="1:21" ht="13">
      <c r="A945" s="2"/>
      <c r="B945" s="9"/>
      <c r="C945" s="9"/>
      <c r="D945" s="9"/>
      <c r="E945" s="5"/>
      <c r="F945" s="5"/>
      <c r="G945" s="3"/>
      <c r="H945" s="4"/>
      <c r="I945" s="5"/>
      <c r="J945" s="6"/>
      <c r="K945" s="7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 spans="1:21" ht="13">
      <c r="A946" s="2"/>
      <c r="B946" s="9"/>
      <c r="C946" s="9"/>
      <c r="D946" s="9"/>
      <c r="E946" s="5"/>
      <c r="F946" s="5"/>
      <c r="G946" s="3"/>
      <c r="H946" s="4"/>
      <c r="I946" s="5"/>
      <c r="J946" s="6"/>
      <c r="K946" s="7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 spans="1:21" ht="13">
      <c r="A947" s="2"/>
      <c r="B947" s="9"/>
      <c r="C947" s="9"/>
      <c r="D947" s="9"/>
      <c r="E947" s="5"/>
      <c r="F947" s="5"/>
      <c r="G947" s="3"/>
      <c r="H947" s="4"/>
      <c r="I947" s="5"/>
      <c r="J947" s="6"/>
      <c r="K947" s="7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 spans="1:21" ht="13">
      <c r="A948" s="2"/>
      <c r="B948" s="9"/>
      <c r="C948" s="9"/>
      <c r="D948" s="9"/>
      <c r="E948" s="5"/>
      <c r="F948" s="5"/>
      <c r="G948" s="3"/>
      <c r="H948" s="4"/>
      <c r="I948" s="5"/>
      <c r="J948" s="6"/>
      <c r="K948" s="7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 spans="1:21" ht="13">
      <c r="A949" s="2"/>
      <c r="B949" s="9"/>
      <c r="C949" s="9"/>
      <c r="D949" s="9"/>
      <c r="E949" s="5"/>
      <c r="F949" s="5"/>
      <c r="G949" s="3"/>
      <c r="H949" s="4"/>
      <c r="I949" s="5"/>
      <c r="J949" s="6"/>
      <c r="K949" s="7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 spans="1:21" ht="13">
      <c r="A950" s="2"/>
      <c r="B950" s="9"/>
      <c r="C950" s="9"/>
      <c r="D950" s="9"/>
      <c r="E950" s="5"/>
      <c r="F950" s="5"/>
      <c r="G950" s="3"/>
      <c r="H950" s="4"/>
      <c r="I950" s="5"/>
      <c r="J950" s="6"/>
      <c r="K950" s="7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 spans="1:21" ht="13">
      <c r="A951" s="2"/>
      <c r="B951" s="9"/>
      <c r="C951" s="9"/>
      <c r="D951" s="9"/>
      <c r="E951" s="5"/>
      <c r="F951" s="5"/>
      <c r="G951" s="3"/>
      <c r="H951" s="4"/>
      <c r="I951" s="5"/>
      <c r="J951" s="6"/>
      <c r="K951" s="7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 spans="1:21" ht="13">
      <c r="A952" s="2"/>
      <c r="B952" s="9"/>
      <c r="C952" s="9"/>
      <c r="D952" s="9"/>
      <c r="E952" s="5"/>
      <c r="F952" s="5"/>
      <c r="G952" s="3"/>
      <c r="H952" s="4"/>
      <c r="I952" s="5"/>
      <c r="J952" s="6"/>
      <c r="K952" s="7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 spans="1:21" ht="13">
      <c r="A953" s="2"/>
      <c r="B953" s="9"/>
      <c r="C953" s="9"/>
      <c r="D953" s="9"/>
      <c r="E953" s="5"/>
      <c r="F953" s="5"/>
      <c r="G953" s="3"/>
      <c r="H953" s="4"/>
      <c r="I953" s="5"/>
      <c r="J953" s="6"/>
      <c r="K953" s="7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 spans="1:21" ht="13">
      <c r="A954" s="2"/>
      <c r="B954" s="9"/>
      <c r="C954" s="9"/>
      <c r="D954" s="9"/>
      <c r="E954" s="5"/>
      <c r="F954" s="5"/>
      <c r="G954" s="3"/>
      <c r="H954" s="4"/>
      <c r="I954" s="5"/>
      <c r="J954" s="6"/>
      <c r="K954" s="7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 spans="1:21" ht="13">
      <c r="A955" s="2"/>
      <c r="B955" s="9"/>
      <c r="C955" s="9"/>
      <c r="D955" s="9"/>
      <c r="E955" s="5"/>
      <c r="F955" s="5"/>
      <c r="G955" s="3"/>
      <c r="H955" s="4"/>
      <c r="I955" s="5"/>
      <c r="J955" s="6"/>
      <c r="K955" s="7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 spans="1:21" ht="13">
      <c r="A956" s="2"/>
      <c r="B956" s="9"/>
      <c r="C956" s="9"/>
      <c r="D956" s="9"/>
      <c r="E956" s="5"/>
      <c r="F956" s="5"/>
      <c r="G956" s="3"/>
      <c r="H956" s="4"/>
      <c r="I956" s="5"/>
      <c r="J956" s="6"/>
      <c r="K956" s="7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 spans="1:21" ht="13">
      <c r="A957" s="2"/>
      <c r="B957" s="9"/>
      <c r="C957" s="9"/>
      <c r="D957" s="9"/>
      <c r="E957" s="5"/>
      <c r="F957" s="5"/>
      <c r="G957" s="3"/>
      <c r="H957" s="4"/>
      <c r="I957" s="5"/>
      <c r="J957" s="6"/>
      <c r="K957" s="7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 spans="1:21" ht="13">
      <c r="A958" s="2"/>
      <c r="B958" s="9"/>
      <c r="C958" s="9"/>
      <c r="D958" s="9"/>
      <c r="E958" s="5"/>
      <c r="F958" s="5"/>
      <c r="G958" s="3"/>
      <c r="H958" s="4"/>
      <c r="I958" s="5"/>
      <c r="J958" s="6"/>
      <c r="K958" s="7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 spans="1:21" ht="13">
      <c r="A959" s="2"/>
      <c r="B959" s="9"/>
      <c r="C959" s="9"/>
      <c r="D959" s="9"/>
      <c r="E959" s="5"/>
      <c r="F959" s="5"/>
      <c r="G959" s="3"/>
      <c r="H959" s="4"/>
      <c r="I959" s="5"/>
      <c r="J959" s="6"/>
      <c r="K959" s="7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 spans="1:21" ht="13">
      <c r="A960" s="2"/>
      <c r="B960" s="9"/>
      <c r="C960" s="9"/>
      <c r="D960" s="9"/>
      <c r="E960" s="5"/>
      <c r="F960" s="5"/>
      <c r="G960" s="3"/>
      <c r="H960" s="4"/>
      <c r="I960" s="5"/>
      <c r="J960" s="6"/>
      <c r="K960" s="7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 spans="1:21" ht="13">
      <c r="A961" s="2"/>
      <c r="B961" s="9"/>
      <c r="C961" s="9"/>
      <c r="D961" s="9"/>
      <c r="E961" s="5"/>
      <c r="F961" s="5"/>
      <c r="G961" s="3"/>
      <c r="H961" s="4"/>
      <c r="I961" s="5"/>
      <c r="J961" s="6"/>
      <c r="K961" s="7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 spans="1:21" ht="13">
      <c r="A962" s="2"/>
      <c r="B962" s="9"/>
      <c r="C962" s="9"/>
      <c r="D962" s="9"/>
      <c r="E962" s="5"/>
      <c r="F962" s="5"/>
      <c r="G962" s="3"/>
      <c r="H962" s="4"/>
      <c r="I962" s="5"/>
      <c r="J962" s="6"/>
      <c r="K962" s="7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 spans="1:21" ht="13">
      <c r="A963" s="2"/>
      <c r="B963" s="9"/>
      <c r="C963" s="9"/>
      <c r="D963" s="9"/>
      <c r="E963" s="5"/>
      <c r="F963" s="5"/>
      <c r="G963" s="3"/>
      <c r="H963" s="4"/>
      <c r="I963" s="5"/>
      <c r="J963" s="6"/>
      <c r="K963" s="7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 spans="1:21" ht="13">
      <c r="A964" s="2"/>
      <c r="B964" s="9"/>
      <c r="C964" s="9"/>
      <c r="D964" s="9"/>
      <c r="E964" s="5"/>
      <c r="F964" s="5"/>
      <c r="G964" s="3"/>
      <c r="H964" s="4"/>
      <c r="I964" s="5"/>
      <c r="J964" s="6"/>
      <c r="K964" s="7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 spans="1:21" ht="13">
      <c r="A965" s="2"/>
      <c r="B965" s="9"/>
      <c r="C965" s="9"/>
      <c r="D965" s="9"/>
      <c r="E965" s="5"/>
      <c r="F965" s="5"/>
      <c r="G965" s="3"/>
      <c r="H965" s="4"/>
      <c r="I965" s="5"/>
      <c r="J965" s="6"/>
      <c r="K965" s="7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 spans="1:21" ht="13">
      <c r="A966" s="2"/>
      <c r="B966" s="9"/>
      <c r="C966" s="9"/>
      <c r="D966" s="9"/>
      <c r="E966" s="5"/>
      <c r="F966" s="5"/>
      <c r="G966" s="3"/>
      <c r="H966" s="4"/>
      <c r="I966" s="5"/>
      <c r="J966" s="6"/>
      <c r="K966" s="7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 spans="1:21" ht="13">
      <c r="A967" s="2"/>
      <c r="B967" s="9"/>
      <c r="C967" s="9"/>
      <c r="D967" s="9"/>
      <c r="E967" s="5"/>
      <c r="F967" s="5"/>
      <c r="G967" s="3"/>
      <c r="H967" s="4"/>
      <c r="I967" s="5"/>
      <c r="J967" s="6"/>
      <c r="K967" s="7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 spans="1:21" ht="13">
      <c r="A968" s="2"/>
      <c r="B968" s="9"/>
      <c r="C968" s="9"/>
      <c r="D968" s="9"/>
      <c r="E968" s="5"/>
      <c r="F968" s="5"/>
      <c r="G968" s="3"/>
      <c r="H968" s="4"/>
      <c r="I968" s="5"/>
      <c r="J968" s="6"/>
      <c r="K968" s="7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 spans="1:21" ht="13">
      <c r="A969" s="2"/>
      <c r="B969" s="9"/>
      <c r="C969" s="9"/>
      <c r="D969" s="9"/>
      <c r="E969" s="5"/>
      <c r="F969" s="5"/>
      <c r="G969" s="3"/>
      <c r="H969" s="4"/>
      <c r="I969" s="5"/>
      <c r="J969" s="6"/>
      <c r="K969" s="7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 spans="1:21" ht="13">
      <c r="A970" s="2"/>
      <c r="B970" s="9"/>
      <c r="C970" s="9"/>
      <c r="D970" s="9"/>
      <c r="E970" s="5"/>
      <c r="F970" s="5"/>
      <c r="G970" s="3"/>
      <c r="H970" s="4"/>
      <c r="I970" s="5"/>
      <c r="J970" s="6"/>
      <c r="K970" s="7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 spans="1:21" ht="13">
      <c r="A971" s="2"/>
      <c r="B971" s="9"/>
      <c r="C971" s="9"/>
      <c r="D971" s="9"/>
      <c r="E971" s="5"/>
      <c r="F971" s="5"/>
      <c r="G971" s="3"/>
      <c r="H971" s="4"/>
      <c r="I971" s="5"/>
      <c r="J971" s="6"/>
      <c r="K971" s="7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 spans="1:21" ht="13">
      <c r="A972" s="2"/>
      <c r="B972" s="9"/>
      <c r="C972" s="9"/>
      <c r="D972" s="9"/>
      <c r="E972" s="5"/>
      <c r="F972" s="5"/>
      <c r="G972" s="3"/>
      <c r="H972" s="4"/>
      <c r="I972" s="5"/>
      <c r="J972" s="6"/>
      <c r="K972" s="7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 spans="1:21" ht="13">
      <c r="A973" s="2"/>
      <c r="B973" s="9"/>
      <c r="C973" s="9"/>
      <c r="D973" s="9"/>
      <c r="E973" s="5"/>
      <c r="F973" s="5"/>
      <c r="G973" s="3"/>
      <c r="H973" s="4"/>
      <c r="I973" s="5"/>
      <c r="J973" s="6"/>
      <c r="K973" s="7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 spans="1:21" ht="13">
      <c r="A974" s="2"/>
      <c r="B974" s="9"/>
      <c r="C974" s="9"/>
      <c r="D974" s="9"/>
      <c r="E974" s="5"/>
      <c r="F974" s="5"/>
      <c r="G974" s="3"/>
      <c r="H974" s="4"/>
      <c r="I974" s="5"/>
      <c r="J974" s="6"/>
      <c r="K974" s="7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 spans="1:21" ht="13">
      <c r="A975" s="2"/>
      <c r="B975" s="9"/>
      <c r="C975" s="9"/>
      <c r="D975" s="9"/>
      <c r="E975" s="5"/>
      <c r="F975" s="5"/>
      <c r="G975" s="3"/>
      <c r="H975" s="4"/>
      <c r="I975" s="5"/>
      <c r="J975" s="6"/>
      <c r="K975" s="7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 spans="1:21" ht="13">
      <c r="A976" s="2"/>
      <c r="B976" s="9"/>
      <c r="C976" s="9"/>
      <c r="D976" s="9"/>
      <c r="E976" s="5"/>
      <c r="F976" s="5"/>
      <c r="G976" s="3"/>
      <c r="H976" s="4"/>
      <c r="I976" s="5"/>
      <c r="J976" s="6"/>
      <c r="K976" s="7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 spans="1:21" ht="13">
      <c r="A977" s="2"/>
      <c r="B977" s="9"/>
      <c r="C977" s="9"/>
      <c r="D977" s="9"/>
      <c r="E977" s="5"/>
      <c r="F977" s="5"/>
      <c r="G977" s="3"/>
      <c r="H977" s="4"/>
      <c r="I977" s="5"/>
      <c r="J977" s="6"/>
      <c r="K977" s="7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 spans="1:21" ht="13">
      <c r="A978" s="2"/>
      <c r="B978" s="9"/>
      <c r="C978" s="9"/>
      <c r="D978" s="9"/>
      <c r="E978" s="5"/>
      <c r="F978" s="5"/>
      <c r="G978" s="3"/>
      <c r="H978" s="4"/>
      <c r="I978" s="5"/>
      <c r="J978" s="6"/>
      <c r="K978" s="7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 spans="1:21" ht="13">
      <c r="A979" s="2"/>
      <c r="B979" s="9"/>
      <c r="C979" s="9"/>
      <c r="D979" s="9"/>
      <c r="E979" s="5"/>
      <c r="F979" s="5"/>
      <c r="G979" s="3"/>
      <c r="H979" s="4"/>
      <c r="I979" s="5"/>
      <c r="J979" s="6"/>
      <c r="K979" s="7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 spans="1:21" ht="13">
      <c r="A980" s="2"/>
      <c r="B980" s="9"/>
      <c r="C980" s="9"/>
      <c r="D980" s="9"/>
      <c r="E980" s="5"/>
      <c r="F980" s="5"/>
      <c r="G980" s="3"/>
      <c r="H980" s="4"/>
      <c r="I980" s="5"/>
      <c r="J980" s="6"/>
      <c r="K980" s="7"/>
      <c r="L980" s="8"/>
      <c r="M980" s="8"/>
      <c r="N980" s="8"/>
      <c r="O980" s="8"/>
      <c r="P980" s="8"/>
      <c r="Q980" s="8"/>
      <c r="R980" s="8"/>
      <c r="S980" s="8"/>
      <c r="T980" s="8"/>
      <c r="U980" s="8"/>
    </row>
    <row r="981" spans="1:21" ht="13">
      <c r="A981" s="2"/>
      <c r="B981" s="9"/>
      <c r="C981" s="9"/>
      <c r="D981" s="9"/>
      <c r="E981" s="5"/>
      <c r="F981" s="5"/>
      <c r="G981" s="3"/>
      <c r="H981" s="4"/>
      <c r="I981" s="5"/>
      <c r="J981" s="6"/>
      <c r="K981" s="7"/>
      <c r="L981" s="8"/>
      <c r="M981" s="8"/>
      <c r="N981" s="8"/>
      <c r="O981" s="8"/>
      <c r="P981" s="8"/>
      <c r="Q981" s="8"/>
      <c r="R981" s="8"/>
      <c r="S981" s="8"/>
      <c r="T981" s="8"/>
      <c r="U981" s="8"/>
    </row>
    <row r="982" spans="1:21" ht="13">
      <c r="A982" s="2"/>
      <c r="B982" s="9"/>
      <c r="C982" s="9"/>
      <c r="D982" s="9"/>
      <c r="E982" s="5"/>
      <c r="F982" s="5"/>
      <c r="G982" s="3"/>
      <c r="H982" s="4"/>
      <c r="I982" s="5"/>
      <c r="J982" s="6"/>
      <c r="K982" s="7"/>
      <c r="L982" s="8"/>
      <c r="M982" s="8"/>
      <c r="N982" s="8"/>
      <c r="O982" s="8"/>
      <c r="P982" s="8"/>
      <c r="Q982" s="8"/>
      <c r="R982" s="8"/>
      <c r="S982" s="8"/>
      <c r="T982" s="8"/>
      <c r="U982" s="8"/>
    </row>
    <row r="983" spans="1:21" ht="13">
      <c r="A983" s="2"/>
      <c r="B983" s="9"/>
      <c r="C983" s="9"/>
      <c r="D983" s="9"/>
      <c r="E983" s="5"/>
      <c r="F983" s="5"/>
      <c r="G983" s="3"/>
      <c r="H983" s="4"/>
      <c r="I983" s="5"/>
      <c r="J983" s="6"/>
      <c r="K983" s="7"/>
      <c r="L983" s="8"/>
      <c r="M983" s="8"/>
      <c r="N983" s="8"/>
      <c r="O983" s="8"/>
      <c r="P983" s="8"/>
      <c r="Q983" s="8"/>
      <c r="R983" s="8"/>
      <c r="S983" s="8"/>
      <c r="T983" s="8"/>
      <c r="U983" s="8"/>
    </row>
    <row r="984" spans="1:21" ht="13">
      <c r="A984" s="2"/>
      <c r="B984" s="9"/>
      <c r="C984" s="9"/>
      <c r="D984" s="9"/>
      <c r="E984" s="5"/>
      <c r="F984" s="5"/>
      <c r="G984" s="3"/>
      <c r="H984" s="4"/>
      <c r="I984" s="5"/>
      <c r="J984" s="6"/>
      <c r="K984" s="7"/>
      <c r="L984" s="8"/>
      <c r="M984" s="8"/>
      <c r="N984" s="8"/>
      <c r="O984" s="8"/>
      <c r="P984" s="8"/>
      <c r="Q984" s="8"/>
      <c r="R984" s="8"/>
      <c r="S984" s="8"/>
      <c r="T984" s="8"/>
      <c r="U984" s="8"/>
    </row>
    <row r="985" spans="1:21" ht="13">
      <c r="A985" s="2"/>
      <c r="B985" s="9"/>
      <c r="C985" s="9"/>
      <c r="D985" s="9"/>
      <c r="E985" s="5"/>
      <c r="F985" s="5"/>
      <c r="G985" s="3"/>
      <c r="H985" s="4"/>
      <c r="I985" s="5"/>
      <c r="J985" s="6"/>
      <c r="K985" s="7"/>
      <c r="L985" s="8"/>
      <c r="M985" s="8"/>
      <c r="N985" s="8"/>
      <c r="O985" s="8"/>
      <c r="P985" s="8"/>
      <c r="Q985" s="8"/>
      <c r="R985" s="8"/>
      <c r="S985" s="8"/>
      <c r="T985" s="8"/>
      <c r="U985" s="8"/>
    </row>
    <row r="986" spans="1:21" ht="13">
      <c r="A986" s="2"/>
      <c r="B986" s="9"/>
      <c r="C986" s="9"/>
      <c r="D986" s="9"/>
      <c r="E986" s="5"/>
      <c r="F986" s="5"/>
      <c r="G986" s="3"/>
      <c r="H986" s="4"/>
      <c r="I986" s="5"/>
      <c r="J986" s="6"/>
      <c r="K986" s="7"/>
      <c r="L986" s="8"/>
      <c r="M986" s="8"/>
      <c r="N986" s="8"/>
      <c r="O986" s="8"/>
      <c r="P986" s="8"/>
      <c r="Q986" s="8"/>
      <c r="R986" s="8"/>
      <c r="S986" s="8"/>
      <c r="T986" s="8"/>
      <c r="U986" s="8"/>
    </row>
    <row r="987" spans="1:21" ht="13">
      <c r="A987" s="2"/>
      <c r="B987" s="9"/>
      <c r="C987" s="9"/>
      <c r="D987" s="9"/>
      <c r="E987" s="5"/>
      <c r="F987" s="5"/>
      <c r="G987" s="3"/>
      <c r="H987" s="4"/>
      <c r="I987" s="5"/>
      <c r="J987" s="6"/>
      <c r="K987" s="7"/>
      <c r="L987" s="8"/>
      <c r="M987" s="8"/>
      <c r="N987" s="8"/>
      <c r="O987" s="8"/>
      <c r="P987" s="8"/>
      <c r="Q987" s="8"/>
      <c r="R987" s="8"/>
      <c r="S987" s="8"/>
      <c r="T987" s="8"/>
      <c r="U987" s="8"/>
    </row>
    <row r="988" spans="1:21" ht="13">
      <c r="A988" s="2"/>
      <c r="B988" s="9"/>
      <c r="C988" s="9"/>
      <c r="D988" s="9"/>
      <c r="E988" s="5"/>
      <c r="F988" s="5"/>
      <c r="G988" s="3"/>
      <c r="H988" s="4"/>
      <c r="I988" s="5"/>
      <c r="J988" s="6"/>
      <c r="K988" s="7"/>
      <c r="L988" s="8"/>
      <c r="M988" s="8"/>
      <c r="N988" s="8"/>
      <c r="O988" s="8"/>
      <c r="P988" s="8"/>
      <c r="Q988" s="8"/>
      <c r="R988" s="8"/>
      <c r="S988" s="8"/>
      <c r="T988" s="8"/>
      <c r="U988" s="8"/>
    </row>
    <row r="989" spans="1:21" ht="13">
      <c r="A989" s="2"/>
      <c r="B989" s="9"/>
      <c r="C989" s="9"/>
      <c r="D989" s="9"/>
      <c r="E989" s="5"/>
      <c r="F989" s="5"/>
      <c r="G989" s="3"/>
      <c r="H989" s="4"/>
      <c r="I989" s="5"/>
      <c r="J989" s="6"/>
      <c r="K989" s="7"/>
      <c r="L989" s="8"/>
      <c r="M989" s="8"/>
      <c r="N989" s="8"/>
      <c r="O989" s="8"/>
      <c r="P989" s="8"/>
      <c r="Q989" s="8"/>
      <c r="R989" s="8"/>
      <c r="S989" s="8"/>
      <c r="T989" s="8"/>
      <c r="U989" s="8"/>
    </row>
    <row r="990" spans="1:21" ht="13">
      <c r="A990" s="2"/>
      <c r="B990" s="9"/>
      <c r="C990" s="9"/>
      <c r="D990" s="9"/>
      <c r="E990" s="5"/>
      <c r="F990" s="5"/>
      <c r="G990" s="3"/>
      <c r="H990" s="4"/>
      <c r="I990" s="5"/>
      <c r="J990" s="6"/>
      <c r="K990" s="7"/>
      <c r="L990" s="8"/>
      <c r="M990" s="8"/>
      <c r="N990" s="8"/>
      <c r="O990" s="8"/>
      <c r="P990" s="8"/>
      <c r="Q990" s="8"/>
      <c r="R990" s="8"/>
      <c r="S990" s="8"/>
      <c r="T990" s="8"/>
      <c r="U990" s="8"/>
    </row>
    <row r="991" spans="1:21" ht="13">
      <c r="A991" s="2"/>
      <c r="B991" s="9"/>
      <c r="C991" s="9"/>
      <c r="D991" s="9"/>
      <c r="E991" s="5"/>
      <c r="F991" s="5"/>
      <c r="G991" s="3"/>
      <c r="H991" s="4"/>
      <c r="I991" s="5"/>
      <c r="J991" s="6"/>
      <c r="K991" s="7"/>
      <c r="L991" s="8"/>
      <c r="M991" s="8"/>
      <c r="N991" s="8"/>
      <c r="O991" s="8"/>
      <c r="P991" s="8"/>
      <c r="Q991" s="8"/>
      <c r="R991" s="8"/>
      <c r="S991" s="8"/>
      <c r="T991" s="8"/>
      <c r="U991" s="8"/>
    </row>
    <row r="992" spans="1:21" ht="13">
      <c r="A992" s="2"/>
      <c r="B992" s="9"/>
      <c r="C992" s="9"/>
      <c r="D992" s="9"/>
      <c r="E992" s="5"/>
      <c r="F992" s="5"/>
      <c r="G992" s="3"/>
      <c r="H992" s="4"/>
      <c r="I992" s="5"/>
      <c r="J992" s="6"/>
      <c r="K992" s="7"/>
      <c r="L992" s="8"/>
      <c r="M992" s="8"/>
      <c r="N992" s="8"/>
      <c r="O992" s="8"/>
      <c r="P992" s="8"/>
      <c r="Q992" s="8"/>
      <c r="R992" s="8"/>
      <c r="S992" s="8"/>
      <c r="T992" s="8"/>
      <c r="U992" s="8"/>
    </row>
    <row r="993" spans="1:21" ht="13">
      <c r="A993" s="2"/>
      <c r="B993" s="9"/>
      <c r="C993" s="9"/>
      <c r="D993" s="9"/>
      <c r="E993" s="5"/>
      <c r="F993" s="5"/>
      <c r="G993" s="3"/>
      <c r="H993" s="4"/>
      <c r="I993" s="5"/>
      <c r="J993" s="6"/>
      <c r="K993" s="7"/>
      <c r="L993" s="8"/>
      <c r="M993" s="8"/>
      <c r="N993" s="8"/>
      <c r="O993" s="8"/>
      <c r="P993" s="8"/>
      <c r="Q993" s="8"/>
      <c r="R993" s="8"/>
      <c r="S993" s="8"/>
      <c r="T993" s="8"/>
      <c r="U993" s="8"/>
    </row>
    <row r="994" spans="1:21" ht="13">
      <c r="A994" s="2"/>
      <c r="B994" s="9"/>
      <c r="C994" s="9"/>
      <c r="D994" s="9"/>
      <c r="E994" s="5"/>
      <c r="F994" s="5"/>
      <c r="G994" s="3"/>
      <c r="H994" s="4"/>
      <c r="I994" s="5"/>
      <c r="J994" s="6"/>
      <c r="K994" s="7"/>
      <c r="L994" s="8"/>
      <c r="M994" s="8"/>
      <c r="N994" s="8"/>
      <c r="O994" s="8"/>
      <c r="P994" s="8"/>
      <c r="Q994" s="8"/>
      <c r="R994" s="8"/>
      <c r="S994" s="8"/>
      <c r="T994" s="8"/>
      <c r="U994" s="8"/>
    </row>
    <row r="995" spans="1:21" ht="13">
      <c r="A995" s="2"/>
      <c r="B995" s="9"/>
      <c r="C995" s="9"/>
      <c r="D995" s="9"/>
      <c r="E995" s="5"/>
      <c r="F995" s="5"/>
      <c r="G995" s="3"/>
      <c r="H995" s="4"/>
      <c r="I995" s="5"/>
      <c r="J995" s="6"/>
      <c r="K995" s="7"/>
      <c r="L995" s="8"/>
      <c r="M995" s="8"/>
      <c r="N995" s="8"/>
      <c r="O995" s="8"/>
      <c r="P995" s="8"/>
      <c r="Q995" s="8"/>
      <c r="R995" s="8"/>
      <c r="S995" s="8"/>
      <c r="T995" s="8"/>
      <c r="U995" s="8"/>
    </row>
    <row r="996" spans="1:21" ht="13">
      <c r="A996" s="2"/>
      <c r="B996" s="9"/>
      <c r="C996" s="9"/>
      <c r="D996" s="9"/>
      <c r="E996" s="5"/>
      <c r="F996" s="5"/>
      <c r="G996" s="3"/>
      <c r="H996" s="4"/>
      <c r="I996" s="5"/>
      <c r="J996" s="6"/>
      <c r="K996" s="7"/>
      <c r="L996" s="8"/>
      <c r="M996" s="8"/>
      <c r="N996" s="8"/>
      <c r="O996" s="8"/>
      <c r="P996" s="8"/>
      <c r="Q996" s="8"/>
      <c r="R996" s="8"/>
      <c r="S996" s="8"/>
      <c r="T996" s="8"/>
      <c r="U996" s="8"/>
    </row>
    <row r="997" spans="1:21" ht="13">
      <c r="A997" s="2"/>
      <c r="B997" s="9"/>
      <c r="C997" s="9"/>
      <c r="D997" s="9"/>
      <c r="E997" s="5"/>
      <c r="F997" s="5"/>
      <c r="G997" s="3"/>
      <c r="H997" s="4"/>
      <c r="I997" s="5"/>
      <c r="J997" s="6"/>
      <c r="K997" s="7"/>
      <c r="L997" s="8"/>
      <c r="M997" s="8"/>
      <c r="N997" s="8"/>
      <c r="O997" s="8"/>
      <c r="P997" s="8"/>
      <c r="Q997" s="8"/>
      <c r="R997" s="8"/>
      <c r="S997" s="8"/>
      <c r="T997" s="8"/>
      <c r="U997" s="8"/>
    </row>
    <row r="998" spans="1:21" ht="13">
      <c r="A998" s="2"/>
      <c r="B998" s="9"/>
      <c r="C998" s="9"/>
      <c r="D998" s="9"/>
      <c r="E998" s="5"/>
      <c r="F998" s="5"/>
      <c r="G998" s="3"/>
      <c r="H998" s="4"/>
      <c r="I998" s="5"/>
      <c r="J998" s="6"/>
      <c r="K998" s="7"/>
      <c r="L998" s="8"/>
      <c r="M998" s="8"/>
      <c r="N998" s="8"/>
      <c r="O998" s="8"/>
      <c r="P998" s="8"/>
      <c r="Q998" s="8"/>
      <c r="R998" s="8"/>
      <c r="S998" s="8"/>
      <c r="T998" s="8"/>
      <c r="U998" s="8"/>
    </row>
    <row r="999" spans="1:21" ht="13">
      <c r="A999" s="2"/>
      <c r="B999" s="9"/>
      <c r="C999" s="9"/>
      <c r="D999" s="9"/>
      <c r="E999" s="5"/>
      <c r="F999" s="5"/>
      <c r="G999" s="3"/>
      <c r="H999" s="4"/>
      <c r="I999" s="5"/>
      <c r="J999" s="6"/>
      <c r="K999" s="7"/>
      <c r="L999" s="8"/>
      <c r="M999" s="8"/>
      <c r="N999" s="8"/>
      <c r="O999" s="8"/>
      <c r="P999" s="8"/>
      <c r="Q999" s="8"/>
      <c r="R999" s="8"/>
      <c r="S999" s="8"/>
      <c r="T999" s="8"/>
      <c r="U999" s="8"/>
    </row>
    <row r="1000" spans="1:21" ht="13">
      <c r="A1000" s="2"/>
      <c r="B1000" s="9"/>
      <c r="C1000" s="9"/>
      <c r="D1000" s="9"/>
      <c r="E1000" s="5"/>
      <c r="F1000" s="5"/>
      <c r="G1000" s="3"/>
      <c r="H1000" s="4"/>
      <c r="I1000" s="5"/>
      <c r="J1000" s="6"/>
      <c r="K1000" s="7"/>
      <c r="L1000" s="8"/>
      <c r="M1000" s="8"/>
      <c r="N1000" s="8"/>
      <c r="O1000" s="8"/>
      <c r="P1000" s="8"/>
      <c r="Q1000" s="8"/>
      <c r="R1000" s="8"/>
      <c r="S1000" s="8"/>
      <c r="T1000" s="8"/>
      <c r="U1000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2:P1003"/>
  <sheetViews>
    <sheetView topLeftCell="A40" zoomScale="108" workbookViewId="0">
      <selection activeCell="L5" sqref="L5"/>
    </sheetView>
  </sheetViews>
  <sheetFormatPr baseColWidth="10" defaultColWidth="12.6640625" defaultRowHeight="15.75" customHeight="1"/>
  <cols>
    <col min="1" max="1" width="28.83203125" customWidth="1"/>
    <col min="2" max="2" width="12.33203125" customWidth="1"/>
    <col min="3" max="3" width="14.33203125" customWidth="1"/>
    <col min="5" max="5" width="15.1640625" customWidth="1"/>
    <col min="6" max="6" width="15.33203125" customWidth="1"/>
    <col min="7" max="7" width="13.6640625" customWidth="1"/>
    <col min="8" max="8" width="11.1640625" customWidth="1"/>
    <col min="9" max="9" width="11" customWidth="1"/>
    <col min="10" max="10" width="12.83203125" customWidth="1"/>
    <col min="11" max="11" width="17.83203125" customWidth="1"/>
    <col min="12" max="12" width="18.83203125" customWidth="1"/>
    <col min="13" max="13" width="22" customWidth="1"/>
    <col min="14" max="14" width="34.33203125" customWidth="1"/>
    <col min="15" max="15" width="28.83203125" customWidth="1"/>
  </cols>
  <sheetData>
    <row r="2" spans="1:15" ht="19" customHeight="1" thickBot="1">
      <c r="D2" s="120"/>
      <c r="E2" s="37"/>
      <c r="F2" s="37"/>
    </row>
    <row r="3" spans="1:15" ht="18" customHeight="1" thickBot="1">
      <c r="A3" s="161" t="s">
        <v>639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3"/>
    </row>
    <row r="4" spans="1:15" ht="35" customHeight="1" thickBot="1">
      <c r="A4" s="167" t="s">
        <v>640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9"/>
      <c r="M4" s="137"/>
      <c r="N4" s="137"/>
      <c r="O4" s="137"/>
    </row>
    <row r="5" spans="1:15" ht="40" customHeight="1" thickBot="1">
      <c r="A5" s="133" t="s">
        <v>616</v>
      </c>
      <c r="B5" s="133" t="s">
        <v>628</v>
      </c>
      <c r="C5" s="134" t="s">
        <v>631</v>
      </c>
      <c r="D5" s="134" t="s">
        <v>632</v>
      </c>
      <c r="E5" s="135" t="s">
        <v>633</v>
      </c>
      <c r="F5" s="134" t="s">
        <v>634</v>
      </c>
      <c r="G5" s="134" t="s">
        <v>39</v>
      </c>
      <c r="H5" s="134" t="s">
        <v>40</v>
      </c>
      <c r="I5" s="134" t="s">
        <v>635</v>
      </c>
      <c r="J5" s="159" t="s">
        <v>48</v>
      </c>
      <c r="K5" s="136" t="s">
        <v>636</v>
      </c>
      <c r="L5" s="160" t="s">
        <v>637</v>
      </c>
    </row>
    <row r="6" spans="1:15" ht="15.75" customHeight="1">
      <c r="A6" s="139" t="s">
        <v>41</v>
      </c>
      <c r="B6" s="140" t="s">
        <v>629</v>
      </c>
      <c r="C6" s="141">
        <v>1240</v>
      </c>
      <c r="D6" s="141">
        <v>3611.5</v>
      </c>
      <c r="E6" s="142">
        <f>D6/(C6*8765.81277)*1000</f>
        <v>0.33225669728740964</v>
      </c>
      <c r="F6" s="141">
        <f>(54739+(142000-3300)+933000+9000+5400+111958+37277+1942000)*10^(-6)+7.65</f>
        <v>10.882073999999999</v>
      </c>
      <c r="G6" s="141">
        <v>9</v>
      </c>
      <c r="H6" s="141">
        <v>536.5</v>
      </c>
      <c r="I6" s="141">
        <v>263.3</v>
      </c>
      <c r="J6" s="142">
        <f>(C6*10^6)/(9.81*997*I6*H6)</f>
        <v>0.89750511852075787</v>
      </c>
      <c r="K6" s="143">
        <f>C6*E6/F6</f>
        <v>37.860274120207968</v>
      </c>
      <c r="L6" s="144">
        <f>D6*10^(-3)/(F6)</f>
        <v>0.33187607435861954</v>
      </c>
    </row>
    <row r="7" spans="1:15" ht="15.75" customHeight="1">
      <c r="A7" s="145" t="s">
        <v>45</v>
      </c>
      <c r="B7" s="146" t="s">
        <v>629</v>
      </c>
      <c r="C7" s="36">
        <v>960</v>
      </c>
      <c r="D7" s="36">
        <v>4361.7</v>
      </c>
      <c r="E7" s="55">
        <f t="shared" ref="E7:E38" si="0">D7/(C7*8765.81277)*1000</f>
        <v>0.51831331779631418</v>
      </c>
      <c r="F7" s="36">
        <f>0.44+0.19+0.02+2.89+0.11+0.04+0.17+1.07+0.88</f>
        <v>5.81</v>
      </c>
      <c r="G7" s="36">
        <v>9</v>
      </c>
      <c r="H7" s="36">
        <v>442</v>
      </c>
      <c r="I7" s="36">
        <v>253.2</v>
      </c>
      <c r="J7" s="55">
        <f>(C7*10^6)/(9.81*997*I7*H7)</f>
        <v>0.87704342410694258</v>
      </c>
      <c r="K7" s="147">
        <f>C7*E7/F7</f>
        <v>85.642131684072567</v>
      </c>
      <c r="L7" s="148">
        <f>D7*10^(-3)/(F7)</f>
        <v>0.75072289156626515</v>
      </c>
    </row>
    <row r="8" spans="1:15" ht="15.75" customHeight="1">
      <c r="A8" s="149" t="s">
        <v>50</v>
      </c>
      <c r="B8" s="146" t="s">
        <v>629</v>
      </c>
      <c r="C8" s="36">
        <v>840</v>
      </c>
      <c r="D8" s="36">
        <v>2508.3000000000002</v>
      </c>
      <c r="E8" s="55">
        <f t="shared" si="0"/>
        <v>0.34064969295156744</v>
      </c>
      <c r="F8" s="36">
        <f>1.85+4.14</f>
        <v>5.99</v>
      </c>
      <c r="G8" s="36">
        <v>2</v>
      </c>
      <c r="H8" s="36">
        <v>850</v>
      </c>
      <c r="I8" s="36">
        <v>112.5</v>
      </c>
      <c r="J8" s="55">
        <f>(C8*10^6)/(9.81*997*I8*H8)</f>
        <v>0.89813924193479477</v>
      </c>
      <c r="K8" s="147">
        <f>C8*E8/F8</f>
        <v>47.770574637615468</v>
      </c>
      <c r="L8" s="148">
        <f>D8*10^(-3)/(F8)</f>
        <v>0.41874791318864779</v>
      </c>
    </row>
    <row r="9" spans="1:15" ht="15.75" customHeight="1">
      <c r="A9" s="145" t="s">
        <v>42</v>
      </c>
      <c r="B9" s="146" t="s">
        <v>629</v>
      </c>
      <c r="C9" s="36">
        <v>640</v>
      </c>
      <c r="D9" s="36">
        <v>1335.1</v>
      </c>
      <c r="E9" s="55">
        <f t="shared" si="0"/>
        <v>0.23798064192511834</v>
      </c>
      <c r="F9" s="36">
        <f>25.92+31.96+23.59+0.28+0.13+0.2+1.07+0.2+0.13</f>
        <v>83.47999999999999</v>
      </c>
      <c r="G9" s="36">
        <v>9</v>
      </c>
      <c r="H9" s="36">
        <v>437</v>
      </c>
      <c r="I9" s="36">
        <v>173.3</v>
      </c>
      <c r="J9" s="55">
        <f>(C9*10^6)/(9.81*997*I9*H9)</f>
        <v>0.86404390021205457</v>
      </c>
      <c r="K9" s="147">
        <f>C9*E9/F9</f>
        <v>1.8244802447541417</v>
      </c>
      <c r="L9" s="148">
        <f>D9*10^(-3)/(F9)</f>
        <v>1.5993052228078584E-2</v>
      </c>
    </row>
    <row r="10" spans="1:15" ht="15.75" customHeight="1">
      <c r="A10" s="145" t="s">
        <v>52</v>
      </c>
      <c r="B10" s="146" t="s">
        <v>629</v>
      </c>
      <c r="C10" s="36">
        <v>620</v>
      </c>
      <c r="D10" s="36">
        <v>2158.1999999999998</v>
      </c>
      <c r="E10" s="55">
        <f t="shared" si="0"/>
        <v>0.39710724302128608</v>
      </c>
      <c r="F10" s="36">
        <f>0.02+0.02+1.31+10.47</f>
        <v>11.82</v>
      </c>
      <c r="G10" s="36">
        <v>4</v>
      </c>
      <c r="H10" s="36">
        <v>905</v>
      </c>
      <c r="I10" s="36">
        <v>80</v>
      </c>
      <c r="J10" s="55">
        <f>(C10*10^6)/(9.81*997*I10*H10)</f>
        <v>0.87556613894713808</v>
      </c>
      <c r="K10" s="147">
        <f>C10*E10/F10</f>
        <v>20.829652341218051</v>
      </c>
      <c r="L10" s="148">
        <f>D10*10^(-3)/(F10)</f>
        <v>0.18258883248730964</v>
      </c>
    </row>
    <row r="11" spans="1:15" ht="15.75" customHeight="1">
      <c r="A11" s="145" t="s">
        <v>53</v>
      </c>
      <c r="B11" s="146" t="s">
        <v>629</v>
      </c>
      <c r="C11" s="36">
        <v>600</v>
      </c>
      <c r="D11" s="36">
        <v>2466.1</v>
      </c>
      <c r="E11" s="55">
        <f t="shared" si="0"/>
        <v>0.46888597492445255</v>
      </c>
      <c r="F11" s="36">
        <f>47.3</f>
        <v>47.3</v>
      </c>
      <c r="G11" s="36">
        <v>1</v>
      </c>
      <c r="H11" s="36">
        <v>543</v>
      </c>
      <c r="I11" s="36">
        <v>120</v>
      </c>
      <c r="J11" s="55">
        <f>(C11*10^6)/(9.81*997*I11*H11)</f>
        <v>0.94146896660982593</v>
      </c>
      <c r="K11" s="147">
        <f>C11*E11/F11</f>
        <v>5.9478136354053186</v>
      </c>
      <c r="L11" s="148">
        <f>D11*10^(-3)/(F11)</f>
        <v>5.2137420718816073E-2</v>
      </c>
    </row>
    <row r="12" spans="1:15" ht="15.75" customHeight="1">
      <c r="A12" s="145" t="s">
        <v>54</v>
      </c>
      <c r="B12" s="146" t="s">
        <v>629</v>
      </c>
      <c r="C12" s="36">
        <v>500</v>
      </c>
      <c r="D12" s="36">
        <v>1366.1</v>
      </c>
      <c r="E12" s="55">
        <f t="shared" si="0"/>
        <v>0.31168815393258736</v>
      </c>
      <c r="F12" s="36">
        <f>6.6+2+0.52</f>
        <v>9.1199999999999992</v>
      </c>
      <c r="G12" s="36">
        <v>3</v>
      </c>
      <c r="H12" s="36">
        <v>1065</v>
      </c>
      <c r="I12" s="36">
        <v>51.7</v>
      </c>
      <c r="J12" s="55">
        <f>(C12*10^6)/(9.81*997*I12*H12)</f>
        <v>0.92846532245282087</v>
      </c>
      <c r="K12" s="147">
        <f>C12*E12/F12</f>
        <v>17.08816633402343</v>
      </c>
      <c r="L12" s="148">
        <f>D12*10^(-3)/(F12)</f>
        <v>0.14979166666666666</v>
      </c>
    </row>
    <row r="13" spans="1:15" ht="15.75" customHeight="1">
      <c r="A13" s="145" t="s">
        <v>55</v>
      </c>
      <c r="B13" s="146" t="s">
        <v>629</v>
      </c>
      <c r="C13" s="36">
        <v>500</v>
      </c>
      <c r="D13" s="36">
        <v>2183.8000000000002</v>
      </c>
      <c r="E13" s="55">
        <f t="shared" si="0"/>
        <v>0.49825385444549031</v>
      </c>
      <c r="F13" s="36">
        <f>1.02+42.24+3.37+4.99+28.61</f>
        <v>80.23</v>
      </c>
      <c r="G13" s="37"/>
      <c r="H13" s="36">
        <v>505.3</v>
      </c>
      <c r="I13" s="36">
        <v>115.7</v>
      </c>
      <c r="J13" s="55">
        <f>(C13*10^6)/(9.81*997*I13*H13)</f>
        <v>0.87442623979958578</v>
      </c>
      <c r="K13" s="147">
        <f>C13*E13/F13</f>
        <v>3.1051592574192339</v>
      </c>
      <c r="L13" s="148">
        <f>D13*10^(-3)/(F13)</f>
        <v>2.7219244671569238E-2</v>
      </c>
    </row>
    <row r="14" spans="1:15" ht="15.75" customHeight="1">
      <c r="A14" s="145" t="s">
        <v>56</v>
      </c>
      <c r="B14" s="146" t="s">
        <v>629</v>
      </c>
      <c r="C14" s="36">
        <v>430</v>
      </c>
      <c r="D14" s="36">
        <v>2327.6999999999998</v>
      </c>
      <c r="E14" s="55">
        <f t="shared" si="0"/>
        <v>0.61754180199692854</v>
      </c>
      <c r="F14" s="36">
        <f>3.32</f>
        <v>3.32</v>
      </c>
      <c r="G14" s="36">
        <v>1</v>
      </c>
      <c r="H14" s="36">
        <v>393.5</v>
      </c>
      <c r="I14" s="36">
        <v>128</v>
      </c>
      <c r="J14" s="55">
        <f>(C14*10^6)/(9.81*997*I14*H14)</f>
        <v>0.87287003261486751</v>
      </c>
      <c r="K14" s="147">
        <f>C14*E14/F14</f>
        <v>79.982823752614237</v>
      </c>
      <c r="L14" s="148">
        <f>D14*10^(-3)/(F14)</f>
        <v>0.7011144578313252</v>
      </c>
    </row>
    <row r="15" spans="1:15" ht="15.75" customHeight="1">
      <c r="A15" s="145" t="s">
        <v>57</v>
      </c>
      <c r="B15" s="146" t="s">
        <v>629</v>
      </c>
      <c r="C15" s="36">
        <v>374</v>
      </c>
      <c r="D15" s="36">
        <v>1449.7</v>
      </c>
      <c r="E15" s="55">
        <f t="shared" si="0"/>
        <v>0.44219552827115083</v>
      </c>
      <c r="F15" s="36">
        <f>0.17+0.78+1.54+0.75+1.64+33.21</f>
        <v>38.090000000000003</v>
      </c>
      <c r="G15" s="36">
        <v>6</v>
      </c>
      <c r="H15" s="36">
        <v>1040</v>
      </c>
      <c r="I15" s="36">
        <v>40</v>
      </c>
      <c r="J15" s="55">
        <f>(C15*10^6)/(9.81*997*I15*H15)</f>
        <v>0.91920865710123389</v>
      </c>
      <c r="K15" s="147">
        <f>C15*E15/F15</f>
        <v>4.3418516033974894</v>
      </c>
      <c r="L15" s="148">
        <f>D15*10^(-3)/(F15)</f>
        <v>3.8059858230506692E-2</v>
      </c>
    </row>
    <row r="16" spans="1:15" ht="15.75" customHeight="1">
      <c r="A16" s="145" t="s">
        <v>58</v>
      </c>
      <c r="B16" s="146" t="s">
        <v>629</v>
      </c>
      <c r="C16" s="36">
        <v>370</v>
      </c>
      <c r="D16" s="36">
        <v>1500</v>
      </c>
      <c r="E16" s="55">
        <f t="shared" si="0"/>
        <v>0.46248467317583986</v>
      </c>
      <c r="F16" s="45">
        <f>0.11+0.08+1.68+13.03+0.72</f>
        <v>15.62</v>
      </c>
      <c r="G16" s="36">
        <v>5</v>
      </c>
      <c r="H16" s="36">
        <v>670.5</v>
      </c>
      <c r="I16" s="36">
        <v>60</v>
      </c>
      <c r="J16" s="55">
        <f>(C16*10^6)/(9.81*997*I16*H16)</f>
        <v>0.94034566284653309</v>
      </c>
      <c r="K16" s="147">
        <f>C16*E16/F16</f>
        <v>10.955142706469958</v>
      </c>
      <c r="L16" s="148">
        <f>D16*10^(-3)/(F16)</f>
        <v>9.6030729833546741E-2</v>
      </c>
    </row>
    <row r="17" spans="1:12" ht="15.75" customHeight="1">
      <c r="A17" s="145" t="s">
        <v>59</v>
      </c>
      <c r="B17" s="146" t="s">
        <v>629</v>
      </c>
      <c r="C17" s="36">
        <v>350</v>
      </c>
      <c r="D17" s="36">
        <v>2001</v>
      </c>
      <c r="E17" s="55">
        <f t="shared" si="0"/>
        <v>0.65220909996037446</v>
      </c>
      <c r="F17" s="36">
        <f>6.58</f>
        <v>6.58</v>
      </c>
      <c r="G17" s="36">
        <v>1</v>
      </c>
      <c r="H17" s="36">
        <v>244.4</v>
      </c>
      <c r="I17" s="36">
        <v>165</v>
      </c>
      <c r="J17" s="55">
        <f>(C17*10^6)/(9.81*997*I17*H17)</f>
        <v>0.88739858703663843</v>
      </c>
      <c r="K17" s="147">
        <f>C17*E17/F17</f>
        <v>34.691973402147582</v>
      </c>
      <c r="L17" s="148">
        <f>D17*10^(-3)/(F17)</f>
        <v>0.30410334346504558</v>
      </c>
    </row>
    <row r="18" spans="1:12" ht="15.75" customHeight="1">
      <c r="A18" s="145" t="s">
        <v>60</v>
      </c>
      <c r="B18" s="146" t="s">
        <v>629</v>
      </c>
      <c r="C18" s="36">
        <v>344</v>
      </c>
      <c r="D18" s="36">
        <v>1506.8</v>
      </c>
      <c r="E18" s="55">
        <f t="shared" si="0"/>
        <v>0.49969497102771609</v>
      </c>
      <c r="F18" s="37"/>
      <c r="G18" s="37"/>
      <c r="H18" s="36">
        <v>27.5</v>
      </c>
      <c r="I18" s="36">
        <v>1450</v>
      </c>
      <c r="J18" s="55">
        <f>(C18*10^6)/(9.81*997*I18*H18)</f>
        <v>0.88205076469458354</v>
      </c>
      <c r="K18" s="147"/>
      <c r="L18" s="148"/>
    </row>
    <row r="19" spans="1:12" ht="15.75" customHeight="1">
      <c r="A19" s="145" t="s">
        <v>43</v>
      </c>
      <c r="B19" s="146" t="s">
        <v>629</v>
      </c>
      <c r="C19" s="36">
        <v>330</v>
      </c>
      <c r="D19" s="36">
        <v>1555.6</v>
      </c>
      <c r="E19" s="55">
        <f t="shared" si="0"/>
        <v>0.53776409759427179</v>
      </c>
      <c r="F19" s="138">
        <v>7.83</v>
      </c>
      <c r="G19" s="36">
        <v>1</v>
      </c>
      <c r="H19" s="36">
        <v>300</v>
      </c>
      <c r="I19" s="36">
        <v>136</v>
      </c>
      <c r="J19" s="55">
        <f>(C19*10^6)/(9.81*997*I19*H19)</f>
        <v>0.82696972611183672</v>
      </c>
      <c r="K19" s="147">
        <f>C19*E19/F19</f>
        <v>22.664387254930993</v>
      </c>
      <c r="L19" s="148">
        <f>D19*10^(-3)/(F19)</f>
        <v>0.19867177522349935</v>
      </c>
    </row>
    <row r="20" spans="1:12" ht="15.75" customHeight="1">
      <c r="A20" s="145" t="s">
        <v>61</v>
      </c>
      <c r="B20" s="146" t="s">
        <v>629</v>
      </c>
      <c r="C20" s="36">
        <v>330</v>
      </c>
      <c r="D20" s="36">
        <v>1351</v>
      </c>
      <c r="E20" s="55">
        <f t="shared" si="0"/>
        <v>0.4670347749099133</v>
      </c>
      <c r="F20" s="36">
        <f>2.84+0.35+2+4.54+0.43</f>
        <v>10.16</v>
      </c>
      <c r="G20" s="36">
        <v>5</v>
      </c>
      <c r="H20" s="36">
        <v>770</v>
      </c>
      <c r="I20" s="36">
        <v>53.8</v>
      </c>
      <c r="J20" s="55">
        <f>(C20*10^6)/(9.81*997*I20*H20)</f>
        <v>0.81447315273893062</v>
      </c>
      <c r="K20" s="147">
        <f>C20*E20/F20</f>
        <v>15.169436586640883</v>
      </c>
      <c r="L20" s="148">
        <f>D20*10^(-3)/(F20)</f>
        <v>0.13297244094488189</v>
      </c>
    </row>
    <row r="21" spans="1:12" ht="15.75" customHeight="1">
      <c r="A21" s="145" t="s">
        <v>62</v>
      </c>
      <c r="B21" s="146" t="s">
        <v>629</v>
      </c>
      <c r="C21" s="36">
        <v>308</v>
      </c>
      <c r="D21" s="36">
        <v>1263.5999999999999</v>
      </c>
      <c r="E21" s="55">
        <f t="shared" si="0"/>
        <v>0.46802247666503632</v>
      </c>
      <c r="F21" s="138">
        <v>3.2</v>
      </c>
      <c r="G21" s="36">
        <v>1</v>
      </c>
      <c r="H21" s="36">
        <v>443.2</v>
      </c>
      <c r="I21" s="36">
        <v>80</v>
      </c>
      <c r="J21" s="55">
        <f>(C21*10^6)/(9.81*997*I21*H21)</f>
        <v>0.88817145674466236</v>
      </c>
      <c r="K21" s="147">
        <f>C21*E21/F21</f>
        <v>45.047163379009746</v>
      </c>
      <c r="L21" s="148">
        <f>D21*10^(-3)/(F21)</f>
        <v>0.39487499999999992</v>
      </c>
    </row>
    <row r="22" spans="1:12" ht="15.75" customHeight="1">
      <c r="A22" s="145" t="s">
        <v>63</v>
      </c>
      <c r="B22" s="146" t="s">
        <v>629</v>
      </c>
      <c r="C22" s="36">
        <v>300</v>
      </c>
      <c r="D22" s="36">
        <v>749.7</v>
      </c>
      <c r="E22" s="55">
        <f t="shared" si="0"/>
        <v>0.28508480223905125</v>
      </c>
      <c r="F22" s="36">
        <f>1.02+13.69+2.29+13.98+11.81+5.85+0.16+0.49</f>
        <v>49.29</v>
      </c>
      <c r="G22" s="36">
        <v>8</v>
      </c>
      <c r="H22" s="36">
        <v>590</v>
      </c>
      <c r="I22" s="36">
        <v>58</v>
      </c>
      <c r="J22" s="55">
        <f>(C22*10^6)/(9.81*997*I22*H22)</f>
        <v>0.89634888755546838</v>
      </c>
      <c r="K22" s="147">
        <f>C22*E22/F22</f>
        <v>1.7351479138104153</v>
      </c>
      <c r="L22" s="148">
        <f>D22*10^(-3)/(F22)</f>
        <v>1.5209981740718199E-2</v>
      </c>
    </row>
    <row r="23" spans="1:12" ht="15.75" customHeight="1">
      <c r="A23" s="145" t="s">
        <v>64</v>
      </c>
      <c r="B23" s="146" t="s">
        <v>629</v>
      </c>
      <c r="C23" s="36">
        <v>300</v>
      </c>
      <c r="D23" s="36">
        <v>1191.0999999999999</v>
      </c>
      <c r="E23" s="55">
        <f t="shared" si="0"/>
        <v>0.45293385080289966</v>
      </c>
      <c r="F23" s="36">
        <f>2.38+3.83+14.29+0.39+0.36</f>
        <v>21.25</v>
      </c>
      <c r="G23" s="36">
        <v>5</v>
      </c>
      <c r="H23" s="36">
        <v>606.29999999999995</v>
      </c>
      <c r="I23" s="36">
        <v>56.1</v>
      </c>
      <c r="J23" s="55">
        <f>(C23*10^6)/(9.81*997*I23*H23)</f>
        <v>0.90179258405130358</v>
      </c>
      <c r="K23" s="147">
        <f>C23*E23/F23</f>
        <v>6.394360246629172</v>
      </c>
      <c r="L23" s="148">
        <f>D23*10^(-3)/(F23)</f>
        <v>5.6051764705882343E-2</v>
      </c>
    </row>
    <row r="24" spans="1:12" ht="15.75" customHeight="1">
      <c r="A24" s="145" t="s">
        <v>65</v>
      </c>
      <c r="B24" s="146" t="s">
        <v>629</v>
      </c>
      <c r="C24" s="36">
        <v>300</v>
      </c>
      <c r="D24" s="36">
        <v>1051.5</v>
      </c>
      <c r="E24" s="55">
        <f t="shared" si="0"/>
        <v>0.39984883227205864</v>
      </c>
      <c r="F24" s="36">
        <f>2.89+37.26</f>
        <v>40.15</v>
      </c>
      <c r="G24" s="36">
        <v>2</v>
      </c>
      <c r="H24" s="36">
        <v>221.8</v>
      </c>
      <c r="I24" s="36">
        <v>165</v>
      </c>
      <c r="J24" s="55">
        <f>(C24*10^6)/(9.81*997*I24*H24)</f>
        <v>0.83813041867224425</v>
      </c>
      <c r="K24" s="147">
        <f>C24*E24/F24</f>
        <v>2.9876625076368022</v>
      </c>
      <c r="L24" s="148">
        <f>D24*10^(-3)/(F24)</f>
        <v>2.6189290161892906E-2</v>
      </c>
    </row>
    <row r="25" spans="1:12" ht="15.75" customHeight="1">
      <c r="A25" s="145" t="s">
        <v>66</v>
      </c>
      <c r="B25" s="146" t="s">
        <v>629</v>
      </c>
      <c r="C25" s="36">
        <v>290</v>
      </c>
      <c r="D25" s="36">
        <v>1852.1</v>
      </c>
      <c r="E25" s="55">
        <f t="shared" si="0"/>
        <v>0.72857496409177014</v>
      </c>
      <c r="F25" s="36">
        <f>3.87+0.82</f>
        <v>4.6900000000000004</v>
      </c>
      <c r="G25" s="36">
        <v>2</v>
      </c>
      <c r="H25" s="36">
        <v>783</v>
      </c>
      <c r="I25" s="36">
        <v>46</v>
      </c>
      <c r="J25" s="55">
        <f>(C25*10^6)/(9.81*997*I25*H25)</f>
        <v>0.82321682587622458</v>
      </c>
      <c r="K25" s="147">
        <f>C25*E25/F25</f>
        <v>45.050477523798151</v>
      </c>
      <c r="L25" s="148">
        <f>D25*10^(-3)/(F25)</f>
        <v>0.39490405117270783</v>
      </c>
    </row>
    <row r="26" spans="1:12" ht="15.75" customHeight="1">
      <c r="A26" s="145" t="s">
        <v>67</v>
      </c>
      <c r="B26" s="146" t="s">
        <v>629</v>
      </c>
      <c r="C26" s="36">
        <v>288</v>
      </c>
      <c r="D26" s="36">
        <v>1005.8</v>
      </c>
      <c r="E26" s="55">
        <f t="shared" si="0"/>
        <v>0.39840699348077802</v>
      </c>
      <c r="F26" s="36">
        <f>8.52+4.15</f>
        <v>12.67</v>
      </c>
      <c r="G26" s="36">
        <v>2</v>
      </c>
      <c r="H26" s="36">
        <v>1163</v>
      </c>
      <c r="I26" s="36">
        <v>29</v>
      </c>
      <c r="J26" s="55">
        <f>(C26*10^6)/(9.81*997*I26*H26)</f>
        <v>0.87307310388893777</v>
      </c>
      <c r="K26" s="147">
        <f>C26*E26/F26</f>
        <v>9.0561337113231311</v>
      </c>
      <c r="L26" s="148">
        <f>D26*10^(-3)/(F26)</f>
        <v>7.9384372533543801E-2</v>
      </c>
    </row>
    <row r="27" spans="1:12" ht="15.75" customHeight="1">
      <c r="A27" s="145" t="s">
        <v>68</v>
      </c>
      <c r="B27" s="146" t="s">
        <v>629</v>
      </c>
      <c r="C27" s="36">
        <v>270</v>
      </c>
      <c r="D27" s="36">
        <v>170.1</v>
      </c>
      <c r="E27" s="55">
        <f t="shared" si="0"/>
        <v>7.1870118211525516E-2</v>
      </c>
      <c r="F27" s="36">
        <f>20.47</f>
        <v>20.47</v>
      </c>
      <c r="G27" s="36">
        <v>1</v>
      </c>
      <c r="H27" s="36">
        <v>400</v>
      </c>
      <c r="I27" s="36">
        <v>80</v>
      </c>
      <c r="J27" s="55">
        <f>(C27*10^6)/(9.81*997*I27*H27)</f>
        <v>0.8626797824666661</v>
      </c>
      <c r="K27" s="147">
        <f>C27*E27/F27</f>
        <v>0.94796931690825059</v>
      </c>
      <c r="L27" s="148">
        <f>D27*10^(-3)/(F27)</f>
        <v>8.3097215437225209E-3</v>
      </c>
    </row>
    <row r="28" spans="1:12" ht="15.75" customHeight="1">
      <c r="A28" s="145" t="s">
        <v>69</v>
      </c>
      <c r="B28" s="146" t="s">
        <v>629</v>
      </c>
      <c r="C28" s="36">
        <v>270</v>
      </c>
      <c r="D28" s="36">
        <v>1407</v>
      </c>
      <c r="E28" s="55">
        <f t="shared" si="0"/>
        <v>0.59448122471261855</v>
      </c>
      <c r="F28" s="36">
        <f>1.19+0.07+0.08+0.54</f>
        <v>1.8800000000000001</v>
      </c>
      <c r="G28" s="36">
        <v>4</v>
      </c>
      <c r="H28" s="36">
        <v>967</v>
      </c>
      <c r="I28" s="36">
        <v>32.5</v>
      </c>
      <c r="J28" s="55">
        <f>(C28*10^6)/(9.81*997*I28*H28)</f>
        <v>0.87839481469837943</v>
      </c>
      <c r="K28" s="147">
        <f>C28*E28/F28</f>
        <v>85.377622698088828</v>
      </c>
      <c r="L28" s="148">
        <f>D28*10^(-3)/(F28)</f>
        <v>0.74840425531914889</v>
      </c>
    </row>
    <row r="29" spans="1:12" ht="15.75" customHeight="1">
      <c r="A29" s="145" t="s">
        <v>70</v>
      </c>
      <c r="B29" s="146" t="s">
        <v>629</v>
      </c>
      <c r="C29" s="36">
        <v>250</v>
      </c>
      <c r="D29" s="36">
        <v>1146</v>
      </c>
      <c r="E29" s="55">
        <f t="shared" si="0"/>
        <v>0.5229406696533857</v>
      </c>
      <c r="F29" s="36">
        <f>1+0.84+0.07+0.23+0.51</f>
        <v>2.6500000000000004</v>
      </c>
      <c r="G29" s="36">
        <v>5</v>
      </c>
      <c r="H29" s="36">
        <v>830</v>
      </c>
      <c r="I29" s="36">
        <v>36</v>
      </c>
      <c r="J29" s="55">
        <f>(C29*10^6)/(9.81*997*I29*H29)</f>
        <v>0.8554512196605345</v>
      </c>
      <c r="K29" s="147">
        <f>C29*E29/F29</f>
        <v>49.334025438998644</v>
      </c>
      <c r="L29" s="148">
        <f>D29*10^(-3)/(F29)</f>
        <v>0.43245283018867925</v>
      </c>
    </row>
    <row r="30" spans="1:12" ht="15.75" customHeight="1">
      <c r="A30" s="145" t="s">
        <v>71</v>
      </c>
      <c r="B30" s="146" t="s">
        <v>629</v>
      </c>
      <c r="C30" s="36">
        <v>250</v>
      </c>
      <c r="D30" s="36">
        <v>1492.9</v>
      </c>
      <c r="E30" s="55">
        <f t="shared" si="0"/>
        <v>0.68123745700308869</v>
      </c>
      <c r="F30" s="36">
        <f>2.81</f>
        <v>2.81</v>
      </c>
      <c r="G30" s="36">
        <v>1</v>
      </c>
      <c r="H30" s="36">
        <v>285</v>
      </c>
      <c r="I30" s="36">
        <v>110.1</v>
      </c>
      <c r="J30" s="55">
        <f>(C30*10^6)/(9.81*997*I30*H30)</f>
        <v>0.81459860871159462</v>
      </c>
      <c r="K30" s="147">
        <f>C30*E30/F30</f>
        <v>60.608314679990094</v>
      </c>
      <c r="L30" s="148">
        <f>D30*10^(-3)/(F30)</f>
        <v>0.53128113879003558</v>
      </c>
    </row>
    <row r="31" spans="1:12" ht="15.75" customHeight="1">
      <c r="A31" s="145" t="s">
        <v>72</v>
      </c>
      <c r="B31" s="146" t="s">
        <v>629</v>
      </c>
      <c r="C31" s="36">
        <v>230</v>
      </c>
      <c r="D31" s="36">
        <v>712.3</v>
      </c>
      <c r="E31" s="55">
        <f t="shared" si="0"/>
        <v>0.35329941478308918</v>
      </c>
      <c r="F31" s="36">
        <f>1.03</f>
        <v>1.03</v>
      </c>
      <c r="G31" s="36">
        <v>1</v>
      </c>
      <c r="H31" s="36">
        <v>374.8</v>
      </c>
      <c r="I31" s="36">
        <v>70</v>
      </c>
      <c r="J31" s="55">
        <f>(C31*10^6)/(9.81*997*I31*H31)</f>
        <v>0.89632611099177573</v>
      </c>
      <c r="K31" s="147">
        <f>C31*E31/F31</f>
        <v>78.892102330204381</v>
      </c>
      <c r="L31" s="148">
        <f>D31*10^(-3)/(F31)</f>
        <v>0.69155339805825233</v>
      </c>
    </row>
    <row r="32" spans="1:12" ht="15.75" customHeight="1">
      <c r="A32" s="145" t="s">
        <v>73</v>
      </c>
      <c r="B32" s="146" t="s">
        <v>629</v>
      </c>
      <c r="C32" s="36">
        <v>230</v>
      </c>
      <c r="D32" s="36">
        <v>1241</v>
      </c>
      <c r="E32" s="55">
        <f t="shared" si="0"/>
        <v>0.61553358661492863</v>
      </c>
      <c r="F32" s="37"/>
      <c r="G32" s="37"/>
      <c r="H32" s="36">
        <v>27</v>
      </c>
      <c r="I32" s="36">
        <v>1025</v>
      </c>
      <c r="J32" s="55">
        <f>(C32*10^6)/(9.81*997*I32*H32)</f>
        <v>0.8497203919776054</v>
      </c>
      <c r="K32" s="147"/>
      <c r="L32" s="148"/>
    </row>
    <row r="33" spans="1:12" ht="15.75" customHeight="1">
      <c r="A33" s="145" t="s">
        <v>75</v>
      </c>
      <c r="B33" s="146" t="s">
        <v>629</v>
      </c>
      <c r="C33" s="36">
        <v>230</v>
      </c>
      <c r="D33" s="36">
        <v>584.70000000000005</v>
      </c>
      <c r="E33" s="55">
        <f t="shared" si="0"/>
        <v>0.29001006292808124</v>
      </c>
      <c r="F33" s="36">
        <f>14.49+3.21+3.28+0.69</f>
        <v>21.67</v>
      </c>
      <c r="G33" s="36">
        <v>4</v>
      </c>
      <c r="H33" s="36">
        <v>250</v>
      </c>
      <c r="I33" s="36">
        <v>109</v>
      </c>
      <c r="J33" s="55">
        <f>(C33*10^6)/(9.81*997*I33*H33)</f>
        <v>0.86297291185248559</v>
      </c>
      <c r="K33" s="147">
        <f>C33*E33/F33</f>
        <v>3.078094807266206</v>
      </c>
      <c r="L33" s="148">
        <f>D33*10^(-3)/(F33)</f>
        <v>2.6982002768804803E-2</v>
      </c>
    </row>
    <row r="34" spans="1:12" ht="15.75" customHeight="1">
      <c r="A34" s="145" t="s">
        <v>76</v>
      </c>
      <c r="B34" s="146" t="s">
        <v>629</v>
      </c>
      <c r="C34" s="36">
        <v>224</v>
      </c>
      <c r="D34" s="36">
        <v>1069</v>
      </c>
      <c r="E34" s="55">
        <f t="shared" si="0"/>
        <v>0.5444242939917856</v>
      </c>
      <c r="F34" s="36">
        <f>2.06+6.35+3.31+2.95</f>
        <v>14.670000000000002</v>
      </c>
      <c r="G34" s="36">
        <v>4</v>
      </c>
      <c r="H34" s="36">
        <v>725</v>
      </c>
      <c r="I34" s="36">
        <v>37</v>
      </c>
      <c r="J34" s="55">
        <f>(C34*10^6)/(9.81*997*I34*H34)</f>
        <v>0.85377635300418531</v>
      </c>
      <c r="K34" s="147">
        <f>C34*E34/F34</f>
        <v>8.3129544549529619</v>
      </c>
      <c r="L34" s="148">
        <f>D34*10^(-3)/(F34)</f>
        <v>7.2869802317655066E-2</v>
      </c>
    </row>
    <row r="35" spans="1:12" ht="15.75" customHeight="1">
      <c r="A35" s="145" t="s">
        <v>77</v>
      </c>
      <c r="B35" s="146" t="s">
        <v>629</v>
      </c>
      <c r="C35" s="36">
        <v>212.4</v>
      </c>
      <c r="D35" s="36">
        <v>1029.5999999999999</v>
      </c>
      <c r="E35" s="55">
        <f t="shared" si="0"/>
        <v>0.55299579791488551</v>
      </c>
      <c r="F35" s="36">
        <f>0.54+1.49</f>
        <v>2.0300000000000002</v>
      </c>
      <c r="G35" s="36">
        <v>2</v>
      </c>
      <c r="H35" s="36">
        <v>550</v>
      </c>
      <c r="I35" s="36">
        <v>42</v>
      </c>
      <c r="J35" s="55">
        <f>(C35*10^6)/(9.81*997*I35*H35)</f>
        <v>0.94010933869960489</v>
      </c>
      <c r="K35" s="147">
        <f>C35*E35/F35</f>
        <v>57.860249988729883</v>
      </c>
      <c r="L35" s="148">
        <f>D35*10^(-3)/(F35)</f>
        <v>0.50719211822660082</v>
      </c>
    </row>
    <row r="36" spans="1:12" ht="15.75" customHeight="1">
      <c r="A36" s="145" t="s">
        <v>78</v>
      </c>
      <c r="B36" s="146" t="s">
        <v>629</v>
      </c>
      <c r="C36" s="36">
        <v>212</v>
      </c>
      <c r="D36" s="36">
        <v>1083.8</v>
      </c>
      <c r="E36" s="55">
        <f t="shared" si="0"/>
        <v>0.5832048077092794</v>
      </c>
      <c r="F36" s="36">
        <f>0.38+3.51+6.45</f>
        <v>10.34</v>
      </c>
      <c r="G36" s="36">
        <v>3</v>
      </c>
      <c r="H36" s="36">
        <v>874</v>
      </c>
      <c r="I36" s="36">
        <v>28</v>
      </c>
      <c r="J36" s="55">
        <f>(C36*10^6)/(9.81*997*I36*H36)</f>
        <v>0.88573178784126128</v>
      </c>
      <c r="K36" s="147">
        <f>C36*E36/F36</f>
        <v>11.95739064162159</v>
      </c>
      <c r="L36" s="148">
        <f>D36*10^(-3)/(F36)</f>
        <v>0.10481624758220502</v>
      </c>
    </row>
    <row r="37" spans="1:12" ht="15.75" customHeight="1">
      <c r="A37" s="145" t="s">
        <v>79</v>
      </c>
      <c r="B37" s="146" t="s">
        <v>629</v>
      </c>
      <c r="C37" s="36">
        <v>206.6</v>
      </c>
      <c r="D37" s="36">
        <v>771</v>
      </c>
      <c r="E37" s="55">
        <f t="shared" si="0"/>
        <v>0.42572766284889269</v>
      </c>
      <c r="F37" s="36">
        <f>2.48+6.59+1.79+2+2.08</f>
        <v>14.94</v>
      </c>
      <c r="G37" s="36">
        <v>5</v>
      </c>
      <c r="H37" s="36">
        <v>357.2</v>
      </c>
      <c r="I37" s="36">
        <v>62</v>
      </c>
      <c r="J37" s="55">
        <f>(C37*10^6)/(9.81*997*I37*H37)</f>
        <v>0.95381250457287314</v>
      </c>
      <c r="K37" s="147">
        <f>C37*E37/F37</f>
        <v>5.8872379614846873</v>
      </c>
      <c r="L37" s="148">
        <f>D37*10^(-3)/(F37)</f>
        <v>5.1606425702811251E-2</v>
      </c>
    </row>
    <row r="38" spans="1:12" ht="15.75" customHeight="1">
      <c r="A38" s="145" t="s">
        <v>80</v>
      </c>
      <c r="B38" s="146" t="s">
        <v>629</v>
      </c>
      <c r="C38" s="36">
        <v>206</v>
      </c>
      <c r="D38" s="36">
        <v>758.8</v>
      </c>
      <c r="E38" s="55">
        <f t="shared" si="0"/>
        <v>0.42021147864775438</v>
      </c>
      <c r="F38" s="36">
        <f>25.55</f>
        <v>25.55</v>
      </c>
      <c r="G38" s="36">
        <v>1</v>
      </c>
      <c r="H38" s="36">
        <v>361</v>
      </c>
      <c r="I38" s="36">
        <v>72</v>
      </c>
      <c r="J38" s="55">
        <f>(C38*10^6)/(9.81*997*I38*H38)</f>
        <v>0.81033268441860484</v>
      </c>
      <c r="K38" s="147">
        <f>C38*E38/F38</f>
        <v>3.3880064423263172</v>
      </c>
      <c r="L38" s="148">
        <f>D38*10^(-3)/(F38)</f>
        <v>2.9698630136986297E-2</v>
      </c>
    </row>
    <row r="39" spans="1:12" ht="15.75" customHeight="1">
      <c r="A39" s="145" t="s">
        <v>81</v>
      </c>
      <c r="B39" s="146" t="s">
        <v>629</v>
      </c>
      <c r="C39" s="36">
        <v>206</v>
      </c>
      <c r="D39" s="36">
        <v>973</v>
      </c>
      <c r="E39" s="55">
        <f>D39/(C39*8765.81277)*1000</f>
        <v>0.5388320621036703</v>
      </c>
      <c r="F39" s="37"/>
      <c r="G39" s="37"/>
      <c r="H39" s="36">
        <v>450</v>
      </c>
      <c r="I39" s="36">
        <v>52</v>
      </c>
      <c r="J39" s="55">
        <f>(C39*10^6)/(9.81*997*I39*H39)</f>
        <v>0.90009261253881967</v>
      </c>
      <c r="K39" s="147"/>
      <c r="L39" s="148"/>
    </row>
    <row r="40" spans="1:12" ht="15.75" customHeight="1">
      <c r="A40" s="145" t="s">
        <v>82</v>
      </c>
      <c r="B40" s="146" t="s">
        <v>629</v>
      </c>
      <c r="C40" s="36">
        <v>204</v>
      </c>
      <c r="D40" s="36">
        <v>953</v>
      </c>
      <c r="E40" s="55">
        <f>D40/(C40*8765.81277)*1000</f>
        <v>0.5329304595050095</v>
      </c>
      <c r="F40" s="36">
        <f>1.06</f>
        <v>1.06</v>
      </c>
      <c r="G40" s="36">
        <v>1</v>
      </c>
      <c r="H40" s="36">
        <v>300</v>
      </c>
      <c r="I40" s="36">
        <v>75.8</v>
      </c>
      <c r="J40" s="55">
        <f>(C40*10^6)/(9.81*997*I40*H40)</f>
        <v>0.91722427765438541</v>
      </c>
      <c r="K40" s="147">
        <f>C40*E40/F40</f>
        <v>102.56397522549238</v>
      </c>
      <c r="L40" s="148">
        <f>D40*10^(-3)/(F40)</f>
        <v>0.89905660377358487</v>
      </c>
    </row>
    <row r="41" spans="1:12" ht="15.75" customHeight="1">
      <c r="A41" s="145" t="s">
        <v>47</v>
      </c>
      <c r="B41" s="146" t="s">
        <v>629</v>
      </c>
      <c r="C41" s="36">
        <v>200</v>
      </c>
      <c r="D41" s="36">
        <v>302.7</v>
      </c>
      <c r="E41" s="55">
        <f t="shared" ref="E41:E55" si="1">D41/(C41*8765.81277)*1000</f>
        <v>0.1726594030367363</v>
      </c>
      <c r="F41" s="36">
        <f>31.43</f>
        <v>31.43</v>
      </c>
      <c r="G41" s="36">
        <v>1</v>
      </c>
      <c r="H41" s="36">
        <v>220</v>
      </c>
      <c r="I41" s="36">
        <v>99.9</v>
      </c>
      <c r="J41" s="55">
        <f>(C41*10^6)/(9.81*997*I41*H41)</f>
        <v>0.93041705135887798</v>
      </c>
      <c r="K41" s="147">
        <f>C41*E41/F41</f>
        <v>1.0986917151558149</v>
      </c>
      <c r="L41" s="148">
        <f>D41*10^(-3)/(F41)</f>
        <v>9.6309258670060436E-3</v>
      </c>
    </row>
    <row r="42" spans="1:12" ht="15.75" customHeight="1">
      <c r="A42" s="145" t="s">
        <v>46</v>
      </c>
      <c r="B42" s="146" t="s">
        <v>629</v>
      </c>
      <c r="C42" s="36">
        <v>200</v>
      </c>
      <c r="D42" s="36">
        <v>809.6</v>
      </c>
      <c r="E42" s="55">
        <f t="shared" si="1"/>
        <v>0.46179402939723069</v>
      </c>
      <c r="F42" s="36">
        <f>1.12+15.36+1.57+0.39+0.59+0.16</f>
        <v>19.190000000000001</v>
      </c>
      <c r="G42" s="36">
        <v>6</v>
      </c>
      <c r="H42" s="36">
        <v>215</v>
      </c>
      <c r="I42" s="36">
        <v>110</v>
      </c>
      <c r="J42" s="55">
        <f>(C42*10^6)/(9.81*997*I42*H42)</f>
        <v>0.86463872958838972</v>
      </c>
      <c r="K42" s="147">
        <f>C42*E42/F42</f>
        <v>4.8128611714145979</v>
      </c>
      <c r="L42" s="148">
        <f>D42*10^(-3)/(F42)</f>
        <v>4.2188639916623236E-2</v>
      </c>
    </row>
    <row r="43" spans="1:12" ht="15.75" customHeight="1">
      <c r="A43" s="145" t="s">
        <v>83</v>
      </c>
      <c r="B43" s="146" t="s">
        <v>629</v>
      </c>
      <c r="C43" s="36">
        <v>199</v>
      </c>
      <c r="D43" s="36">
        <v>946.4</v>
      </c>
      <c r="E43" s="55">
        <f t="shared" si="1"/>
        <v>0.54253712910096319</v>
      </c>
      <c r="F43" s="36">
        <f>1.08+83.79</f>
        <v>84.87</v>
      </c>
      <c r="G43" s="36">
        <v>2</v>
      </c>
      <c r="H43" s="36">
        <v>20.5</v>
      </c>
      <c r="I43" s="36">
        <v>1200</v>
      </c>
      <c r="J43" s="55">
        <f>(C43*10^6)/(9.81*997*I43*H43)</f>
        <v>0.82709196849559308</v>
      </c>
      <c r="K43" s="147">
        <f>C43*E43/F43</f>
        <v>1.2721207575243509</v>
      </c>
      <c r="L43" s="148">
        <f>D43*10^(-3)/(F43)</f>
        <v>1.1151172381289031E-2</v>
      </c>
    </row>
    <row r="44" spans="1:12" ht="15.75" customHeight="1">
      <c r="A44" s="145" t="s">
        <v>84</v>
      </c>
      <c r="B44" s="146" t="s">
        <v>629</v>
      </c>
      <c r="C44" s="36">
        <v>196</v>
      </c>
      <c r="D44" s="36">
        <v>898.7</v>
      </c>
      <c r="E44" s="55">
        <f t="shared" si="1"/>
        <v>0.52307803074747317</v>
      </c>
      <c r="F44" s="36">
        <f>13.16+17.01+3.53</f>
        <v>33.700000000000003</v>
      </c>
      <c r="G44" s="36">
        <v>3</v>
      </c>
      <c r="H44" s="36">
        <v>540</v>
      </c>
      <c r="I44" s="36">
        <v>42.5</v>
      </c>
      <c r="J44" s="55">
        <f>(C44*10^6)/(9.81*997*I44*H44)</f>
        <v>0.87319092965882827</v>
      </c>
      <c r="K44" s="147">
        <f>C44*E44/F44</f>
        <v>3.0422342441099328</v>
      </c>
      <c r="L44" s="148">
        <f>D44*10^(-3)/(F44)</f>
        <v>2.6667655786350147E-2</v>
      </c>
    </row>
    <row r="45" spans="1:12" ht="15.75" customHeight="1">
      <c r="A45" s="145" t="s">
        <v>85</v>
      </c>
      <c r="B45" s="146" t="s">
        <v>629</v>
      </c>
      <c r="C45" s="36">
        <v>189</v>
      </c>
      <c r="D45" s="36">
        <v>881.7</v>
      </c>
      <c r="E45" s="55">
        <f t="shared" si="1"/>
        <v>0.53219016735619429</v>
      </c>
      <c r="F45" s="37"/>
      <c r="G45" s="37"/>
      <c r="H45" s="36">
        <v>273</v>
      </c>
      <c r="I45" s="36">
        <v>76.400000000000006</v>
      </c>
      <c r="J45" s="55">
        <f>(C45*10^6)/(9.81*997*I45*H45)</f>
        <v>0.92649191297265776</v>
      </c>
      <c r="K45" s="147"/>
      <c r="L45" s="148"/>
    </row>
    <row r="46" spans="1:12" ht="15.75" customHeight="1">
      <c r="A46" s="145" t="s">
        <v>86</v>
      </c>
      <c r="B46" s="146" t="s">
        <v>629</v>
      </c>
      <c r="C46" s="36">
        <v>180</v>
      </c>
      <c r="D46" s="36">
        <v>679.9</v>
      </c>
      <c r="E46" s="55">
        <f t="shared" si="1"/>
        <v>0.43090382162271779</v>
      </c>
      <c r="F46" s="36">
        <f>1.42+0.04</f>
        <v>1.46</v>
      </c>
      <c r="G46" s="36">
        <v>2</v>
      </c>
      <c r="H46" s="36">
        <v>528.5</v>
      </c>
      <c r="I46" s="36">
        <v>37.700000000000003</v>
      </c>
      <c r="J46" s="55">
        <f>(C46*10^6)/(9.81*997*I46*H46)</f>
        <v>0.92368097283934436</v>
      </c>
      <c r="K46" s="147">
        <f>C46*E46/F46</f>
        <v>53.125128693211785</v>
      </c>
      <c r="L46" s="148">
        <f>D46*10^(-3)/(F46)</f>
        <v>0.46568493150684931</v>
      </c>
    </row>
    <row r="47" spans="1:12" ht="15.75" customHeight="1">
      <c r="A47" s="145" t="s">
        <v>87</v>
      </c>
      <c r="B47" s="146" t="s">
        <v>629</v>
      </c>
      <c r="C47" s="36">
        <v>180</v>
      </c>
      <c r="D47" s="36">
        <v>736.8</v>
      </c>
      <c r="E47" s="55">
        <f t="shared" si="1"/>
        <v>0.46696563578705469</v>
      </c>
      <c r="F47" s="36">
        <f>0.47+0.47+0.65+0.79+31.46</f>
        <v>33.840000000000003</v>
      </c>
      <c r="G47" s="36">
        <v>5</v>
      </c>
      <c r="H47" s="36">
        <v>823</v>
      </c>
      <c r="I47" s="36">
        <v>27.5</v>
      </c>
      <c r="J47" s="55">
        <f>(C47*10^6)/(9.81*997*I47*H47)</f>
        <v>0.8131596314719487</v>
      </c>
      <c r="K47" s="147">
        <f>C47*E47/F47</f>
        <v>2.4838597648247589</v>
      </c>
      <c r="L47" s="148">
        <f>D47*10^(-3)/(F47)</f>
        <v>2.177304964539007E-2</v>
      </c>
    </row>
    <row r="48" spans="1:12" ht="15.75" customHeight="1">
      <c r="A48" s="145" t="s">
        <v>88</v>
      </c>
      <c r="B48" s="146" t="s">
        <v>629</v>
      </c>
      <c r="C48" s="36">
        <v>180</v>
      </c>
      <c r="D48" s="36">
        <v>916.3</v>
      </c>
      <c r="E48" s="55">
        <f t="shared" si="1"/>
        <v>0.58072830085732652</v>
      </c>
      <c r="F48" s="36">
        <f>2.76+14.95</f>
        <v>17.71</v>
      </c>
      <c r="G48" s="36">
        <v>2</v>
      </c>
      <c r="H48" s="36">
        <v>650</v>
      </c>
      <c r="I48" s="36">
        <v>33.700000000000003</v>
      </c>
      <c r="J48" s="55">
        <f>(C48*10^6)/(9.81*997*I48*H48)</f>
        <v>0.84016596025057633</v>
      </c>
      <c r="K48" s="147">
        <f>C48*E48/F48</f>
        <v>5.9023768579513707</v>
      </c>
      <c r="L48" s="148">
        <f>D48*10^(-3)/(F48)</f>
        <v>5.1739130434782607E-2</v>
      </c>
    </row>
    <row r="49" spans="1:12" ht="15.75" customHeight="1">
      <c r="A49" s="145" t="s">
        <v>89</v>
      </c>
      <c r="B49" s="146" t="s">
        <v>629</v>
      </c>
      <c r="C49" s="36">
        <v>180</v>
      </c>
      <c r="D49" s="36">
        <v>1104.9000000000001</v>
      </c>
      <c r="E49" s="55">
        <f t="shared" si="1"/>
        <v>0.7002583210927209</v>
      </c>
      <c r="F49" s="36">
        <f>7.39</f>
        <v>7.39</v>
      </c>
      <c r="G49" s="36">
        <v>1</v>
      </c>
      <c r="H49" s="36">
        <v>306</v>
      </c>
      <c r="I49" s="36">
        <v>70</v>
      </c>
      <c r="J49" s="55">
        <f>(C49*10^6)/(9.81*997*I49*H49)</f>
        <v>0.85918932583047969</v>
      </c>
      <c r="K49" s="147">
        <f>C49*E49/F49</f>
        <v>17.056359647725273</v>
      </c>
      <c r="L49" s="148">
        <f>D49*10^(-3)/(F49)</f>
        <v>0.14951285520974292</v>
      </c>
    </row>
    <row r="50" spans="1:12" ht="15.75" customHeight="1">
      <c r="A50" s="145" t="s">
        <v>90</v>
      </c>
      <c r="B50" s="146" t="s">
        <v>629</v>
      </c>
      <c r="C50" s="36">
        <v>176</v>
      </c>
      <c r="D50" s="36">
        <v>813.1</v>
      </c>
      <c r="E50" s="55">
        <f t="shared" si="1"/>
        <v>0.52703456996565123</v>
      </c>
      <c r="F50" s="36">
        <f>7.14</f>
        <v>7.14</v>
      </c>
      <c r="G50" s="36">
        <v>1</v>
      </c>
      <c r="H50" s="36">
        <v>237.5</v>
      </c>
      <c r="I50" s="36">
        <v>89.9</v>
      </c>
      <c r="J50" s="55">
        <f>(C50*10^6)/(9.81*997*I50*H50)</f>
        <v>0.84280129923042291</v>
      </c>
      <c r="K50" s="147">
        <f>C50*E50/F50</f>
        <v>12.991328335287761</v>
      </c>
      <c r="L50" s="148">
        <f>D50*10^(-3)/(F50)</f>
        <v>0.1138795518207283</v>
      </c>
    </row>
    <row r="51" spans="1:12" ht="15.75" customHeight="1">
      <c r="A51" s="145" t="s">
        <v>91</v>
      </c>
      <c r="B51" s="146" t="s">
        <v>629</v>
      </c>
      <c r="C51" s="36">
        <v>175</v>
      </c>
      <c r="D51" s="36">
        <v>676.8</v>
      </c>
      <c r="E51" s="55">
        <f t="shared" si="1"/>
        <v>0.4411945215923852</v>
      </c>
      <c r="F51" s="36">
        <f>3.22</f>
        <v>3.22</v>
      </c>
      <c r="G51" s="36">
        <v>1</v>
      </c>
      <c r="H51" s="36">
        <v>375</v>
      </c>
      <c r="I51" s="36">
        <v>55</v>
      </c>
      <c r="J51" s="55">
        <f>(C51*10^6)/(9.81*997*I51*H51)</f>
        <v>0.86752085868701767</v>
      </c>
      <c r="K51" s="147">
        <f>C51*E51/F51</f>
        <v>23.977963130020935</v>
      </c>
      <c r="L51" s="148">
        <f>D51*10^(-3)/(F51)</f>
        <v>0.21018633540372669</v>
      </c>
    </row>
    <row r="52" spans="1:12" ht="15.75" customHeight="1">
      <c r="A52" s="145" t="s">
        <v>92</v>
      </c>
      <c r="B52" s="146" t="s">
        <v>629</v>
      </c>
      <c r="C52" s="36">
        <v>175</v>
      </c>
      <c r="D52" s="36">
        <v>901</v>
      </c>
      <c r="E52" s="55">
        <f t="shared" si="1"/>
        <v>0.58734672570144664</v>
      </c>
      <c r="F52" s="36">
        <f>12.74+218.05</f>
        <v>230.79000000000002</v>
      </c>
      <c r="G52" s="36">
        <v>2</v>
      </c>
      <c r="H52" s="36">
        <v>135.5</v>
      </c>
      <c r="I52" s="36">
        <v>160</v>
      </c>
      <c r="J52" s="55">
        <f>(C52*10^6)/(9.81*997*I52*H52)</f>
        <v>0.82530524494556001</v>
      </c>
      <c r="K52" s="147">
        <f>C52*E52/F52</f>
        <v>0.44536451751702044</v>
      </c>
      <c r="L52" s="148">
        <f>D52*10^(-3)/(F52)</f>
        <v>3.9039819749555871E-3</v>
      </c>
    </row>
    <row r="53" spans="1:12" ht="15.75" customHeight="1">
      <c r="A53" s="145" t="s">
        <v>93</v>
      </c>
      <c r="B53" s="146" t="s">
        <v>629</v>
      </c>
      <c r="C53" s="36">
        <v>170</v>
      </c>
      <c r="D53" s="36">
        <v>755.6</v>
      </c>
      <c r="E53" s="55">
        <f t="shared" si="1"/>
        <v>0.50705005901614086</v>
      </c>
      <c r="F53" s="36">
        <f>1.84</f>
        <v>1.84</v>
      </c>
      <c r="G53" s="36">
        <v>1</v>
      </c>
      <c r="H53" s="36">
        <v>451.3</v>
      </c>
      <c r="I53" s="36">
        <v>41</v>
      </c>
      <c r="J53" s="55">
        <f>(C53*10^6)/(9.81*997*I53*H53)</f>
        <v>0.93936757559735851</v>
      </c>
      <c r="K53" s="147">
        <f>C53*E53/F53</f>
        <v>46.847016322143446</v>
      </c>
      <c r="L53" s="148">
        <f>D53*10^(-3)/(F53)</f>
        <v>0.41065217391304348</v>
      </c>
    </row>
    <row r="54" spans="1:12" ht="15.75" customHeight="1">
      <c r="A54" s="145" t="s">
        <v>94</v>
      </c>
      <c r="B54" s="146" t="s">
        <v>629</v>
      </c>
      <c r="C54" s="36">
        <v>166</v>
      </c>
      <c r="D54" s="36">
        <v>903.5</v>
      </c>
      <c r="E54" s="55">
        <f t="shared" si="1"/>
        <v>0.62090889084063206</v>
      </c>
      <c r="F54" s="36">
        <f>7.36+0.77</f>
        <v>8.1300000000000008</v>
      </c>
      <c r="G54" s="36">
        <v>2</v>
      </c>
      <c r="H54" s="36">
        <v>365</v>
      </c>
      <c r="I54" s="36">
        <v>56</v>
      </c>
      <c r="J54" s="55">
        <f>(C54*10^6)/(9.81*997*I54*H54)</f>
        <v>0.83035351968959381</v>
      </c>
      <c r="K54" s="147">
        <f>C54*E54/F54</f>
        <v>12.677844511629139</v>
      </c>
      <c r="L54" s="148">
        <f>D54*10^(-3)/(F54)</f>
        <v>0.11113161131611314</v>
      </c>
    </row>
    <row r="55" spans="1:12" ht="15.75" customHeight="1" thickBot="1">
      <c r="A55" s="151" t="s">
        <v>95</v>
      </c>
      <c r="B55" s="152" t="s">
        <v>629</v>
      </c>
      <c r="C55" s="153">
        <v>160</v>
      </c>
      <c r="D55" s="153">
        <v>246.7</v>
      </c>
      <c r="E55" s="154">
        <f t="shared" si="1"/>
        <v>0.17589641034507283</v>
      </c>
      <c r="F55" s="153">
        <f>3.57+13.29</f>
        <v>16.86</v>
      </c>
      <c r="G55" s="153">
        <v>2</v>
      </c>
      <c r="H55" s="153">
        <v>610</v>
      </c>
      <c r="I55" s="153">
        <v>29.5</v>
      </c>
      <c r="J55" s="154">
        <f>(C55*10^6)/(9.81*997*I55*H55)</f>
        <v>0.90908389907264986</v>
      </c>
      <c r="K55" s="156">
        <f>C55*E55/F55</f>
        <v>1.6692423283043687</v>
      </c>
      <c r="L55" s="158">
        <f>D55*10^(-3)/(F55)</f>
        <v>1.4632265717674972E-2</v>
      </c>
    </row>
    <row r="56" spans="1:12" ht="15.75" customHeight="1">
      <c r="A56" s="145" t="s">
        <v>96</v>
      </c>
      <c r="B56" s="146" t="s">
        <v>630</v>
      </c>
      <c r="C56" s="36">
        <v>9.6</v>
      </c>
      <c r="D56" s="36">
        <v>45.1</v>
      </c>
      <c r="E56" s="55">
        <f>D56/(C56*8765.81277)*1000</f>
        <v>0.53593623203369722</v>
      </c>
      <c r="F56" s="36">
        <f>0.41</f>
        <v>0.41</v>
      </c>
      <c r="G56" s="36">
        <v>1</v>
      </c>
      <c r="H56" s="36">
        <v>135.5</v>
      </c>
      <c r="I56" s="36">
        <v>8.5</v>
      </c>
      <c r="J56" s="55">
        <f>(C56*10^6)/(9.81*997*I56*H56)</f>
        <v>0.85221435713370086</v>
      </c>
      <c r="K56" s="147">
        <f>C56*E56/F56</f>
        <v>12.548750798837789</v>
      </c>
      <c r="L56" s="148">
        <f>D56*10^(-3)/(F56)</f>
        <v>0.11000000000000001</v>
      </c>
    </row>
    <row r="57" spans="1:12" ht="15.75" customHeight="1">
      <c r="A57" s="145" t="s">
        <v>97</v>
      </c>
      <c r="B57" s="146" t="s">
        <v>630</v>
      </c>
      <c r="C57" s="36">
        <v>9.6</v>
      </c>
      <c r="D57" s="36">
        <v>44</v>
      </c>
      <c r="E57" s="55">
        <f t="shared" ref="E57:E84" si="2">D57/(C57*8765.81277)*1000</f>
        <v>0.52286461661824124</v>
      </c>
      <c r="F57" s="36">
        <f>3.3</f>
        <v>3.3</v>
      </c>
      <c r="G57" s="36">
        <v>1</v>
      </c>
      <c r="H57" s="36">
        <v>126</v>
      </c>
      <c r="I57" s="36">
        <v>9</v>
      </c>
      <c r="J57" s="55">
        <f>(C57*10^6)/(9.81*997*I57*H57)</f>
        <v>0.86555369120700176</v>
      </c>
      <c r="K57" s="147">
        <f>C57*E57/F57</f>
        <v>1.521060702889429</v>
      </c>
      <c r="L57" s="148">
        <f>D57*10^(-3)/(F57)</f>
        <v>1.3333333333333332E-2</v>
      </c>
    </row>
    <row r="58" spans="1:12" ht="15.75" customHeight="1">
      <c r="A58" s="145" t="s">
        <v>98</v>
      </c>
      <c r="B58" s="146" t="s">
        <v>630</v>
      </c>
      <c r="C58" s="36">
        <v>9.5</v>
      </c>
      <c r="D58" s="36">
        <v>62.1</v>
      </c>
      <c r="E58" s="55">
        <f t="shared" si="2"/>
        <v>0.74572002354815958</v>
      </c>
      <c r="F58" s="37"/>
      <c r="G58" s="37"/>
      <c r="H58" s="36">
        <v>29</v>
      </c>
      <c r="I58" s="36">
        <v>40</v>
      </c>
      <c r="J58" s="55">
        <f>(C58*10^6)/(9.81*997*I58*H58)</f>
        <v>0.83733925245806673</v>
      </c>
      <c r="K58" s="147"/>
      <c r="L58" s="148"/>
    </row>
    <row r="59" spans="1:12" ht="15.75" customHeight="1">
      <c r="A59" s="145" t="s">
        <v>99</v>
      </c>
      <c r="B59" s="146" t="s">
        <v>630</v>
      </c>
      <c r="C59" s="36">
        <v>9.5</v>
      </c>
      <c r="D59" s="36">
        <v>41.8</v>
      </c>
      <c r="E59" s="55">
        <f t="shared" si="2"/>
        <v>0.50195003195351162</v>
      </c>
      <c r="F59" s="36">
        <f>2.21+0.32</f>
        <v>2.5299999999999998</v>
      </c>
      <c r="G59" s="36">
        <v>2</v>
      </c>
      <c r="H59" s="36">
        <v>369</v>
      </c>
      <c r="I59" s="36">
        <v>2.2999999999999998</v>
      </c>
      <c r="J59" s="55">
        <f>(C59*10^6)/(9.81*997*I59*H59)</f>
        <v>1.1444721725596292</v>
      </c>
      <c r="K59" s="147">
        <f>C59*E59/F59</f>
        <v>1.8847926101021188</v>
      </c>
      <c r="L59" s="148">
        <f>D59*10^(-3)/(F59)</f>
        <v>1.6521739130434782E-2</v>
      </c>
    </row>
    <row r="60" spans="1:12" ht="15.75" customHeight="1">
      <c r="A60" s="145" t="s">
        <v>100</v>
      </c>
      <c r="B60" s="146" t="s">
        <v>630</v>
      </c>
      <c r="C60" s="36">
        <v>9.5</v>
      </c>
      <c r="D60" s="36">
        <v>26.7</v>
      </c>
      <c r="E60" s="55">
        <f t="shared" si="2"/>
        <v>0.32062358500379806</v>
      </c>
      <c r="F60" s="37"/>
      <c r="G60" s="37"/>
      <c r="H60" s="36">
        <v>481.6</v>
      </c>
      <c r="I60" s="36">
        <v>2.2000000000000002</v>
      </c>
      <c r="J60" s="55">
        <f>(C60*10^6)/(9.81*997*I60*H60)</f>
        <v>0.91674865302340414</v>
      </c>
      <c r="K60" s="147"/>
      <c r="L60" s="148"/>
    </row>
    <row r="61" spans="1:12" ht="15.75" customHeight="1">
      <c r="A61" s="145" t="s">
        <v>101</v>
      </c>
      <c r="B61" s="146" t="s">
        <v>630</v>
      </c>
      <c r="C61" s="36">
        <v>9.4</v>
      </c>
      <c r="D61" s="36">
        <v>38</v>
      </c>
      <c r="E61" s="55">
        <f t="shared" si="2"/>
        <v>0.4611726599186034</v>
      </c>
      <c r="F61" s="37"/>
      <c r="G61" s="37"/>
      <c r="H61" s="36">
        <v>179.5</v>
      </c>
      <c r="I61" s="36">
        <v>6.2</v>
      </c>
      <c r="J61" s="55">
        <f>(C61*10^6)/(9.81*997*I61*H61)</f>
        <v>0.8635898821762733</v>
      </c>
      <c r="K61" s="147"/>
      <c r="L61" s="148"/>
    </row>
    <row r="62" spans="1:12" ht="15.75" customHeight="1">
      <c r="A62" s="145" t="s">
        <v>102</v>
      </c>
      <c r="B62" s="146" t="s">
        <v>630</v>
      </c>
      <c r="C62" s="36">
        <v>9.3000000000000007</v>
      </c>
      <c r="D62" s="36">
        <v>7.3</v>
      </c>
      <c r="E62" s="55">
        <f t="shared" si="2"/>
        <v>8.9546315573329288E-2</v>
      </c>
      <c r="F62" s="36">
        <v>0.04</v>
      </c>
      <c r="G62" s="36">
        <v>1</v>
      </c>
      <c r="H62" s="36">
        <v>52</v>
      </c>
      <c r="I62" s="36">
        <v>23.9</v>
      </c>
      <c r="J62" s="55">
        <f>(C62*10^6)/(9.81*997*I62*H62)</f>
        <v>0.76509883078258123</v>
      </c>
      <c r="K62" s="147">
        <f>C62*E62/F62</f>
        <v>20.819518370799063</v>
      </c>
      <c r="L62" s="148">
        <f>D62*10^(-3)/(F62)</f>
        <v>0.1825</v>
      </c>
    </row>
    <row r="63" spans="1:12" ht="15.75" customHeight="1">
      <c r="A63" s="145" t="s">
        <v>103</v>
      </c>
      <c r="B63" s="146" t="s">
        <v>630</v>
      </c>
      <c r="C63" s="36">
        <v>9.3000000000000007</v>
      </c>
      <c r="D63" s="36">
        <v>34.1</v>
      </c>
      <c r="E63" s="55">
        <f t="shared" si="2"/>
        <v>0.41829169329459298</v>
      </c>
      <c r="F63" s="36">
        <f>3.13+1.09</f>
        <v>4.22</v>
      </c>
      <c r="G63" s="36">
        <v>2</v>
      </c>
      <c r="H63" s="36">
        <v>72</v>
      </c>
      <c r="I63" s="36">
        <v>16</v>
      </c>
      <c r="J63" s="55">
        <f>(C63*10^6)/(9.81*997*I63*H63)</f>
        <v>0.82540349556995818</v>
      </c>
      <c r="K63" s="147">
        <f>C63*E63/F63</f>
        <v>0.92182766531746807</v>
      </c>
      <c r="L63" s="148">
        <f>D63*10^(-3)/(F63)</f>
        <v>8.0805687203791485E-3</v>
      </c>
    </row>
    <row r="64" spans="1:12" ht="15.75" customHeight="1">
      <c r="A64" s="145" t="s">
        <v>104</v>
      </c>
      <c r="B64" s="146" t="s">
        <v>630</v>
      </c>
      <c r="C64" s="36">
        <v>9.3000000000000007</v>
      </c>
      <c r="D64" s="36">
        <v>19.2</v>
      </c>
      <c r="E64" s="55">
        <f t="shared" si="2"/>
        <v>0.23551907657642768</v>
      </c>
      <c r="F64" s="37"/>
      <c r="G64" s="37"/>
      <c r="H64" s="36">
        <v>139</v>
      </c>
      <c r="I64" s="36">
        <v>7.5</v>
      </c>
      <c r="J64" s="55">
        <f>(C64*10^6)/(9.81*997*I64*H64)</f>
        <v>0.91210055337802587</v>
      </c>
      <c r="K64" s="147"/>
      <c r="L64" s="148"/>
    </row>
    <row r="65" spans="1:12" ht="15.75" customHeight="1">
      <c r="A65" s="145" t="s">
        <v>105</v>
      </c>
      <c r="B65" s="146" t="s">
        <v>630</v>
      </c>
      <c r="C65" s="36">
        <v>9.1999999999999993</v>
      </c>
      <c r="D65" s="36">
        <v>30</v>
      </c>
      <c r="E65" s="55">
        <f t="shared" si="2"/>
        <v>0.37199854146752337</v>
      </c>
      <c r="F65" s="37"/>
      <c r="G65" s="37"/>
      <c r="H65" s="36">
        <v>397</v>
      </c>
      <c r="I65" s="36">
        <v>2.8</v>
      </c>
      <c r="J65" s="55">
        <f>(C65*10^6)/(9.81*997*I65*H65)</f>
        <v>0.8462040967247294</v>
      </c>
      <c r="K65" s="147"/>
      <c r="L65" s="148"/>
    </row>
    <row r="66" spans="1:12" ht="13">
      <c r="A66" s="145" t="s">
        <v>106</v>
      </c>
      <c r="B66" s="146" t="s">
        <v>630</v>
      </c>
      <c r="C66" s="36">
        <v>9.1999999999999993</v>
      </c>
      <c r="D66" s="36">
        <v>30</v>
      </c>
      <c r="E66" s="55">
        <f t="shared" si="2"/>
        <v>0.37199854146752337</v>
      </c>
      <c r="F66" s="37"/>
      <c r="G66" s="37"/>
      <c r="H66" s="36">
        <v>208.5</v>
      </c>
      <c r="I66" s="36">
        <v>5.3</v>
      </c>
      <c r="J66" s="55">
        <f>(C66*10^6)/(9.81*997*I66*H66)</f>
        <v>0.8512198307037776</v>
      </c>
      <c r="K66" s="147"/>
      <c r="L66" s="148"/>
    </row>
    <row r="67" spans="1:12" ht="13">
      <c r="A67" s="145" t="s">
        <v>107</v>
      </c>
      <c r="B67" s="146" t="s">
        <v>630</v>
      </c>
      <c r="C67" s="36">
        <v>9.1</v>
      </c>
      <c r="D67" s="36">
        <v>52.7</v>
      </c>
      <c r="E67" s="55">
        <f t="shared" si="2"/>
        <v>0.66065850859016151</v>
      </c>
      <c r="F67" s="36">
        <v>1.31</v>
      </c>
      <c r="G67" s="36">
        <v>1</v>
      </c>
      <c r="H67" s="36">
        <v>223</v>
      </c>
      <c r="I67" s="36">
        <v>5</v>
      </c>
      <c r="J67" s="55">
        <f>(C67*10^6)/(9.81*997*I67*H67)</f>
        <v>0.83445392012719877</v>
      </c>
      <c r="K67" s="147">
        <f>C67*E67/F67</f>
        <v>4.5893071970766934</v>
      </c>
      <c r="L67" s="148">
        <f>D67*10^(-3)/(F67)</f>
        <v>4.0229007633587791E-2</v>
      </c>
    </row>
    <row r="68" spans="1:12" ht="13">
      <c r="A68" s="145" t="s">
        <v>108</v>
      </c>
      <c r="B68" s="146" t="s">
        <v>630</v>
      </c>
      <c r="C68" s="36">
        <v>9.1</v>
      </c>
      <c r="D68" s="36">
        <v>23</v>
      </c>
      <c r="E68" s="55">
        <f t="shared" si="2"/>
        <v>0.28833293543783134</v>
      </c>
      <c r="F68" s="37"/>
      <c r="G68" s="37"/>
      <c r="H68" s="36">
        <v>283.8</v>
      </c>
      <c r="I68" s="36">
        <v>3.7</v>
      </c>
      <c r="J68" s="55">
        <f>(C68*10^6)/(9.81*997*I68*H68)</f>
        <v>0.88605995937548931</v>
      </c>
      <c r="K68" s="147"/>
      <c r="L68" s="148"/>
    </row>
    <row r="69" spans="1:12" ht="13">
      <c r="A69" s="145" t="s">
        <v>109</v>
      </c>
      <c r="B69" s="146" t="s">
        <v>630</v>
      </c>
      <c r="C69" s="36">
        <v>9</v>
      </c>
      <c r="D69" s="36">
        <v>29.4</v>
      </c>
      <c r="E69" s="55">
        <f t="shared" si="2"/>
        <v>0.37265987220791008</v>
      </c>
      <c r="F69" s="36">
        <f>0.33+1.16</f>
        <v>1.49</v>
      </c>
      <c r="G69" s="36">
        <v>1</v>
      </c>
      <c r="H69" s="36">
        <v>395</v>
      </c>
      <c r="I69" s="36">
        <v>2.6</v>
      </c>
      <c r="J69" s="55">
        <f>(C69*10^6)/(9.81*997*I69*H69)</f>
        <v>0.89599977406469689</v>
      </c>
      <c r="K69" s="147">
        <f>C69*E69/F69</f>
        <v>2.2509656710544905</v>
      </c>
      <c r="L69" s="148">
        <f>D69*10^(-3)/(F69)</f>
        <v>1.9731543624161074E-2</v>
      </c>
    </row>
    <row r="70" spans="1:12" ht="13">
      <c r="A70" s="145" t="s">
        <v>110</v>
      </c>
      <c r="B70" s="146" t="s">
        <v>630</v>
      </c>
      <c r="C70" s="36">
        <v>9</v>
      </c>
      <c r="D70" s="36">
        <v>42.7</v>
      </c>
      <c r="E70" s="55">
        <f t="shared" si="2"/>
        <v>0.54124410011148849</v>
      </c>
      <c r="F70" s="36">
        <f>0.32</f>
        <v>0.32</v>
      </c>
      <c r="G70" s="37"/>
      <c r="H70" s="36">
        <v>123</v>
      </c>
      <c r="I70" s="36">
        <v>9.6</v>
      </c>
      <c r="J70" s="55">
        <f>(C70*10^6)/(9.81*997*I70*H70)</f>
        <v>0.77929519644685286</v>
      </c>
      <c r="K70" s="147">
        <f>C70*E70/F70</f>
        <v>15.222490315635614</v>
      </c>
      <c r="L70" s="148">
        <f>D70*10^(-3)/(F70)</f>
        <v>0.13343750000000001</v>
      </c>
    </row>
    <row r="71" spans="1:12" ht="13">
      <c r="A71" s="145" t="s">
        <v>111</v>
      </c>
      <c r="B71" s="146" t="s">
        <v>630</v>
      </c>
      <c r="C71" s="36">
        <v>9</v>
      </c>
      <c r="D71" s="36">
        <v>44</v>
      </c>
      <c r="E71" s="55">
        <f t="shared" si="2"/>
        <v>0.55772225772612394</v>
      </c>
      <c r="F71" s="36">
        <f>0.21+0.16+0.13</f>
        <v>0.5</v>
      </c>
      <c r="G71" s="36">
        <v>3</v>
      </c>
      <c r="H71" s="36">
        <v>432</v>
      </c>
      <c r="I71" s="36">
        <v>2.4</v>
      </c>
      <c r="J71" s="55">
        <f>(C71*10^6)/(9.81*997*I71*H71)</f>
        <v>0.8875306403978046</v>
      </c>
      <c r="K71" s="147">
        <f>C71*E71/F71</f>
        <v>10.039000639070231</v>
      </c>
      <c r="L71" s="148">
        <f>D71*10^(-3)/(F71)</f>
        <v>8.7999999999999995E-2</v>
      </c>
    </row>
    <row r="72" spans="1:12" ht="13">
      <c r="A72" s="145" t="s">
        <v>112</v>
      </c>
      <c r="B72" s="146" t="s">
        <v>630</v>
      </c>
      <c r="C72" s="36">
        <v>9</v>
      </c>
      <c r="D72" s="36">
        <v>32.5</v>
      </c>
      <c r="E72" s="55">
        <f t="shared" si="2"/>
        <v>0.41195394036588701</v>
      </c>
      <c r="F72" s="37"/>
      <c r="G72" s="37"/>
      <c r="H72" s="36">
        <v>390.5</v>
      </c>
      <c r="I72" s="36">
        <v>2.7</v>
      </c>
      <c r="J72" s="55">
        <f>(C72*10^6)/(9.81*997*I72*H72)</f>
        <v>0.87275740310565164</v>
      </c>
      <c r="K72" s="147"/>
      <c r="L72" s="148"/>
    </row>
    <row r="73" spans="1:12" ht="13">
      <c r="A73" s="145" t="s">
        <v>113</v>
      </c>
      <c r="B73" s="146" t="s">
        <v>630</v>
      </c>
      <c r="C73" s="36">
        <v>9</v>
      </c>
      <c r="D73" s="36">
        <v>38.9</v>
      </c>
      <c r="E73" s="55">
        <f t="shared" si="2"/>
        <v>0.49307717785332317</v>
      </c>
      <c r="F73" s="36">
        <f>0.01+0.96</f>
        <v>0.97</v>
      </c>
      <c r="G73" s="36">
        <v>2</v>
      </c>
      <c r="H73" s="36">
        <v>255</v>
      </c>
      <c r="I73" s="36">
        <v>4</v>
      </c>
      <c r="J73" s="55">
        <f>(C73*10^6)/(9.81*997*I73*H73)</f>
        <v>0.90214879212200372</v>
      </c>
      <c r="K73" s="147">
        <f>C73*E73/F73</f>
        <v>4.5749428872988744</v>
      </c>
      <c r="L73" s="148">
        <f>D73*10^(-3)/(F73)</f>
        <v>4.010309278350515E-2</v>
      </c>
    </row>
    <row r="74" spans="1:12" ht="13">
      <c r="A74" s="145" t="s">
        <v>114</v>
      </c>
      <c r="B74" s="146" t="s">
        <v>630</v>
      </c>
      <c r="C74" s="36">
        <v>9</v>
      </c>
      <c r="D74" s="36">
        <v>44.6</v>
      </c>
      <c r="E74" s="55">
        <f t="shared" si="2"/>
        <v>0.56532756124057104</v>
      </c>
      <c r="F74" s="37"/>
      <c r="G74" s="37"/>
      <c r="H74" s="36">
        <v>347</v>
      </c>
      <c r="I74" s="36">
        <v>3.2</v>
      </c>
      <c r="J74" s="55">
        <f>(C74*10^6)/(9.81*997*I74*H74)</f>
        <v>0.82870296106307983</v>
      </c>
      <c r="K74" s="147"/>
      <c r="L74" s="148"/>
    </row>
    <row r="75" spans="1:12" ht="13">
      <c r="A75" s="145" t="s">
        <v>115</v>
      </c>
      <c r="B75" s="146" t="s">
        <v>630</v>
      </c>
      <c r="C75" s="36">
        <v>9</v>
      </c>
      <c r="D75" s="36">
        <v>36</v>
      </c>
      <c r="E75" s="55">
        <f t="shared" si="2"/>
        <v>0.45631821086682867</v>
      </c>
      <c r="F75" s="37"/>
      <c r="G75" s="37"/>
      <c r="H75" s="36">
        <v>245</v>
      </c>
      <c r="I75" s="36">
        <v>4.3</v>
      </c>
      <c r="J75" s="55">
        <f>(C75*10^6)/(9.81*997*I75*H75)</f>
        <v>0.87346157376786315</v>
      </c>
      <c r="K75" s="147"/>
      <c r="L75" s="148"/>
    </row>
    <row r="76" spans="1:12" ht="13">
      <c r="A76" s="145" t="s">
        <v>116</v>
      </c>
      <c r="B76" s="146" t="s">
        <v>630</v>
      </c>
      <c r="C76" s="36">
        <v>9</v>
      </c>
      <c r="D76" s="36">
        <v>25</v>
      </c>
      <c r="E76" s="55">
        <f t="shared" si="2"/>
        <v>0.31688764643529765</v>
      </c>
      <c r="F76" s="36">
        <f>2.37</f>
        <v>2.37</v>
      </c>
      <c r="G76" s="37"/>
      <c r="H76" s="36">
        <v>239</v>
      </c>
      <c r="I76" s="36">
        <v>5.0999999999999996</v>
      </c>
      <c r="J76" s="55">
        <f>(C76*10^6)/(9.81*997*I76*H76)</f>
        <v>0.75493622771715807</v>
      </c>
      <c r="K76" s="147">
        <f>C76*E76/F76</f>
        <v>1.2033708092479658</v>
      </c>
      <c r="L76" s="148">
        <f>D76*10^(-3)/(F76)</f>
        <v>1.0548523206751054E-2</v>
      </c>
    </row>
    <row r="77" spans="1:12" ht="13">
      <c r="A77" s="145" t="s">
        <v>117</v>
      </c>
      <c r="B77" s="146" t="s">
        <v>630</v>
      </c>
      <c r="C77" s="36">
        <v>9</v>
      </c>
      <c r="D77" s="36">
        <v>28</v>
      </c>
      <c r="E77" s="55">
        <f t="shared" si="2"/>
        <v>0.35491416400753339</v>
      </c>
      <c r="F77" s="37"/>
      <c r="G77" s="37"/>
      <c r="H77" s="36">
        <v>139.69999999999999</v>
      </c>
      <c r="I77" s="36">
        <v>7.5</v>
      </c>
      <c r="J77" s="55">
        <f>(C77*10^6)/(9.81*997*I77*H77)</f>
        <v>0.87825508753466386</v>
      </c>
      <c r="K77" s="147"/>
      <c r="L77" s="148"/>
    </row>
    <row r="78" spans="1:12" ht="13">
      <c r="A78" s="145" t="s">
        <v>118</v>
      </c>
      <c r="B78" s="146" t="s">
        <v>630</v>
      </c>
      <c r="C78" s="36">
        <v>8.9</v>
      </c>
      <c r="D78" s="36">
        <v>43.3</v>
      </c>
      <c r="E78" s="55">
        <f t="shared" si="2"/>
        <v>0.55501625085768769</v>
      </c>
      <c r="F78" s="36">
        <f>0.95+0.21</f>
        <v>1.1599999999999999</v>
      </c>
      <c r="G78" s="36">
        <v>2</v>
      </c>
      <c r="H78" s="36">
        <v>384</v>
      </c>
      <c r="I78" s="36">
        <v>2.6</v>
      </c>
      <c r="J78" s="55">
        <f>(C78*10^6)/(9.81*997*I78*H78)</f>
        <v>0.91142569610082247</v>
      </c>
      <c r="K78" s="147">
        <f>C78*E78/F78</f>
        <v>4.2583143384770867</v>
      </c>
      <c r="L78" s="148">
        <f>D78*10^(-3)/(F78)</f>
        <v>3.7327586206896551E-2</v>
      </c>
    </row>
    <row r="79" spans="1:12" ht="13">
      <c r="A79" s="145" t="s">
        <v>119</v>
      </c>
      <c r="B79" s="146" t="s">
        <v>630</v>
      </c>
      <c r="C79" s="36">
        <v>8.9</v>
      </c>
      <c r="D79" s="36">
        <v>44.1</v>
      </c>
      <c r="E79" s="55">
        <f t="shared" si="2"/>
        <v>0.56527059267491986</v>
      </c>
      <c r="F79" s="36">
        <f>0.01+0.47+0.44</f>
        <v>0.91999999999999993</v>
      </c>
      <c r="G79" s="36">
        <v>3</v>
      </c>
      <c r="H79" s="36">
        <v>340</v>
      </c>
      <c r="I79" s="36">
        <v>3</v>
      </c>
      <c r="J79" s="55">
        <f>(C79*10^6)/(9.81*997*I79*H79)</f>
        <v>0.89212491665398141</v>
      </c>
      <c r="K79" s="147">
        <f>C79*E79/F79</f>
        <v>5.4683785595725949</v>
      </c>
      <c r="L79" s="148">
        <f>D79*10^(-3)/(F79)</f>
        <v>4.7934782608695659E-2</v>
      </c>
    </row>
    <row r="80" spans="1:12" ht="13">
      <c r="A80" s="145" t="s">
        <v>120</v>
      </c>
      <c r="B80" s="146" t="s">
        <v>630</v>
      </c>
      <c r="C80" s="36">
        <v>8.8000000000000007</v>
      </c>
      <c r="D80" s="36">
        <v>35</v>
      </c>
      <c r="E80" s="55">
        <f t="shared" si="2"/>
        <v>0.45372549375963078</v>
      </c>
      <c r="F80" s="36">
        <f>4.81</f>
        <v>4.8099999999999996</v>
      </c>
      <c r="G80" s="36">
        <v>1</v>
      </c>
      <c r="H80" s="36">
        <v>253.6</v>
      </c>
      <c r="I80" s="36">
        <v>4</v>
      </c>
      <c r="J80" s="55">
        <f>(C80*10^6)/(9.81*997*I80*H80)</f>
        <v>0.88697068415780611</v>
      </c>
      <c r="K80" s="147">
        <f>C80*E80/F80</f>
        <v>0.83010069544381526</v>
      </c>
      <c r="L80" s="148">
        <f>D80*10^(-3)/(F80)</f>
        <v>7.2765072765072778E-3</v>
      </c>
    </row>
    <row r="81" spans="1:12" ht="13">
      <c r="A81" s="145" t="s">
        <v>121</v>
      </c>
      <c r="B81" s="146" t="s">
        <v>630</v>
      </c>
      <c r="C81" s="36">
        <v>8.6999999999999993</v>
      </c>
      <c r="D81" s="36">
        <v>28.1</v>
      </c>
      <c r="E81" s="55">
        <f t="shared" si="2"/>
        <v>0.36846384268269794</v>
      </c>
      <c r="F81" s="36">
        <f>0.66+4.02+3.48</f>
        <v>8.16</v>
      </c>
      <c r="G81" s="36">
        <v>3</v>
      </c>
      <c r="H81" s="36">
        <v>133</v>
      </c>
      <c r="I81" s="36">
        <v>7.4</v>
      </c>
      <c r="J81" s="55">
        <f>(C81*10^6)/(9.81*997*I81*H81)</f>
        <v>0.90379872894970081</v>
      </c>
      <c r="K81" s="147">
        <f>C81*E81/F81</f>
        <v>0.39284747933081759</v>
      </c>
      <c r="L81" s="148">
        <f>D81*10^(-3)/(F81)</f>
        <v>3.4436274509803927E-3</v>
      </c>
    </row>
    <row r="82" spans="1:12" ht="13">
      <c r="A82" s="145" t="s">
        <v>122</v>
      </c>
      <c r="B82" s="146" t="s">
        <v>630</v>
      </c>
      <c r="C82" s="36">
        <v>8.6</v>
      </c>
      <c r="D82" s="36">
        <v>23.9</v>
      </c>
      <c r="E82" s="55">
        <f t="shared" si="2"/>
        <v>0.31703503603829086</v>
      </c>
      <c r="F82" s="37"/>
      <c r="G82" s="37"/>
      <c r="H82" s="36">
        <v>528</v>
      </c>
      <c r="I82" s="36">
        <v>1.9</v>
      </c>
      <c r="J82" s="55">
        <f>(C82*10^6)/(9.81*997*I82*H82)</f>
        <v>0.8764895893689324</v>
      </c>
      <c r="K82" s="147"/>
      <c r="L82" s="148"/>
    </row>
    <row r="83" spans="1:12" ht="13">
      <c r="A83" s="145" t="s">
        <v>123</v>
      </c>
      <c r="B83" s="146" t="s">
        <v>630</v>
      </c>
      <c r="C83" s="36">
        <v>8.6</v>
      </c>
      <c r="D83" s="36">
        <v>27</v>
      </c>
      <c r="E83" s="55">
        <f t="shared" si="2"/>
        <v>0.35815673527338299</v>
      </c>
      <c r="F83" s="36">
        <v>0.15</v>
      </c>
      <c r="G83" s="36">
        <v>1</v>
      </c>
      <c r="H83" s="36">
        <v>451.3</v>
      </c>
      <c r="I83" s="36">
        <v>2.2999999999999998</v>
      </c>
      <c r="J83" s="55">
        <f>(C83*10^6)/(9.81*997*I83*H83)</f>
        <v>0.84711255027014998</v>
      </c>
      <c r="K83" s="147">
        <f>C83*E83/F83</f>
        <v>20.534319489007292</v>
      </c>
      <c r="L83" s="148">
        <f>D83*10^(-3)/(F83)</f>
        <v>0.18</v>
      </c>
    </row>
    <row r="84" spans="1:12" ht="13">
      <c r="A84" s="145" t="s">
        <v>124</v>
      </c>
      <c r="B84" s="146" t="s">
        <v>630</v>
      </c>
      <c r="C84" s="36">
        <v>8.6</v>
      </c>
      <c r="D84" s="36">
        <v>27.7</v>
      </c>
      <c r="E84" s="55">
        <f t="shared" si="2"/>
        <v>0.36744228026195214</v>
      </c>
      <c r="F84" s="36">
        <v>0.42</v>
      </c>
      <c r="G84" s="36">
        <v>1</v>
      </c>
      <c r="H84" s="36">
        <v>127</v>
      </c>
      <c r="I84" s="36">
        <v>8.1999999999999993</v>
      </c>
      <c r="J84" s="55">
        <f>(C84*10^6)/(9.81*997*I84*H84)</f>
        <v>0.84433873252824387</v>
      </c>
      <c r="K84" s="147">
        <f>C84*E84/F84</f>
        <v>7.5238181196494969</v>
      </c>
      <c r="L84" s="148">
        <f>D84*10^(-3)/(F84)</f>
        <v>6.5952380952380957E-2</v>
      </c>
    </row>
    <row r="85" spans="1:12" ht="13">
      <c r="A85" s="145" t="s">
        <v>125</v>
      </c>
      <c r="B85" s="146" t="s">
        <v>630</v>
      </c>
      <c r="C85" s="36">
        <v>8.6</v>
      </c>
      <c r="D85" s="36">
        <v>29.6</v>
      </c>
      <c r="E85" s="55">
        <f>D85/(C85*8765.81277)*1000</f>
        <v>0.39264590237378283</v>
      </c>
      <c r="F85" s="37"/>
      <c r="G85" s="37"/>
      <c r="H85" s="36">
        <v>263.2</v>
      </c>
      <c r="I85" s="36">
        <v>4.3</v>
      </c>
      <c r="J85" s="55">
        <f>(C85*10^6)/(9.81*997*I85*H85)</f>
        <v>0.7769265180381999</v>
      </c>
      <c r="K85" s="147"/>
      <c r="L85" s="148"/>
    </row>
    <row r="86" spans="1:12" ht="13">
      <c r="A86" s="145" t="s">
        <v>126</v>
      </c>
      <c r="B86" s="146" t="s">
        <v>630</v>
      </c>
      <c r="C86" s="36">
        <v>8.6</v>
      </c>
      <c r="D86" s="36">
        <v>33</v>
      </c>
      <c r="E86" s="55">
        <f t="shared" ref="E86:E104" si="3">D86/(C86*8765.81277)*1000</f>
        <v>0.43774712088969037</v>
      </c>
      <c r="F86" s="37"/>
      <c r="G86" s="37"/>
      <c r="H86" s="36">
        <v>154.80000000000001</v>
      </c>
      <c r="I86" s="36">
        <v>7</v>
      </c>
      <c r="J86" s="55">
        <f>(C86*10^6)/(9.81*997*I86*H86)</f>
        <v>0.8114565855065643</v>
      </c>
      <c r="K86" s="147"/>
      <c r="L86" s="148"/>
    </row>
    <row r="87" spans="1:12" ht="13">
      <c r="A87" s="145" t="s">
        <v>127</v>
      </c>
      <c r="B87" s="146" t="s">
        <v>630</v>
      </c>
      <c r="C87" s="36">
        <v>8.6</v>
      </c>
      <c r="D87" s="36">
        <v>37</v>
      </c>
      <c r="E87" s="55">
        <f t="shared" si="3"/>
        <v>0.49080737796722862</v>
      </c>
      <c r="F87" s="37"/>
      <c r="G87" s="37"/>
      <c r="H87" s="36">
        <v>416.7</v>
      </c>
      <c r="I87" s="36">
        <v>2.7</v>
      </c>
      <c r="J87" s="55">
        <f>(C87*10^6)/(9.81*997*I87*H87)</f>
        <v>0.78153246056307757</v>
      </c>
      <c r="K87" s="147"/>
      <c r="L87" s="148"/>
    </row>
    <row r="88" spans="1:12" ht="13">
      <c r="A88" s="145" t="s">
        <v>128</v>
      </c>
      <c r="B88" s="146" t="s">
        <v>630</v>
      </c>
      <c r="C88" s="36">
        <v>8.5</v>
      </c>
      <c r="D88" s="36">
        <v>26.5</v>
      </c>
      <c r="E88" s="55">
        <f t="shared" si="3"/>
        <v>0.35565978199914594</v>
      </c>
      <c r="F88" s="37"/>
      <c r="G88" s="37"/>
      <c r="H88" s="36">
        <v>183.3</v>
      </c>
      <c r="I88" s="36">
        <v>6.4</v>
      </c>
      <c r="J88" s="55">
        <f>(C88*10^6)/(9.81*997*I88*H88)</f>
        <v>0.74081935614219363</v>
      </c>
      <c r="K88" s="147"/>
      <c r="L88" s="148"/>
    </row>
    <row r="89" spans="1:12" ht="13">
      <c r="A89" s="145" t="s">
        <v>129</v>
      </c>
      <c r="B89" s="146" t="s">
        <v>630</v>
      </c>
      <c r="C89" s="36">
        <v>8.5</v>
      </c>
      <c r="D89" s="36">
        <v>30.1</v>
      </c>
      <c r="E89" s="55">
        <f t="shared" si="3"/>
        <v>0.40397582785563368</v>
      </c>
      <c r="F89" s="36">
        <f>100.53</f>
        <v>100.53</v>
      </c>
      <c r="G89" s="36">
        <v>1</v>
      </c>
      <c r="H89" s="36">
        <v>8.1</v>
      </c>
      <c r="I89" s="36">
        <v>124.3</v>
      </c>
      <c r="J89" s="55">
        <f>(C89*10^6)/(9.81*997*I89*H89)</f>
        <v>0.86317452109842807</v>
      </c>
      <c r="K89" s="147">
        <f>C89*E89/F89</f>
        <v>3.4156913724986436E-2</v>
      </c>
      <c r="L89" s="148">
        <f>D89*10^(-3)/(F89)</f>
        <v>2.9941311051427438E-4</v>
      </c>
    </row>
    <row r="90" spans="1:12" ht="13">
      <c r="A90" s="145" t="s">
        <v>130</v>
      </c>
      <c r="B90" s="146" t="s">
        <v>630</v>
      </c>
      <c r="C90" s="36">
        <v>8.5</v>
      </c>
      <c r="D90" s="36">
        <v>35</v>
      </c>
      <c r="E90" s="55">
        <f t="shared" si="3"/>
        <v>0.46973933471585311</v>
      </c>
      <c r="F90" s="37"/>
      <c r="G90" s="37"/>
      <c r="H90" s="36">
        <v>84.5</v>
      </c>
      <c r="I90" s="36">
        <v>10.3</v>
      </c>
      <c r="J90" s="55">
        <f>(C90*10^6)/(9.81*997*I90*H90)</f>
        <v>0.99852933081809636</v>
      </c>
      <c r="K90" s="147"/>
      <c r="L90" s="148"/>
    </row>
    <row r="91" spans="1:12" ht="13">
      <c r="A91" s="145" t="s">
        <v>131</v>
      </c>
      <c r="B91" s="146" t="s">
        <v>630</v>
      </c>
      <c r="C91" s="36">
        <v>8.5</v>
      </c>
      <c r="D91" s="36">
        <v>31</v>
      </c>
      <c r="E91" s="55">
        <f t="shared" si="3"/>
        <v>0.41605483931975562</v>
      </c>
      <c r="F91" s="37"/>
      <c r="G91" s="37"/>
      <c r="H91" s="36">
        <v>60.6</v>
      </c>
      <c r="I91" s="36">
        <v>20</v>
      </c>
      <c r="J91" s="55">
        <f>(C91*10^6)/(9.81*997*I91*H91)</f>
        <v>0.71705445798476097</v>
      </c>
      <c r="K91" s="147"/>
      <c r="L91" s="148"/>
    </row>
    <row r="92" spans="1:12" ht="13">
      <c r="A92" s="145" t="s">
        <v>132</v>
      </c>
      <c r="B92" s="146" t="s">
        <v>630</v>
      </c>
      <c r="C92" s="36">
        <v>8.3000000000000007</v>
      </c>
      <c r="D92" s="36">
        <v>33.799999999999997</v>
      </c>
      <c r="E92" s="55">
        <f t="shared" si="3"/>
        <v>0.46456492552104844</v>
      </c>
      <c r="F92" s="36">
        <f>2210*10^-6</f>
        <v>2.2099999999999997E-3</v>
      </c>
      <c r="G92" s="36">
        <v>1</v>
      </c>
      <c r="H92" s="36">
        <v>326</v>
      </c>
      <c r="I92" s="36">
        <v>3.1</v>
      </c>
      <c r="J92" s="55">
        <f>(C92*10^6)/(9.81*997*I92*H92)</f>
        <v>0.83972026234194042</v>
      </c>
      <c r="K92" s="147">
        <f>C92*E92/F92</f>
        <v>1744.7461003731687</v>
      </c>
      <c r="L92" s="148">
        <f>D92*10^(-3)/(F92)</f>
        <v>15.294117647058824</v>
      </c>
    </row>
    <row r="93" spans="1:12" ht="13">
      <c r="A93" s="145" t="s">
        <v>133</v>
      </c>
      <c r="B93" s="146" t="s">
        <v>630</v>
      </c>
      <c r="C93" s="36">
        <v>8.1999999999999993</v>
      </c>
      <c r="D93" s="36">
        <v>27.9</v>
      </c>
      <c r="E93" s="55">
        <f t="shared" si="3"/>
        <v>0.38814872204830858</v>
      </c>
      <c r="F93" s="36">
        <v>1</v>
      </c>
      <c r="G93" s="36">
        <v>1</v>
      </c>
      <c r="H93" s="36">
        <v>193.7</v>
      </c>
      <c r="I93" s="36">
        <v>4.3</v>
      </c>
      <c r="J93" s="55">
        <f>(C93*10^6)/(9.81*997*I93*H93)</f>
        <v>1.0065876795156525</v>
      </c>
      <c r="K93" s="147">
        <f>C93*E93/F93</f>
        <v>3.1828195207961301</v>
      </c>
      <c r="L93" s="148">
        <f>D93*10^(-3)/(F93)</f>
        <v>2.7899999999999998E-2</v>
      </c>
    </row>
    <row r="94" spans="1:12" ht="13">
      <c r="A94" s="145" t="s">
        <v>134</v>
      </c>
      <c r="B94" s="146" t="s">
        <v>630</v>
      </c>
      <c r="C94" s="36">
        <v>8.1999999999999993</v>
      </c>
      <c r="D94" s="36">
        <v>35.700000000000003</v>
      </c>
      <c r="E94" s="55">
        <f t="shared" si="3"/>
        <v>0.49666341853493257</v>
      </c>
      <c r="F94" s="36">
        <f>0.1+0.38</f>
        <v>0.48</v>
      </c>
      <c r="G94" s="36">
        <v>2</v>
      </c>
      <c r="H94" s="36">
        <v>692</v>
      </c>
      <c r="I94" s="36">
        <v>1.4</v>
      </c>
      <c r="J94" s="55">
        <f>(C94*10^6)/(9.81*997*I94*H94)</f>
        <v>0.86539734119052647</v>
      </c>
      <c r="K94" s="147">
        <f>C94*E94/F94</f>
        <v>8.4846667333050991</v>
      </c>
      <c r="L94" s="148">
        <f>D94*10^(-3)/(F94)</f>
        <v>7.4375000000000011E-2</v>
      </c>
    </row>
    <row r="95" spans="1:12" ht="13">
      <c r="A95" s="145" t="s">
        <v>135</v>
      </c>
      <c r="B95" s="146" t="s">
        <v>630</v>
      </c>
      <c r="C95" s="36">
        <v>8.1999999999999993</v>
      </c>
      <c r="D95" s="36">
        <v>24.8</v>
      </c>
      <c r="E95" s="55">
        <f t="shared" si="3"/>
        <v>0.3450210862651632</v>
      </c>
      <c r="F95" s="37"/>
      <c r="G95" s="37"/>
      <c r="H95" s="36">
        <v>264.2</v>
      </c>
      <c r="I95" s="36">
        <v>3.7</v>
      </c>
      <c r="J95" s="55">
        <f>(C95*10^6)/(9.81*997*I95*H95)</f>
        <v>0.85765998746381933</v>
      </c>
      <c r="K95" s="147"/>
      <c r="L95" s="148"/>
    </row>
    <row r="96" spans="1:12" ht="13">
      <c r="A96" s="145" t="s">
        <v>44</v>
      </c>
      <c r="B96" s="146" t="s">
        <v>630</v>
      </c>
      <c r="C96" s="36">
        <v>8.1999999999999993</v>
      </c>
      <c r="D96" s="36">
        <v>22.1</v>
      </c>
      <c r="E96" s="55">
        <f t="shared" si="3"/>
        <v>0.30745830671210106</v>
      </c>
      <c r="F96" s="37"/>
      <c r="G96" s="37"/>
      <c r="H96" s="36">
        <v>234.4</v>
      </c>
      <c r="I96" s="36">
        <v>4.0999999999999996</v>
      </c>
      <c r="J96" s="55">
        <f>(C96*10^6)/(9.81*997*I96*H96)</f>
        <v>0.87238506632958268</v>
      </c>
      <c r="K96" s="147"/>
      <c r="L96" s="148"/>
    </row>
    <row r="97" spans="1:16" ht="13">
      <c r="A97" s="145" t="s">
        <v>136</v>
      </c>
      <c r="B97" s="146" t="s">
        <v>630</v>
      </c>
      <c r="C97" s="36">
        <v>8.1</v>
      </c>
      <c r="D97" s="36">
        <v>26.6</v>
      </c>
      <c r="E97" s="55">
        <f t="shared" si="3"/>
        <v>0.3746316175635076</v>
      </c>
      <c r="F97" s="36">
        <v>2.4700000000000002</v>
      </c>
      <c r="G97" s="36">
        <v>1</v>
      </c>
      <c r="H97" s="36">
        <v>56</v>
      </c>
      <c r="I97" s="36">
        <v>17.3</v>
      </c>
      <c r="J97" s="55">
        <f>(C97*10^6)/(9.81*997*I97*H97)</f>
        <v>0.85484371507844692</v>
      </c>
      <c r="K97" s="147">
        <f>C97*E97/F97</f>
        <v>1.2285490292568466</v>
      </c>
      <c r="L97" s="148">
        <f>D97*10^(-3)/(F97)</f>
        <v>1.0769230769230769E-2</v>
      </c>
    </row>
    <row r="98" spans="1:16" ht="13">
      <c r="A98" s="145" t="s">
        <v>137</v>
      </c>
      <c r="B98" s="146" t="s">
        <v>630</v>
      </c>
      <c r="C98" s="36">
        <v>8.1</v>
      </c>
      <c r="D98" s="36">
        <v>38</v>
      </c>
      <c r="E98" s="55">
        <f t="shared" si="3"/>
        <v>0.53518802509072505</v>
      </c>
      <c r="F98" s="36">
        <v>0.02</v>
      </c>
      <c r="G98" s="36">
        <v>1</v>
      </c>
      <c r="H98" s="36">
        <v>106</v>
      </c>
      <c r="I98" s="36">
        <v>10</v>
      </c>
      <c r="J98" s="55">
        <f>(C98*10^6)/(9.81*997*I98*H98)</f>
        <v>0.78129489732830137</v>
      </c>
      <c r="K98" s="147">
        <f>C98*E98/F98</f>
        <v>216.75115016174362</v>
      </c>
      <c r="L98" s="148">
        <f>D98*10^(-3)/(F98)</f>
        <v>1.9</v>
      </c>
    </row>
    <row r="99" spans="1:16" ht="13">
      <c r="A99" s="145" t="s">
        <v>138</v>
      </c>
      <c r="B99" s="146" t="s">
        <v>630</v>
      </c>
      <c r="C99" s="36">
        <v>8</v>
      </c>
      <c r="D99" s="36">
        <v>36.5</v>
      </c>
      <c r="E99" s="55">
        <f t="shared" si="3"/>
        <v>0.52048795926997649</v>
      </c>
      <c r="F99" s="36">
        <f>15.3+0.5</f>
        <v>15.8</v>
      </c>
      <c r="G99" s="36">
        <v>2</v>
      </c>
      <c r="H99" s="36">
        <v>26.6</v>
      </c>
      <c r="I99" s="36">
        <v>37</v>
      </c>
      <c r="J99" s="55">
        <f>(C99*10^6)/(9.81*997*I99*H99)</f>
        <v>0.83107929098823086</v>
      </c>
      <c r="K99" s="147">
        <f>C99*E99/F99</f>
        <v>0.26353820722530452</v>
      </c>
      <c r="L99" s="148">
        <f>D99*10^(-3)/(F99)</f>
        <v>2.3101265822784807E-3</v>
      </c>
    </row>
    <row r="100" spans="1:16" ht="13">
      <c r="A100" s="145" t="s">
        <v>139</v>
      </c>
      <c r="B100" s="146" t="s">
        <v>630</v>
      </c>
      <c r="C100" s="36">
        <v>8</v>
      </c>
      <c r="D100" s="36">
        <v>26.1</v>
      </c>
      <c r="E100" s="55">
        <f t="shared" si="3"/>
        <v>0.37218454073825719</v>
      </c>
      <c r="F100" s="37"/>
      <c r="G100" s="37"/>
      <c r="H100" s="36">
        <v>442</v>
      </c>
      <c r="I100" s="36">
        <v>2</v>
      </c>
      <c r="J100" s="55">
        <f>(C100*10^6)/(9.81*997*I100*H100)</f>
        <v>0.92528081243282445</v>
      </c>
      <c r="K100" s="147"/>
      <c r="L100" s="148"/>
    </row>
    <row r="101" spans="1:16" ht="13">
      <c r="A101" s="145" t="s">
        <v>140</v>
      </c>
      <c r="B101" s="146" t="s">
        <v>630</v>
      </c>
      <c r="C101" s="36">
        <v>8</v>
      </c>
      <c r="D101" s="36">
        <v>26.8</v>
      </c>
      <c r="E101" s="55">
        <f t="shared" si="3"/>
        <v>0.38216650160096904</v>
      </c>
      <c r="F101" s="37"/>
      <c r="G101" s="37"/>
      <c r="H101" s="36">
        <v>353.5</v>
      </c>
      <c r="I101" s="36">
        <v>4</v>
      </c>
      <c r="J101" s="55">
        <f>(C101*10^6)/(9.81*997*I101*H101)</f>
        <v>0.57846410055913489</v>
      </c>
      <c r="K101" s="147"/>
      <c r="L101" s="148"/>
    </row>
    <row r="102" spans="1:16" ht="13">
      <c r="A102" s="145" t="s">
        <v>141</v>
      </c>
      <c r="B102" s="146" t="s">
        <v>630</v>
      </c>
      <c r="C102" s="36">
        <v>8</v>
      </c>
      <c r="D102" s="36">
        <v>25</v>
      </c>
      <c r="E102" s="55">
        <f t="shared" si="3"/>
        <v>0.35649860223970992</v>
      </c>
      <c r="F102" s="36">
        <v>1.08</v>
      </c>
      <c r="G102" s="36">
        <v>1</v>
      </c>
      <c r="H102" s="36">
        <v>442.5</v>
      </c>
      <c r="I102" s="36">
        <v>2</v>
      </c>
      <c r="J102" s="55">
        <f>(C102*10^6)/(9.81*997*I102*H102)</f>
        <v>0.92423529739052745</v>
      </c>
      <c r="K102" s="147">
        <f>C102*E102/F102</f>
        <v>2.6407303869608141</v>
      </c>
      <c r="L102" s="148">
        <f>D102*10^(-3)/(F102)</f>
        <v>2.3148148148148147E-2</v>
      </c>
    </row>
    <row r="103" spans="1:16" ht="13">
      <c r="A103" s="145" t="s">
        <v>142</v>
      </c>
      <c r="B103" s="146" t="s">
        <v>630</v>
      </c>
      <c r="C103" s="36">
        <v>8</v>
      </c>
      <c r="D103" s="36">
        <v>23</v>
      </c>
      <c r="E103" s="55">
        <f t="shared" si="3"/>
        <v>0.32797871406053314</v>
      </c>
      <c r="F103" s="37"/>
      <c r="G103" s="37"/>
      <c r="H103" s="36">
        <v>87.1</v>
      </c>
      <c r="I103" s="36">
        <v>10.4</v>
      </c>
      <c r="J103" s="55">
        <f>(C103*10^6)/(9.81*997*I103*H103)</f>
        <v>0.90297209020424885</v>
      </c>
      <c r="K103" s="147"/>
      <c r="L103" s="150"/>
    </row>
    <row r="104" spans="1:16" ht="14" thickBot="1">
      <c r="A104" s="151" t="s">
        <v>143</v>
      </c>
      <c r="B104" s="152" t="s">
        <v>630</v>
      </c>
      <c r="C104" s="153">
        <v>8</v>
      </c>
      <c r="D104" s="153">
        <v>22.3</v>
      </c>
      <c r="E104" s="154">
        <f t="shared" si="3"/>
        <v>0.31799675319782122</v>
      </c>
      <c r="F104" s="155"/>
      <c r="G104" s="155"/>
      <c r="H104" s="153">
        <v>425</v>
      </c>
      <c r="I104" s="153">
        <v>2.4</v>
      </c>
      <c r="J104" s="154">
        <f>(C104*10^6)/(9.81*997*I104*H104)</f>
        <v>0.80191003744178124</v>
      </c>
      <c r="K104" s="156"/>
      <c r="L104" s="157"/>
    </row>
    <row r="105" spans="1:16" ht="35" customHeight="1" thickBot="1">
      <c r="A105" s="164" t="s">
        <v>638</v>
      </c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6"/>
      <c r="O105" s="10"/>
    </row>
    <row r="106" spans="1:16" ht="14">
      <c r="A106" s="11"/>
      <c r="B106" s="12"/>
      <c r="J106" s="10"/>
      <c r="K106" s="10"/>
      <c r="L106" s="10"/>
      <c r="O106" s="10"/>
    </row>
    <row r="107" spans="1:16" ht="13">
      <c r="A107" s="37"/>
      <c r="B107" s="37"/>
      <c r="C107" s="37"/>
      <c r="D107" s="37"/>
      <c r="E107" s="37"/>
      <c r="F107" s="129"/>
      <c r="G107" s="37"/>
      <c r="H107" s="129"/>
      <c r="I107" s="129"/>
      <c r="J107" s="130"/>
      <c r="K107" s="130"/>
      <c r="L107" s="129"/>
      <c r="M107" s="129"/>
      <c r="N107" s="129"/>
      <c r="O107" s="55"/>
    </row>
    <row r="108" spans="1:16" ht="13">
      <c r="A108" s="118"/>
      <c r="B108" s="37"/>
      <c r="C108" s="37"/>
      <c r="D108" s="37"/>
      <c r="E108" s="37"/>
      <c r="F108" s="38"/>
      <c r="G108" s="131"/>
      <c r="H108" s="38"/>
      <c r="I108" s="38"/>
      <c r="J108" s="39"/>
      <c r="K108" s="39"/>
      <c r="L108" s="39"/>
      <c r="M108" s="102"/>
      <c r="N108" s="102"/>
      <c r="O108" s="55"/>
      <c r="P108" s="11"/>
    </row>
    <row r="109" spans="1:16" ht="14">
      <c r="A109" s="132"/>
      <c r="B109" s="37"/>
      <c r="C109" s="36"/>
      <c r="D109" s="37"/>
      <c r="E109" s="37"/>
      <c r="F109" s="38"/>
      <c r="G109" s="37"/>
      <c r="H109" s="38"/>
      <c r="I109" s="38"/>
      <c r="J109" s="39"/>
      <c r="K109" s="39"/>
      <c r="L109" s="40"/>
      <c r="M109" s="102"/>
      <c r="N109" s="114"/>
      <c r="O109" s="55"/>
    </row>
    <row r="110" spans="1:16" ht="14">
      <c r="A110" s="132"/>
      <c r="B110" s="37"/>
      <c r="C110" s="36"/>
      <c r="D110" s="37"/>
      <c r="E110" s="37"/>
      <c r="F110" s="38"/>
      <c r="G110" s="37"/>
      <c r="H110" s="38"/>
      <c r="I110" s="38"/>
      <c r="J110" s="39"/>
      <c r="K110" s="39"/>
      <c r="L110" s="40"/>
      <c r="M110" s="102"/>
      <c r="N110" s="114"/>
      <c r="O110" s="55"/>
    </row>
    <row r="111" spans="1:16" ht="14">
      <c r="A111" s="132"/>
      <c r="B111" s="37"/>
      <c r="C111" s="37"/>
      <c r="D111" s="37"/>
      <c r="E111" s="37"/>
      <c r="F111" s="38"/>
      <c r="G111" s="37"/>
      <c r="H111" s="38"/>
      <c r="I111" s="38"/>
      <c r="J111" s="39"/>
      <c r="K111" s="39"/>
      <c r="L111" s="40"/>
      <c r="M111" s="102"/>
      <c r="N111" s="114"/>
      <c r="O111" s="55"/>
    </row>
    <row r="112" spans="1:16" ht="13">
      <c r="J112" s="10"/>
      <c r="K112" s="10"/>
      <c r="L112" s="10"/>
      <c r="N112" s="32"/>
      <c r="O112" s="33"/>
    </row>
    <row r="113" spans="10:15" ht="13">
      <c r="J113" s="10"/>
      <c r="K113" s="10"/>
      <c r="L113" s="10"/>
      <c r="N113" s="32"/>
      <c r="O113" s="33"/>
    </row>
    <row r="114" spans="10:15" ht="13">
      <c r="J114" s="10"/>
      <c r="K114" s="10"/>
      <c r="L114" s="10"/>
      <c r="N114" s="32"/>
      <c r="O114" s="33"/>
    </row>
    <row r="115" spans="10:15" ht="13">
      <c r="J115" s="10"/>
      <c r="K115" s="10"/>
      <c r="L115" s="10"/>
      <c r="N115" s="32"/>
      <c r="O115" s="33"/>
    </row>
    <row r="116" spans="10:15" ht="13">
      <c r="J116" s="10"/>
      <c r="K116" s="10"/>
      <c r="L116" s="10"/>
      <c r="N116" s="32"/>
      <c r="O116" s="33"/>
    </row>
    <row r="117" spans="10:15" ht="13">
      <c r="J117" s="10"/>
      <c r="K117" s="10"/>
      <c r="L117" s="10"/>
      <c r="N117" s="32"/>
      <c r="O117" s="33"/>
    </row>
    <row r="118" spans="10:15" ht="13">
      <c r="J118" s="10"/>
      <c r="K118" s="10"/>
      <c r="L118" s="10"/>
      <c r="N118" s="32"/>
      <c r="O118" s="33"/>
    </row>
    <row r="119" spans="10:15" ht="13">
      <c r="J119" s="10"/>
      <c r="K119" s="10"/>
      <c r="L119" s="10"/>
      <c r="N119" s="32"/>
      <c r="O119" s="33"/>
    </row>
    <row r="120" spans="10:15" ht="13">
      <c r="J120" s="10"/>
      <c r="K120" s="10"/>
      <c r="L120" s="10"/>
      <c r="N120" s="32"/>
      <c r="O120" s="33"/>
    </row>
    <row r="121" spans="10:15" ht="13">
      <c r="J121" s="10"/>
      <c r="K121" s="10"/>
      <c r="L121" s="10"/>
      <c r="N121" s="32"/>
      <c r="O121" s="33"/>
    </row>
    <row r="122" spans="10:15" ht="13">
      <c r="J122" s="10"/>
      <c r="K122" s="10"/>
      <c r="L122" s="10"/>
      <c r="N122" s="34"/>
      <c r="O122" s="33"/>
    </row>
    <row r="123" spans="10:15" ht="13">
      <c r="J123" s="10"/>
      <c r="K123" s="10"/>
      <c r="L123" s="10"/>
      <c r="O123" s="10"/>
    </row>
    <row r="124" spans="10:15" ht="13">
      <c r="J124" s="10"/>
      <c r="K124" s="10"/>
      <c r="L124" s="10"/>
      <c r="O124" s="10"/>
    </row>
    <row r="125" spans="10:15" ht="13">
      <c r="J125" s="10"/>
      <c r="K125" s="10"/>
      <c r="L125" s="10"/>
      <c r="O125" s="10"/>
    </row>
    <row r="126" spans="10:15" ht="13">
      <c r="J126" s="10"/>
      <c r="K126" s="10"/>
      <c r="L126" s="10"/>
      <c r="O126" s="10"/>
    </row>
    <row r="127" spans="10:15" ht="13">
      <c r="J127" s="10"/>
      <c r="K127" s="10"/>
      <c r="L127" s="10"/>
      <c r="O127" s="10"/>
    </row>
    <row r="128" spans="10:15" ht="13">
      <c r="J128" s="10"/>
      <c r="K128" s="10"/>
      <c r="L128" s="10"/>
      <c r="O128" s="10"/>
    </row>
    <row r="129" spans="10:15" ht="13">
      <c r="J129" s="10"/>
      <c r="K129" s="10"/>
      <c r="L129" s="10"/>
      <c r="O129" s="10"/>
    </row>
    <row r="130" spans="10:15" ht="13">
      <c r="J130" s="10"/>
      <c r="K130" s="10"/>
      <c r="L130" s="10"/>
      <c r="O130" s="10"/>
    </row>
    <row r="131" spans="10:15" ht="13">
      <c r="J131" s="10"/>
      <c r="K131" s="10"/>
      <c r="L131" s="10"/>
      <c r="O131" s="10"/>
    </row>
    <row r="132" spans="10:15" ht="13">
      <c r="J132" s="10"/>
      <c r="K132" s="10"/>
      <c r="L132" s="10"/>
      <c r="O132" s="10"/>
    </row>
    <row r="133" spans="10:15" ht="13">
      <c r="J133" s="10"/>
      <c r="K133" s="10"/>
      <c r="L133" s="10"/>
      <c r="O133" s="10"/>
    </row>
    <row r="134" spans="10:15" ht="13">
      <c r="J134" s="10"/>
      <c r="K134" s="10"/>
      <c r="L134" s="10"/>
      <c r="O134" s="10"/>
    </row>
    <row r="135" spans="10:15" ht="13">
      <c r="J135" s="10"/>
      <c r="K135" s="10"/>
      <c r="L135" s="10"/>
      <c r="O135" s="10"/>
    </row>
    <row r="136" spans="10:15" ht="13">
      <c r="J136" s="10"/>
      <c r="K136" s="10"/>
      <c r="L136" s="10"/>
      <c r="O136" s="10"/>
    </row>
    <row r="137" spans="10:15" ht="13">
      <c r="J137" s="10"/>
      <c r="K137" s="10"/>
      <c r="L137" s="10"/>
      <c r="O137" s="10"/>
    </row>
    <row r="138" spans="10:15" ht="13">
      <c r="J138" s="10"/>
      <c r="K138" s="10"/>
      <c r="L138" s="10"/>
      <c r="O138" s="10"/>
    </row>
    <row r="139" spans="10:15" ht="13">
      <c r="J139" s="10"/>
      <c r="K139" s="10"/>
      <c r="L139" s="10"/>
      <c r="O139" s="10"/>
    </row>
    <row r="140" spans="10:15" ht="13">
      <c r="J140" s="10"/>
      <c r="K140" s="10"/>
      <c r="L140" s="10"/>
      <c r="O140" s="10"/>
    </row>
    <row r="141" spans="10:15" ht="13">
      <c r="J141" s="10"/>
      <c r="K141" s="10"/>
      <c r="L141" s="10"/>
      <c r="O141" s="10"/>
    </row>
    <row r="142" spans="10:15" ht="13">
      <c r="J142" s="10"/>
      <c r="K142" s="10"/>
      <c r="L142" s="10"/>
      <c r="O142" s="10"/>
    </row>
    <row r="143" spans="10:15" ht="13">
      <c r="J143" s="10"/>
      <c r="K143" s="10"/>
      <c r="L143" s="10"/>
      <c r="O143" s="10"/>
    </row>
    <row r="144" spans="10:15" ht="13">
      <c r="J144" s="10"/>
      <c r="K144" s="10"/>
      <c r="L144" s="10"/>
      <c r="O144" s="10"/>
    </row>
    <row r="145" spans="10:15" ht="13">
      <c r="J145" s="10"/>
      <c r="K145" s="10"/>
      <c r="L145" s="10"/>
      <c r="O145" s="10"/>
    </row>
    <row r="146" spans="10:15" ht="13">
      <c r="J146" s="10"/>
      <c r="K146" s="10"/>
      <c r="L146" s="10"/>
      <c r="O146" s="10"/>
    </row>
    <row r="147" spans="10:15" ht="13">
      <c r="J147" s="10"/>
      <c r="K147" s="10"/>
      <c r="L147" s="10"/>
      <c r="O147" s="10"/>
    </row>
    <row r="148" spans="10:15" ht="13">
      <c r="J148" s="10"/>
      <c r="K148" s="10"/>
      <c r="L148" s="10"/>
      <c r="O148" s="10"/>
    </row>
    <row r="149" spans="10:15" ht="13">
      <c r="J149" s="10"/>
      <c r="K149" s="10"/>
      <c r="L149" s="10"/>
      <c r="O149" s="10"/>
    </row>
    <row r="150" spans="10:15" ht="13">
      <c r="J150" s="10"/>
      <c r="K150" s="10"/>
      <c r="L150" s="10"/>
      <c r="O150" s="10"/>
    </row>
    <row r="151" spans="10:15" ht="13">
      <c r="J151" s="10"/>
      <c r="K151" s="10"/>
      <c r="L151" s="10"/>
      <c r="O151" s="10"/>
    </row>
    <row r="152" spans="10:15" ht="13">
      <c r="J152" s="10"/>
      <c r="K152" s="10"/>
      <c r="L152" s="10"/>
      <c r="O152" s="10"/>
    </row>
    <row r="153" spans="10:15" ht="13">
      <c r="J153" s="10"/>
      <c r="K153" s="10"/>
      <c r="L153" s="10"/>
      <c r="O153" s="10"/>
    </row>
    <row r="154" spans="10:15" ht="13">
      <c r="J154" s="10"/>
      <c r="K154" s="10"/>
      <c r="L154" s="10"/>
      <c r="O154" s="10"/>
    </row>
    <row r="155" spans="10:15" ht="13">
      <c r="J155" s="10"/>
      <c r="K155" s="10"/>
      <c r="L155" s="10"/>
      <c r="O155" s="10"/>
    </row>
    <row r="156" spans="10:15" ht="13">
      <c r="J156" s="10"/>
      <c r="K156" s="10"/>
      <c r="L156" s="10"/>
      <c r="O156" s="10"/>
    </row>
    <row r="157" spans="10:15" ht="13">
      <c r="J157" s="10"/>
      <c r="K157" s="10"/>
      <c r="L157" s="10"/>
      <c r="O157" s="10"/>
    </row>
    <row r="158" spans="10:15" ht="13">
      <c r="J158" s="10"/>
      <c r="K158" s="10"/>
      <c r="L158" s="10"/>
      <c r="O158" s="10"/>
    </row>
    <row r="159" spans="10:15" ht="13">
      <c r="J159" s="10"/>
      <c r="K159" s="10"/>
      <c r="L159" s="10"/>
      <c r="O159" s="10"/>
    </row>
    <row r="160" spans="10:15" ht="13">
      <c r="J160" s="10"/>
      <c r="K160" s="10"/>
      <c r="L160" s="10"/>
      <c r="O160" s="10"/>
    </row>
    <row r="161" spans="10:15" ht="13">
      <c r="J161" s="10"/>
      <c r="K161" s="10"/>
      <c r="L161" s="10"/>
      <c r="O161" s="10"/>
    </row>
    <row r="162" spans="10:15" ht="13">
      <c r="J162" s="10"/>
      <c r="K162" s="10"/>
      <c r="L162" s="10"/>
      <c r="O162" s="10"/>
    </row>
    <row r="163" spans="10:15" ht="13">
      <c r="J163" s="10"/>
      <c r="K163" s="10"/>
      <c r="L163" s="10"/>
      <c r="O163" s="10"/>
    </row>
    <row r="164" spans="10:15" ht="13">
      <c r="J164" s="10"/>
      <c r="K164" s="10"/>
      <c r="L164" s="10"/>
      <c r="O164" s="10"/>
    </row>
    <row r="165" spans="10:15" ht="13">
      <c r="J165" s="10"/>
      <c r="K165" s="10"/>
      <c r="L165" s="10"/>
      <c r="O165" s="10"/>
    </row>
    <row r="166" spans="10:15" ht="13">
      <c r="J166" s="10"/>
      <c r="K166" s="10"/>
      <c r="L166" s="10"/>
      <c r="O166" s="10"/>
    </row>
    <row r="167" spans="10:15" ht="13">
      <c r="J167" s="10"/>
      <c r="K167" s="10"/>
      <c r="L167" s="10"/>
      <c r="O167" s="10"/>
    </row>
    <row r="168" spans="10:15" ht="13">
      <c r="J168" s="10"/>
      <c r="K168" s="10"/>
      <c r="L168" s="10"/>
      <c r="O168" s="10"/>
    </row>
    <row r="169" spans="10:15" ht="13">
      <c r="J169" s="10"/>
      <c r="K169" s="10"/>
      <c r="L169" s="10"/>
      <c r="O169" s="10"/>
    </row>
    <row r="170" spans="10:15" ht="13">
      <c r="J170" s="10"/>
      <c r="K170" s="10"/>
      <c r="L170" s="10"/>
      <c r="O170" s="10"/>
    </row>
    <row r="171" spans="10:15" ht="13">
      <c r="J171" s="10"/>
      <c r="K171" s="10"/>
      <c r="L171" s="10"/>
      <c r="O171" s="10"/>
    </row>
    <row r="172" spans="10:15" ht="13">
      <c r="J172" s="10"/>
      <c r="K172" s="10"/>
      <c r="L172" s="10"/>
      <c r="O172" s="10"/>
    </row>
    <row r="173" spans="10:15" ht="13">
      <c r="J173" s="10"/>
      <c r="K173" s="10"/>
      <c r="L173" s="10"/>
      <c r="O173" s="10"/>
    </row>
    <row r="174" spans="10:15" ht="13">
      <c r="J174" s="10"/>
      <c r="K174" s="10"/>
      <c r="L174" s="10"/>
      <c r="O174" s="10"/>
    </row>
    <row r="175" spans="10:15" ht="13">
      <c r="J175" s="10"/>
      <c r="K175" s="10"/>
      <c r="L175" s="10"/>
      <c r="O175" s="10"/>
    </row>
    <row r="176" spans="10:15" ht="13">
      <c r="J176" s="10"/>
      <c r="K176" s="10"/>
      <c r="L176" s="10"/>
      <c r="O176" s="10"/>
    </row>
    <row r="177" spans="10:15" ht="13">
      <c r="J177" s="10"/>
      <c r="K177" s="10"/>
      <c r="L177" s="10"/>
      <c r="O177" s="10"/>
    </row>
    <row r="178" spans="10:15" ht="13">
      <c r="J178" s="10"/>
      <c r="K178" s="10"/>
      <c r="L178" s="10"/>
      <c r="O178" s="10"/>
    </row>
    <row r="179" spans="10:15" ht="13">
      <c r="J179" s="10"/>
      <c r="K179" s="10"/>
      <c r="L179" s="10"/>
      <c r="O179" s="10"/>
    </row>
    <row r="180" spans="10:15" ht="13">
      <c r="J180" s="10"/>
      <c r="K180" s="10"/>
      <c r="L180" s="10"/>
      <c r="O180" s="10"/>
    </row>
    <row r="181" spans="10:15" ht="13">
      <c r="J181" s="10"/>
      <c r="K181" s="10"/>
      <c r="L181" s="10"/>
      <c r="O181" s="10"/>
    </row>
    <row r="182" spans="10:15" ht="13">
      <c r="J182" s="10"/>
      <c r="K182" s="10"/>
      <c r="L182" s="10"/>
      <c r="O182" s="10"/>
    </row>
    <row r="183" spans="10:15" ht="13">
      <c r="J183" s="10"/>
      <c r="K183" s="10"/>
      <c r="L183" s="10"/>
      <c r="O183" s="10"/>
    </row>
    <row r="184" spans="10:15" ht="13">
      <c r="J184" s="10"/>
      <c r="K184" s="10"/>
      <c r="L184" s="10"/>
      <c r="O184" s="10"/>
    </row>
    <row r="185" spans="10:15" ht="13">
      <c r="J185" s="10"/>
      <c r="K185" s="10"/>
      <c r="L185" s="10"/>
      <c r="O185" s="10"/>
    </row>
    <row r="186" spans="10:15" ht="13">
      <c r="J186" s="10"/>
      <c r="K186" s="10"/>
      <c r="L186" s="10"/>
      <c r="O186" s="10"/>
    </row>
    <row r="187" spans="10:15" ht="13">
      <c r="J187" s="10"/>
      <c r="K187" s="10"/>
      <c r="L187" s="10"/>
      <c r="O187" s="10"/>
    </row>
    <row r="188" spans="10:15" ht="13">
      <c r="J188" s="10"/>
      <c r="K188" s="10"/>
      <c r="L188" s="10"/>
      <c r="O188" s="10"/>
    </row>
    <row r="189" spans="10:15" ht="13">
      <c r="J189" s="10"/>
      <c r="K189" s="10"/>
      <c r="L189" s="10"/>
      <c r="O189" s="10"/>
    </row>
    <row r="190" spans="10:15" ht="13">
      <c r="J190" s="10"/>
      <c r="K190" s="10"/>
      <c r="L190" s="10"/>
      <c r="O190" s="10"/>
    </row>
    <row r="191" spans="10:15" ht="13">
      <c r="J191" s="10"/>
      <c r="K191" s="10"/>
      <c r="L191" s="10"/>
      <c r="O191" s="10"/>
    </row>
    <row r="192" spans="10:15" ht="13">
      <c r="J192" s="10"/>
      <c r="K192" s="10"/>
      <c r="L192" s="10"/>
      <c r="O192" s="10"/>
    </row>
    <row r="193" spans="10:15" ht="13">
      <c r="J193" s="10"/>
      <c r="K193" s="10"/>
      <c r="L193" s="10"/>
      <c r="O193" s="10"/>
    </row>
    <row r="194" spans="10:15" ht="13">
      <c r="J194" s="10"/>
      <c r="K194" s="10"/>
      <c r="L194" s="10"/>
      <c r="O194" s="10"/>
    </row>
    <row r="195" spans="10:15" ht="13">
      <c r="J195" s="10"/>
      <c r="K195" s="10"/>
      <c r="L195" s="10"/>
      <c r="O195" s="10"/>
    </row>
    <row r="196" spans="10:15" ht="13">
      <c r="J196" s="10"/>
      <c r="K196" s="10"/>
      <c r="L196" s="10"/>
      <c r="O196" s="10"/>
    </row>
    <row r="197" spans="10:15" ht="13">
      <c r="J197" s="10"/>
      <c r="K197" s="10"/>
      <c r="L197" s="10"/>
      <c r="O197" s="10"/>
    </row>
    <row r="198" spans="10:15" ht="13">
      <c r="J198" s="10"/>
      <c r="K198" s="10"/>
      <c r="L198" s="10"/>
      <c r="O198" s="10"/>
    </row>
    <row r="199" spans="10:15" ht="13">
      <c r="J199" s="10"/>
      <c r="K199" s="10"/>
      <c r="L199" s="10"/>
      <c r="O199" s="10"/>
    </row>
    <row r="200" spans="10:15" ht="13">
      <c r="J200" s="10"/>
      <c r="K200" s="10"/>
      <c r="L200" s="10"/>
      <c r="O200" s="10"/>
    </row>
    <row r="201" spans="10:15" ht="13">
      <c r="J201" s="10"/>
      <c r="K201" s="10"/>
      <c r="L201" s="10"/>
      <c r="O201" s="10"/>
    </row>
    <row r="202" spans="10:15" ht="13">
      <c r="J202" s="10"/>
      <c r="K202" s="10"/>
      <c r="L202" s="10"/>
      <c r="O202" s="10"/>
    </row>
    <row r="203" spans="10:15" ht="13">
      <c r="J203" s="10"/>
      <c r="K203" s="10"/>
      <c r="L203" s="10"/>
      <c r="O203" s="10"/>
    </row>
    <row r="204" spans="10:15" ht="13">
      <c r="J204" s="10"/>
      <c r="K204" s="10"/>
      <c r="L204" s="10"/>
      <c r="O204" s="10"/>
    </row>
    <row r="205" spans="10:15" ht="13">
      <c r="J205" s="10"/>
      <c r="K205" s="10"/>
      <c r="L205" s="10"/>
      <c r="O205" s="10"/>
    </row>
    <row r="206" spans="10:15" ht="13">
      <c r="J206" s="10"/>
      <c r="K206" s="10"/>
      <c r="L206" s="10"/>
      <c r="O206" s="10"/>
    </row>
    <row r="207" spans="10:15" ht="13">
      <c r="J207" s="10"/>
      <c r="K207" s="10"/>
      <c r="L207" s="10"/>
      <c r="O207" s="10"/>
    </row>
    <row r="208" spans="10:15" ht="13">
      <c r="J208" s="10"/>
      <c r="K208" s="10"/>
      <c r="L208" s="10"/>
      <c r="O208" s="10"/>
    </row>
    <row r="209" spans="10:15" ht="13">
      <c r="J209" s="10"/>
      <c r="K209" s="10"/>
      <c r="L209" s="10"/>
      <c r="O209" s="10"/>
    </row>
    <row r="210" spans="10:15" ht="13">
      <c r="J210" s="10"/>
      <c r="K210" s="10"/>
      <c r="L210" s="10"/>
      <c r="O210" s="10"/>
    </row>
    <row r="211" spans="10:15" ht="13">
      <c r="J211" s="10"/>
      <c r="K211" s="10"/>
      <c r="L211" s="10"/>
      <c r="O211" s="10"/>
    </row>
    <row r="212" spans="10:15" ht="13">
      <c r="J212" s="10"/>
      <c r="K212" s="10"/>
      <c r="L212" s="10"/>
      <c r="O212" s="10"/>
    </row>
    <row r="213" spans="10:15" ht="13">
      <c r="J213" s="10"/>
      <c r="K213" s="10"/>
      <c r="L213" s="10"/>
      <c r="O213" s="10"/>
    </row>
    <row r="214" spans="10:15" ht="13">
      <c r="J214" s="10"/>
      <c r="K214" s="10"/>
      <c r="L214" s="10"/>
      <c r="O214" s="10"/>
    </row>
    <row r="215" spans="10:15" ht="13">
      <c r="J215" s="10"/>
      <c r="K215" s="10"/>
      <c r="L215" s="10"/>
      <c r="O215" s="10"/>
    </row>
    <row r="216" spans="10:15" ht="13">
      <c r="J216" s="10"/>
      <c r="K216" s="10"/>
      <c r="L216" s="10"/>
      <c r="O216" s="10"/>
    </row>
    <row r="217" spans="10:15" ht="13">
      <c r="J217" s="10"/>
      <c r="K217" s="10"/>
      <c r="L217" s="10"/>
      <c r="O217" s="10"/>
    </row>
    <row r="218" spans="10:15" ht="13">
      <c r="J218" s="10"/>
      <c r="K218" s="10"/>
      <c r="L218" s="10"/>
      <c r="O218" s="10"/>
    </row>
    <row r="219" spans="10:15" ht="13">
      <c r="J219" s="10"/>
      <c r="K219" s="10"/>
      <c r="L219" s="10"/>
      <c r="O219" s="10"/>
    </row>
    <row r="220" spans="10:15" ht="13">
      <c r="J220" s="10"/>
      <c r="K220" s="10"/>
      <c r="L220" s="10"/>
      <c r="O220" s="10"/>
    </row>
    <row r="221" spans="10:15" ht="13">
      <c r="J221" s="10"/>
      <c r="K221" s="10"/>
      <c r="L221" s="10"/>
      <c r="O221" s="10"/>
    </row>
    <row r="222" spans="10:15" ht="13">
      <c r="J222" s="10"/>
      <c r="K222" s="10"/>
      <c r="L222" s="10"/>
      <c r="O222" s="10"/>
    </row>
    <row r="223" spans="10:15" ht="13">
      <c r="J223" s="10"/>
      <c r="K223" s="10"/>
      <c r="L223" s="10"/>
      <c r="O223" s="10"/>
    </row>
    <row r="224" spans="10:15" ht="13">
      <c r="J224" s="10"/>
      <c r="K224" s="10"/>
      <c r="L224" s="10"/>
      <c r="O224" s="10"/>
    </row>
    <row r="225" spans="10:15" ht="13">
      <c r="J225" s="10"/>
      <c r="K225" s="10"/>
      <c r="L225" s="10"/>
      <c r="O225" s="10"/>
    </row>
    <row r="226" spans="10:15" ht="13">
      <c r="J226" s="10"/>
      <c r="K226" s="10"/>
      <c r="L226" s="10"/>
      <c r="O226" s="10"/>
    </row>
    <row r="227" spans="10:15" ht="13">
      <c r="J227" s="10"/>
      <c r="K227" s="10"/>
      <c r="L227" s="10"/>
      <c r="O227" s="10"/>
    </row>
    <row r="228" spans="10:15" ht="13">
      <c r="J228" s="10"/>
      <c r="K228" s="10"/>
      <c r="L228" s="10"/>
      <c r="O228" s="10"/>
    </row>
    <row r="229" spans="10:15" ht="13">
      <c r="J229" s="10"/>
      <c r="K229" s="10"/>
      <c r="L229" s="10"/>
      <c r="O229" s="10"/>
    </row>
    <row r="230" spans="10:15" ht="13">
      <c r="J230" s="10"/>
      <c r="K230" s="10"/>
      <c r="L230" s="10"/>
      <c r="O230" s="10"/>
    </row>
    <row r="231" spans="10:15" ht="13">
      <c r="J231" s="10"/>
      <c r="K231" s="10"/>
      <c r="L231" s="10"/>
      <c r="O231" s="10"/>
    </row>
    <row r="232" spans="10:15" ht="13">
      <c r="J232" s="10"/>
      <c r="K232" s="10"/>
      <c r="L232" s="10"/>
      <c r="O232" s="10"/>
    </row>
    <row r="233" spans="10:15" ht="13">
      <c r="J233" s="10"/>
      <c r="K233" s="10"/>
      <c r="L233" s="10"/>
      <c r="O233" s="10"/>
    </row>
    <row r="234" spans="10:15" ht="13">
      <c r="J234" s="10"/>
      <c r="K234" s="10"/>
      <c r="L234" s="10"/>
      <c r="O234" s="10"/>
    </row>
    <row r="235" spans="10:15" ht="13">
      <c r="J235" s="10"/>
      <c r="K235" s="10"/>
      <c r="L235" s="10"/>
      <c r="O235" s="10"/>
    </row>
    <row r="236" spans="10:15" ht="13">
      <c r="J236" s="10"/>
      <c r="K236" s="10"/>
      <c r="L236" s="10"/>
      <c r="O236" s="10"/>
    </row>
    <row r="237" spans="10:15" ht="13">
      <c r="J237" s="10"/>
      <c r="K237" s="10"/>
      <c r="L237" s="10"/>
      <c r="O237" s="10"/>
    </row>
    <row r="238" spans="10:15" ht="13">
      <c r="J238" s="10"/>
      <c r="K238" s="10"/>
      <c r="L238" s="10"/>
      <c r="O238" s="10"/>
    </row>
    <row r="239" spans="10:15" ht="13">
      <c r="J239" s="10"/>
      <c r="K239" s="10"/>
      <c r="L239" s="10"/>
      <c r="O239" s="10"/>
    </row>
    <row r="240" spans="10:15" ht="13">
      <c r="J240" s="10"/>
      <c r="K240" s="10"/>
      <c r="L240" s="10"/>
      <c r="O240" s="10"/>
    </row>
    <row r="241" spans="10:15" ht="13">
      <c r="J241" s="10"/>
      <c r="K241" s="10"/>
      <c r="L241" s="10"/>
      <c r="O241" s="10"/>
    </row>
    <row r="242" spans="10:15" ht="13">
      <c r="J242" s="10"/>
      <c r="K242" s="10"/>
      <c r="L242" s="10"/>
      <c r="O242" s="10"/>
    </row>
    <row r="243" spans="10:15" ht="13">
      <c r="J243" s="10"/>
      <c r="K243" s="10"/>
      <c r="L243" s="10"/>
      <c r="O243" s="10"/>
    </row>
    <row r="244" spans="10:15" ht="13">
      <c r="J244" s="10"/>
      <c r="K244" s="10"/>
      <c r="L244" s="10"/>
      <c r="O244" s="10"/>
    </row>
    <row r="245" spans="10:15" ht="13">
      <c r="J245" s="10"/>
      <c r="K245" s="10"/>
      <c r="L245" s="10"/>
      <c r="O245" s="10"/>
    </row>
    <row r="246" spans="10:15" ht="13">
      <c r="J246" s="10"/>
      <c r="K246" s="10"/>
      <c r="L246" s="10"/>
      <c r="O246" s="10"/>
    </row>
    <row r="247" spans="10:15" ht="13">
      <c r="J247" s="10"/>
      <c r="K247" s="10"/>
      <c r="L247" s="10"/>
      <c r="O247" s="10"/>
    </row>
    <row r="248" spans="10:15" ht="13">
      <c r="J248" s="10"/>
      <c r="K248" s="10"/>
      <c r="L248" s="10"/>
      <c r="O248" s="10"/>
    </row>
    <row r="249" spans="10:15" ht="13">
      <c r="J249" s="10"/>
      <c r="K249" s="10"/>
      <c r="L249" s="10"/>
      <c r="O249" s="10"/>
    </row>
    <row r="250" spans="10:15" ht="13">
      <c r="J250" s="10"/>
      <c r="K250" s="10"/>
      <c r="L250" s="10"/>
      <c r="O250" s="10"/>
    </row>
    <row r="251" spans="10:15" ht="13">
      <c r="J251" s="10"/>
      <c r="K251" s="10"/>
      <c r="L251" s="10"/>
      <c r="O251" s="10"/>
    </row>
    <row r="252" spans="10:15" ht="13">
      <c r="J252" s="10"/>
      <c r="K252" s="10"/>
      <c r="L252" s="10"/>
      <c r="O252" s="10"/>
    </row>
    <row r="253" spans="10:15" ht="13">
      <c r="J253" s="10"/>
      <c r="K253" s="10"/>
      <c r="L253" s="10"/>
      <c r="O253" s="10"/>
    </row>
    <row r="254" spans="10:15" ht="13">
      <c r="J254" s="10"/>
      <c r="K254" s="10"/>
      <c r="L254" s="10"/>
      <c r="O254" s="10"/>
    </row>
    <row r="255" spans="10:15" ht="13">
      <c r="J255" s="10"/>
      <c r="K255" s="10"/>
      <c r="L255" s="10"/>
      <c r="O255" s="10"/>
    </row>
    <row r="256" spans="10:15" ht="13">
      <c r="J256" s="10"/>
      <c r="K256" s="10"/>
      <c r="L256" s="10"/>
      <c r="O256" s="10"/>
    </row>
    <row r="257" spans="10:15" ht="13">
      <c r="J257" s="10"/>
      <c r="K257" s="10"/>
      <c r="L257" s="10"/>
      <c r="O257" s="10"/>
    </row>
    <row r="258" spans="10:15" ht="13">
      <c r="J258" s="10"/>
      <c r="K258" s="10"/>
      <c r="L258" s="10"/>
      <c r="O258" s="10"/>
    </row>
    <row r="259" spans="10:15" ht="13">
      <c r="J259" s="10"/>
      <c r="K259" s="10"/>
      <c r="L259" s="10"/>
      <c r="O259" s="10"/>
    </row>
    <row r="260" spans="10:15" ht="13">
      <c r="J260" s="10"/>
      <c r="K260" s="10"/>
      <c r="L260" s="10"/>
      <c r="O260" s="10"/>
    </row>
    <row r="261" spans="10:15" ht="13">
      <c r="J261" s="10"/>
      <c r="K261" s="10"/>
      <c r="L261" s="10"/>
      <c r="O261" s="10"/>
    </row>
    <row r="262" spans="10:15" ht="13">
      <c r="J262" s="10"/>
      <c r="K262" s="10"/>
      <c r="L262" s="10"/>
      <c r="O262" s="10"/>
    </row>
    <row r="263" spans="10:15" ht="13">
      <c r="J263" s="10"/>
      <c r="K263" s="10"/>
      <c r="L263" s="10"/>
      <c r="O263" s="10"/>
    </row>
    <row r="264" spans="10:15" ht="13">
      <c r="J264" s="10"/>
      <c r="K264" s="10"/>
      <c r="L264" s="10"/>
      <c r="O264" s="10"/>
    </row>
    <row r="265" spans="10:15" ht="13">
      <c r="J265" s="10"/>
      <c r="K265" s="10"/>
      <c r="L265" s="10"/>
      <c r="O265" s="10"/>
    </row>
    <row r="266" spans="10:15" ht="13">
      <c r="J266" s="10"/>
      <c r="K266" s="10"/>
      <c r="L266" s="10"/>
      <c r="O266" s="10"/>
    </row>
    <row r="267" spans="10:15" ht="13">
      <c r="J267" s="10"/>
      <c r="K267" s="10"/>
      <c r="L267" s="10"/>
      <c r="O267" s="10"/>
    </row>
    <row r="268" spans="10:15" ht="13">
      <c r="J268" s="10"/>
      <c r="K268" s="10"/>
      <c r="L268" s="10"/>
      <c r="O268" s="10"/>
    </row>
    <row r="269" spans="10:15" ht="13">
      <c r="J269" s="10"/>
      <c r="K269" s="10"/>
      <c r="L269" s="10"/>
      <c r="O269" s="10"/>
    </row>
    <row r="270" spans="10:15" ht="13">
      <c r="J270" s="10"/>
      <c r="K270" s="10"/>
      <c r="L270" s="10"/>
      <c r="O270" s="10"/>
    </row>
    <row r="271" spans="10:15" ht="13">
      <c r="J271" s="10"/>
      <c r="K271" s="10"/>
      <c r="L271" s="10"/>
      <c r="O271" s="10"/>
    </row>
    <row r="272" spans="10:15" ht="13">
      <c r="J272" s="10"/>
      <c r="K272" s="10"/>
      <c r="L272" s="10"/>
      <c r="O272" s="10"/>
    </row>
    <row r="273" spans="10:15" ht="13">
      <c r="J273" s="10"/>
      <c r="K273" s="10"/>
      <c r="L273" s="10"/>
      <c r="O273" s="10"/>
    </row>
    <row r="274" spans="10:15" ht="13">
      <c r="J274" s="10"/>
      <c r="K274" s="10"/>
      <c r="L274" s="10"/>
      <c r="O274" s="10"/>
    </row>
    <row r="275" spans="10:15" ht="13">
      <c r="J275" s="10"/>
      <c r="K275" s="10"/>
      <c r="L275" s="10"/>
      <c r="O275" s="10"/>
    </row>
    <row r="276" spans="10:15" ht="13">
      <c r="J276" s="10"/>
      <c r="K276" s="10"/>
      <c r="L276" s="10"/>
      <c r="O276" s="10"/>
    </row>
    <row r="277" spans="10:15" ht="13">
      <c r="J277" s="10"/>
      <c r="K277" s="10"/>
      <c r="L277" s="10"/>
      <c r="O277" s="10"/>
    </row>
    <row r="278" spans="10:15" ht="13">
      <c r="J278" s="10"/>
      <c r="K278" s="10"/>
      <c r="L278" s="10"/>
      <c r="O278" s="10"/>
    </row>
    <row r="279" spans="10:15" ht="13">
      <c r="J279" s="10"/>
      <c r="K279" s="10"/>
      <c r="L279" s="10"/>
      <c r="O279" s="10"/>
    </row>
    <row r="280" spans="10:15" ht="13">
      <c r="J280" s="10"/>
      <c r="K280" s="10"/>
      <c r="L280" s="10"/>
      <c r="O280" s="10"/>
    </row>
    <row r="281" spans="10:15" ht="13">
      <c r="J281" s="10"/>
      <c r="K281" s="10"/>
      <c r="L281" s="10"/>
      <c r="O281" s="10"/>
    </row>
    <row r="282" spans="10:15" ht="13">
      <c r="J282" s="10"/>
      <c r="K282" s="10"/>
      <c r="L282" s="10"/>
      <c r="O282" s="10"/>
    </row>
    <row r="283" spans="10:15" ht="13">
      <c r="J283" s="10"/>
      <c r="K283" s="10"/>
      <c r="L283" s="10"/>
      <c r="O283" s="10"/>
    </row>
    <row r="284" spans="10:15" ht="13">
      <c r="J284" s="10"/>
      <c r="K284" s="10"/>
      <c r="L284" s="10"/>
      <c r="O284" s="10"/>
    </row>
    <row r="285" spans="10:15" ht="13">
      <c r="J285" s="10"/>
      <c r="K285" s="10"/>
      <c r="L285" s="10"/>
      <c r="O285" s="10"/>
    </row>
    <row r="286" spans="10:15" ht="13">
      <c r="J286" s="10"/>
      <c r="K286" s="10"/>
      <c r="L286" s="10"/>
      <c r="O286" s="10"/>
    </row>
    <row r="287" spans="10:15" ht="13">
      <c r="J287" s="10"/>
      <c r="K287" s="10"/>
      <c r="L287" s="10"/>
      <c r="O287" s="10"/>
    </row>
    <row r="288" spans="10:15" ht="13">
      <c r="J288" s="10"/>
      <c r="K288" s="10"/>
      <c r="L288" s="10"/>
      <c r="O288" s="10"/>
    </row>
    <row r="289" spans="10:15" ht="13">
      <c r="J289" s="10"/>
      <c r="K289" s="10"/>
      <c r="L289" s="10"/>
      <c r="O289" s="10"/>
    </row>
    <row r="290" spans="10:15" ht="13">
      <c r="J290" s="10"/>
      <c r="K290" s="10"/>
      <c r="L290" s="10"/>
      <c r="O290" s="10"/>
    </row>
    <row r="291" spans="10:15" ht="13">
      <c r="J291" s="10"/>
      <c r="K291" s="10"/>
      <c r="L291" s="10"/>
      <c r="O291" s="10"/>
    </row>
    <row r="292" spans="10:15" ht="13">
      <c r="J292" s="10"/>
      <c r="K292" s="10"/>
      <c r="L292" s="10"/>
      <c r="O292" s="10"/>
    </row>
    <row r="293" spans="10:15" ht="13">
      <c r="J293" s="10"/>
      <c r="K293" s="10"/>
      <c r="L293" s="10"/>
      <c r="O293" s="10"/>
    </row>
    <row r="294" spans="10:15" ht="13">
      <c r="J294" s="10"/>
      <c r="K294" s="10"/>
      <c r="L294" s="10"/>
      <c r="O294" s="10"/>
    </row>
    <row r="295" spans="10:15" ht="13">
      <c r="J295" s="10"/>
      <c r="K295" s="10"/>
      <c r="L295" s="10"/>
      <c r="O295" s="10"/>
    </row>
    <row r="296" spans="10:15" ht="13">
      <c r="J296" s="10"/>
      <c r="K296" s="10"/>
      <c r="L296" s="10"/>
      <c r="O296" s="10"/>
    </row>
    <row r="297" spans="10:15" ht="13">
      <c r="J297" s="10"/>
      <c r="K297" s="10"/>
      <c r="L297" s="10"/>
      <c r="O297" s="10"/>
    </row>
    <row r="298" spans="10:15" ht="13">
      <c r="J298" s="10"/>
      <c r="K298" s="10"/>
      <c r="L298" s="10"/>
      <c r="O298" s="10"/>
    </row>
    <row r="299" spans="10:15" ht="13">
      <c r="J299" s="10"/>
      <c r="K299" s="10"/>
      <c r="L299" s="10"/>
      <c r="O299" s="10"/>
    </row>
    <row r="300" spans="10:15" ht="13">
      <c r="J300" s="10"/>
      <c r="K300" s="10"/>
      <c r="L300" s="10"/>
      <c r="O300" s="10"/>
    </row>
    <row r="301" spans="10:15" ht="13">
      <c r="J301" s="10"/>
      <c r="K301" s="10"/>
      <c r="L301" s="10"/>
      <c r="O301" s="10"/>
    </row>
    <row r="302" spans="10:15" ht="13">
      <c r="J302" s="10"/>
      <c r="K302" s="10"/>
      <c r="L302" s="10"/>
      <c r="O302" s="10"/>
    </row>
    <row r="303" spans="10:15" ht="13">
      <c r="J303" s="10"/>
      <c r="K303" s="10"/>
      <c r="L303" s="10"/>
      <c r="O303" s="10"/>
    </row>
    <row r="304" spans="10:15" ht="13">
      <c r="J304" s="10"/>
      <c r="K304" s="10"/>
      <c r="L304" s="10"/>
      <c r="O304" s="10"/>
    </row>
    <row r="305" spans="10:15" ht="13">
      <c r="J305" s="10"/>
      <c r="K305" s="10"/>
      <c r="L305" s="10"/>
      <c r="O305" s="10"/>
    </row>
    <row r="306" spans="10:15" ht="13">
      <c r="J306" s="10"/>
      <c r="K306" s="10"/>
      <c r="L306" s="10"/>
      <c r="O306" s="10"/>
    </row>
    <row r="307" spans="10:15" ht="13">
      <c r="J307" s="10"/>
      <c r="K307" s="10"/>
      <c r="L307" s="10"/>
      <c r="O307" s="10"/>
    </row>
    <row r="308" spans="10:15" ht="13">
      <c r="J308" s="10"/>
      <c r="K308" s="10"/>
      <c r="L308" s="10"/>
      <c r="O308" s="10"/>
    </row>
    <row r="309" spans="10:15" ht="13">
      <c r="J309" s="10"/>
      <c r="K309" s="10"/>
      <c r="L309" s="10"/>
      <c r="O309" s="10"/>
    </row>
    <row r="310" spans="10:15" ht="13">
      <c r="J310" s="10"/>
      <c r="K310" s="10"/>
      <c r="L310" s="10"/>
      <c r="O310" s="10"/>
    </row>
    <row r="311" spans="10:15" ht="13">
      <c r="J311" s="10"/>
      <c r="K311" s="10"/>
      <c r="L311" s="10"/>
      <c r="O311" s="10"/>
    </row>
    <row r="312" spans="10:15" ht="13">
      <c r="J312" s="10"/>
      <c r="K312" s="10"/>
      <c r="L312" s="10"/>
      <c r="O312" s="10"/>
    </row>
    <row r="313" spans="10:15" ht="13">
      <c r="J313" s="10"/>
      <c r="K313" s="10"/>
      <c r="L313" s="10"/>
      <c r="O313" s="10"/>
    </row>
    <row r="314" spans="10:15" ht="13">
      <c r="J314" s="10"/>
      <c r="K314" s="10"/>
      <c r="L314" s="10"/>
      <c r="O314" s="10"/>
    </row>
    <row r="315" spans="10:15" ht="13">
      <c r="J315" s="10"/>
      <c r="K315" s="10"/>
      <c r="L315" s="10"/>
      <c r="O315" s="10"/>
    </row>
    <row r="316" spans="10:15" ht="13">
      <c r="J316" s="10"/>
      <c r="K316" s="10"/>
      <c r="L316" s="10"/>
      <c r="O316" s="10"/>
    </row>
    <row r="317" spans="10:15" ht="13">
      <c r="J317" s="10"/>
      <c r="K317" s="10"/>
      <c r="L317" s="10"/>
      <c r="O317" s="10"/>
    </row>
    <row r="318" spans="10:15" ht="13">
      <c r="J318" s="10"/>
      <c r="K318" s="10"/>
      <c r="L318" s="10"/>
      <c r="O318" s="10"/>
    </row>
    <row r="319" spans="10:15" ht="13">
      <c r="J319" s="10"/>
      <c r="K319" s="10"/>
      <c r="L319" s="10"/>
      <c r="O319" s="10"/>
    </row>
    <row r="320" spans="10:15" ht="13">
      <c r="J320" s="10"/>
      <c r="K320" s="10"/>
      <c r="L320" s="10"/>
      <c r="O320" s="10"/>
    </row>
    <row r="321" spans="10:15" ht="13">
      <c r="J321" s="10"/>
      <c r="K321" s="10"/>
      <c r="L321" s="10"/>
      <c r="O321" s="10"/>
    </row>
    <row r="322" spans="10:15" ht="13">
      <c r="J322" s="10"/>
      <c r="K322" s="10"/>
      <c r="L322" s="10"/>
      <c r="O322" s="10"/>
    </row>
    <row r="323" spans="10:15" ht="13">
      <c r="J323" s="10"/>
      <c r="K323" s="10"/>
      <c r="L323" s="10"/>
      <c r="O323" s="10"/>
    </row>
    <row r="324" spans="10:15" ht="13">
      <c r="J324" s="10"/>
      <c r="K324" s="10"/>
      <c r="L324" s="10"/>
      <c r="O324" s="10"/>
    </row>
    <row r="325" spans="10:15" ht="13">
      <c r="J325" s="10"/>
      <c r="K325" s="10"/>
      <c r="L325" s="10"/>
      <c r="O325" s="10"/>
    </row>
    <row r="326" spans="10:15" ht="13">
      <c r="J326" s="10"/>
      <c r="K326" s="10"/>
      <c r="L326" s="10"/>
      <c r="O326" s="10"/>
    </row>
    <row r="327" spans="10:15" ht="13">
      <c r="J327" s="10"/>
      <c r="K327" s="10"/>
      <c r="L327" s="10"/>
      <c r="O327" s="10"/>
    </row>
    <row r="328" spans="10:15" ht="13">
      <c r="J328" s="10"/>
      <c r="K328" s="10"/>
      <c r="L328" s="10"/>
      <c r="O328" s="10"/>
    </row>
    <row r="329" spans="10:15" ht="13">
      <c r="J329" s="10"/>
      <c r="K329" s="10"/>
      <c r="L329" s="10"/>
      <c r="O329" s="10"/>
    </row>
    <row r="330" spans="10:15" ht="13">
      <c r="J330" s="10"/>
      <c r="K330" s="10"/>
      <c r="L330" s="10"/>
      <c r="O330" s="10"/>
    </row>
    <row r="331" spans="10:15" ht="13">
      <c r="J331" s="10"/>
      <c r="K331" s="10"/>
      <c r="L331" s="10"/>
      <c r="O331" s="10"/>
    </row>
    <row r="332" spans="10:15" ht="13">
      <c r="J332" s="10"/>
      <c r="K332" s="10"/>
      <c r="L332" s="10"/>
      <c r="O332" s="10"/>
    </row>
    <row r="333" spans="10:15" ht="13">
      <c r="J333" s="10"/>
      <c r="K333" s="10"/>
      <c r="L333" s="10"/>
      <c r="O333" s="10"/>
    </row>
    <row r="334" spans="10:15" ht="13">
      <c r="J334" s="10"/>
      <c r="K334" s="10"/>
      <c r="L334" s="10"/>
      <c r="O334" s="10"/>
    </row>
    <row r="335" spans="10:15" ht="13">
      <c r="J335" s="10"/>
      <c r="K335" s="10"/>
      <c r="L335" s="10"/>
      <c r="O335" s="10"/>
    </row>
    <row r="336" spans="10:15" ht="13">
      <c r="J336" s="10"/>
      <c r="K336" s="10"/>
      <c r="L336" s="10"/>
      <c r="O336" s="10"/>
    </row>
    <row r="337" spans="10:15" ht="13">
      <c r="J337" s="10"/>
      <c r="K337" s="10"/>
      <c r="L337" s="10"/>
      <c r="O337" s="10"/>
    </row>
    <row r="338" spans="10:15" ht="13">
      <c r="J338" s="10"/>
      <c r="K338" s="10"/>
      <c r="L338" s="10"/>
      <c r="O338" s="10"/>
    </row>
    <row r="339" spans="10:15" ht="13">
      <c r="J339" s="10"/>
      <c r="K339" s="10"/>
      <c r="L339" s="10"/>
      <c r="O339" s="10"/>
    </row>
    <row r="340" spans="10:15" ht="13">
      <c r="J340" s="10"/>
      <c r="K340" s="10"/>
      <c r="L340" s="10"/>
      <c r="O340" s="10"/>
    </row>
    <row r="341" spans="10:15" ht="13">
      <c r="J341" s="10"/>
      <c r="K341" s="10"/>
      <c r="L341" s="10"/>
      <c r="O341" s="10"/>
    </row>
    <row r="342" spans="10:15" ht="13">
      <c r="J342" s="10"/>
      <c r="K342" s="10"/>
      <c r="L342" s="10"/>
      <c r="O342" s="10"/>
    </row>
    <row r="343" spans="10:15" ht="13">
      <c r="J343" s="10"/>
      <c r="K343" s="10"/>
      <c r="L343" s="10"/>
      <c r="O343" s="10"/>
    </row>
    <row r="344" spans="10:15" ht="13">
      <c r="J344" s="10"/>
      <c r="K344" s="10"/>
      <c r="L344" s="10"/>
      <c r="O344" s="10"/>
    </row>
    <row r="345" spans="10:15" ht="13">
      <c r="J345" s="10"/>
      <c r="K345" s="10"/>
      <c r="L345" s="10"/>
      <c r="O345" s="10"/>
    </row>
    <row r="346" spans="10:15" ht="13">
      <c r="J346" s="10"/>
      <c r="K346" s="10"/>
      <c r="L346" s="10"/>
      <c r="O346" s="10"/>
    </row>
    <row r="347" spans="10:15" ht="13">
      <c r="J347" s="10"/>
      <c r="K347" s="10"/>
      <c r="L347" s="10"/>
      <c r="O347" s="10"/>
    </row>
    <row r="348" spans="10:15" ht="13">
      <c r="J348" s="10"/>
      <c r="K348" s="10"/>
      <c r="L348" s="10"/>
      <c r="O348" s="10"/>
    </row>
    <row r="349" spans="10:15" ht="13">
      <c r="J349" s="10"/>
      <c r="K349" s="10"/>
      <c r="L349" s="10"/>
      <c r="O349" s="10"/>
    </row>
    <row r="350" spans="10:15" ht="13">
      <c r="J350" s="10"/>
      <c r="K350" s="10"/>
      <c r="L350" s="10"/>
      <c r="O350" s="10"/>
    </row>
    <row r="351" spans="10:15" ht="13">
      <c r="J351" s="10"/>
      <c r="K351" s="10"/>
      <c r="L351" s="10"/>
      <c r="O351" s="10"/>
    </row>
    <row r="352" spans="10:15" ht="13">
      <c r="J352" s="10"/>
      <c r="K352" s="10"/>
      <c r="L352" s="10"/>
      <c r="O352" s="10"/>
    </row>
    <row r="353" spans="10:15" ht="13">
      <c r="J353" s="10"/>
      <c r="K353" s="10"/>
      <c r="L353" s="10"/>
      <c r="O353" s="10"/>
    </row>
    <row r="354" spans="10:15" ht="13">
      <c r="J354" s="10"/>
      <c r="K354" s="10"/>
      <c r="L354" s="10"/>
      <c r="O354" s="10"/>
    </row>
    <row r="355" spans="10:15" ht="13">
      <c r="J355" s="10"/>
      <c r="K355" s="10"/>
      <c r="L355" s="10"/>
      <c r="O355" s="10"/>
    </row>
    <row r="356" spans="10:15" ht="13">
      <c r="J356" s="10"/>
      <c r="K356" s="10"/>
      <c r="L356" s="10"/>
      <c r="O356" s="10"/>
    </row>
    <row r="357" spans="10:15" ht="13">
      <c r="J357" s="10"/>
      <c r="K357" s="10"/>
      <c r="L357" s="10"/>
      <c r="O357" s="10"/>
    </row>
    <row r="358" spans="10:15" ht="13">
      <c r="J358" s="10"/>
      <c r="K358" s="10"/>
      <c r="L358" s="10"/>
      <c r="O358" s="10"/>
    </row>
    <row r="359" spans="10:15" ht="13">
      <c r="J359" s="10"/>
      <c r="K359" s="10"/>
      <c r="L359" s="10"/>
      <c r="O359" s="10"/>
    </row>
    <row r="360" spans="10:15" ht="13">
      <c r="J360" s="10"/>
      <c r="K360" s="10"/>
      <c r="L360" s="10"/>
      <c r="O360" s="10"/>
    </row>
    <row r="361" spans="10:15" ht="13">
      <c r="J361" s="10"/>
      <c r="K361" s="10"/>
      <c r="L361" s="10"/>
      <c r="O361" s="10"/>
    </row>
    <row r="362" spans="10:15" ht="13">
      <c r="J362" s="10"/>
      <c r="K362" s="10"/>
      <c r="L362" s="10"/>
      <c r="O362" s="10"/>
    </row>
    <row r="363" spans="10:15" ht="13">
      <c r="J363" s="10"/>
      <c r="K363" s="10"/>
      <c r="L363" s="10"/>
      <c r="O363" s="10"/>
    </row>
    <row r="364" spans="10:15" ht="13">
      <c r="J364" s="10"/>
      <c r="K364" s="10"/>
      <c r="L364" s="10"/>
      <c r="O364" s="10"/>
    </row>
    <row r="365" spans="10:15" ht="13">
      <c r="J365" s="10"/>
      <c r="K365" s="10"/>
      <c r="L365" s="10"/>
      <c r="O365" s="10"/>
    </row>
    <row r="366" spans="10:15" ht="13">
      <c r="J366" s="10"/>
      <c r="K366" s="10"/>
      <c r="L366" s="10"/>
      <c r="O366" s="10"/>
    </row>
    <row r="367" spans="10:15" ht="13">
      <c r="J367" s="10"/>
      <c r="K367" s="10"/>
      <c r="L367" s="10"/>
      <c r="O367" s="10"/>
    </row>
    <row r="368" spans="10:15" ht="13">
      <c r="J368" s="10"/>
      <c r="K368" s="10"/>
      <c r="L368" s="10"/>
      <c r="O368" s="10"/>
    </row>
    <row r="369" spans="10:15" ht="13">
      <c r="J369" s="10"/>
      <c r="K369" s="10"/>
      <c r="L369" s="10"/>
      <c r="O369" s="10"/>
    </row>
    <row r="370" spans="10:15" ht="13">
      <c r="J370" s="10"/>
      <c r="K370" s="10"/>
      <c r="L370" s="10"/>
      <c r="O370" s="10"/>
    </row>
    <row r="371" spans="10:15" ht="13">
      <c r="J371" s="10"/>
      <c r="K371" s="10"/>
      <c r="L371" s="10"/>
      <c r="O371" s="10"/>
    </row>
    <row r="372" spans="10:15" ht="13">
      <c r="J372" s="10"/>
      <c r="K372" s="10"/>
      <c r="L372" s="10"/>
      <c r="O372" s="10"/>
    </row>
    <row r="373" spans="10:15" ht="13">
      <c r="J373" s="10"/>
      <c r="K373" s="10"/>
      <c r="L373" s="10"/>
      <c r="O373" s="10"/>
    </row>
    <row r="374" spans="10:15" ht="13">
      <c r="J374" s="10"/>
      <c r="K374" s="10"/>
      <c r="L374" s="10"/>
      <c r="O374" s="10"/>
    </row>
    <row r="375" spans="10:15" ht="13">
      <c r="J375" s="10"/>
      <c r="K375" s="10"/>
      <c r="L375" s="10"/>
      <c r="O375" s="10"/>
    </row>
    <row r="376" spans="10:15" ht="13">
      <c r="J376" s="10"/>
      <c r="K376" s="10"/>
      <c r="L376" s="10"/>
      <c r="O376" s="10"/>
    </row>
    <row r="377" spans="10:15" ht="13">
      <c r="J377" s="10"/>
      <c r="K377" s="10"/>
      <c r="L377" s="10"/>
      <c r="O377" s="10"/>
    </row>
    <row r="378" spans="10:15" ht="13">
      <c r="J378" s="10"/>
      <c r="K378" s="10"/>
      <c r="L378" s="10"/>
      <c r="O378" s="10"/>
    </row>
    <row r="379" spans="10:15" ht="13">
      <c r="J379" s="10"/>
      <c r="K379" s="10"/>
      <c r="L379" s="10"/>
      <c r="O379" s="10"/>
    </row>
    <row r="380" spans="10:15" ht="13">
      <c r="J380" s="10"/>
      <c r="K380" s="10"/>
      <c r="L380" s="10"/>
      <c r="O380" s="10"/>
    </row>
    <row r="381" spans="10:15" ht="13">
      <c r="J381" s="10"/>
      <c r="K381" s="10"/>
      <c r="L381" s="10"/>
      <c r="O381" s="10"/>
    </row>
    <row r="382" spans="10:15" ht="13">
      <c r="J382" s="10"/>
      <c r="K382" s="10"/>
      <c r="L382" s="10"/>
      <c r="O382" s="10"/>
    </row>
    <row r="383" spans="10:15" ht="13">
      <c r="J383" s="10"/>
      <c r="K383" s="10"/>
      <c r="L383" s="10"/>
      <c r="O383" s="10"/>
    </row>
    <row r="384" spans="10:15" ht="13">
      <c r="J384" s="10"/>
      <c r="K384" s="10"/>
      <c r="L384" s="10"/>
      <c r="O384" s="10"/>
    </row>
    <row r="385" spans="10:15" ht="13">
      <c r="J385" s="10"/>
      <c r="K385" s="10"/>
      <c r="L385" s="10"/>
      <c r="O385" s="10"/>
    </row>
    <row r="386" spans="10:15" ht="13">
      <c r="J386" s="10"/>
      <c r="K386" s="10"/>
      <c r="L386" s="10"/>
      <c r="O386" s="10"/>
    </row>
    <row r="387" spans="10:15" ht="13">
      <c r="J387" s="10"/>
      <c r="K387" s="10"/>
      <c r="L387" s="10"/>
      <c r="O387" s="10"/>
    </row>
    <row r="388" spans="10:15" ht="13">
      <c r="J388" s="10"/>
      <c r="K388" s="10"/>
      <c r="L388" s="10"/>
      <c r="O388" s="10"/>
    </row>
    <row r="389" spans="10:15" ht="13">
      <c r="J389" s="10"/>
      <c r="K389" s="10"/>
      <c r="L389" s="10"/>
      <c r="O389" s="10"/>
    </row>
    <row r="390" spans="10:15" ht="13">
      <c r="J390" s="10"/>
      <c r="K390" s="10"/>
      <c r="L390" s="10"/>
      <c r="O390" s="10"/>
    </row>
    <row r="391" spans="10:15" ht="13">
      <c r="J391" s="10"/>
      <c r="K391" s="10"/>
      <c r="L391" s="10"/>
      <c r="O391" s="10"/>
    </row>
    <row r="392" spans="10:15" ht="13">
      <c r="J392" s="10"/>
      <c r="K392" s="10"/>
      <c r="L392" s="10"/>
      <c r="O392" s="10"/>
    </row>
    <row r="393" spans="10:15" ht="13">
      <c r="J393" s="10"/>
      <c r="K393" s="10"/>
      <c r="L393" s="10"/>
      <c r="O393" s="10"/>
    </row>
    <row r="394" spans="10:15" ht="13">
      <c r="J394" s="10"/>
      <c r="K394" s="10"/>
      <c r="L394" s="10"/>
      <c r="O394" s="10"/>
    </row>
    <row r="395" spans="10:15" ht="13">
      <c r="J395" s="10"/>
      <c r="K395" s="10"/>
      <c r="L395" s="10"/>
      <c r="O395" s="10"/>
    </row>
    <row r="396" spans="10:15" ht="13">
      <c r="J396" s="10"/>
      <c r="K396" s="10"/>
      <c r="L396" s="10"/>
      <c r="O396" s="10"/>
    </row>
    <row r="397" spans="10:15" ht="13">
      <c r="J397" s="10"/>
      <c r="K397" s="10"/>
      <c r="L397" s="10"/>
      <c r="O397" s="10"/>
    </row>
    <row r="398" spans="10:15" ht="13">
      <c r="J398" s="10"/>
      <c r="K398" s="10"/>
      <c r="L398" s="10"/>
      <c r="O398" s="10"/>
    </row>
    <row r="399" spans="10:15" ht="13">
      <c r="J399" s="10"/>
      <c r="K399" s="10"/>
      <c r="L399" s="10"/>
      <c r="O399" s="10"/>
    </row>
    <row r="400" spans="10:15" ht="13">
      <c r="J400" s="10"/>
      <c r="K400" s="10"/>
      <c r="L400" s="10"/>
      <c r="O400" s="10"/>
    </row>
    <row r="401" spans="10:15" ht="13">
      <c r="J401" s="10"/>
      <c r="K401" s="10"/>
      <c r="L401" s="10"/>
      <c r="O401" s="10"/>
    </row>
    <row r="402" spans="10:15" ht="13">
      <c r="J402" s="10"/>
      <c r="K402" s="10"/>
      <c r="L402" s="10"/>
      <c r="O402" s="10"/>
    </row>
    <row r="403" spans="10:15" ht="13">
      <c r="J403" s="10"/>
      <c r="K403" s="10"/>
      <c r="L403" s="10"/>
      <c r="O403" s="10"/>
    </row>
    <row r="404" spans="10:15" ht="13">
      <c r="J404" s="10"/>
      <c r="K404" s="10"/>
      <c r="L404" s="10"/>
      <c r="O404" s="10"/>
    </row>
    <row r="405" spans="10:15" ht="13">
      <c r="J405" s="10"/>
      <c r="K405" s="10"/>
      <c r="L405" s="10"/>
      <c r="O405" s="10"/>
    </row>
    <row r="406" spans="10:15" ht="13">
      <c r="J406" s="10"/>
      <c r="K406" s="10"/>
      <c r="L406" s="10"/>
      <c r="O406" s="10"/>
    </row>
    <row r="407" spans="10:15" ht="13">
      <c r="J407" s="10"/>
      <c r="K407" s="10"/>
      <c r="L407" s="10"/>
      <c r="O407" s="10"/>
    </row>
    <row r="408" spans="10:15" ht="13">
      <c r="J408" s="10"/>
      <c r="K408" s="10"/>
      <c r="L408" s="10"/>
      <c r="O408" s="10"/>
    </row>
    <row r="409" spans="10:15" ht="13">
      <c r="J409" s="10"/>
      <c r="K409" s="10"/>
      <c r="L409" s="10"/>
      <c r="O409" s="10"/>
    </row>
    <row r="410" spans="10:15" ht="13">
      <c r="J410" s="10"/>
      <c r="K410" s="10"/>
      <c r="L410" s="10"/>
      <c r="O410" s="10"/>
    </row>
    <row r="411" spans="10:15" ht="13">
      <c r="J411" s="10"/>
      <c r="K411" s="10"/>
      <c r="L411" s="10"/>
      <c r="O411" s="10"/>
    </row>
    <row r="412" spans="10:15" ht="13">
      <c r="J412" s="10"/>
      <c r="K412" s="10"/>
      <c r="L412" s="10"/>
      <c r="O412" s="10"/>
    </row>
    <row r="413" spans="10:15" ht="13">
      <c r="J413" s="10"/>
      <c r="K413" s="10"/>
      <c r="L413" s="10"/>
      <c r="O413" s="10"/>
    </row>
    <row r="414" spans="10:15" ht="13">
      <c r="J414" s="10"/>
      <c r="K414" s="10"/>
      <c r="L414" s="10"/>
      <c r="O414" s="10"/>
    </row>
    <row r="415" spans="10:15" ht="13">
      <c r="J415" s="10"/>
      <c r="K415" s="10"/>
      <c r="L415" s="10"/>
      <c r="O415" s="10"/>
    </row>
    <row r="416" spans="10:15" ht="13">
      <c r="J416" s="10"/>
      <c r="K416" s="10"/>
      <c r="L416" s="10"/>
      <c r="O416" s="10"/>
    </row>
    <row r="417" spans="10:15" ht="13">
      <c r="J417" s="10"/>
      <c r="K417" s="10"/>
      <c r="L417" s="10"/>
      <c r="O417" s="10"/>
    </row>
    <row r="418" spans="10:15" ht="13">
      <c r="J418" s="10"/>
      <c r="K418" s="10"/>
      <c r="L418" s="10"/>
      <c r="O418" s="10"/>
    </row>
    <row r="419" spans="10:15" ht="13">
      <c r="J419" s="10"/>
      <c r="K419" s="10"/>
      <c r="L419" s="10"/>
      <c r="O419" s="10"/>
    </row>
    <row r="420" spans="10:15" ht="13">
      <c r="J420" s="10"/>
      <c r="K420" s="10"/>
      <c r="L420" s="10"/>
      <c r="O420" s="10"/>
    </row>
    <row r="421" spans="10:15" ht="13">
      <c r="J421" s="10"/>
      <c r="K421" s="10"/>
      <c r="L421" s="10"/>
      <c r="O421" s="10"/>
    </row>
    <row r="422" spans="10:15" ht="13">
      <c r="J422" s="10"/>
      <c r="K422" s="10"/>
      <c r="L422" s="10"/>
      <c r="O422" s="10"/>
    </row>
    <row r="423" spans="10:15" ht="13">
      <c r="J423" s="10"/>
      <c r="K423" s="10"/>
      <c r="L423" s="10"/>
      <c r="O423" s="10"/>
    </row>
    <row r="424" spans="10:15" ht="13">
      <c r="J424" s="10"/>
      <c r="K424" s="10"/>
      <c r="L424" s="10"/>
      <c r="O424" s="10"/>
    </row>
    <row r="425" spans="10:15" ht="13">
      <c r="J425" s="10"/>
      <c r="K425" s="10"/>
      <c r="L425" s="10"/>
      <c r="O425" s="10"/>
    </row>
    <row r="426" spans="10:15" ht="13">
      <c r="J426" s="10"/>
      <c r="K426" s="10"/>
      <c r="L426" s="10"/>
      <c r="O426" s="10"/>
    </row>
    <row r="427" spans="10:15" ht="13">
      <c r="J427" s="10"/>
      <c r="K427" s="10"/>
      <c r="L427" s="10"/>
      <c r="O427" s="10"/>
    </row>
    <row r="428" spans="10:15" ht="13">
      <c r="J428" s="10"/>
      <c r="K428" s="10"/>
      <c r="L428" s="10"/>
      <c r="O428" s="10"/>
    </row>
    <row r="429" spans="10:15" ht="13">
      <c r="J429" s="10"/>
      <c r="K429" s="10"/>
      <c r="L429" s="10"/>
      <c r="O429" s="10"/>
    </row>
    <row r="430" spans="10:15" ht="13">
      <c r="J430" s="10"/>
      <c r="K430" s="10"/>
      <c r="L430" s="10"/>
      <c r="O430" s="10"/>
    </row>
    <row r="431" spans="10:15" ht="13">
      <c r="J431" s="10"/>
      <c r="K431" s="10"/>
      <c r="L431" s="10"/>
      <c r="O431" s="10"/>
    </row>
    <row r="432" spans="10:15" ht="13">
      <c r="J432" s="10"/>
      <c r="K432" s="10"/>
      <c r="L432" s="10"/>
      <c r="O432" s="10"/>
    </row>
    <row r="433" spans="10:15" ht="13">
      <c r="J433" s="10"/>
      <c r="K433" s="10"/>
      <c r="L433" s="10"/>
      <c r="O433" s="10"/>
    </row>
    <row r="434" spans="10:15" ht="13">
      <c r="J434" s="10"/>
      <c r="K434" s="10"/>
      <c r="L434" s="10"/>
      <c r="O434" s="10"/>
    </row>
    <row r="435" spans="10:15" ht="13">
      <c r="J435" s="10"/>
      <c r="K435" s="10"/>
      <c r="L435" s="10"/>
      <c r="O435" s="10"/>
    </row>
    <row r="436" spans="10:15" ht="13">
      <c r="J436" s="10"/>
      <c r="K436" s="10"/>
      <c r="L436" s="10"/>
      <c r="O436" s="10"/>
    </row>
    <row r="437" spans="10:15" ht="13">
      <c r="J437" s="10"/>
      <c r="K437" s="10"/>
      <c r="L437" s="10"/>
      <c r="O437" s="10"/>
    </row>
    <row r="438" spans="10:15" ht="13">
      <c r="J438" s="10"/>
      <c r="K438" s="10"/>
      <c r="L438" s="10"/>
      <c r="O438" s="10"/>
    </row>
    <row r="439" spans="10:15" ht="13">
      <c r="J439" s="10"/>
      <c r="K439" s="10"/>
      <c r="L439" s="10"/>
      <c r="O439" s="10"/>
    </row>
    <row r="440" spans="10:15" ht="13">
      <c r="J440" s="10"/>
      <c r="K440" s="10"/>
      <c r="L440" s="10"/>
      <c r="O440" s="10"/>
    </row>
    <row r="441" spans="10:15" ht="13">
      <c r="J441" s="10"/>
      <c r="K441" s="10"/>
      <c r="L441" s="10"/>
      <c r="O441" s="10"/>
    </row>
    <row r="442" spans="10:15" ht="13">
      <c r="J442" s="10"/>
      <c r="K442" s="10"/>
      <c r="L442" s="10"/>
      <c r="O442" s="10"/>
    </row>
    <row r="443" spans="10:15" ht="13">
      <c r="J443" s="10"/>
      <c r="K443" s="10"/>
      <c r="L443" s="10"/>
      <c r="O443" s="10"/>
    </row>
    <row r="444" spans="10:15" ht="13">
      <c r="J444" s="10"/>
      <c r="K444" s="10"/>
      <c r="L444" s="10"/>
      <c r="O444" s="10"/>
    </row>
    <row r="445" spans="10:15" ht="13">
      <c r="J445" s="10"/>
      <c r="K445" s="10"/>
      <c r="L445" s="10"/>
      <c r="O445" s="10"/>
    </row>
    <row r="446" spans="10:15" ht="13">
      <c r="J446" s="10"/>
      <c r="K446" s="10"/>
      <c r="L446" s="10"/>
      <c r="O446" s="10"/>
    </row>
    <row r="447" spans="10:15" ht="13">
      <c r="J447" s="10"/>
      <c r="K447" s="10"/>
      <c r="L447" s="10"/>
      <c r="O447" s="10"/>
    </row>
    <row r="448" spans="10:15" ht="13">
      <c r="J448" s="10"/>
      <c r="K448" s="10"/>
      <c r="L448" s="10"/>
      <c r="O448" s="10"/>
    </row>
    <row r="449" spans="10:15" ht="13">
      <c r="J449" s="10"/>
      <c r="K449" s="10"/>
      <c r="L449" s="10"/>
      <c r="O449" s="10"/>
    </row>
    <row r="450" spans="10:15" ht="13">
      <c r="J450" s="10"/>
      <c r="K450" s="10"/>
      <c r="L450" s="10"/>
      <c r="O450" s="10"/>
    </row>
    <row r="451" spans="10:15" ht="13">
      <c r="J451" s="10"/>
      <c r="K451" s="10"/>
      <c r="L451" s="10"/>
      <c r="O451" s="10"/>
    </row>
    <row r="452" spans="10:15" ht="13">
      <c r="J452" s="10"/>
      <c r="K452" s="10"/>
      <c r="L452" s="10"/>
      <c r="O452" s="10"/>
    </row>
    <row r="453" spans="10:15" ht="13">
      <c r="J453" s="10"/>
      <c r="K453" s="10"/>
      <c r="L453" s="10"/>
      <c r="O453" s="10"/>
    </row>
    <row r="454" spans="10:15" ht="13">
      <c r="J454" s="10"/>
      <c r="K454" s="10"/>
      <c r="L454" s="10"/>
      <c r="O454" s="10"/>
    </row>
    <row r="455" spans="10:15" ht="13">
      <c r="J455" s="10"/>
      <c r="K455" s="10"/>
      <c r="L455" s="10"/>
      <c r="O455" s="10"/>
    </row>
    <row r="456" spans="10:15" ht="13">
      <c r="J456" s="10"/>
      <c r="K456" s="10"/>
      <c r="L456" s="10"/>
      <c r="O456" s="10"/>
    </row>
    <row r="457" spans="10:15" ht="13">
      <c r="J457" s="10"/>
      <c r="K457" s="10"/>
      <c r="L457" s="10"/>
      <c r="O457" s="10"/>
    </row>
    <row r="458" spans="10:15" ht="13">
      <c r="J458" s="10"/>
      <c r="K458" s="10"/>
      <c r="L458" s="10"/>
      <c r="O458" s="10"/>
    </row>
    <row r="459" spans="10:15" ht="13">
      <c r="J459" s="10"/>
      <c r="K459" s="10"/>
      <c r="L459" s="10"/>
      <c r="O459" s="10"/>
    </row>
    <row r="460" spans="10:15" ht="13">
      <c r="J460" s="10"/>
      <c r="K460" s="10"/>
      <c r="L460" s="10"/>
      <c r="O460" s="10"/>
    </row>
    <row r="461" spans="10:15" ht="13">
      <c r="J461" s="10"/>
      <c r="K461" s="10"/>
      <c r="L461" s="10"/>
      <c r="O461" s="10"/>
    </row>
    <row r="462" spans="10:15" ht="13">
      <c r="J462" s="10"/>
      <c r="K462" s="10"/>
      <c r="L462" s="10"/>
      <c r="O462" s="10"/>
    </row>
    <row r="463" spans="10:15" ht="13">
      <c r="J463" s="10"/>
      <c r="K463" s="10"/>
      <c r="L463" s="10"/>
      <c r="O463" s="10"/>
    </row>
    <row r="464" spans="10:15" ht="13">
      <c r="J464" s="10"/>
      <c r="K464" s="10"/>
      <c r="L464" s="10"/>
      <c r="O464" s="10"/>
    </row>
    <row r="465" spans="10:15" ht="13">
      <c r="J465" s="10"/>
      <c r="K465" s="10"/>
      <c r="L465" s="10"/>
      <c r="O465" s="10"/>
    </row>
    <row r="466" spans="10:15" ht="13">
      <c r="J466" s="10"/>
      <c r="K466" s="10"/>
      <c r="L466" s="10"/>
      <c r="O466" s="10"/>
    </row>
    <row r="467" spans="10:15" ht="13">
      <c r="J467" s="10"/>
      <c r="K467" s="10"/>
      <c r="L467" s="10"/>
      <c r="O467" s="10"/>
    </row>
    <row r="468" spans="10:15" ht="13">
      <c r="J468" s="10"/>
      <c r="K468" s="10"/>
      <c r="L468" s="10"/>
      <c r="O468" s="10"/>
    </row>
    <row r="469" spans="10:15" ht="13">
      <c r="J469" s="10"/>
      <c r="K469" s="10"/>
      <c r="L469" s="10"/>
      <c r="O469" s="10"/>
    </row>
    <row r="470" spans="10:15" ht="13">
      <c r="J470" s="10"/>
      <c r="K470" s="10"/>
      <c r="L470" s="10"/>
      <c r="O470" s="10"/>
    </row>
    <row r="471" spans="10:15" ht="13">
      <c r="J471" s="10"/>
      <c r="K471" s="10"/>
      <c r="L471" s="10"/>
      <c r="O471" s="10"/>
    </row>
    <row r="472" spans="10:15" ht="13">
      <c r="J472" s="10"/>
      <c r="K472" s="10"/>
      <c r="L472" s="10"/>
      <c r="O472" s="10"/>
    </row>
    <row r="473" spans="10:15" ht="13">
      <c r="J473" s="10"/>
      <c r="K473" s="10"/>
      <c r="L473" s="10"/>
      <c r="O473" s="10"/>
    </row>
    <row r="474" spans="10:15" ht="13">
      <c r="J474" s="10"/>
      <c r="K474" s="10"/>
      <c r="L474" s="10"/>
      <c r="O474" s="10"/>
    </row>
    <row r="475" spans="10:15" ht="13">
      <c r="J475" s="10"/>
      <c r="K475" s="10"/>
      <c r="L475" s="10"/>
      <c r="O475" s="10"/>
    </row>
    <row r="476" spans="10:15" ht="13">
      <c r="J476" s="10"/>
      <c r="K476" s="10"/>
      <c r="L476" s="10"/>
      <c r="O476" s="10"/>
    </row>
    <row r="477" spans="10:15" ht="13">
      <c r="J477" s="10"/>
      <c r="K477" s="10"/>
      <c r="L477" s="10"/>
      <c r="O477" s="10"/>
    </row>
    <row r="478" spans="10:15" ht="13">
      <c r="J478" s="10"/>
      <c r="K478" s="10"/>
      <c r="L478" s="10"/>
      <c r="O478" s="10"/>
    </row>
    <row r="479" spans="10:15" ht="13">
      <c r="J479" s="10"/>
      <c r="K479" s="10"/>
      <c r="L479" s="10"/>
      <c r="O479" s="10"/>
    </row>
    <row r="480" spans="10:15" ht="13">
      <c r="J480" s="10"/>
      <c r="K480" s="10"/>
      <c r="L480" s="10"/>
      <c r="O480" s="10"/>
    </row>
    <row r="481" spans="10:15" ht="13">
      <c r="J481" s="10"/>
      <c r="K481" s="10"/>
      <c r="L481" s="10"/>
      <c r="O481" s="10"/>
    </row>
    <row r="482" spans="10:15" ht="13">
      <c r="J482" s="10"/>
      <c r="K482" s="10"/>
      <c r="L482" s="10"/>
      <c r="O482" s="10"/>
    </row>
    <row r="483" spans="10:15" ht="13">
      <c r="J483" s="10"/>
      <c r="K483" s="10"/>
      <c r="L483" s="10"/>
      <c r="O483" s="10"/>
    </row>
    <row r="484" spans="10:15" ht="13">
      <c r="J484" s="10"/>
      <c r="K484" s="10"/>
      <c r="L484" s="10"/>
      <c r="O484" s="10"/>
    </row>
    <row r="485" spans="10:15" ht="13">
      <c r="J485" s="10"/>
      <c r="K485" s="10"/>
      <c r="L485" s="10"/>
      <c r="O485" s="10"/>
    </row>
    <row r="486" spans="10:15" ht="13">
      <c r="J486" s="10"/>
      <c r="K486" s="10"/>
      <c r="L486" s="10"/>
      <c r="O486" s="10"/>
    </row>
    <row r="487" spans="10:15" ht="13">
      <c r="J487" s="10"/>
      <c r="K487" s="10"/>
      <c r="L487" s="10"/>
      <c r="O487" s="10"/>
    </row>
    <row r="488" spans="10:15" ht="13">
      <c r="J488" s="10"/>
      <c r="K488" s="10"/>
      <c r="L488" s="10"/>
      <c r="O488" s="10"/>
    </row>
    <row r="489" spans="10:15" ht="13">
      <c r="J489" s="10"/>
      <c r="K489" s="10"/>
      <c r="L489" s="10"/>
      <c r="O489" s="10"/>
    </row>
    <row r="490" spans="10:15" ht="13">
      <c r="J490" s="10"/>
      <c r="K490" s="10"/>
      <c r="L490" s="10"/>
      <c r="O490" s="10"/>
    </row>
    <row r="491" spans="10:15" ht="13">
      <c r="J491" s="10"/>
      <c r="K491" s="10"/>
      <c r="L491" s="10"/>
      <c r="O491" s="10"/>
    </row>
    <row r="492" spans="10:15" ht="13">
      <c r="J492" s="10"/>
      <c r="K492" s="10"/>
      <c r="L492" s="10"/>
      <c r="O492" s="10"/>
    </row>
    <row r="493" spans="10:15" ht="13">
      <c r="J493" s="10"/>
      <c r="K493" s="10"/>
      <c r="L493" s="10"/>
      <c r="O493" s="10"/>
    </row>
    <row r="494" spans="10:15" ht="13">
      <c r="J494" s="10"/>
      <c r="K494" s="10"/>
      <c r="L494" s="10"/>
      <c r="O494" s="10"/>
    </row>
    <row r="495" spans="10:15" ht="13">
      <c r="J495" s="10"/>
      <c r="K495" s="10"/>
      <c r="L495" s="10"/>
      <c r="O495" s="10"/>
    </row>
    <row r="496" spans="10:15" ht="13">
      <c r="J496" s="10"/>
      <c r="K496" s="10"/>
      <c r="L496" s="10"/>
      <c r="O496" s="10"/>
    </row>
    <row r="497" spans="10:15" ht="13">
      <c r="J497" s="10"/>
      <c r="K497" s="10"/>
      <c r="L497" s="10"/>
      <c r="O497" s="10"/>
    </row>
    <row r="498" spans="10:15" ht="13">
      <c r="J498" s="10"/>
      <c r="K498" s="10"/>
      <c r="L498" s="10"/>
      <c r="O498" s="10"/>
    </row>
    <row r="499" spans="10:15" ht="13">
      <c r="J499" s="10"/>
      <c r="K499" s="10"/>
      <c r="L499" s="10"/>
      <c r="O499" s="10"/>
    </row>
    <row r="500" spans="10:15" ht="13">
      <c r="J500" s="10"/>
      <c r="K500" s="10"/>
      <c r="L500" s="10"/>
      <c r="O500" s="10"/>
    </row>
    <row r="501" spans="10:15" ht="13">
      <c r="J501" s="10"/>
      <c r="K501" s="10"/>
      <c r="L501" s="10"/>
      <c r="O501" s="10"/>
    </row>
    <row r="502" spans="10:15" ht="13">
      <c r="J502" s="10"/>
      <c r="K502" s="10"/>
      <c r="L502" s="10"/>
      <c r="O502" s="10"/>
    </row>
    <row r="503" spans="10:15" ht="13">
      <c r="J503" s="10"/>
      <c r="K503" s="10"/>
      <c r="L503" s="10"/>
      <c r="O503" s="10"/>
    </row>
    <row r="504" spans="10:15" ht="13">
      <c r="J504" s="10"/>
      <c r="K504" s="10"/>
      <c r="L504" s="10"/>
      <c r="O504" s="10"/>
    </row>
    <row r="505" spans="10:15" ht="13">
      <c r="J505" s="10"/>
      <c r="K505" s="10"/>
      <c r="L505" s="10"/>
      <c r="O505" s="10"/>
    </row>
    <row r="506" spans="10:15" ht="13">
      <c r="J506" s="10"/>
      <c r="K506" s="10"/>
      <c r="L506" s="10"/>
      <c r="O506" s="10"/>
    </row>
    <row r="507" spans="10:15" ht="13">
      <c r="J507" s="10"/>
      <c r="K507" s="10"/>
      <c r="L507" s="10"/>
      <c r="O507" s="10"/>
    </row>
    <row r="508" spans="10:15" ht="13">
      <c r="J508" s="10"/>
      <c r="K508" s="10"/>
      <c r="L508" s="10"/>
      <c r="O508" s="10"/>
    </row>
    <row r="509" spans="10:15" ht="13">
      <c r="J509" s="10"/>
      <c r="K509" s="10"/>
      <c r="L509" s="10"/>
      <c r="O509" s="10"/>
    </row>
    <row r="510" spans="10:15" ht="13">
      <c r="J510" s="10"/>
      <c r="K510" s="10"/>
      <c r="L510" s="10"/>
      <c r="O510" s="10"/>
    </row>
    <row r="511" spans="10:15" ht="13">
      <c r="J511" s="10"/>
      <c r="K511" s="10"/>
      <c r="L511" s="10"/>
      <c r="O511" s="10"/>
    </row>
    <row r="512" spans="10:15" ht="13">
      <c r="J512" s="10"/>
      <c r="K512" s="10"/>
      <c r="L512" s="10"/>
      <c r="O512" s="10"/>
    </row>
    <row r="513" spans="10:15" ht="13">
      <c r="J513" s="10"/>
      <c r="K513" s="10"/>
      <c r="L513" s="10"/>
      <c r="O513" s="10"/>
    </row>
    <row r="514" spans="10:15" ht="13">
      <c r="J514" s="10"/>
      <c r="K514" s="10"/>
      <c r="L514" s="10"/>
      <c r="O514" s="10"/>
    </row>
    <row r="515" spans="10:15" ht="13">
      <c r="J515" s="10"/>
      <c r="K515" s="10"/>
      <c r="L515" s="10"/>
      <c r="O515" s="10"/>
    </row>
    <row r="516" spans="10:15" ht="13">
      <c r="J516" s="10"/>
      <c r="K516" s="10"/>
      <c r="L516" s="10"/>
      <c r="O516" s="10"/>
    </row>
    <row r="517" spans="10:15" ht="13">
      <c r="J517" s="10"/>
      <c r="K517" s="10"/>
      <c r="L517" s="10"/>
      <c r="O517" s="10"/>
    </row>
    <row r="518" spans="10:15" ht="13">
      <c r="J518" s="10"/>
      <c r="K518" s="10"/>
      <c r="L518" s="10"/>
      <c r="O518" s="10"/>
    </row>
    <row r="519" spans="10:15" ht="13">
      <c r="J519" s="10"/>
      <c r="K519" s="10"/>
      <c r="L519" s="10"/>
      <c r="O519" s="10"/>
    </row>
    <row r="520" spans="10:15" ht="13">
      <c r="J520" s="10"/>
      <c r="K520" s="10"/>
      <c r="L520" s="10"/>
      <c r="O520" s="10"/>
    </row>
    <row r="521" spans="10:15" ht="13">
      <c r="J521" s="10"/>
      <c r="K521" s="10"/>
      <c r="L521" s="10"/>
      <c r="O521" s="10"/>
    </row>
    <row r="522" spans="10:15" ht="13">
      <c r="J522" s="10"/>
      <c r="K522" s="10"/>
      <c r="L522" s="10"/>
      <c r="O522" s="10"/>
    </row>
    <row r="523" spans="10:15" ht="13">
      <c r="J523" s="10"/>
      <c r="K523" s="10"/>
      <c r="L523" s="10"/>
      <c r="O523" s="10"/>
    </row>
    <row r="524" spans="10:15" ht="13">
      <c r="J524" s="10"/>
      <c r="K524" s="10"/>
      <c r="L524" s="10"/>
      <c r="O524" s="10"/>
    </row>
    <row r="525" spans="10:15" ht="13">
      <c r="J525" s="10"/>
      <c r="K525" s="10"/>
      <c r="L525" s="10"/>
      <c r="O525" s="10"/>
    </row>
    <row r="526" spans="10:15" ht="13">
      <c r="J526" s="10"/>
      <c r="K526" s="10"/>
      <c r="L526" s="10"/>
      <c r="O526" s="10"/>
    </row>
    <row r="527" spans="10:15" ht="13">
      <c r="J527" s="10"/>
      <c r="K527" s="10"/>
      <c r="L527" s="10"/>
      <c r="O527" s="10"/>
    </row>
    <row r="528" spans="10:15" ht="13">
      <c r="J528" s="10"/>
      <c r="K528" s="10"/>
      <c r="L528" s="10"/>
      <c r="O528" s="10"/>
    </row>
    <row r="529" spans="10:15" ht="13">
      <c r="J529" s="10"/>
      <c r="K529" s="10"/>
      <c r="L529" s="10"/>
      <c r="O529" s="10"/>
    </row>
    <row r="530" spans="10:15" ht="13">
      <c r="J530" s="10"/>
      <c r="K530" s="10"/>
      <c r="L530" s="10"/>
      <c r="O530" s="10"/>
    </row>
    <row r="531" spans="10:15" ht="13">
      <c r="J531" s="10"/>
      <c r="K531" s="10"/>
      <c r="L531" s="10"/>
      <c r="O531" s="10"/>
    </row>
    <row r="532" spans="10:15" ht="13">
      <c r="J532" s="10"/>
      <c r="K532" s="10"/>
      <c r="L532" s="10"/>
      <c r="O532" s="10"/>
    </row>
    <row r="533" spans="10:15" ht="13">
      <c r="J533" s="10"/>
      <c r="K533" s="10"/>
      <c r="L533" s="10"/>
      <c r="O533" s="10"/>
    </row>
    <row r="534" spans="10:15" ht="13">
      <c r="J534" s="10"/>
      <c r="K534" s="10"/>
      <c r="L534" s="10"/>
      <c r="O534" s="10"/>
    </row>
    <row r="535" spans="10:15" ht="13">
      <c r="J535" s="10"/>
      <c r="K535" s="10"/>
      <c r="L535" s="10"/>
      <c r="O535" s="10"/>
    </row>
    <row r="536" spans="10:15" ht="13">
      <c r="J536" s="10"/>
      <c r="K536" s="10"/>
      <c r="L536" s="10"/>
      <c r="O536" s="10"/>
    </row>
    <row r="537" spans="10:15" ht="13">
      <c r="J537" s="10"/>
      <c r="K537" s="10"/>
      <c r="L537" s="10"/>
      <c r="O537" s="10"/>
    </row>
    <row r="538" spans="10:15" ht="13">
      <c r="J538" s="10"/>
      <c r="K538" s="10"/>
      <c r="L538" s="10"/>
      <c r="O538" s="10"/>
    </row>
    <row r="539" spans="10:15" ht="13">
      <c r="J539" s="10"/>
      <c r="K539" s="10"/>
      <c r="L539" s="10"/>
      <c r="O539" s="10"/>
    </row>
    <row r="540" spans="10:15" ht="13">
      <c r="J540" s="10"/>
      <c r="K540" s="10"/>
      <c r="L540" s="10"/>
      <c r="O540" s="10"/>
    </row>
    <row r="541" spans="10:15" ht="13">
      <c r="J541" s="10"/>
      <c r="K541" s="10"/>
      <c r="L541" s="10"/>
      <c r="O541" s="10"/>
    </row>
    <row r="542" spans="10:15" ht="13">
      <c r="J542" s="10"/>
      <c r="K542" s="10"/>
      <c r="L542" s="10"/>
      <c r="O542" s="10"/>
    </row>
    <row r="543" spans="10:15" ht="13">
      <c r="J543" s="10"/>
      <c r="K543" s="10"/>
      <c r="L543" s="10"/>
      <c r="O543" s="10"/>
    </row>
    <row r="544" spans="10:15" ht="13">
      <c r="J544" s="10"/>
      <c r="K544" s="10"/>
      <c r="L544" s="10"/>
      <c r="O544" s="10"/>
    </row>
    <row r="545" spans="10:15" ht="13">
      <c r="J545" s="10"/>
      <c r="K545" s="10"/>
      <c r="L545" s="10"/>
      <c r="O545" s="10"/>
    </row>
    <row r="546" spans="10:15" ht="13">
      <c r="J546" s="10"/>
      <c r="K546" s="10"/>
      <c r="L546" s="10"/>
      <c r="O546" s="10"/>
    </row>
    <row r="547" spans="10:15" ht="13">
      <c r="J547" s="10"/>
      <c r="K547" s="10"/>
      <c r="L547" s="10"/>
      <c r="O547" s="10"/>
    </row>
    <row r="548" spans="10:15" ht="13">
      <c r="J548" s="10"/>
      <c r="K548" s="10"/>
      <c r="L548" s="10"/>
      <c r="O548" s="10"/>
    </row>
    <row r="549" spans="10:15" ht="13">
      <c r="J549" s="10"/>
      <c r="K549" s="10"/>
      <c r="L549" s="10"/>
      <c r="O549" s="10"/>
    </row>
    <row r="550" spans="10:15" ht="13">
      <c r="J550" s="10"/>
      <c r="K550" s="10"/>
      <c r="L550" s="10"/>
      <c r="O550" s="10"/>
    </row>
    <row r="551" spans="10:15" ht="13">
      <c r="J551" s="10"/>
      <c r="K551" s="10"/>
      <c r="L551" s="10"/>
      <c r="O551" s="10"/>
    </row>
    <row r="552" spans="10:15" ht="13">
      <c r="J552" s="10"/>
      <c r="K552" s="10"/>
      <c r="L552" s="10"/>
      <c r="O552" s="10"/>
    </row>
    <row r="553" spans="10:15" ht="13">
      <c r="J553" s="10"/>
      <c r="K553" s="10"/>
      <c r="L553" s="10"/>
      <c r="O553" s="10"/>
    </row>
    <row r="554" spans="10:15" ht="13">
      <c r="J554" s="10"/>
      <c r="K554" s="10"/>
      <c r="L554" s="10"/>
      <c r="O554" s="10"/>
    </row>
    <row r="555" spans="10:15" ht="13">
      <c r="J555" s="10"/>
      <c r="K555" s="10"/>
      <c r="L555" s="10"/>
      <c r="O555" s="10"/>
    </row>
    <row r="556" spans="10:15" ht="13">
      <c r="J556" s="10"/>
      <c r="K556" s="10"/>
      <c r="L556" s="10"/>
      <c r="O556" s="10"/>
    </row>
    <row r="557" spans="10:15" ht="13">
      <c r="J557" s="10"/>
      <c r="K557" s="10"/>
      <c r="L557" s="10"/>
      <c r="O557" s="10"/>
    </row>
    <row r="558" spans="10:15" ht="13">
      <c r="J558" s="10"/>
      <c r="K558" s="10"/>
      <c r="L558" s="10"/>
      <c r="O558" s="10"/>
    </row>
    <row r="559" spans="10:15" ht="13">
      <c r="J559" s="10"/>
      <c r="K559" s="10"/>
      <c r="L559" s="10"/>
      <c r="O559" s="10"/>
    </row>
    <row r="560" spans="10:15" ht="13">
      <c r="J560" s="10"/>
      <c r="K560" s="10"/>
      <c r="L560" s="10"/>
      <c r="O560" s="10"/>
    </row>
    <row r="561" spans="10:15" ht="13">
      <c r="J561" s="10"/>
      <c r="K561" s="10"/>
      <c r="L561" s="10"/>
      <c r="O561" s="10"/>
    </row>
    <row r="562" spans="10:15" ht="13">
      <c r="J562" s="10"/>
      <c r="K562" s="10"/>
      <c r="L562" s="10"/>
      <c r="O562" s="10"/>
    </row>
    <row r="563" spans="10:15" ht="13">
      <c r="J563" s="10"/>
      <c r="K563" s="10"/>
      <c r="L563" s="10"/>
      <c r="O563" s="10"/>
    </row>
    <row r="564" spans="10:15" ht="13">
      <c r="J564" s="10"/>
      <c r="K564" s="10"/>
      <c r="L564" s="10"/>
      <c r="O564" s="10"/>
    </row>
    <row r="565" spans="10:15" ht="13">
      <c r="J565" s="10"/>
      <c r="K565" s="10"/>
      <c r="L565" s="10"/>
      <c r="O565" s="10"/>
    </row>
    <row r="566" spans="10:15" ht="13">
      <c r="J566" s="10"/>
      <c r="K566" s="10"/>
      <c r="L566" s="10"/>
      <c r="O566" s="10"/>
    </row>
    <row r="567" spans="10:15" ht="13">
      <c r="J567" s="10"/>
      <c r="K567" s="10"/>
      <c r="L567" s="10"/>
      <c r="O567" s="10"/>
    </row>
    <row r="568" spans="10:15" ht="13">
      <c r="J568" s="10"/>
      <c r="K568" s="10"/>
      <c r="L568" s="10"/>
      <c r="O568" s="10"/>
    </row>
    <row r="569" spans="10:15" ht="13">
      <c r="J569" s="10"/>
      <c r="K569" s="10"/>
      <c r="L569" s="10"/>
      <c r="O569" s="10"/>
    </row>
    <row r="570" spans="10:15" ht="13">
      <c r="J570" s="10"/>
      <c r="K570" s="10"/>
      <c r="L570" s="10"/>
      <c r="O570" s="10"/>
    </row>
    <row r="571" spans="10:15" ht="13">
      <c r="J571" s="10"/>
      <c r="K571" s="10"/>
      <c r="L571" s="10"/>
      <c r="O571" s="10"/>
    </row>
    <row r="572" spans="10:15" ht="13">
      <c r="J572" s="10"/>
      <c r="K572" s="10"/>
      <c r="L572" s="10"/>
      <c r="O572" s="10"/>
    </row>
    <row r="573" spans="10:15" ht="13">
      <c r="J573" s="10"/>
      <c r="K573" s="10"/>
      <c r="L573" s="10"/>
      <c r="O573" s="10"/>
    </row>
    <row r="574" spans="10:15" ht="13">
      <c r="J574" s="10"/>
      <c r="K574" s="10"/>
      <c r="L574" s="10"/>
      <c r="O574" s="10"/>
    </row>
    <row r="575" spans="10:15" ht="13">
      <c r="J575" s="10"/>
      <c r="K575" s="10"/>
      <c r="L575" s="10"/>
      <c r="O575" s="10"/>
    </row>
    <row r="576" spans="10:15" ht="13">
      <c r="J576" s="10"/>
      <c r="K576" s="10"/>
      <c r="L576" s="10"/>
      <c r="O576" s="10"/>
    </row>
    <row r="577" spans="10:15" ht="13">
      <c r="J577" s="10"/>
      <c r="K577" s="10"/>
      <c r="L577" s="10"/>
      <c r="O577" s="10"/>
    </row>
    <row r="578" spans="10:15" ht="13">
      <c r="J578" s="10"/>
      <c r="K578" s="10"/>
      <c r="L578" s="10"/>
      <c r="O578" s="10"/>
    </row>
    <row r="579" spans="10:15" ht="13">
      <c r="J579" s="10"/>
      <c r="K579" s="10"/>
      <c r="L579" s="10"/>
      <c r="O579" s="10"/>
    </row>
    <row r="580" spans="10:15" ht="13">
      <c r="J580" s="10"/>
      <c r="K580" s="10"/>
      <c r="L580" s="10"/>
      <c r="O580" s="10"/>
    </row>
    <row r="581" spans="10:15" ht="13">
      <c r="J581" s="10"/>
      <c r="K581" s="10"/>
      <c r="L581" s="10"/>
      <c r="O581" s="10"/>
    </row>
    <row r="582" spans="10:15" ht="13">
      <c r="J582" s="10"/>
      <c r="K582" s="10"/>
      <c r="L582" s="10"/>
      <c r="O582" s="10"/>
    </row>
    <row r="583" spans="10:15" ht="13">
      <c r="J583" s="10"/>
      <c r="K583" s="10"/>
      <c r="L583" s="10"/>
      <c r="O583" s="10"/>
    </row>
    <row r="584" spans="10:15" ht="13">
      <c r="J584" s="10"/>
      <c r="K584" s="10"/>
      <c r="L584" s="10"/>
      <c r="O584" s="10"/>
    </row>
    <row r="585" spans="10:15" ht="13">
      <c r="J585" s="10"/>
      <c r="K585" s="10"/>
      <c r="L585" s="10"/>
      <c r="O585" s="10"/>
    </row>
    <row r="586" spans="10:15" ht="13">
      <c r="J586" s="10"/>
      <c r="K586" s="10"/>
      <c r="L586" s="10"/>
      <c r="O586" s="10"/>
    </row>
    <row r="587" spans="10:15" ht="13">
      <c r="J587" s="10"/>
      <c r="K587" s="10"/>
      <c r="L587" s="10"/>
      <c r="O587" s="10"/>
    </row>
    <row r="588" spans="10:15" ht="13">
      <c r="J588" s="10"/>
      <c r="K588" s="10"/>
      <c r="L588" s="10"/>
      <c r="O588" s="10"/>
    </row>
    <row r="589" spans="10:15" ht="13">
      <c r="J589" s="10"/>
      <c r="K589" s="10"/>
      <c r="L589" s="10"/>
      <c r="O589" s="10"/>
    </row>
    <row r="590" spans="10:15" ht="13">
      <c r="J590" s="10"/>
      <c r="K590" s="10"/>
      <c r="L590" s="10"/>
      <c r="O590" s="10"/>
    </row>
    <row r="591" spans="10:15" ht="13">
      <c r="J591" s="10"/>
      <c r="K591" s="10"/>
      <c r="L591" s="10"/>
      <c r="O591" s="10"/>
    </row>
    <row r="592" spans="10:15" ht="13">
      <c r="J592" s="10"/>
      <c r="K592" s="10"/>
      <c r="L592" s="10"/>
      <c r="O592" s="10"/>
    </row>
    <row r="593" spans="10:15" ht="13">
      <c r="J593" s="10"/>
      <c r="K593" s="10"/>
      <c r="L593" s="10"/>
      <c r="O593" s="10"/>
    </row>
    <row r="594" spans="10:15" ht="13">
      <c r="J594" s="10"/>
      <c r="K594" s="10"/>
      <c r="L594" s="10"/>
      <c r="O594" s="10"/>
    </row>
    <row r="595" spans="10:15" ht="13">
      <c r="J595" s="10"/>
      <c r="K595" s="10"/>
      <c r="L595" s="10"/>
      <c r="O595" s="10"/>
    </row>
    <row r="596" spans="10:15" ht="13">
      <c r="J596" s="10"/>
      <c r="K596" s="10"/>
      <c r="L596" s="10"/>
      <c r="O596" s="10"/>
    </row>
    <row r="597" spans="10:15" ht="13">
      <c r="J597" s="10"/>
      <c r="K597" s="10"/>
      <c r="L597" s="10"/>
      <c r="O597" s="10"/>
    </row>
    <row r="598" spans="10:15" ht="13">
      <c r="J598" s="10"/>
      <c r="K598" s="10"/>
      <c r="L598" s="10"/>
      <c r="O598" s="10"/>
    </row>
    <row r="599" spans="10:15" ht="13">
      <c r="J599" s="10"/>
      <c r="K599" s="10"/>
      <c r="L599" s="10"/>
      <c r="O599" s="10"/>
    </row>
    <row r="600" spans="10:15" ht="13">
      <c r="J600" s="10"/>
      <c r="K600" s="10"/>
      <c r="L600" s="10"/>
      <c r="O600" s="10"/>
    </row>
    <row r="601" spans="10:15" ht="13">
      <c r="J601" s="10"/>
      <c r="K601" s="10"/>
      <c r="L601" s="10"/>
      <c r="O601" s="10"/>
    </row>
    <row r="602" spans="10:15" ht="13">
      <c r="J602" s="10"/>
      <c r="K602" s="10"/>
      <c r="L602" s="10"/>
      <c r="O602" s="10"/>
    </row>
    <row r="603" spans="10:15" ht="13">
      <c r="J603" s="10"/>
      <c r="K603" s="10"/>
      <c r="L603" s="10"/>
      <c r="O603" s="10"/>
    </row>
    <row r="604" spans="10:15" ht="13">
      <c r="J604" s="10"/>
      <c r="K604" s="10"/>
      <c r="L604" s="10"/>
      <c r="O604" s="10"/>
    </row>
    <row r="605" spans="10:15" ht="13">
      <c r="J605" s="10"/>
      <c r="K605" s="10"/>
      <c r="L605" s="10"/>
      <c r="O605" s="10"/>
    </row>
    <row r="606" spans="10:15" ht="13">
      <c r="J606" s="10"/>
      <c r="K606" s="10"/>
      <c r="L606" s="10"/>
      <c r="O606" s="10"/>
    </row>
    <row r="607" spans="10:15" ht="13">
      <c r="J607" s="10"/>
      <c r="K607" s="10"/>
      <c r="L607" s="10"/>
      <c r="O607" s="10"/>
    </row>
    <row r="608" spans="10:15" ht="13">
      <c r="J608" s="10"/>
      <c r="K608" s="10"/>
      <c r="L608" s="10"/>
      <c r="O608" s="10"/>
    </row>
    <row r="609" spans="10:15" ht="13">
      <c r="J609" s="10"/>
      <c r="K609" s="10"/>
      <c r="L609" s="10"/>
      <c r="O609" s="10"/>
    </row>
    <row r="610" spans="10:15" ht="13">
      <c r="J610" s="10"/>
      <c r="K610" s="10"/>
      <c r="L610" s="10"/>
      <c r="O610" s="10"/>
    </row>
    <row r="611" spans="10:15" ht="13">
      <c r="J611" s="10"/>
      <c r="K611" s="10"/>
      <c r="L611" s="10"/>
      <c r="O611" s="10"/>
    </row>
    <row r="612" spans="10:15" ht="13">
      <c r="J612" s="10"/>
      <c r="K612" s="10"/>
      <c r="L612" s="10"/>
      <c r="O612" s="10"/>
    </row>
    <row r="613" spans="10:15" ht="13">
      <c r="J613" s="10"/>
      <c r="K613" s="10"/>
      <c r="L613" s="10"/>
      <c r="O613" s="10"/>
    </row>
    <row r="614" spans="10:15" ht="13">
      <c r="J614" s="10"/>
      <c r="K614" s="10"/>
      <c r="L614" s="10"/>
      <c r="O614" s="10"/>
    </row>
    <row r="615" spans="10:15" ht="13">
      <c r="J615" s="10"/>
      <c r="K615" s="10"/>
      <c r="L615" s="10"/>
      <c r="O615" s="10"/>
    </row>
    <row r="616" spans="10:15" ht="13">
      <c r="J616" s="10"/>
      <c r="K616" s="10"/>
      <c r="L616" s="10"/>
      <c r="O616" s="10"/>
    </row>
    <row r="617" spans="10:15" ht="13">
      <c r="J617" s="10"/>
      <c r="K617" s="10"/>
      <c r="L617" s="10"/>
      <c r="O617" s="10"/>
    </row>
    <row r="618" spans="10:15" ht="13">
      <c r="J618" s="10"/>
      <c r="K618" s="10"/>
      <c r="L618" s="10"/>
      <c r="O618" s="10"/>
    </row>
    <row r="619" spans="10:15" ht="13">
      <c r="J619" s="10"/>
      <c r="K619" s="10"/>
      <c r="L619" s="10"/>
      <c r="O619" s="10"/>
    </row>
    <row r="620" spans="10:15" ht="13">
      <c r="J620" s="10"/>
      <c r="K620" s="10"/>
      <c r="L620" s="10"/>
      <c r="O620" s="10"/>
    </row>
    <row r="621" spans="10:15" ht="13">
      <c r="J621" s="10"/>
      <c r="K621" s="10"/>
      <c r="L621" s="10"/>
      <c r="O621" s="10"/>
    </row>
    <row r="622" spans="10:15" ht="13">
      <c r="J622" s="10"/>
      <c r="K622" s="10"/>
      <c r="L622" s="10"/>
      <c r="O622" s="10"/>
    </row>
    <row r="623" spans="10:15" ht="13">
      <c r="J623" s="10"/>
      <c r="K623" s="10"/>
      <c r="L623" s="10"/>
      <c r="O623" s="10"/>
    </row>
    <row r="624" spans="10:15" ht="13">
      <c r="J624" s="10"/>
      <c r="K624" s="10"/>
      <c r="L624" s="10"/>
      <c r="O624" s="10"/>
    </row>
    <row r="625" spans="10:15" ht="13">
      <c r="J625" s="10"/>
      <c r="K625" s="10"/>
      <c r="L625" s="10"/>
      <c r="O625" s="10"/>
    </row>
    <row r="626" spans="10:15" ht="13">
      <c r="J626" s="10"/>
      <c r="K626" s="10"/>
      <c r="L626" s="10"/>
      <c r="O626" s="10"/>
    </row>
    <row r="627" spans="10:15" ht="13">
      <c r="J627" s="10"/>
      <c r="K627" s="10"/>
      <c r="L627" s="10"/>
      <c r="O627" s="10"/>
    </row>
    <row r="628" spans="10:15" ht="13">
      <c r="J628" s="10"/>
      <c r="K628" s="10"/>
      <c r="L628" s="10"/>
      <c r="O628" s="10"/>
    </row>
    <row r="629" spans="10:15" ht="13">
      <c r="J629" s="10"/>
      <c r="K629" s="10"/>
      <c r="L629" s="10"/>
      <c r="O629" s="10"/>
    </row>
    <row r="630" spans="10:15" ht="13">
      <c r="J630" s="10"/>
      <c r="K630" s="10"/>
      <c r="L630" s="10"/>
      <c r="O630" s="10"/>
    </row>
    <row r="631" spans="10:15" ht="13">
      <c r="J631" s="10"/>
      <c r="K631" s="10"/>
      <c r="L631" s="10"/>
      <c r="O631" s="10"/>
    </row>
    <row r="632" spans="10:15" ht="13">
      <c r="J632" s="10"/>
      <c r="K632" s="10"/>
      <c r="L632" s="10"/>
      <c r="O632" s="10"/>
    </row>
    <row r="633" spans="10:15" ht="13">
      <c r="J633" s="10"/>
      <c r="K633" s="10"/>
      <c r="L633" s="10"/>
      <c r="O633" s="10"/>
    </row>
    <row r="634" spans="10:15" ht="13">
      <c r="J634" s="10"/>
      <c r="K634" s="10"/>
      <c r="L634" s="10"/>
      <c r="O634" s="10"/>
    </row>
    <row r="635" spans="10:15" ht="13">
      <c r="J635" s="10"/>
      <c r="K635" s="10"/>
      <c r="L635" s="10"/>
      <c r="O635" s="10"/>
    </row>
    <row r="636" spans="10:15" ht="13">
      <c r="J636" s="10"/>
      <c r="K636" s="10"/>
      <c r="L636" s="10"/>
      <c r="O636" s="10"/>
    </row>
    <row r="637" spans="10:15" ht="13">
      <c r="J637" s="10"/>
      <c r="K637" s="10"/>
      <c r="L637" s="10"/>
      <c r="O637" s="10"/>
    </row>
    <row r="638" spans="10:15" ht="13">
      <c r="J638" s="10"/>
      <c r="K638" s="10"/>
      <c r="L638" s="10"/>
      <c r="O638" s="10"/>
    </row>
    <row r="639" spans="10:15" ht="13">
      <c r="J639" s="10"/>
      <c r="K639" s="10"/>
      <c r="L639" s="10"/>
      <c r="O639" s="10"/>
    </row>
    <row r="640" spans="10:15" ht="13">
      <c r="J640" s="10"/>
      <c r="K640" s="10"/>
      <c r="L640" s="10"/>
      <c r="O640" s="10"/>
    </row>
    <row r="641" spans="10:15" ht="13">
      <c r="J641" s="10"/>
      <c r="K641" s="10"/>
      <c r="L641" s="10"/>
      <c r="O641" s="10"/>
    </row>
    <row r="642" spans="10:15" ht="13">
      <c r="J642" s="10"/>
      <c r="K642" s="10"/>
      <c r="L642" s="10"/>
      <c r="O642" s="10"/>
    </row>
    <row r="643" spans="10:15" ht="13">
      <c r="J643" s="10"/>
      <c r="K643" s="10"/>
      <c r="L643" s="10"/>
      <c r="O643" s="10"/>
    </row>
    <row r="644" spans="10:15" ht="13">
      <c r="J644" s="10"/>
      <c r="K644" s="10"/>
      <c r="L644" s="10"/>
      <c r="O644" s="10"/>
    </row>
    <row r="645" spans="10:15" ht="13">
      <c r="J645" s="10"/>
      <c r="K645" s="10"/>
      <c r="L645" s="10"/>
      <c r="O645" s="10"/>
    </row>
    <row r="646" spans="10:15" ht="13">
      <c r="J646" s="10"/>
      <c r="K646" s="10"/>
      <c r="L646" s="10"/>
      <c r="O646" s="10"/>
    </row>
    <row r="647" spans="10:15" ht="13">
      <c r="J647" s="10"/>
      <c r="K647" s="10"/>
      <c r="L647" s="10"/>
      <c r="O647" s="10"/>
    </row>
    <row r="648" spans="10:15" ht="13">
      <c r="J648" s="10"/>
      <c r="K648" s="10"/>
      <c r="L648" s="10"/>
      <c r="O648" s="10"/>
    </row>
    <row r="649" spans="10:15" ht="13">
      <c r="J649" s="10"/>
      <c r="K649" s="10"/>
      <c r="L649" s="10"/>
      <c r="O649" s="10"/>
    </row>
    <row r="650" spans="10:15" ht="13">
      <c r="J650" s="10"/>
      <c r="K650" s="10"/>
      <c r="L650" s="10"/>
      <c r="O650" s="10"/>
    </row>
    <row r="651" spans="10:15" ht="13">
      <c r="J651" s="10"/>
      <c r="K651" s="10"/>
      <c r="L651" s="10"/>
      <c r="O651" s="10"/>
    </row>
    <row r="652" spans="10:15" ht="13">
      <c r="J652" s="10"/>
      <c r="K652" s="10"/>
      <c r="L652" s="10"/>
      <c r="O652" s="10"/>
    </row>
    <row r="653" spans="10:15" ht="13">
      <c r="J653" s="10"/>
      <c r="K653" s="10"/>
      <c r="L653" s="10"/>
      <c r="O653" s="10"/>
    </row>
    <row r="654" spans="10:15" ht="13">
      <c r="J654" s="10"/>
      <c r="K654" s="10"/>
      <c r="L654" s="10"/>
      <c r="O654" s="10"/>
    </row>
    <row r="655" spans="10:15" ht="13">
      <c r="J655" s="10"/>
      <c r="K655" s="10"/>
      <c r="L655" s="10"/>
      <c r="O655" s="10"/>
    </row>
    <row r="656" spans="10:15" ht="13">
      <c r="J656" s="10"/>
      <c r="K656" s="10"/>
      <c r="L656" s="10"/>
      <c r="O656" s="10"/>
    </row>
    <row r="657" spans="10:15" ht="13">
      <c r="J657" s="10"/>
      <c r="K657" s="10"/>
      <c r="L657" s="10"/>
      <c r="O657" s="10"/>
    </row>
    <row r="658" spans="10:15" ht="13">
      <c r="J658" s="10"/>
      <c r="K658" s="10"/>
      <c r="L658" s="10"/>
      <c r="O658" s="10"/>
    </row>
    <row r="659" spans="10:15" ht="13">
      <c r="J659" s="10"/>
      <c r="K659" s="10"/>
      <c r="L659" s="10"/>
      <c r="O659" s="10"/>
    </row>
    <row r="660" spans="10:15" ht="13">
      <c r="J660" s="10"/>
      <c r="K660" s="10"/>
      <c r="L660" s="10"/>
      <c r="O660" s="10"/>
    </row>
    <row r="661" spans="10:15" ht="13">
      <c r="J661" s="10"/>
      <c r="K661" s="10"/>
      <c r="L661" s="10"/>
      <c r="O661" s="10"/>
    </row>
    <row r="662" spans="10:15" ht="13">
      <c r="J662" s="10"/>
      <c r="K662" s="10"/>
      <c r="L662" s="10"/>
      <c r="O662" s="10"/>
    </row>
    <row r="663" spans="10:15" ht="13">
      <c r="J663" s="10"/>
      <c r="K663" s="10"/>
      <c r="L663" s="10"/>
      <c r="O663" s="10"/>
    </row>
    <row r="664" spans="10:15" ht="13">
      <c r="J664" s="10"/>
      <c r="K664" s="10"/>
      <c r="L664" s="10"/>
      <c r="O664" s="10"/>
    </row>
    <row r="665" spans="10:15" ht="13">
      <c r="J665" s="10"/>
      <c r="K665" s="10"/>
      <c r="L665" s="10"/>
      <c r="O665" s="10"/>
    </row>
    <row r="666" spans="10:15" ht="13">
      <c r="J666" s="10"/>
      <c r="K666" s="10"/>
      <c r="L666" s="10"/>
      <c r="O666" s="10"/>
    </row>
    <row r="667" spans="10:15" ht="13">
      <c r="J667" s="10"/>
      <c r="K667" s="10"/>
      <c r="L667" s="10"/>
      <c r="O667" s="10"/>
    </row>
    <row r="668" spans="10:15" ht="13">
      <c r="J668" s="10"/>
      <c r="K668" s="10"/>
      <c r="L668" s="10"/>
      <c r="O668" s="10"/>
    </row>
    <row r="669" spans="10:15" ht="13">
      <c r="J669" s="10"/>
      <c r="K669" s="10"/>
      <c r="L669" s="10"/>
      <c r="O669" s="10"/>
    </row>
    <row r="670" spans="10:15" ht="13">
      <c r="J670" s="10"/>
      <c r="K670" s="10"/>
      <c r="L670" s="10"/>
      <c r="O670" s="10"/>
    </row>
    <row r="671" spans="10:15" ht="13">
      <c r="J671" s="10"/>
      <c r="K671" s="10"/>
      <c r="L671" s="10"/>
      <c r="O671" s="10"/>
    </row>
    <row r="672" spans="10:15" ht="13">
      <c r="J672" s="10"/>
      <c r="K672" s="10"/>
      <c r="L672" s="10"/>
      <c r="O672" s="10"/>
    </row>
    <row r="673" spans="10:15" ht="13">
      <c r="J673" s="10"/>
      <c r="K673" s="10"/>
      <c r="L673" s="10"/>
      <c r="O673" s="10"/>
    </row>
    <row r="674" spans="10:15" ht="13">
      <c r="J674" s="10"/>
      <c r="K674" s="10"/>
      <c r="L674" s="10"/>
      <c r="O674" s="10"/>
    </row>
    <row r="675" spans="10:15" ht="13">
      <c r="J675" s="10"/>
      <c r="K675" s="10"/>
      <c r="L675" s="10"/>
      <c r="O675" s="10"/>
    </row>
    <row r="676" spans="10:15" ht="13">
      <c r="J676" s="10"/>
      <c r="K676" s="10"/>
      <c r="L676" s="10"/>
      <c r="O676" s="10"/>
    </row>
    <row r="677" spans="10:15" ht="13">
      <c r="J677" s="10"/>
      <c r="K677" s="10"/>
      <c r="L677" s="10"/>
      <c r="O677" s="10"/>
    </row>
    <row r="678" spans="10:15" ht="13">
      <c r="J678" s="10"/>
      <c r="K678" s="10"/>
      <c r="L678" s="10"/>
      <c r="O678" s="10"/>
    </row>
    <row r="679" spans="10:15" ht="13">
      <c r="J679" s="10"/>
      <c r="K679" s="10"/>
      <c r="L679" s="10"/>
      <c r="O679" s="10"/>
    </row>
    <row r="680" spans="10:15" ht="13">
      <c r="J680" s="10"/>
      <c r="K680" s="10"/>
      <c r="L680" s="10"/>
      <c r="O680" s="10"/>
    </row>
    <row r="681" spans="10:15" ht="13">
      <c r="J681" s="10"/>
      <c r="K681" s="10"/>
      <c r="L681" s="10"/>
      <c r="O681" s="10"/>
    </row>
    <row r="682" spans="10:15" ht="13">
      <c r="J682" s="10"/>
      <c r="K682" s="10"/>
      <c r="L682" s="10"/>
      <c r="O682" s="10"/>
    </row>
    <row r="683" spans="10:15" ht="13">
      <c r="J683" s="10"/>
      <c r="K683" s="10"/>
      <c r="L683" s="10"/>
      <c r="O683" s="10"/>
    </row>
    <row r="684" spans="10:15" ht="13">
      <c r="J684" s="10"/>
      <c r="K684" s="10"/>
      <c r="L684" s="10"/>
      <c r="O684" s="10"/>
    </row>
    <row r="685" spans="10:15" ht="13">
      <c r="J685" s="10"/>
      <c r="K685" s="10"/>
      <c r="L685" s="10"/>
      <c r="O685" s="10"/>
    </row>
    <row r="686" spans="10:15" ht="13">
      <c r="J686" s="10"/>
      <c r="K686" s="10"/>
      <c r="L686" s="10"/>
      <c r="O686" s="10"/>
    </row>
    <row r="687" spans="10:15" ht="13">
      <c r="J687" s="10"/>
      <c r="K687" s="10"/>
      <c r="L687" s="10"/>
      <c r="O687" s="10"/>
    </row>
    <row r="688" spans="10:15" ht="13">
      <c r="J688" s="10"/>
      <c r="K688" s="10"/>
      <c r="L688" s="10"/>
      <c r="O688" s="10"/>
    </row>
    <row r="689" spans="10:15" ht="13">
      <c r="J689" s="10"/>
      <c r="K689" s="10"/>
      <c r="L689" s="10"/>
      <c r="O689" s="10"/>
    </row>
    <row r="690" spans="10:15" ht="13">
      <c r="J690" s="10"/>
      <c r="K690" s="10"/>
      <c r="L690" s="10"/>
      <c r="O690" s="10"/>
    </row>
    <row r="691" spans="10:15" ht="13">
      <c r="J691" s="10"/>
      <c r="K691" s="10"/>
      <c r="L691" s="10"/>
      <c r="O691" s="10"/>
    </row>
    <row r="692" spans="10:15" ht="13">
      <c r="J692" s="10"/>
      <c r="K692" s="10"/>
      <c r="L692" s="10"/>
      <c r="O692" s="10"/>
    </row>
    <row r="693" spans="10:15" ht="13">
      <c r="J693" s="10"/>
      <c r="K693" s="10"/>
      <c r="L693" s="10"/>
      <c r="O693" s="10"/>
    </row>
    <row r="694" spans="10:15" ht="13">
      <c r="J694" s="10"/>
      <c r="K694" s="10"/>
      <c r="L694" s="10"/>
      <c r="O694" s="10"/>
    </row>
    <row r="695" spans="10:15" ht="13">
      <c r="J695" s="10"/>
      <c r="K695" s="10"/>
      <c r="L695" s="10"/>
      <c r="O695" s="10"/>
    </row>
    <row r="696" spans="10:15" ht="13">
      <c r="J696" s="10"/>
      <c r="K696" s="10"/>
      <c r="L696" s="10"/>
      <c r="O696" s="10"/>
    </row>
    <row r="697" spans="10:15" ht="13">
      <c r="J697" s="10"/>
      <c r="K697" s="10"/>
      <c r="L697" s="10"/>
      <c r="O697" s="10"/>
    </row>
    <row r="698" spans="10:15" ht="13">
      <c r="J698" s="10"/>
      <c r="K698" s="10"/>
      <c r="L698" s="10"/>
      <c r="O698" s="10"/>
    </row>
    <row r="699" spans="10:15" ht="13">
      <c r="J699" s="10"/>
      <c r="K699" s="10"/>
      <c r="L699" s="10"/>
      <c r="O699" s="10"/>
    </row>
    <row r="700" spans="10:15" ht="13">
      <c r="J700" s="10"/>
      <c r="K700" s="10"/>
      <c r="L700" s="10"/>
      <c r="O700" s="10"/>
    </row>
    <row r="701" spans="10:15" ht="13">
      <c r="J701" s="10"/>
      <c r="K701" s="10"/>
      <c r="L701" s="10"/>
      <c r="O701" s="10"/>
    </row>
    <row r="702" spans="10:15" ht="13">
      <c r="J702" s="10"/>
      <c r="K702" s="10"/>
      <c r="L702" s="10"/>
      <c r="O702" s="10"/>
    </row>
    <row r="703" spans="10:15" ht="13">
      <c r="J703" s="10"/>
      <c r="K703" s="10"/>
      <c r="L703" s="10"/>
      <c r="O703" s="10"/>
    </row>
    <row r="704" spans="10:15" ht="13">
      <c r="J704" s="10"/>
      <c r="K704" s="10"/>
      <c r="L704" s="10"/>
      <c r="O704" s="10"/>
    </row>
    <row r="705" spans="10:15" ht="13">
      <c r="J705" s="10"/>
      <c r="K705" s="10"/>
      <c r="L705" s="10"/>
      <c r="O705" s="10"/>
    </row>
    <row r="706" spans="10:15" ht="13">
      <c r="J706" s="10"/>
      <c r="K706" s="10"/>
      <c r="L706" s="10"/>
      <c r="O706" s="10"/>
    </row>
    <row r="707" spans="10:15" ht="13">
      <c r="J707" s="10"/>
      <c r="K707" s="10"/>
      <c r="L707" s="10"/>
      <c r="O707" s="10"/>
    </row>
    <row r="708" spans="10:15" ht="13">
      <c r="J708" s="10"/>
      <c r="K708" s="10"/>
      <c r="L708" s="10"/>
      <c r="O708" s="10"/>
    </row>
    <row r="709" spans="10:15" ht="13">
      <c r="J709" s="10"/>
      <c r="K709" s="10"/>
      <c r="L709" s="10"/>
      <c r="O709" s="10"/>
    </row>
    <row r="710" spans="10:15" ht="13">
      <c r="J710" s="10"/>
      <c r="K710" s="10"/>
      <c r="L710" s="10"/>
      <c r="O710" s="10"/>
    </row>
    <row r="711" spans="10:15" ht="13">
      <c r="J711" s="10"/>
      <c r="K711" s="10"/>
      <c r="L711" s="10"/>
      <c r="O711" s="10"/>
    </row>
    <row r="712" spans="10:15" ht="13">
      <c r="J712" s="10"/>
      <c r="K712" s="10"/>
      <c r="L712" s="10"/>
      <c r="O712" s="10"/>
    </row>
    <row r="713" spans="10:15" ht="13">
      <c r="J713" s="10"/>
      <c r="K713" s="10"/>
      <c r="L713" s="10"/>
      <c r="O713" s="10"/>
    </row>
    <row r="714" spans="10:15" ht="13">
      <c r="J714" s="10"/>
      <c r="K714" s="10"/>
      <c r="L714" s="10"/>
      <c r="O714" s="10"/>
    </row>
    <row r="715" spans="10:15" ht="13">
      <c r="J715" s="10"/>
      <c r="K715" s="10"/>
      <c r="L715" s="10"/>
      <c r="O715" s="10"/>
    </row>
    <row r="716" spans="10:15" ht="13">
      <c r="J716" s="10"/>
      <c r="K716" s="10"/>
      <c r="L716" s="10"/>
      <c r="O716" s="10"/>
    </row>
    <row r="717" spans="10:15" ht="13">
      <c r="J717" s="10"/>
      <c r="K717" s="10"/>
      <c r="L717" s="10"/>
      <c r="O717" s="10"/>
    </row>
    <row r="718" spans="10:15" ht="13">
      <c r="J718" s="10"/>
      <c r="K718" s="10"/>
      <c r="L718" s="10"/>
      <c r="O718" s="10"/>
    </row>
    <row r="719" spans="10:15" ht="13">
      <c r="J719" s="10"/>
      <c r="K719" s="10"/>
      <c r="L719" s="10"/>
      <c r="O719" s="10"/>
    </row>
    <row r="720" spans="10:15" ht="13">
      <c r="J720" s="10"/>
      <c r="K720" s="10"/>
      <c r="L720" s="10"/>
      <c r="O720" s="10"/>
    </row>
    <row r="721" spans="10:15" ht="13">
      <c r="J721" s="10"/>
      <c r="K721" s="10"/>
      <c r="L721" s="10"/>
      <c r="O721" s="10"/>
    </row>
    <row r="722" spans="10:15" ht="13">
      <c r="J722" s="10"/>
      <c r="K722" s="10"/>
      <c r="L722" s="10"/>
      <c r="O722" s="10"/>
    </row>
    <row r="723" spans="10:15" ht="13">
      <c r="J723" s="10"/>
      <c r="K723" s="10"/>
      <c r="L723" s="10"/>
      <c r="O723" s="10"/>
    </row>
    <row r="724" spans="10:15" ht="13">
      <c r="J724" s="10"/>
      <c r="K724" s="10"/>
      <c r="L724" s="10"/>
      <c r="O724" s="10"/>
    </row>
    <row r="725" spans="10:15" ht="13">
      <c r="J725" s="10"/>
      <c r="K725" s="10"/>
      <c r="L725" s="10"/>
      <c r="O725" s="10"/>
    </row>
    <row r="726" spans="10:15" ht="13">
      <c r="J726" s="10"/>
      <c r="K726" s="10"/>
      <c r="L726" s="10"/>
      <c r="O726" s="10"/>
    </row>
    <row r="727" spans="10:15" ht="13">
      <c r="J727" s="10"/>
      <c r="K727" s="10"/>
      <c r="L727" s="10"/>
      <c r="O727" s="10"/>
    </row>
    <row r="728" spans="10:15" ht="13">
      <c r="J728" s="10"/>
      <c r="K728" s="10"/>
      <c r="L728" s="10"/>
      <c r="O728" s="10"/>
    </row>
    <row r="729" spans="10:15" ht="13">
      <c r="J729" s="10"/>
      <c r="K729" s="10"/>
      <c r="L729" s="10"/>
      <c r="O729" s="10"/>
    </row>
    <row r="730" spans="10:15" ht="13">
      <c r="J730" s="10"/>
      <c r="K730" s="10"/>
      <c r="L730" s="10"/>
      <c r="O730" s="10"/>
    </row>
    <row r="731" spans="10:15" ht="13">
      <c r="J731" s="10"/>
      <c r="K731" s="10"/>
      <c r="L731" s="10"/>
      <c r="O731" s="10"/>
    </row>
    <row r="732" spans="10:15" ht="13">
      <c r="J732" s="10"/>
      <c r="K732" s="10"/>
      <c r="L732" s="10"/>
      <c r="O732" s="10"/>
    </row>
    <row r="733" spans="10:15" ht="13">
      <c r="J733" s="10"/>
      <c r="K733" s="10"/>
      <c r="L733" s="10"/>
      <c r="O733" s="10"/>
    </row>
    <row r="734" spans="10:15" ht="13">
      <c r="J734" s="10"/>
      <c r="K734" s="10"/>
      <c r="L734" s="10"/>
      <c r="O734" s="10"/>
    </row>
    <row r="735" spans="10:15" ht="13">
      <c r="J735" s="10"/>
      <c r="K735" s="10"/>
      <c r="L735" s="10"/>
      <c r="O735" s="10"/>
    </row>
    <row r="736" spans="10:15" ht="13">
      <c r="J736" s="10"/>
      <c r="K736" s="10"/>
      <c r="L736" s="10"/>
      <c r="O736" s="10"/>
    </row>
    <row r="737" spans="10:15" ht="13">
      <c r="J737" s="10"/>
      <c r="K737" s="10"/>
      <c r="L737" s="10"/>
      <c r="O737" s="10"/>
    </row>
    <row r="738" spans="10:15" ht="13">
      <c r="J738" s="10"/>
      <c r="K738" s="10"/>
      <c r="L738" s="10"/>
      <c r="O738" s="10"/>
    </row>
    <row r="739" spans="10:15" ht="13">
      <c r="J739" s="10"/>
      <c r="K739" s="10"/>
      <c r="L739" s="10"/>
      <c r="O739" s="10"/>
    </row>
    <row r="740" spans="10:15" ht="13">
      <c r="J740" s="10"/>
      <c r="K740" s="10"/>
      <c r="L740" s="10"/>
      <c r="O740" s="10"/>
    </row>
    <row r="741" spans="10:15" ht="13">
      <c r="J741" s="10"/>
      <c r="K741" s="10"/>
      <c r="L741" s="10"/>
      <c r="O741" s="10"/>
    </row>
    <row r="742" spans="10:15" ht="13">
      <c r="J742" s="10"/>
      <c r="K742" s="10"/>
      <c r="L742" s="10"/>
      <c r="O742" s="10"/>
    </row>
    <row r="743" spans="10:15" ht="13">
      <c r="J743" s="10"/>
      <c r="K743" s="10"/>
      <c r="L743" s="10"/>
      <c r="O743" s="10"/>
    </row>
    <row r="744" spans="10:15" ht="13">
      <c r="J744" s="10"/>
      <c r="K744" s="10"/>
      <c r="L744" s="10"/>
      <c r="O744" s="10"/>
    </row>
    <row r="745" spans="10:15" ht="13">
      <c r="J745" s="10"/>
      <c r="K745" s="10"/>
      <c r="L745" s="10"/>
      <c r="O745" s="10"/>
    </row>
    <row r="746" spans="10:15" ht="13">
      <c r="J746" s="10"/>
      <c r="K746" s="10"/>
      <c r="L746" s="10"/>
      <c r="O746" s="10"/>
    </row>
    <row r="747" spans="10:15" ht="13">
      <c r="J747" s="10"/>
      <c r="K747" s="10"/>
      <c r="L747" s="10"/>
      <c r="O747" s="10"/>
    </row>
    <row r="748" spans="10:15" ht="13">
      <c r="J748" s="10"/>
      <c r="K748" s="10"/>
      <c r="L748" s="10"/>
      <c r="O748" s="10"/>
    </row>
    <row r="749" spans="10:15" ht="13">
      <c r="J749" s="10"/>
      <c r="K749" s="10"/>
      <c r="L749" s="10"/>
      <c r="O749" s="10"/>
    </row>
    <row r="750" spans="10:15" ht="13">
      <c r="J750" s="10"/>
      <c r="K750" s="10"/>
      <c r="L750" s="10"/>
      <c r="O750" s="10"/>
    </row>
    <row r="751" spans="10:15" ht="13">
      <c r="J751" s="10"/>
      <c r="K751" s="10"/>
      <c r="L751" s="10"/>
      <c r="O751" s="10"/>
    </row>
    <row r="752" spans="10:15" ht="13">
      <c r="J752" s="10"/>
      <c r="K752" s="10"/>
      <c r="L752" s="10"/>
      <c r="O752" s="10"/>
    </row>
    <row r="753" spans="10:15" ht="13">
      <c r="J753" s="10"/>
      <c r="K753" s="10"/>
      <c r="L753" s="10"/>
      <c r="O753" s="10"/>
    </row>
    <row r="754" spans="10:15" ht="13">
      <c r="J754" s="10"/>
      <c r="K754" s="10"/>
      <c r="L754" s="10"/>
      <c r="O754" s="10"/>
    </row>
    <row r="755" spans="10:15" ht="13">
      <c r="J755" s="10"/>
      <c r="K755" s="10"/>
      <c r="L755" s="10"/>
      <c r="O755" s="10"/>
    </row>
    <row r="756" spans="10:15" ht="13">
      <c r="J756" s="10"/>
      <c r="K756" s="10"/>
      <c r="L756" s="10"/>
      <c r="O756" s="10"/>
    </row>
    <row r="757" spans="10:15" ht="13">
      <c r="J757" s="10"/>
      <c r="K757" s="10"/>
      <c r="L757" s="10"/>
      <c r="O757" s="10"/>
    </row>
    <row r="758" spans="10:15" ht="13">
      <c r="J758" s="10"/>
      <c r="K758" s="10"/>
      <c r="L758" s="10"/>
      <c r="O758" s="10"/>
    </row>
    <row r="759" spans="10:15" ht="13">
      <c r="J759" s="10"/>
      <c r="K759" s="10"/>
      <c r="L759" s="10"/>
      <c r="O759" s="10"/>
    </row>
    <row r="760" spans="10:15" ht="13">
      <c r="J760" s="10"/>
      <c r="K760" s="10"/>
      <c r="L760" s="10"/>
      <c r="O760" s="10"/>
    </row>
    <row r="761" spans="10:15" ht="13">
      <c r="J761" s="10"/>
      <c r="K761" s="10"/>
      <c r="L761" s="10"/>
      <c r="O761" s="10"/>
    </row>
    <row r="762" spans="10:15" ht="13">
      <c r="J762" s="10"/>
      <c r="K762" s="10"/>
      <c r="L762" s="10"/>
      <c r="O762" s="10"/>
    </row>
    <row r="763" spans="10:15" ht="13">
      <c r="J763" s="10"/>
      <c r="K763" s="10"/>
      <c r="L763" s="10"/>
      <c r="O763" s="10"/>
    </row>
    <row r="764" spans="10:15" ht="13">
      <c r="J764" s="10"/>
      <c r="K764" s="10"/>
      <c r="L764" s="10"/>
      <c r="O764" s="10"/>
    </row>
    <row r="765" spans="10:15" ht="13">
      <c r="J765" s="10"/>
      <c r="K765" s="10"/>
      <c r="L765" s="10"/>
      <c r="O765" s="10"/>
    </row>
    <row r="766" spans="10:15" ht="13">
      <c r="J766" s="10"/>
      <c r="K766" s="10"/>
      <c r="L766" s="10"/>
      <c r="O766" s="10"/>
    </row>
    <row r="767" spans="10:15" ht="13">
      <c r="J767" s="10"/>
      <c r="K767" s="10"/>
      <c r="L767" s="10"/>
      <c r="O767" s="10"/>
    </row>
    <row r="768" spans="10:15" ht="13">
      <c r="J768" s="10"/>
      <c r="K768" s="10"/>
      <c r="L768" s="10"/>
      <c r="O768" s="10"/>
    </row>
    <row r="769" spans="10:15" ht="13">
      <c r="J769" s="10"/>
      <c r="K769" s="10"/>
      <c r="L769" s="10"/>
      <c r="O769" s="10"/>
    </row>
    <row r="770" spans="10:15" ht="13">
      <c r="J770" s="10"/>
      <c r="K770" s="10"/>
      <c r="L770" s="10"/>
      <c r="O770" s="10"/>
    </row>
    <row r="771" spans="10:15" ht="13">
      <c r="J771" s="10"/>
      <c r="K771" s="10"/>
      <c r="L771" s="10"/>
      <c r="O771" s="10"/>
    </row>
    <row r="772" spans="10:15" ht="13">
      <c r="J772" s="10"/>
      <c r="K772" s="10"/>
      <c r="L772" s="10"/>
      <c r="O772" s="10"/>
    </row>
    <row r="773" spans="10:15" ht="13">
      <c r="J773" s="10"/>
      <c r="K773" s="10"/>
      <c r="L773" s="10"/>
      <c r="O773" s="10"/>
    </row>
    <row r="774" spans="10:15" ht="13">
      <c r="J774" s="10"/>
      <c r="K774" s="10"/>
      <c r="L774" s="10"/>
      <c r="O774" s="10"/>
    </row>
    <row r="775" spans="10:15" ht="13">
      <c r="J775" s="10"/>
      <c r="K775" s="10"/>
      <c r="L775" s="10"/>
      <c r="O775" s="10"/>
    </row>
    <row r="776" spans="10:15" ht="13">
      <c r="J776" s="10"/>
      <c r="K776" s="10"/>
      <c r="L776" s="10"/>
      <c r="O776" s="10"/>
    </row>
    <row r="777" spans="10:15" ht="13">
      <c r="J777" s="10"/>
      <c r="K777" s="10"/>
      <c r="L777" s="10"/>
      <c r="O777" s="10"/>
    </row>
    <row r="778" spans="10:15" ht="13">
      <c r="J778" s="10"/>
      <c r="K778" s="10"/>
      <c r="L778" s="10"/>
      <c r="O778" s="10"/>
    </row>
    <row r="779" spans="10:15" ht="13">
      <c r="J779" s="10"/>
      <c r="K779" s="10"/>
      <c r="L779" s="10"/>
      <c r="O779" s="10"/>
    </row>
    <row r="780" spans="10:15" ht="13">
      <c r="J780" s="10"/>
      <c r="K780" s="10"/>
      <c r="L780" s="10"/>
      <c r="O780" s="10"/>
    </row>
    <row r="781" spans="10:15" ht="13">
      <c r="J781" s="10"/>
      <c r="K781" s="10"/>
      <c r="L781" s="10"/>
      <c r="O781" s="10"/>
    </row>
    <row r="782" spans="10:15" ht="13">
      <c r="J782" s="10"/>
      <c r="K782" s="10"/>
      <c r="L782" s="10"/>
      <c r="O782" s="10"/>
    </row>
    <row r="783" spans="10:15" ht="13">
      <c r="J783" s="10"/>
      <c r="K783" s="10"/>
      <c r="L783" s="10"/>
      <c r="O783" s="10"/>
    </row>
    <row r="784" spans="10:15" ht="13">
      <c r="J784" s="10"/>
      <c r="K784" s="10"/>
      <c r="L784" s="10"/>
      <c r="O784" s="10"/>
    </row>
    <row r="785" spans="10:15" ht="13">
      <c r="J785" s="10"/>
      <c r="K785" s="10"/>
      <c r="L785" s="10"/>
      <c r="O785" s="10"/>
    </row>
    <row r="786" spans="10:15" ht="13">
      <c r="J786" s="10"/>
      <c r="K786" s="10"/>
      <c r="L786" s="10"/>
      <c r="O786" s="10"/>
    </row>
    <row r="787" spans="10:15" ht="13">
      <c r="J787" s="10"/>
      <c r="K787" s="10"/>
      <c r="L787" s="10"/>
      <c r="O787" s="10"/>
    </row>
    <row r="788" spans="10:15" ht="13">
      <c r="J788" s="10"/>
      <c r="K788" s="10"/>
      <c r="L788" s="10"/>
      <c r="O788" s="10"/>
    </row>
    <row r="789" spans="10:15" ht="13">
      <c r="J789" s="10"/>
      <c r="K789" s="10"/>
      <c r="L789" s="10"/>
      <c r="O789" s="10"/>
    </row>
    <row r="790" spans="10:15" ht="13">
      <c r="J790" s="10"/>
      <c r="K790" s="10"/>
      <c r="L790" s="10"/>
      <c r="O790" s="10"/>
    </row>
    <row r="791" spans="10:15" ht="13">
      <c r="J791" s="10"/>
      <c r="K791" s="10"/>
      <c r="L791" s="10"/>
      <c r="O791" s="10"/>
    </row>
    <row r="792" spans="10:15" ht="13">
      <c r="J792" s="10"/>
      <c r="K792" s="10"/>
      <c r="L792" s="10"/>
      <c r="O792" s="10"/>
    </row>
    <row r="793" spans="10:15" ht="13">
      <c r="J793" s="10"/>
      <c r="K793" s="10"/>
      <c r="L793" s="10"/>
      <c r="O793" s="10"/>
    </row>
    <row r="794" spans="10:15" ht="13">
      <c r="J794" s="10"/>
      <c r="K794" s="10"/>
      <c r="L794" s="10"/>
      <c r="O794" s="10"/>
    </row>
    <row r="795" spans="10:15" ht="13">
      <c r="J795" s="10"/>
      <c r="K795" s="10"/>
      <c r="L795" s="10"/>
      <c r="O795" s="10"/>
    </row>
    <row r="796" spans="10:15" ht="13">
      <c r="J796" s="10"/>
      <c r="K796" s="10"/>
      <c r="L796" s="10"/>
      <c r="O796" s="10"/>
    </row>
    <row r="797" spans="10:15" ht="13">
      <c r="J797" s="10"/>
      <c r="K797" s="10"/>
      <c r="L797" s="10"/>
      <c r="O797" s="10"/>
    </row>
    <row r="798" spans="10:15" ht="13">
      <c r="J798" s="10"/>
      <c r="K798" s="10"/>
      <c r="L798" s="10"/>
      <c r="O798" s="10"/>
    </row>
    <row r="799" spans="10:15" ht="13">
      <c r="J799" s="10"/>
      <c r="K799" s="10"/>
      <c r="L799" s="10"/>
      <c r="O799" s="10"/>
    </row>
    <row r="800" spans="10:15" ht="13">
      <c r="J800" s="10"/>
      <c r="K800" s="10"/>
      <c r="L800" s="10"/>
      <c r="O800" s="10"/>
    </row>
    <row r="801" spans="10:15" ht="13">
      <c r="J801" s="10"/>
      <c r="K801" s="10"/>
      <c r="L801" s="10"/>
      <c r="O801" s="10"/>
    </row>
    <row r="802" spans="10:15" ht="13">
      <c r="J802" s="10"/>
      <c r="K802" s="10"/>
      <c r="L802" s="10"/>
      <c r="O802" s="10"/>
    </row>
    <row r="803" spans="10:15" ht="13">
      <c r="J803" s="10"/>
      <c r="K803" s="10"/>
      <c r="L803" s="10"/>
      <c r="O803" s="10"/>
    </row>
    <row r="804" spans="10:15" ht="13">
      <c r="J804" s="10"/>
      <c r="K804" s="10"/>
      <c r="L804" s="10"/>
      <c r="O804" s="10"/>
    </row>
    <row r="805" spans="10:15" ht="13">
      <c r="J805" s="10"/>
      <c r="K805" s="10"/>
      <c r="L805" s="10"/>
      <c r="O805" s="10"/>
    </row>
    <row r="806" spans="10:15" ht="13">
      <c r="J806" s="10"/>
      <c r="K806" s="10"/>
      <c r="L806" s="10"/>
      <c r="O806" s="10"/>
    </row>
    <row r="807" spans="10:15" ht="13">
      <c r="J807" s="10"/>
      <c r="K807" s="10"/>
      <c r="L807" s="10"/>
      <c r="O807" s="10"/>
    </row>
    <row r="808" spans="10:15" ht="13">
      <c r="J808" s="10"/>
      <c r="K808" s="10"/>
      <c r="L808" s="10"/>
      <c r="O808" s="10"/>
    </row>
    <row r="809" spans="10:15" ht="13">
      <c r="J809" s="10"/>
      <c r="K809" s="10"/>
      <c r="L809" s="10"/>
      <c r="O809" s="10"/>
    </row>
    <row r="810" spans="10:15" ht="13">
      <c r="J810" s="10"/>
      <c r="K810" s="10"/>
      <c r="L810" s="10"/>
      <c r="O810" s="10"/>
    </row>
    <row r="811" spans="10:15" ht="13">
      <c r="J811" s="10"/>
      <c r="K811" s="10"/>
      <c r="L811" s="10"/>
      <c r="O811" s="10"/>
    </row>
    <row r="812" spans="10:15" ht="13">
      <c r="J812" s="10"/>
      <c r="K812" s="10"/>
      <c r="L812" s="10"/>
      <c r="O812" s="10"/>
    </row>
    <row r="813" spans="10:15" ht="13">
      <c r="J813" s="10"/>
      <c r="K813" s="10"/>
      <c r="L813" s="10"/>
      <c r="O813" s="10"/>
    </row>
    <row r="814" spans="10:15" ht="13">
      <c r="J814" s="10"/>
      <c r="K814" s="10"/>
      <c r="L814" s="10"/>
      <c r="O814" s="10"/>
    </row>
    <row r="815" spans="10:15" ht="13">
      <c r="J815" s="10"/>
      <c r="K815" s="10"/>
      <c r="L815" s="10"/>
      <c r="O815" s="10"/>
    </row>
    <row r="816" spans="10:15" ht="13">
      <c r="J816" s="10"/>
      <c r="K816" s="10"/>
      <c r="L816" s="10"/>
      <c r="O816" s="10"/>
    </row>
    <row r="817" spans="10:15" ht="13">
      <c r="J817" s="10"/>
      <c r="K817" s="10"/>
      <c r="L817" s="10"/>
      <c r="O817" s="10"/>
    </row>
    <row r="818" spans="10:15" ht="13">
      <c r="J818" s="10"/>
      <c r="K818" s="10"/>
      <c r="L818" s="10"/>
      <c r="O818" s="10"/>
    </row>
    <row r="819" spans="10:15" ht="13">
      <c r="J819" s="10"/>
      <c r="K819" s="10"/>
      <c r="L819" s="10"/>
      <c r="O819" s="10"/>
    </row>
    <row r="820" spans="10:15" ht="13">
      <c r="J820" s="10"/>
      <c r="K820" s="10"/>
      <c r="L820" s="10"/>
      <c r="O820" s="10"/>
    </row>
    <row r="821" spans="10:15" ht="13">
      <c r="J821" s="10"/>
      <c r="K821" s="10"/>
      <c r="L821" s="10"/>
      <c r="O821" s="10"/>
    </row>
    <row r="822" spans="10:15" ht="13">
      <c r="J822" s="10"/>
      <c r="K822" s="10"/>
      <c r="L822" s="10"/>
      <c r="O822" s="10"/>
    </row>
    <row r="823" spans="10:15" ht="13">
      <c r="J823" s="10"/>
      <c r="K823" s="10"/>
      <c r="L823" s="10"/>
      <c r="O823" s="10"/>
    </row>
    <row r="824" spans="10:15" ht="13">
      <c r="J824" s="10"/>
      <c r="K824" s="10"/>
      <c r="L824" s="10"/>
      <c r="O824" s="10"/>
    </row>
    <row r="825" spans="10:15" ht="13">
      <c r="J825" s="10"/>
      <c r="K825" s="10"/>
      <c r="L825" s="10"/>
      <c r="O825" s="10"/>
    </row>
    <row r="826" spans="10:15" ht="13">
      <c r="J826" s="10"/>
      <c r="K826" s="10"/>
      <c r="L826" s="10"/>
      <c r="O826" s="10"/>
    </row>
    <row r="827" spans="10:15" ht="13">
      <c r="J827" s="10"/>
      <c r="K827" s="10"/>
      <c r="L827" s="10"/>
      <c r="O827" s="10"/>
    </row>
    <row r="828" spans="10:15" ht="13">
      <c r="J828" s="10"/>
      <c r="K828" s="10"/>
      <c r="L828" s="10"/>
      <c r="O828" s="10"/>
    </row>
    <row r="829" spans="10:15" ht="13">
      <c r="J829" s="10"/>
      <c r="K829" s="10"/>
      <c r="L829" s="10"/>
      <c r="O829" s="10"/>
    </row>
    <row r="830" spans="10:15" ht="13">
      <c r="J830" s="10"/>
      <c r="K830" s="10"/>
      <c r="L830" s="10"/>
      <c r="O830" s="10"/>
    </row>
    <row r="831" spans="10:15" ht="13">
      <c r="J831" s="10"/>
      <c r="K831" s="10"/>
      <c r="L831" s="10"/>
      <c r="O831" s="10"/>
    </row>
    <row r="832" spans="10:15" ht="13">
      <c r="J832" s="10"/>
      <c r="K832" s="10"/>
      <c r="L832" s="10"/>
      <c r="O832" s="10"/>
    </row>
    <row r="833" spans="10:15" ht="13">
      <c r="J833" s="10"/>
      <c r="K833" s="10"/>
      <c r="L833" s="10"/>
      <c r="O833" s="10"/>
    </row>
    <row r="834" spans="10:15" ht="13">
      <c r="J834" s="10"/>
      <c r="K834" s="10"/>
      <c r="L834" s="10"/>
      <c r="O834" s="10"/>
    </row>
    <row r="835" spans="10:15" ht="13">
      <c r="J835" s="10"/>
      <c r="K835" s="10"/>
      <c r="L835" s="10"/>
      <c r="O835" s="10"/>
    </row>
    <row r="836" spans="10:15" ht="13">
      <c r="J836" s="10"/>
      <c r="K836" s="10"/>
      <c r="L836" s="10"/>
      <c r="O836" s="10"/>
    </row>
    <row r="837" spans="10:15" ht="13">
      <c r="J837" s="10"/>
      <c r="K837" s="10"/>
      <c r="L837" s="10"/>
      <c r="O837" s="10"/>
    </row>
    <row r="838" spans="10:15" ht="13">
      <c r="J838" s="10"/>
      <c r="K838" s="10"/>
      <c r="L838" s="10"/>
      <c r="O838" s="10"/>
    </row>
    <row r="839" spans="10:15" ht="13">
      <c r="J839" s="10"/>
      <c r="K839" s="10"/>
      <c r="L839" s="10"/>
      <c r="O839" s="10"/>
    </row>
    <row r="840" spans="10:15" ht="13">
      <c r="J840" s="10"/>
      <c r="K840" s="10"/>
      <c r="L840" s="10"/>
      <c r="O840" s="10"/>
    </row>
    <row r="841" spans="10:15" ht="13">
      <c r="J841" s="10"/>
      <c r="K841" s="10"/>
      <c r="L841" s="10"/>
      <c r="O841" s="10"/>
    </row>
    <row r="842" spans="10:15" ht="13">
      <c r="J842" s="10"/>
      <c r="K842" s="10"/>
      <c r="L842" s="10"/>
      <c r="O842" s="10"/>
    </row>
    <row r="843" spans="10:15" ht="13">
      <c r="J843" s="10"/>
      <c r="K843" s="10"/>
      <c r="L843" s="10"/>
      <c r="O843" s="10"/>
    </row>
    <row r="844" spans="10:15" ht="13">
      <c r="J844" s="10"/>
      <c r="K844" s="10"/>
      <c r="L844" s="10"/>
      <c r="O844" s="10"/>
    </row>
    <row r="845" spans="10:15" ht="13">
      <c r="J845" s="10"/>
      <c r="K845" s="10"/>
      <c r="L845" s="10"/>
      <c r="O845" s="10"/>
    </row>
    <row r="846" spans="10:15" ht="13">
      <c r="J846" s="10"/>
      <c r="K846" s="10"/>
      <c r="L846" s="10"/>
      <c r="O846" s="10"/>
    </row>
    <row r="847" spans="10:15" ht="13">
      <c r="J847" s="10"/>
      <c r="K847" s="10"/>
      <c r="L847" s="10"/>
      <c r="O847" s="10"/>
    </row>
    <row r="848" spans="10:15" ht="13">
      <c r="J848" s="10"/>
      <c r="K848" s="10"/>
      <c r="L848" s="10"/>
      <c r="O848" s="10"/>
    </row>
    <row r="849" spans="10:15" ht="13">
      <c r="J849" s="10"/>
      <c r="K849" s="10"/>
      <c r="L849" s="10"/>
      <c r="O849" s="10"/>
    </row>
    <row r="850" spans="10:15" ht="13">
      <c r="J850" s="10"/>
      <c r="K850" s="10"/>
      <c r="L850" s="10"/>
      <c r="O850" s="10"/>
    </row>
    <row r="851" spans="10:15" ht="13">
      <c r="J851" s="10"/>
      <c r="K851" s="10"/>
      <c r="L851" s="10"/>
      <c r="O851" s="10"/>
    </row>
    <row r="852" spans="10:15" ht="13">
      <c r="J852" s="10"/>
      <c r="K852" s="10"/>
      <c r="L852" s="10"/>
      <c r="O852" s="10"/>
    </row>
    <row r="853" spans="10:15" ht="13">
      <c r="J853" s="10"/>
      <c r="K853" s="10"/>
      <c r="L853" s="10"/>
      <c r="O853" s="10"/>
    </row>
    <row r="854" spans="10:15" ht="13">
      <c r="J854" s="10"/>
      <c r="K854" s="10"/>
      <c r="L854" s="10"/>
      <c r="O854" s="10"/>
    </row>
    <row r="855" spans="10:15" ht="13">
      <c r="J855" s="10"/>
      <c r="K855" s="10"/>
      <c r="L855" s="10"/>
      <c r="O855" s="10"/>
    </row>
    <row r="856" spans="10:15" ht="13">
      <c r="J856" s="10"/>
      <c r="K856" s="10"/>
      <c r="L856" s="10"/>
      <c r="O856" s="10"/>
    </row>
    <row r="857" spans="10:15" ht="13">
      <c r="J857" s="10"/>
      <c r="K857" s="10"/>
      <c r="L857" s="10"/>
      <c r="O857" s="10"/>
    </row>
    <row r="858" spans="10:15" ht="13">
      <c r="J858" s="10"/>
      <c r="K858" s="10"/>
      <c r="L858" s="10"/>
      <c r="O858" s="10"/>
    </row>
    <row r="859" spans="10:15" ht="13">
      <c r="J859" s="10"/>
      <c r="K859" s="10"/>
      <c r="L859" s="10"/>
      <c r="O859" s="10"/>
    </row>
    <row r="860" spans="10:15" ht="13">
      <c r="J860" s="10"/>
      <c r="K860" s="10"/>
      <c r="L860" s="10"/>
      <c r="O860" s="10"/>
    </row>
    <row r="861" spans="10:15" ht="13">
      <c r="J861" s="10"/>
      <c r="K861" s="10"/>
      <c r="L861" s="10"/>
      <c r="O861" s="10"/>
    </row>
    <row r="862" spans="10:15" ht="13">
      <c r="J862" s="10"/>
      <c r="K862" s="10"/>
      <c r="L862" s="10"/>
      <c r="O862" s="10"/>
    </row>
    <row r="863" spans="10:15" ht="13">
      <c r="J863" s="10"/>
      <c r="K863" s="10"/>
      <c r="L863" s="10"/>
      <c r="O863" s="10"/>
    </row>
    <row r="864" spans="10:15" ht="13">
      <c r="J864" s="10"/>
      <c r="K864" s="10"/>
      <c r="L864" s="10"/>
      <c r="O864" s="10"/>
    </row>
    <row r="865" spans="10:15" ht="13">
      <c r="J865" s="10"/>
      <c r="K865" s="10"/>
      <c r="L865" s="10"/>
      <c r="O865" s="10"/>
    </row>
    <row r="866" spans="10:15" ht="13">
      <c r="J866" s="10"/>
      <c r="K866" s="10"/>
      <c r="L866" s="10"/>
      <c r="O866" s="10"/>
    </row>
    <row r="867" spans="10:15" ht="13">
      <c r="J867" s="10"/>
      <c r="K867" s="10"/>
      <c r="L867" s="10"/>
      <c r="O867" s="10"/>
    </row>
    <row r="868" spans="10:15" ht="13">
      <c r="J868" s="10"/>
      <c r="K868" s="10"/>
      <c r="L868" s="10"/>
      <c r="O868" s="10"/>
    </row>
    <row r="869" spans="10:15" ht="13">
      <c r="J869" s="10"/>
      <c r="K869" s="10"/>
      <c r="L869" s="10"/>
      <c r="O869" s="10"/>
    </row>
    <row r="870" spans="10:15" ht="13">
      <c r="J870" s="10"/>
      <c r="K870" s="10"/>
      <c r="L870" s="10"/>
      <c r="O870" s="10"/>
    </row>
    <row r="871" spans="10:15" ht="13">
      <c r="J871" s="10"/>
      <c r="K871" s="10"/>
      <c r="L871" s="10"/>
      <c r="O871" s="10"/>
    </row>
    <row r="872" spans="10:15" ht="13">
      <c r="J872" s="10"/>
      <c r="K872" s="10"/>
      <c r="L872" s="10"/>
      <c r="O872" s="10"/>
    </row>
    <row r="873" spans="10:15" ht="13">
      <c r="J873" s="10"/>
      <c r="K873" s="10"/>
      <c r="L873" s="10"/>
      <c r="O873" s="10"/>
    </row>
    <row r="874" spans="10:15" ht="13">
      <c r="J874" s="10"/>
      <c r="K874" s="10"/>
      <c r="L874" s="10"/>
      <c r="O874" s="10"/>
    </row>
    <row r="875" spans="10:15" ht="13">
      <c r="J875" s="10"/>
      <c r="K875" s="10"/>
      <c r="L875" s="10"/>
      <c r="O875" s="10"/>
    </row>
    <row r="876" spans="10:15" ht="13">
      <c r="J876" s="10"/>
      <c r="K876" s="10"/>
      <c r="L876" s="10"/>
      <c r="O876" s="10"/>
    </row>
    <row r="877" spans="10:15" ht="13">
      <c r="J877" s="10"/>
      <c r="K877" s="10"/>
      <c r="L877" s="10"/>
      <c r="O877" s="10"/>
    </row>
    <row r="878" spans="10:15" ht="13">
      <c r="J878" s="10"/>
      <c r="K878" s="10"/>
      <c r="L878" s="10"/>
      <c r="O878" s="10"/>
    </row>
    <row r="879" spans="10:15" ht="13">
      <c r="J879" s="10"/>
      <c r="K879" s="10"/>
      <c r="L879" s="10"/>
      <c r="O879" s="10"/>
    </row>
    <row r="880" spans="10:15" ht="13">
      <c r="J880" s="10"/>
      <c r="K880" s="10"/>
      <c r="L880" s="10"/>
      <c r="O880" s="10"/>
    </row>
    <row r="881" spans="10:15" ht="13">
      <c r="J881" s="10"/>
      <c r="K881" s="10"/>
      <c r="L881" s="10"/>
      <c r="O881" s="10"/>
    </row>
    <row r="882" spans="10:15" ht="13">
      <c r="J882" s="10"/>
      <c r="K882" s="10"/>
      <c r="L882" s="10"/>
      <c r="O882" s="10"/>
    </row>
    <row r="883" spans="10:15" ht="13">
      <c r="J883" s="10"/>
      <c r="K883" s="10"/>
      <c r="L883" s="10"/>
      <c r="O883" s="10"/>
    </row>
    <row r="884" spans="10:15" ht="13">
      <c r="J884" s="10"/>
      <c r="K884" s="10"/>
      <c r="L884" s="10"/>
      <c r="O884" s="10"/>
    </row>
    <row r="885" spans="10:15" ht="13">
      <c r="J885" s="10"/>
      <c r="K885" s="10"/>
      <c r="L885" s="10"/>
      <c r="O885" s="10"/>
    </row>
    <row r="886" spans="10:15" ht="13">
      <c r="J886" s="10"/>
      <c r="K886" s="10"/>
      <c r="L886" s="10"/>
      <c r="O886" s="10"/>
    </row>
    <row r="887" spans="10:15" ht="13">
      <c r="J887" s="10"/>
      <c r="K887" s="10"/>
      <c r="L887" s="10"/>
      <c r="O887" s="10"/>
    </row>
    <row r="888" spans="10:15" ht="13">
      <c r="J888" s="10"/>
      <c r="K888" s="10"/>
      <c r="L888" s="10"/>
      <c r="O888" s="10"/>
    </row>
    <row r="889" spans="10:15" ht="13">
      <c r="J889" s="10"/>
      <c r="K889" s="10"/>
      <c r="L889" s="10"/>
      <c r="O889" s="10"/>
    </row>
    <row r="890" spans="10:15" ht="13">
      <c r="J890" s="10"/>
      <c r="K890" s="10"/>
      <c r="L890" s="10"/>
      <c r="O890" s="10"/>
    </row>
    <row r="891" spans="10:15" ht="13">
      <c r="J891" s="10"/>
      <c r="K891" s="10"/>
      <c r="L891" s="10"/>
      <c r="O891" s="10"/>
    </row>
    <row r="892" spans="10:15" ht="13">
      <c r="J892" s="10"/>
      <c r="K892" s="10"/>
      <c r="L892" s="10"/>
      <c r="O892" s="10"/>
    </row>
    <row r="893" spans="10:15" ht="13">
      <c r="J893" s="10"/>
      <c r="K893" s="10"/>
      <c r="L893" s="10"/>
      <c r="O893" s="10"/>
    </row>
    <row r="894" spans="10:15" ht="13">
      <c r="J894" s="10"/>
      <c r="K894" s="10"/>
      <c r="L894" s="10"/>
      <c r="O894" s="10"/>
    </row>
    <row r="895" spans="10:15" ht="13">
      <c r="J895" s="10"/>
      <c r="K895" s="10"/>
      <c r="L895" s="10"/>
      <c r="O895" s="10"/>
    </row>
    <row r="896" spans="10:15" ht="13">
      <c r="J896" s="10"/>
      <c r="K896" s="10"/>
      <c r="L896" s="10"/>
      <c r="O896" s="10"/>
    </row>
    <row r="897" spans="10:15" ht="13">
      <c r="J897" s="10"/>
      <c r="K897" s="10"/>
      <c r="L897" s="10"/>
      <c r="O897" s="10"/>
    </row>
    <row r="898" spans="10:15" ht="13">
      <c r="J898" s="10"/>
      <c r="K898" s="10"/>
      <c r="L898" s="10"/>
      <c r="O898" s="10"/>
    </row>
    <row r="899" spans="10:15" ht="13">
      <c r="J899" s="10"/>
      <c r="K899" s="10"/>
      <c r="L899" s="10"/>
      <c r="O899" s="10"/>
    </row>
    <row r="900" spans="10:15" ht="13">
      <c r="J900" s="10"/>
      <c r="K900" s="10"/>
      <c r="L900" s="10"/>
      <c r="O900" s="10"/>
    </row>
    <row r="901" spans="10:15" ht="13">
      <c r="J901" s="10"/>
      <c r="K901" s="10"/>
      <c r="L901" s="10"/>
      <c r="O901" s="10"/>
    </row>
    <row r="902" spans="10:15" ht="13">
      <c r="J902" s="10"/>
      <c r="K902" s="10"/>
      <c r="L902" s="10"/>
      <c r="O902" s="10"/>
    </row>
    <row r="903" spans="10:15" ht="13">
      <c r="J903" s="10"/>
      <c r="K903" s="10"/>
      <c r="L903" s="10"/>
      <c r="O903" s="10"/>
    </row>
    <row r="904" spans="10:15" ht="13">
      <c r="J904" s="10"/>
      <c r="K904" s="10"/>
      <c r="L904" s="10"/>
      <c r="O904" s="10"/>
    </row>
    <row r="905" spans="10:15" ht="13">
      <c r="J905" s="10"/>
      <c r="K905" s="10"/>
      <c r="L905" s="10"/>
      <c r="O905" s="10"/>
    </row>
    <row r="906" spans="10:15" ht="13">
      <c r="J906" s="10"/>
      <c r="K906" s="10"/>
      <c r="L906" s="10"/>
      <c r="O906" s="10"/>
    </row>
    <row r="907" spans="10:15" ht="13">
      <c r="J907" s="10"/>
      <c r="K907" s="10"/>
      <c r="L907" s="10"/>
      <c r="O907" s="10"/>
    </row>
    <row r="908" spans="10:15" ht="13">
      <c r="J908" s="10"/>
      <c r="K908" s="10"/>
      <c r="L908" s="10"/>
      <c r="O908" s="10"/>
    </row>
    <row r="909" spans="10:15" ht="13">
      <c r="J909" s="10"/>
      <c r="K909" s="10"/>
      <c r="L909" s="10"/>
      <c r="O909" s="10"/>
    </row>
    <row r="910" spans="10:15" ht="13">
      <c r="J910" s="10"/>
      <c r="K910" s="10"/>
      <c r="L910" s="10"/>
      <c r="O910" s="10"/>
    </row>
    <row r="911" spans="10:15" ht="13">
      <c r="J911" s="10"/>
      <c r="K911" s="10"/>
      <c r="L911" s="10"/>
      <c r="O911" s="10"/>
    </row>
    <row r="912" spans="10:15" ht="13">
      <c r="J912" s="10"/>
      <c r="K912" s="10"/>
      <c r="L912" s="10"/>
      <c r="O912" s="10"/>
    </row>
    <row r="913" spans="10:15" ht="13">
      <c r="J913" s="10"/>
      <c r="K913" s="10"/>
      <c r="L913" s="10"/>
      <c r="O913" s="10"/>
    </row>
    <row r="914" spans="10:15" ht="13">
      <c r="J914" s="10"/>
      <c r="K914" s="10"/>
      <c r="L914" s="10"/>
      <c r="O914" s="10"/>
    </row>
    <row r="915" spans="10:15" ht="13">
      <c r="J915" s="10"/>
      <c r="K915" s="10"/>
      <c r="L915" s="10"/>
      <c r="O915" s="10"/>
    </row>
    <row r="916" spans="10:15" ht="13">
      <c r="J916" s="10"/>
      <c r="K916" s="10"/>
      <c r="L916" s="10"/>
      <c r="O916" s="10"/>
    </row>
    <row r="917" spans="10:15" ht="13">
      <c r="J917" s="10"/>
      <c r="K917" s="10"/>
      <c r="L917" s="10"/>
      <c r="O917" s="10"/>
    </row>
    <row r="918" spans="10:15" ht="13">
      <c r="J918" s="10"/>
      <c r="K918" s="10"/>
      <c r="L918" s="10"/>
      <c r="O918" s="10"/>
    </row>
    <row r="919" spans="10:15" ht="13">
      <c r="J919" s="10"/>
      <c r="K919" s="10"/>
      <c r="L919" s="10"/>
      <c r="O919" s="10"/>
    </row>
    <row r="920" spans="10:15" ht="13">
      <c r="J920" s="10"/>
      <c r="K920" s="10"/>
      <c r="L920" s="10"/>
      <c r="O920" s="10"/>
    </row>
    <row r="921" spans="10:15" ht="13">
      <c r="J921" s="10"/>
      <c r="K921" s="10"/>
      <c r="L921" s="10"/>
      <c r="O921" s="10"/>
    </row>
    <row r="922" spans="10:15" ht="13">
      <c r="J922" s="10"/>
      <c r="K922" s="10"/>
      <c r="L922" s="10"/>
      <c r="O922" s="10"/>
    </row>
    <row r="923" spans="10:15" ht="13">
      <c r="J923" s="10"/>
      <c r="K923" s="10"/>
      <c r="L923" s="10"/>
      <c r="O923" s="10"/>
    </row>
    <row r="924" spans="10:15" ht="13">
      <c r="J924" s="10"/>
      <c r="K924" s="10"/>
      <c r="L924" s="10"/>
      <c r="O924" s="10"/>
    </row>
    <row r="925" spans="10:15" ht="13">
      <c r="J925" s="10"/>
      <c r="K925" s="10"/>
      <c r="L925" s="10"/>
      <c r="O925" s="10"/>
    </row>
    <row r="926" spans="10:15" ht="13">
      <c r="J926" s="10"/>
      <c r="K926" s="10"/>
      <c r="L926" s="10"/>
      <c r="O926" s="10"/>
    </row>
    <row r="927" spans="10:15" ht="13">
      <c r="J927" s="10"/>
      <c r="K927" s="10"/>
      <c r="L927" s="10"/>
      <c r="O927" s="10"/>
    </row>
    <row r="928" spans="10:15" ht="13">
      <c r="J928" s="10"/>
      <c r="K928" s="10"/>
      <c r="L928" s="10"/>
      <c r="O928" s="10"/>
    </row>
    <row r="929" spans="10:15" ht="13">
      <c r="J929" s="10"/>
      <c r="K929" s="10"/>
      <c r="L929" s="10"/>
      <c r="O929" s="10"/>
    </row>
    <row r="930" spans="10:15" ht="13">
      <c r="J930" s="10"/>
      <c r="K930" s="10"/>
      <c r="L930" s="10"/>
      <c r="O930" s="10"/>
    </row>
    <row r="931" spans="10:15" ht="13">
      <c r="J931" s="10"/>
      <c r="K931" s="10"/>
      <c r="L931" s="10"/>
      <c r="O931" s="10"/>
    </row>
    <row r="932" spans="10:15" ht="13">
      <c r="J932" s="10"/>
      <c r="K932" s="10"/>
      <c r="L932" s="10"/>
      <c r="O932" s="10"/>
    </row>
    <row r="933" spans="10:15" ht="13">
      <c r="J933" s="10"/>
      <c r="K933" s="10"/>
      <c r="L933" s="10"/>
      <c r="O933" s="10"/>
    </row>
    <row r="934" spans="10:15" ht="13">
      <c r="J934" s="10"/>
      <c r="K934" s="10"/>
      <c r="L934" s="10"/>
      <c r="O934" s="10"/>
    </row>
    <row r="935" spans="10:15" ht="13">
      <c r="J935" s="10"/>
      <c r="K935" s="10"/>
      <c r="L935" s="10"/>
      <c r="O935" s="10"/>
    </row>
    <row r="936" spans="10:15" ht="13">
      <c r="J936" s="10"/>
      <c r="K936" s="10"/>
      <c r="L936" s="10"/>
      <c r="O936" s="10"/>
    </row>
    <row r="937" spans="10:15" ht="13">
      <c r="J937" s="10"/>
      <c r="K937" s="10"/>
      <c r="L937" s="10"/>
      <c r="O937" s="10"/>
    </row>
    <row r="938" spans="10:15" ht="13">
      <c r="J938" s="10"/>
      <c r="K938" s="10"/>
      <c r="L938" s="10"/>
      <c r="O938" s="10"/>
    </row>
    <row r="939" spans="10:15" ht="13">
      <c r="J939" s="10"/>
      <c r="K939" s="10"/>
      <c r="L939" s="10"/>
      <c r="O939" s="10"/>
    </row>
    <row r="940" spans="10:15" ht="13">
      <c r="J940" s="10"/>
      <c r="K940" s="10"/>
      <c r="L940" s="10"/>
      <c r="O940" s="10"/>
    </row>
    <row r="941" spans="10:15" ht="13">
      <c r="J941" s="10"/>
      <c r="K941" s="10"/>
      <c r="L941" s="10"/>
      <c r="O941" s="10"/>
    </row>
    <row r="942" spans="10:15" ht="13">
      <c r="J942" s="10"/>
      <c r="K942" s="10"/>
      <c r="L942" s="10"/>
      <c r="O942" s="10"/>
    </row>
    <row r="943" spans="10:15" ht="13">
      <c r="J943" s="10"/>
      <c r="K943" s="10"/>
      <c r="L943" s="10"/>
      <c r="O943" s="10"/>
    </row>
    <row r="944" spans="10:15" ht="13">
      <c r="J944" s="10"/>
      <c r="K944" s="10"/>
      <c r="L944" s="10"/>
      <c r="O944" s="10"/>
    </row>
    <row r="945" spans="10:15" ht="13">
      <c r="J945" s="10"/>
      <c r="K945" s="10"/>
      <c r="L945" s="10"/>
      <c r="O945" s="10"/>
    </row>
    <row r="946" spans="10:15" ht="13">
      <c r="J946" s="10"/>
      <c r="K946" s="10"/>
      <c r="L946" s="10"/>
      <c r="O946" s="10"/>
    </row>
    <row r="947" spans="10:15" ht="13">
      <c r="J947" s="10"/>
      <c r="K947" s="10"/>
      <c r="L947" s="10"/>
      <c r="O947" s="10"/>
    </row>
    <row r="948" spans="10:15" ht="13">
      <c r="J948" s="10"/>
      <c r="K948" s="10"/>
      <c r="L948" s="10"/>
      <c r="O948" s="10"/>
    </row>
    <row r="949" spans="10:15" ht="13">
      <c r="J949" s="10"/>
      <c r="K949" s="10"/>
      <c r="L949" s="10"/>
      <c r="O949" s="10"/>
    </row>
    <row r="950" spans="10:15" ht="13">
      <c r="J950" s="10"/>
      <c r="K950" s="10"/>
      <c r="L950" s="10"/>
      <c r="O950" s="10"/>
    </row>
    <row r="951" spans="10:15" ht="13">
      <c r="J951" s="10"/>
      <c r="K951" s="10"/>
      <c r="L951" s="10"/>
      <c r="O951" s="10"/>
    </row>
    <row r="952" spans="10:15" ht="13">
      <c r="J952" s="10"/>
      <c r="K952" s="10"/>
      <c r="L952" s="10"/>
      <c r="O952" s="10"/>
    </row>
    <row r="953" spans="10:15" ht="13">
      <c r="J953" s="10"/>
      <c r="K953" s="10"/>
      <c r="L953" s="10"/>
      <c r="O953" s="10"/>
    </row>
    <row r="954" spans="10:15" ht="13">
      <c r="J954" s="10"/>
      <c r="K954" s="10"/>
      <c r="L954" s="10"/>
      <c r="O954" s="10"/>
    </row>
    <row r="955" spans="10:15" ht="13">
      <c r="J955" s="10"/>
      <c r="K955" s="10"/>
      <c r="L955" s="10"/>
      <c r="O955" s="10"/>
    </row>
    <row r="956" spans="10:15" ht="13">
      <c r="J956" s="10"/>
      <c r="K956" s="10"/>
      <c r="L956" s="10"/>
      <c r="O956" s="10"/>
    </row>
    <row r="957" spans="10:15" ht="13">
      <c r="J957" s="10"/>
      <c r="K957" s="10"/>
      <c r="L957" s="10"/>
      <c r="O957" s="10"/>
    </row>
    <row r="958" spans="10:15" ht="13">
      <c r="J958" s="10"/>
      <c r="K958" s="10"/>
      <c r="L958" s="10"/>
      <c r="O958" s="10"/>
    </row>
    <row r="959" spans="10:15" ht="13">
      <c r="J959" s="10"/>
      <c r="K959" s="10"/>
      <c r="L959" s="10"/>
      <c r="O959" s="10"/>
    </row>
    <row r="960" spans="10:15" ht="13">
      <c r="J960" s="10"/>
      <c r="K960" s="10"/>
      <c r="L960" s="10"/>
      <c r="O960" s="10"/>
    </row>
    <row r="961" spans="10:15" ht="13">
      <c r="J961" s="10"/>
      <c r="K961" s="10"/>
      <c r="L961" s="10"/>
      <c r="O961" s="10"/>
    </row>
    <row r="962" spans="10:15" ht="13">
      <c r="J962" s="10"/>
      <c r="K962" s="10"/>
      <c r="L962" s="10"/>
      <c r="O962" s="10"/>
    </row>
    <row r="963" spans="10:15" ht="13">
      <c r="J963" s="10"/>
      <c r="K963" s="10"/>
      <c r="L963" s="10"/>
      <c r="O963" s="10"/>
    </row>
    <row r="964" spans="10:15" ht="13">
      <c r="J964" s="10"/>
      <c r="K964" s="10"/>
      <c r="L964" s="10"/>
      <c r="O964" s="10"/>
    </row>
    <row r="965" spans="10:15" ht="13">
      <c r="J965" s="10"/>
      <c r="K965" s="10"/>
      <c r="L965" s="10"/>
      <c r="O965" s="10"/>
    </row>
    <row r="966" spans="10:15" ht="13">
      <c r="J966" s="10"/>
      <c r="K966" s="10"/>
      <c r="L966" s="10"/>
      <c r="O966" s="10"/>
    </row>
    <row r="967" spans="10:15" ht="13">
      <c r="J967" s="10"/>
      <c r="K967" s="10"/>
      <c r="L967" s="10"/>
      <c r="O967" s="10"/>
    </row>
    <row r="968" spans="10:15" ht="13">
      <c r="J968" s="10"/>
      <c r="K968" s="10"/>
      <c r="L968" s="10"/>
      <c r="O968" s="10"/>
    </row>
    <row r="969" spans="10:15" ht="13">
      <c r="J969" s="10"/>
      <c r="K969" s="10"/>
      <c r="L969" s="10"/>
      <c r="O969" s="10"/>
    </row>
    <row r="970" spans="10:15" ht="13">
      <c r="J970" s="10"/>
      <c r="K970" s="10"/>
      <c r="L970" s="10"/>
      <c r="O970" s="10"/>
    </row>
    <row r="971" spans="10:15" ht="13">
      <c r="J971" s="10"/>
      <c r="K971" s="10"/>
      <c r="L971" s="10"/>
      <c r="O971" s="10"/>
    </row>
    <row r="972" spans="10:15" ht="13">
      <c r="J972" s="10"/>
      <c r="K972" s="10"/>
      <c r="L972" s="10"/>
      <c r="O972" s="10"/>
    </row>
    <row r="973" spans="10:15" ht="13">
      <c r="J973" s="10"/>
      <c r="K973" s="10"/>
      <c r="L973" s="10"/>
      <c r="O973" s="10"/>
    </row>
    <row r="974" spans="10:15" ht="13">
      <c r="J974" s="10"/>
      <c r="K974" s="10"/>
      <c r="L974" s="10"/>
      <c r="O974" s="10"/>
    </row>
    <row r="975" spans="10:15" ht="13">
      <c r="J975" s="10"/>
      <c r="K975" s="10"/>
      <c r="L975" s="10"/>
      <c r="O975" s="10"/>
    </row>
    <row r="976" spans="10:15" ht="13">
      <c r="J976" s="10"/>
      <c r="K976" s="10"/>
      <c r="L976" s="10"/>
      <c r="O976" s="10"/>
    </row>
    <row r="977" spans="10:15" ht="13">
      <c r="J977" s="10"/>
      <c r="K977" s="10"/>
      <c r="L977" s="10"/>
      <c r="O977" s="10"/>
    </row>
    <row r="978" spans="10:15" ht="13">
      <c r="J978" s="10"/>
      <c r="K978" s="10"/>
      <c r="L978" s="10"/>
      <c r="O978" s="10"/>
    </row>
    <row r="979" spans="10:15" ht="13">
      <c r="J979" s="10"/>
      <c r="K979" s="10"/>
      <c r="L979" s="10"/>
      <c r="O979" s="10"/>
    </row>
    <row r="980" spans="10:15" ht="13">
      <c r="J980" s="10"/>
      <c r="K980" s="10"/>
      <c r="L980" s="10"/>
      <c r="O980" s="10"/>
    </row>
    <row r="981" spans="10:15" ht="13">
      <c r="J981" s="10"/>
      <c r="K981" s="10"/>
      <c r="L981" s="10"/>
      <c r="O981" s="10"/>
    </row>
    <row r="982" spans="10:15" ht="13">
      <c r="J982" s="10"/>
      <c r="K982" s="10"/>
      <c r="L982" s="10"/>
      <c r="O982" s="10"/>
    </row>
    <row r="983" spans="10:15" ht="13">
      <c r="J983" s="10"/>
      <c r="K983" s="10"/>
      <c r="L983" s="10"/>
      <c r="O983" s="10"/>
    </row>
    <row r="984" spans="10:15" ht="13">
      <c r="J984" s="10"/>
      <c r="K984" s="10"/>
      <c r="L984" s="10"/>
      <c r="O984" s="10"/>
    </row>
    <row r="985" spans="10:15" ht="13">
      <c r="J985" s="10"/>
      <c r="K985" s="10"/>
      <c r="L985" s="10"/>
      <c r="O985" s="10"/>
    </row>
    <row r="986" spans="10:15" ht="13">
      <c r="J986" s="10"/>
      <c r="K986" s="10"/>
      <c r="L986" s="10"/>
      <c r="O986" s="10"/>
    </row>
    <row r="987" spans="10:15" ht="13">
      <c r="J987" s="10"/>
      <c r="K987" s="10"/>
      <c r="L987" s="10"/>
      <c r="O987" s="10"/>
    </row>
    <row r="988" spans="10:15" ht="13">
      <c r="J988" s="10"/>
      <c r="K988" s="10"/>
      <c r="L988" s="10"/>
      <c r="O988" s="10"/>
    </row>
    <row r="989" spans="10:15" ht="13">
      <c r="J989" s="10"/>
      <c r="K989" s="10"/>
      <c r="L989" s="10"/>
      <c r="O989" s="10"/>
    </row>
    <row r="990" spans="10:15" ht="13">
      <c r="J990" s="10"/>
      <c r="K990" s="10"/>
      <c r="L990" s="10"/>
      <c r="O990" s="10"/>
    </row>
    <row r="991" spans="10:15" ht="13">
      <c r="J991" s="10"/>
      <c r="K991" s="10"/>
      <c r="L991" s="10"/>
      <c r="O991" s="10"/>
    </row>
    <row r="992" spans="10:15" ht="13">
      <c r="J992" s="10"/>
      <c r="K992" s="10"/>
      <c r="L992" s="10"/>
      <c r="O992" s="10"/>
    </row>
    <row r="993" spans="10:15" ht="13">
      <c r="J993" s="10"/>
      <c r="K993" s="10"/>
      <c r="L993" s="10"/>
      <c r="O993" s="10"/>
    </row>
    <row r="994" spans="10:15" ht="13">
      <c r="J994" s="10"/>
      <c r="K994" s="10"/>
      <c r="L994" s="10"/>
      <c r="O994" s="10"/>
    </row>
    <row r="995" spans="10:15" ht="13">
      <c r="J995" s="10"/>
      <c r="K995" s="10"/>
      <c r="L995" s="10"/>
      <c r="O995" s="10"/>
    </row>
    <row r="996" spans="10:15" ht="13">
      <c r="J996" s="10"/>
      <c r="K996" s="10"/>
      <c r="L996" s="10"/>
      <c r="O996" s="10"/>
    </row>
    <row r="997" spans="10:15" ht="13">
      <c r="J997" s="10"/>
      <c r="K997" s="10"/>
      <c r="L997" s="10"/>
      <c r="O997" s="10"/>
    </row>
    <row r="998" spans="10:15" ht="13">
      <c r="J998" s="10"/>
      <c r="K998" s="10"/>
      <c r="L998" s="10"/>
      <c r="O998" s="10"/>
    </row>
    <row r="999" spans="10:15" ht="13">
      <c r="J999" s="10"/>
      <c r="K999" s="10"/>
      <c r="L999" s="10"/>
      <c r="O999" s="10"/>
    </row>
    <row r="1000" spans="10:15" ht="13">
      <c r="J1000" s="10"/>
      <c r="K1000" s="10"/>
      <c r="L1000" s="10"/>
      <c r="O1000" s="10"/>
    </row>
    <row r="1001" spans="10:15" ht="13">
      <c r="J1001" s="10"/>
      <c r="K1001" s="10"/>
      <c r="L1001" s="10"/>
      <c r="O1001" s="10"/>
    </row>
    <row r="1002" spans="10:15" ht="13">
      <c r="J1002" s="10"/>
      <c r="K1002" s="10"/>
      <c r="L1002" s="10"/>
      <c r="O1002" s="10"/>
    </row>
    <row r="1003" spans="10:15" ht="13">
      <c r="J1003" s="10"/>
      <c r="K1003" s="10"/>
      <c r="L1003" s="10"/>
      <c r="O1003" s="10"/>
    </row>
  </sheetData>
  <mergeCells count="3">
    <mergeCell ref="A105:L105"/>
    <mergeCell ref="A3:L3"/>
    <mergeCell ref="A4:L4"/>
  </mergeCells>
  <conditionalFormatting sqref="Q2:AF2 A5:J5 L5">
    <cfRule type="notContainsBlanks" dxfId="49" priority="1">
      <formula>LEN(TRIM(A2))&gt;0</formula>
    </cfRule>
  </conditionalFormatting>
  <hyperlinks>
    <hyperlink ref="A6" r:id="rId1" xr:uid="{00000000-0004-0000-0400-000000000000}"/>
    <hyperlink ref="A7" r:id="rId2" xr:uid="{00000000-0004-0000-0400-000001000000}"/>
    <hyperlink ref="A8" r:id="rId3" xr:uid="{00000000-0004-0000-0400-000002000000}"/>
    <hyperlink ref="A9" r:id="rId4" xr:uid="{00000000-0004-0000-0400-000003000000}"/>
    <hyperlink ref="A10" r:id="rId5" xr:uid="{00000000-0004-0000-0400-000004000000}"/>
    <hyperlink ref="A11" r:id="rId6" xr:uid="{00000000-0004-0000-0400-000005000000}"/>
    <hyperlink ref="A12" r:id="rId7" xr:uid="{00000000-0004-0000-0400-000006000000}"/>
    <hyperlink ref="A13" r:id="rId8" xr:uid="{00000000-0004-0000-0400-000007000000}"/>
    <hyperlink ref="A14" r:id="rId9" xr:uid="{00000000-0004-0000-0400-000008000000}"/>
    <hyperlink ref="A15" r:id="rId10" xr:uid="{00000000-0004-0000-0400-000009000000}"/>
    <hyperlink ref="A16" r:id="rId11" xr:uid="{00000000-0004-0000-0400-00000A000000}"/>
    <hyperlink ref="A17" r:id="rId12" xr:uid="{00000000-0004-0000-0400-00000B000000}"/>
    <hyperlink ref="A18" r:id="rId13" xr:uid="{00000000-0004-0000-0400-00000C000000}"/>
    <hyperlink ref="A19" r:id="rId14" xr:uid="{00000000-0004-0000-0400-00000D000000}"/>
    <hyperlink ref="A20" r:id="rId15" xr:uid="{00000000-0004-0000-0400-00000E000000}"/>
    <hyperlink ref="A21" r:id="rId16" xr:uid="{00000000-0004-0000-0400-00000F000000}"/>
    <hyperlink ref="A22" r:id="rId17" xr:uid="{00000000-0004-0000-0400-000010000000}"/>
    <hyperlink ref="A23" r:id="rId18" xr:uid="{00000000-0004-0000-0400-000011000000}"/>
    <hyperlink ref="A24" r:id="rId19" xr:uid="{00000000-0004-0000-0400-000012000000}"/>
    <hyperlink ref="A25" r:id="rId20" xr:uid="{00000000-0004-0000-0400-000013000000}"/>
    <hyperlink ref="A26" r:id="rId21" xr:uid="{00000000-0004-0000-0400-000014000000}"/>
    <hyperlink ref="A27" r:id="rId22" xr:uid="{00000000-0004-0000-0400-000015000000}"/>
    <hyperlink ref="A28" r:id="rId23" xr:uid="{00000000-0004-0000-0400-000016000000}"/>
    <hyperlink ref="A29" r:id="rId24" xr:uid="{00000000-0004-0000-0400-000017000000}"/>
    <hyperlink ref="A30" r:id="rId25" xr:uid="{00000000-0004-0000-0400-000018000000}"/>
    <hyperlink ref="A31" r:id="rId26" xr:uid="{00000000-0004-0000-0400-000019000000}"/>
    <hyperlink ref="A32" r:id="rId27" xr:uid="{00000000-0004-0000-0400-00001A000000}"/>
    <hyperlink ref="A33" r:id="rId28" xr:uid="{00000000-0004-0000-0400-00001B000000}"/>
    <hyperlink ref="A34" r:id="rId29" xr:uid="{00000000-0004-0000-0400-00001C000000}"/>
    <hyperlink ref="A35" r:id="rId30" xr:uid="{00000000-0004-0000-0400-00001D000000}"/>
    <hyperlink ref="A36" r:id="rId31" xr:uid="{00000000-0004-0000-0400-00001E000000}"/>
    <hyperlink ref="A37" r:id="rId32" xr:uid="{00000000-0004-0000-0400-00001F000000}"/>
    <hyperlink ref="A38" r:id="rId33" xr:uid="{00000000-0004-0000-0400-000020000000}"/>
    <hyperlink ref="A39" r:id="rId34" xr:uid="{00000000-0004-0000-0400-000021000000}"/>
    <hyperlink ref="A40" r:id="rId35" xr:uid="{00000000-0004-0000-0400-000022000000}"/>
    <hyperlink ref="A41" r:id="rId36" xr:uid="{00000000-0004-0000-0400-000023000000}"/>
    <hyperlink ref="A42" r:id="rId37" xr:uid="{00000000-0004-0000-0400-000024000000}"/>
    <hyperlink ref="A43" r:id="rId38" xr:uid="{00000000-0004-0000-0400-000025000000}"/>
    <hyperlink ref="A44" r:id="rId39" xr:uid="{00000000-0004-0000-0400-000026000000}"/>
    <hyperlink ref="A45" r:id="rId40" xr:uid="{00000000-0004-0000-0400-000027000000}"/>
    <hyperlink ref="A46" r:id="rId41" xr:uid="{00000000-0004-0000-0400-000028000000}"/>
    <hyperlink ref="A47" r:id="rId42" xr:uid="{00000000-0004-0000-0400-000029000000}"/>
    <hyperlink ref="A48" r:id="rId43" xr:uid="{00000000-0004-0000-0400-00002A000000}"/>
    <hyperlink ref="A49" r:id="rId44" xr:uid="{00000000-0004-0000-0400-00002B000000}"/>
    <hyperlink ref="A50" r:id="rId45" xr:uid="{00000000-0004-0000-0400-00002C000000}"/>
    <hyperlink ref="A51" r:id="rId46" xr:uid="{00000000-0004-0000-0400-00002D000000}"/>
    <hyperlink ref="A52" r:id="rId47" xr:uid="{00000000-0004-0000-0400-00002E000000}"/>
    <hyperlink ref="A53" r:id="rId48" xr:uid="{00000000-0004-0000-0400-00002F000000}"/>
    <hyperlink ref="A54" r:id="rId49" xr:uid="{00000000-0004-0000-0400-000030000000}"/>
    <hyperlink ref="A55" r:id="rId50" xr:uid="{00000000-0004-0000-0400-000031000000}"/>
    <hyperlink ref="A56" r:id="rId51" xr:uid="{00000000-0004-0000-0400-000032000000}"/>
    <hyperlink ref="A57" r:id="rId52" xr:uid="{00000000-0004-0000-0400-000033000000}"/>
    <hyperlink ref="A58" r:id="rId53" xr:uid="{00000000-0004-0000-0400-000034000000}"/>
    <hyperlink ref="A59" r:id="rId54" xr:uid="{00000000-0004-0000-0400-000035000000}"/>
    <hyperlink ref="A60" r:id="rId55" xr:uid="{00000000-0004-0000-0400-000036000000}"/>
    <hyperlink ref="A61" r:id="rId56" xr:uid="{00000000-0004-0000-0400-000037000000}"/>
    <hyperlink ref="A62" r:id="rId57" xr:uid="{00000000-0004-0000-0400-000038000000}"/>
    <hyperlink ref="A63" r:id="rId58" xr:uid="{00000000-0004-0000-0400-000039000000}"/>
    <hyperlink ref="A64" r:id="rId59" xr:uid="{00000000-0004-0000-0400-00003A000000}"/>
    <hyperlink ref="A65" r:id="rId60" xr:uid="{00000000-0004-0000-0400-00003B000000}"/>
    <hyperlink ref="A66" r:id="rId61" xr:uid="{00000000-0004-0000-0400-00003C000000}"/>
    <hyperlink ref="A67" r:id="rId62" xr:uid="{00000000-0004-0000-0400-00003D000000}"/>
    <hyperlink ref="A68" r:id="rId63" xr:uid="{00000000-0004-0000-0400-00003E000000}"/>
    <hyperlink ref="A69" r:id="rId64" xr:uid="{00000000-0004-0000-0400-00003F000000}"/>
    <hyperlink ref="A70" r:id="rId65" xr:uid="{00000000-0004-0000-0400-000040000000}"/>
    <hyperlink ref="A71" r:id="rId66" xr:uid="{00000000-0004-0000-0400-000041000000}"/>
    <hyperlink ref="A72" r:id="rId67" xr:uid="{00000000-0004-0000-0400-000042000000}"/>
    <hyperlink ref="A73" r:id="rId68" xr:uid="{00000000-0004-0000-0400-000043000000}"/>
    <hyperlink ref="A74" r:id="rId69" xr:uid="{00000000-0004-0000-0400-000044000000}"/>
    <hyperlink ref="A75" r:id="rId70" xr:uid="{00000000-0004-0000-0400-000045000000}"/>
    <hyperlink ref="A76" r:id="rId71" xr:uid="{00000000-0004-0000-0400-000046000000}"/>
    <hyperlink ref="A77" r:id="rId72" xr:uid="{00000000-0004-0000-0400-000047000000}"/>
    <hyperlink ref="A78" r:id="rId73" xr:uid="{00000000-0004-0000-0400-000048000000}"/>
    <hyperlink ref="A79" r:id="rId74" xr:uid="{00000000-0004-0000-0400-000049000000}"/>
    <hyperlink ref="A80" r:id="rId75" xr:uid="{00000000-0004-0000-0400-00004A000000}"/>
    <hyperlink ref="A81" r:id="rId76" xr:uid="{00000000-0004-0000-0400-00004B000000}"/>
    <hyperlink ref="A82" r:id="rId77" xr:uid="{00000000-0004-0000-0400-00004C000000}"/>
    <hyperlink ref="A83" r:id="rId78" xr:uid="{00000000-0004-0000-0400-00004D000000}"/>
    <hyperlink ref="A84" r:id="rId79" xr:uid="{00000000-0004-0000-0400-00004E000000}"/>
    <hyperlink ref="A85" r:id="rId80" xr:uid="{00000000-0004-0000-0400-00004F000000}"/>
    <hyperlink ref="A86" r:id="rId81" xr:uid="{00000000-0004-0000-0400-000050000000}"/>
    <hyperlink ref="A87" r:id="rId82" xr:uid="{00000000-0004-0000-0400-000051000000}"/>
    <hyperlink ref="A88" r:id="rId83" xr:uid="{00000000-0004-0000-0400-000052000000}"/>
    <hyperlink ref="A89" r:id="rId84" xr:uid="{00000000-0004-0000-0400-000053000000}"/>
    <hyperlink ref="A90" r:id="rId85" xr:uid="{00000000-0004-0000-0400-000054000000}"/>
    <hyperlink ref="A91" r:id="rId86" xr:uid="{00000000-0004-0000-0400-000055000000}"/>
    <hyperlink ref="A92" r:id="rId87" xr:uid="{00000000-0004-0000-0400-000056000000}"/>
    <hyperlink ref="A93" r:id="rId88" xr:uid="{00000000-0004-0000-0400-000057000000}"/>
    <hyperlink ref="A94" r:id="rId89" xr:uid="{00000000-0004-0000-0400-000058000000}"/>
    <hyperlink ref="A95" r:id="rId90" xr:uid="{00000000-0004-0000-0400-000059000000}"/>
    <hyperlink ref="A96" r:id="rId91" xr:uid="{00000000-0004-0000-0400-00005A000000}"/>
    <hyperlink ref="A97" r:id="rId92" xr:uid="{00000000-0004-0000-0400-00005B000000}"/>
    <hyperlink ref="A98" r:id="rId93" xr:uid="{00000000-0004-0000-0400-00005C000000}"/>
    <hyperlink ref="A99" r:id="rId94" xr:uid="{00000000-0004-0000-0400-00005D000000}"/>
    <hyperlink ref="A100" r:id="rId95" xr:uid="{00000000-0004-0000-0400-00005E000000}"/>
    <hyperlink ref="A101" r:id="rId96" xr:uid="{00000000-0004-0000-0400-00005F000000}"/>
    <hyperlink ref="A103" r:id="rId97" xr:uid="{00000000-0004-0000-0400-000060000000}"/>
    <hyperlink ref="A104" r:id="rId98" xr:uid="{00000000-0004-0000-0400-000061000000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B892"/>
  <sheetViews>
    <sheetView topLeftCell="A5" workbookViewId="0">
      <selection activeCell="D32" sqref="D32"/>
    </sheetView>
  </sheetViews>
  <sheetFormatPr baseColWidth="10" defaultColWidth="12.6640625" defaultRowHeight="15.75" customHeight="1" outlineLevelRow="1"/>
  <cols>
    <col min="1" max="1" width="35" customWidth="1"/>
    <col min="2" max="2" width="12" customWidth="1"/>
    <col min="5" max="5" width="13" customWidth="1"/>
    <col min="6" max="6" width="14" customWidth="1"/>
    <col min="7" max="7" width="14.1640625" customWidth="1"/>
    <col min="8" max="8" width="17.6640625" customWidth="1"/>
    <col min="9" max="9" width="19.6640625" customWidth="1"/>
    <col min="10" max="10" width="21.83203125" customWidth="1"/>
    <col min="11" max="11" width="23.33203125" customWidth="1"/>
    <col min="12" max="12" width="19" customWidth="1"/>
  </cols>
  <sheetData>
    <row r="1" spans="1:54" ht="13" collapsed="1"/>
    <row r="2" spans="1:54" ht="13" hidden="1" outlineLevel="1"/>
    <row r="3" spans="1:54" ht="13" hidden="1" outlineLevel="1"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 spans="1:54" ht="19" thickBot="1">
      <c r="D4" s="120"/>
      <c r="E4" s="37"/>
      <c r="F4" s="37"/>
    </row>
    <row r="5" spans="1:54" ht="18" customHeight="1" thickBot="1">
      <c r="A5" s="203" t="s">
        <v>645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5"/>
    </row>
    <row r="6" spans="1:54" ht="35" customHeight="1" outlineLevel="1" thickBot="1">
      <c r="A6" s="212" t="s">
        <v>654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4"/>
      <c r="M6" s="200"/>
      <c r="N6" s="174"/>
      <c r="O6" s="174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</row>
    <row r="7" spans="1:54" ht="40" customHeight="1" outlineLevel="1" thickBot="1">
      <c r="A7" s="206" t="s">
        <v>616</v>
      </c>
      <c r="B7" s="207" t="s">
        <v>0</v>
      </c>
      <c r="C7" s="134" t="s">
        <v>631</v>
      </c>
      <c r="D7" s="134" t="s">
        <v>632</v>
      </c>
      <c r="E7" s="135" t="s">
        <v>633</v>
      </c>
      <c r="F7" s="134" t="s">
        <v>634</v>
      </c>
      <c r="G7" s="134" t="s">
        <v>641</v>
      </c>
      <c r="H7" s="136" t="s">
        <v>636</v>
      </c>
      <c r="I7" s="160" t="s">
        <v>637</v>
      </c>
      <c r="J7" s="136" t="s">
        <v>642</v>
      </c>
      <c r="K7" s="160" t="s">
        <v>643</v>
      </c>
      <c r="L7" s="269" t="s">
        <v>666</v>
      </c>
      <c r="M7" s="201"/>
      <c r="N7" s="37"/>
      <c r="O7" s="37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</row>
    <row r="8" spans="1:54" ht="14" outlineLevel="1" thickBot="1">
      <c r="A8" s="195" t="s">
        <v>145</v>
      </c>
      <c r="B8" s="63" t="s">
        <v>37</v>
      </c>
      <c r="C8" s="47">
        <v>74.75</v>
      </c>
      <c r="D8" s="47">
        <v>538</v>
      </c>
      <c r="E8" s="176">
        <f>D8/(C8*8765.81277)*1000</f>
        <v>0.82106754998780551</v>
      </c>
      <c r="F8" s="47">
        <v>35.799999999999997</v>
      </c>
      <c r="G8" s="47"/>
      <c r="H8" s="184">
        <f>C8*E8/F8</f>
        <v>1.7143798704354321</v>
      </c>
      <c r="I8" s="111">
        <f>D8*10^(-3)/(F8)</f>
        <v>1.5027932960893857E-2</v>
      </c>
      <c r="J8" s="48"/>
      <c r="K8" s="70"/>
      <c r="L8" s="47"/>
      <c r="M8" s="201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</row>
    <row r="9" spans="1:54" ht="13" outlineLevel="1">
      <c r="A9" s="195" t="s">
        <v>146</v>
      </c>
      <c r="B9" s="343" t="s">
        <v>30</v>
      </c>
      <c r="C9" s="47">
        <v>233.6</v>
      </c>
      <c r="D9" s="47">
        <v>1352</v>
      </c>
      <c r="E9" s="176">
        <f>D9/(C9*8765.81277)*1000</f>
        <v>0.66025494551792863</v>
      </c>
      <c r="F9" s="47">
        <v>290</v>
      </c>
      <c r="G9" s="47"/>
      <c r="H9" s="184">
        <f>C9*E9/F9</f>
        <v>0.53184674232064877</v>
      </c>
      <c r="I9" s="111">
        <f>D9*10^(-3)/(F9)</f>
        <v>4.6620689655172418E-3</v>
      </c>
      <c r="J9" s="48"/>
      <c r="K9" s="48"/>
      <c r="L9" s="47"/>
      <c r="M9" s="201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</row>
    <row r="10" spans="1:54" ht="13" outlineLevel="1">
      <c r="A10" s="196" t="s">
        <v>147</v>
      </c>
      <c r="B10" s="340" t="s">
        <v>30</v>
      </c>
      <c r="C10" s="36">
        <v>1250</v>
      </c>
      <c r="D10" s="36">
        <v>5500</v>
      </c>
      <c r="E10" s="177">
        <f t="shared" ref="E10:E26" si="0">D10/(C10*8765.81277)*1000</f>
        <v>0.50195003195351162</v>
      </c>
      <c r="F10" s="36">
        <v>476</v>
      </c>
      <c r="G10" s="36"/>
      <c r="H10" s="93">
        <f>C10*E10/F10</f>
        <v>1.318146092314894</v>
      </c>
      <c r="I10" s="91">
        <f>D10*10^(-3)/(F10)</f>
        <v>1.1554621848739496E-2</v>
      </c>
      <c r="J10" s="46"/>
      <c r="K10" s="46"/>
      <c r="L10" s="36"/>
      <c r="M10" s="201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</row>
    <row r="11" spans="1:54" ht="13" outlineLevel="1">
      <c r="A11" s="196" t="s">
        <v>148</v>
      </c>
      <c r="B11" s="340" t="s">
        <v>30</v>
      </c>
      <c r="C11" s="36">
        <v>135</v>
      </c>
      <c r="D11" s="36">
        <v>380</v>
      </c>
      <c r="E11" s="177">
        <f t="shared" si="0"/>
        <v>0.32111281505443506</v>
      </c>
      <c r="F11" s="36"/>
      <c r="G11" s="36"/>
      <c r="H11" s="93"/>
      <c r="I11" s="91"/>
      <c r="J11" s="46"/>
      <c r="K11" s="46"/>
      <c r="L11" s="36"/>
      <c r="M11" s="201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</row>
    <row r="12" spans="1:54" ht="13" outlineLevel="1">
      <c r="A12" s="196" t="s">
        <v>149</v>
      </c>
      <c r="B12" s="340" t="s">
        <v>30</v>
      </c>
      <c r="C12" s="36">
        <v>360</v>
      </c>
      <c r="D12" s="36"/>
      <c r="E12" s="177"/>
      <c r="F12" s="36">
        <v>110</v>
      </c>
      <c r="G12" s="36"/>
      <c r="H12" s="93"/>
      <c r="I12" s="91"/>
      <c r="J12" s="46"/>
      <c r="K12" s="46"/>
      <c r="L12" s="36"/>
      <c r="M12" s="201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</row>
    <row r="13" spans="1:54" ht="14" outlineLevel="1" thickBot="1">
      <c r="A13" s="197" t="s">
        <v>150</v>
      </c>
      <c r="B13" s="344" t="s">
        <v>30</v>
      </c>
      <c r="C13" s="50">
        <v>11.01</v>
      </c>
      <c r="D13" s="50">
        <v>63.72</v>
      </c>
      <c r="E13" s="178">
        <f t="shared" si="0"/>
        <v>0.66023152580459399</v>
      </c>
      <c r="F13" s="50">
        <v>125</v>
      </c>
      <c r="G13" s="50">
        <v>112400</v>
      </c>
      <c r="H13" s="185">
        <f>C13*E13/F13</f>
        <v>5.8153192792868638E-2</v>
      </c>
      <c r="I13" s="112">
        <f>D13*10^(-3)/(F13)</f>
        <v>5.0975999999999994E-4</v>
      </c>
      <c r="J13" s="186">
        <f>C13*10^6*E13/(G13*10^6)</f>
        <v>6.4672145009862808E-5</v>
      </c>
      <c r="K13" s="186">
        <f>D13*10^(-3)/(G13)</f>
        <v>5.6690391459074728E-7</v>
      </c>
      <c r="L13" s="185">
        <f>H13/J13</f>
        <v>899.2</v>
      </c>
      <c r="M13" s="201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</row>
    <row r="14" spans="1:54" ht="14" outlineLevel="1" thickBot="1">
      <c r="A14" s="198" t="s">
        <v>644</v>
      </c>
      <c r="B14" s="345" t="s">
        <v>27</v>
      </c>
      <c r="C14" s="54">
        <f>2100+592</f>
        <v>2692</v>
      </c>
      <c r="D14" s="54">
        <v>10042</v>
      </c>
      <c r="E14" s="176">
        <f t="shared" si="0"/>
        <v>0.42555232852198127</v>
      </c>
      <c r="F14" s="54">
        <v>5250</v>
      </c>
      <c r="G14" s="54"/>
      <c r="H14" s="183">
        <f>C14*E14/F14</f>
        <v>0.21820702254879498</v>
      </c>
      <c r="I14" s="182">
        <f>D14*10^(-3)/(F14)</f>
        <v>1.9127619047619047E-3</v>
      </c>
      <c r="J14" s="187"/>
      <c r="K14" s="193"/>
      <c r="L14" s="183"/>
      <c r="M14" s="201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</row>
    <row r="15" spans="1:54" ht="13" outlineLevel="1">
      <c r="A15" s="195" t="s">
        <v>151</v>
      </c>
      <c r="B15" s="343" t="s">
        <v>25</v>
      </c>
      <c r="C15" s="47">
        <v>2075</v>
      </c>
      <c r="D15" s="47">
        <v>14940</v>
      </c>
      <c r="E15" s="176">
        <f t="shared" si="0"/>
        <v>0.82137277956029175</v>
      </c>
      <c r="F15" s="47">
        <v>2739</v>
      </c>
      <c r="G15" s="47">
        <v>56927</v>
      </c>
      <c r="H15" s="184">
        <f>C15*E15/F15</f>
        <v>0.62225210572749368</v>
      </c>
      <c r="I15" s="111">
        <f>D15*10^(-3)/(F15)</f>
        <v>5.4545454545454541E-3</v>
      </c>
      <c r="J15" s="188">
        <f>C15*10^6*E15/(G15*10^6)</f>
        <v>2.9939194364494975E-2</v>
      </c>
      <c r="K15" s="188">
        <f>D15*10^(-3)/(G15)</f>
        <v>2.6244137228380207E-4</v>
      </c>
      <c r="L15" s="184">
        <f>H15/J15</f>
        <v>20.783862723621755</v>
      </c>
      <c r="M15" s="201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</row>
    <row r="16" spans="1:54" ht="14" outlineLevel="1" thickBot="1">
      <c r="A16" s="197" t="s">
        <v>152</v>
      </c>
      <c r="B16" s="344" t="s">
        <v>25</v>
      </c>
      <c r="C16" s="50">
        <v>25</v>
      </c>
      <c r="D16" s="50"/>
      <c r="E16" s="178"/>
      <c r="F16" s="50">
        <v>150</v>
      </c>
      <c r="G16" s="50"/>
      <c r="H16" s="185"/>
      <c r="I16" s="112"/>
      <c r="J16" s="186"/>
      <c r="K16" s="186"/>
      <c r="L16" s="185"/>
      <c r="M16" s="201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</row>
    <row r="17" spans="1:54" ht="13">
      <c r="A17" s="195" t="s">
        <v>153</v>
      </c>
      <c r="B17" s="343" t="s">
        <v>31</v>
      </c>
      <c r="C17" s="47">
        <v>540</v>
      </c>
      <c r="D17" s="47">
        <v>1519.4</v>
      </c>
      <c r="E17" s="176">
        <f t="shared" si="0"/>
        <v>0.32098605999586094</v>
      </c>
      <c r="F17" s="47">
        <v>300</v>
      </c>
      <c r="G17" s="47">
        <v>1500000</v>
      </c>
      <c r="H17" s="184">
        <f t="shared" ref="H16:H26" si="1">C17*E17/F17</f>
        <v>0.57777490799254971</v>
      </c>
      <c r="I17" s="111">
        <f>D17*10^(-3)/(F17)</f>
        <v>5.064666666666667E-3</v>
      </c>
      <c r="J17" s="188">
        <f>C17*10^6*E17/(G17*10^6)</f>
        <v>1.1555498159850995E-4</v>
      </c>
      <c r="K17" s="188">
        <f>D17*10^(-3)/(G17)</f>
        <v>1.0129333333333335E-6</v>
      </c>
      <c r="L17" s="184">
        <f>H17/J17</f>
        <v>5000</v>
      </c>
      <c r="M17" s="201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</row>
    <row r="18" spans="1:54" ht="13">
      <c r="A18" s="199" t="s">
        <v>154</v>
      </c>
      <c r="B18" s="340" t="s">
        <v>31</v>
      </c>
      <c r="C18" s="36">
        <v>760</v>
      </c>
      <c r="D18" s="36">
        <v>2138.4</v>
      </c>
      <c r="E18" s="177">
        <f t="shared" si="0"/>
        <v>0.3209838362229035</v>
      </c>
      <c r="F18" s="36">
        <v>1150</v>
      </c>
      <c r="G18" s="36"/>
      <c r="H18" s="93">
        <f t="shared" si="1"/>
        <v>0.21212844828644056</v>
      </c>
      <c r="I18" s="91">
        <f>D18*10^(-3)/(F18)</f>
        <v>1.8594782608695654E-3</v>
      </c>
      <c r="J18" s="189"/>
      <c r="K18" s="189"/>
      <c r="L18" s="93"/>
      <c r="M18" s="201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</row>
    <row r="19" spans="1:54" ht="13" outlineLevel="1">
      <c r="A19" s="196" t="s">
        <v>155</v>
      </c>
      <c r="B19" s="340" t="s">
        <v>31</v>
      </c>
      <c r="C19" s="36">
        <v>3050</v>
      </c>
      <c r="D19" s="36">
        <v>4700</v>
      </c>
      <c r="E19" s="177">
        <f t="shared" si="0"/>
        <v>0.17579472057984386</v>
      </c>
      <c r="F19" s="36"/>
      <c r="G19" s="36">
        <v>20000</v>
      </c>
      <c r="H19" s="93"/>
      <c r="I19" s="91"/>
      <c r="J19" s="189">
        <f>C19*10^6*E19/(G19*10^6)</f>
        <v>2.6808694888426188E-2</v>
      </c>
      <c r="K19" s="189">
        <f>D19*10^(-3)/(G19)</f>
        <v>2.3500000000000002E-4</v>
      </c>
      <c r="L19" s="93"/>
      <c r="M19" s="201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</row>
    <row r="20" spans="1:54" ht="13" outlineLevel="1">
      <c r="A20" s="196" t="s">
        <v>156</v>
      </c>
      <c r="B20" s="340" t="s">
        <v>31</v>
      </c>
      <c r="C20" s="36">
        <v>600</v>
      </c>
      <c r="D20" s="36">
        <v>1688.21</v>
      </c>
      <c r="E20" s="177">
        <f t="shared" si="0"/>
        <v>0.32098373615312031</v>
      </c>
      <c r="F20" s="36">
        <v>320</v>
      </c>
      <c r="G20" s="36"/>
      <c r="H20" s="93">
        <f t="shared" si="1"/>
        <v>0.60184450528710065</v>
      </c>
      <c r="I20" s="91">
        <f>D20*10^(-3)/(F20)</f>
        <v>5.27565625E-3</v>
      </c>
      <c r="J20" s="189"/>
      <c r="K20" s="189"/>
      <c r="L20" s="93"/>
      <c r="M20" s="201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</row>
    <row r="21" spans="1:54" ht="15.75" customHeight="1" thickBot="1">
      <c r="A21" s="197" t="s">
        <v>157</v>
      </c>
      <c r="B21" s="344" t="s">
        <v>31</v>
      </c>
      <c r="C21" s="50">
        <v>700</v>
      </c>
      <c r="D21" s="50">
        <v>2630</v>
      </c>
      <c r="E21" s="178">
        <f t="shared" si="0"/>
        <v>0.42861317663562837</v>
      </c>
      <c r="F21" s="50"/>
      <c r="G21" s="50"/>
      <c r="H21" s="185"/>
      <c r="I21" s="112"/>
      <c r="J21" s="186"/>
      <c r="K21" s="186"/>
      <c r="L21" s="185"/>
      <c r="M21" s="201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</row>
    <row r="22" spans="1:54" ht="13">
      <c r="A22" s="195" t="s">
        <v>158</v>
      </c>
      <c r="B22" s="343" t="s">
        <v>33</v>
      </c>
      <c r="C22" s="47">
        <v>1038</v>
      </c>
      <c r="D22" s="47">
        <v>6100</v>
      </c>
      <c r="E22" s="176">
        <f t="shared" si="0"/>
        <v>0.67040970286311541</v>
      </c>
      <c r="F22" s="47">
        <v>8502</v>
      </c>
      <c r="G22" s="47"/>
      <c r="H22" s="184">
        <f t="shared" si="1"/>
        <v>8.1849596750401529E-2</v>
      </c>
      <c r="I22" s="111">
        <f>D22*10^(-3)/(F22)</f>
        <v>7.1747824041402031E-4</v>
      </c>
      <c r="J22" s="188"/>
      <c r="K22" s="188"/>
      <c r="L22" s="184"/>
      <c r="M22" s="201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</row>
    <row r="23" spans="1:54" ht="14" outlineLevel="1" thickBot="1">
      <c r="A23" s="197" t="s">
        <v>159</v>
      </c>
      <c r="B23" s="344" t="s">
        <v>33</v>
      </c>
      <c r="C23" s="50">
        <v>400</v>
      </c>
      <c r="D23" s="50">
        <v>1269.52</v>
      </c>
      <c r="E23" s="178">
        <f t="shared" si="0"/>
        <v>0.36206568441228526</v>
      </c>
      <c r="F23" s="50">
        <v>444</v>
      </c>
      <c r="G23" s="50"/>
      <c r="H23" s="185">
        <f t="shared" si="1"/>
        <v>0.32618530127232909</v>
      </c>
      <c r="I23" s="112">
        <f>D23*10^(-3)/(F23)</f>
        <v>2.8592792792792791E-3</v>
      </c>
      <c r="J23" s="186"/>
      <c r="K23" s="186"/>
      <c r="L23" s="185"/>
      <c r="M23" s="201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</row>
    <row r="24" spans="1:54" ht="13" outlineLevel="1">
      <c r="A24" s="195" t="s">
        <v>160</v>
      </c>
      <c r="B24" s="343" t="s">
        <v>34</v>
      </c>
      <c r="C24" s="47">
        <f>1626+600</f>
        <v>2226</v>
      </c>
      <c r="D24" s="47">
        <v>6400</v>
      </c>
      <c r="E24" s="176">
        <f t="shared" si="0"/>
        <v>0.32799152622952643</v>
      </c>
      <c r="F24" s="47">
        <v>5400</v>
      </c>
      <c r="G24" s="47">
        <v>663000</v>
      </c>
      <c r="H24" s="184">
        <f t="shared" si="1"/>
        <v>0.13520539581239366</v>
      </c>
      <c r="I24" s="111">
        <f>D24*10^(-3)/(F24)</f>
        <v>1.1851851851851852E-3</v>
      </c>
      <c r="J24" s="188">
        <f>C24*10^6*E24/(G24*10^6)</f>
        <v>1.101220418381487E-3</v>
      </c>
      <c r="K24" s="188">
        <f>D24*10^(-3)/(G24)</f>
        <v>9.6530920060331825E-6</v>
      </c>
      <c r="L24" s="184">
        <f>H24/J24</f>
        <v>122.77777777777776</v>
      </c>
      <c r="M24" s="201"/>
      <c r="N24" s="37"/>
      <c r="O24" s="37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</row>
    <row r="25" spans="1:54" ht="13" outlineLevel="1">
      <c r="A25" s="196" t="s">
        <v>161</v>
      </c>
      <c r="B25" s="340" t="s">
        <v>34</v>
      </c>
      <c r="C25" s="36">
        <v>12</v>
      </c>
      <c r="D25" s="36"/>
      <c r="E25" s="177"/>
      <c r="F25" s="36">
        <v>96.4</v>
      </c>
      <c r="G25" s="36">
        <v>7120</v>
      </c>
      <c r="H25" s="93"/>
      <c r="I25" s="91"/>
      <c r="J25" s="189"/>
      <c r="K25" s="189"/>
      <c r="L25" s="93"/>
      <c r="M25" s="201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</row>
    <row r="26" spans="1:54" ht="14" outlineLevel="1" thickBot="1">
      <c r="A26" s="197" t="s">
        <v>162</v>
      </c>
      <c r="B26" s="344" t="s">
        <v>34</v>
      </c>
      <c r="C26" s="50">
        <v>2400</v>
      </c>
      <c r="D26" s="50">
        <v>10215</v>
      </c>
      <c r="E26" s="178">
        <f t="shared" si="0"/>
        <v>0.48555109625048487</v>
      </c>
      <c r="F26" s="50">
        <v>25.6</v>
      </c>
      <c r="G26" s="50">
        <v>508000</v>
      </c>
      <c r="H26" s="185">
        <f t="shared" si="1"/>
        <v>45.520415273482953</v>
      </c>
      <c r="I26" s="112">
        <f>D26*10^(-3)/(F26)</f>
        <v>0.39902343749999997</v>
      </c>
      <c r="J26" s="186">
        <f>C26*10^6*E26/(G26*10^6)</f>
        <v>2.2939421870101649E-3</v>
      </c>
      <c r="K26" s="186">
        <f>D26*10^(-3)/(G26)</f>
        <v>2.0108267716535431E-5</v>
      </c>
      <c r="L26" s="185">
        <f>H26/J26</f>
        <v>19843.749999999996</v>
      </c>
      <c r="M26" s="201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</row>
    <row r="27" spans="1:54" ht="35" customHeight="1" outlineLevel="1" thickBot="1">
      <c r="A27" s="211" t="s">
        <v>638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9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</row>
    <row r="28" spans="1:54" ht="13" outlineLevel="1">
      <c r="L28" s="34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</row>
    <row r="29" spans="1:54" ht="13" outlineLevel="1">
      <c r="A29" s="170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</row>
    <row r="30" spans="1:54" ht="13" outlineLevel="1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2"/>
      <c r="O30" s="173"/>
    </row>
    <row r="31" spans="1:54" ht="13">
      <c r="A31" s="37"/>
      <c r="B31" s="37"/>
      <c r="C31" s="37"/>
      <c r="D31" s="37"/>
      <c r="E31" s="36"/>
      <c r="F31" s="37"/>
      <c r="G31" s="37"/>
      <c r="H31" s="37"/>
      <c r="I31" s="37"/>
      <c r="J31" s="37"/>
      <c r="K31" s="37"/>
      <c r="L31" s="37"/>
      <c r="M31" s="37"/>
      <c r="N31" s="55"/>
      <c r="O31" s="37"/>
    </row>
    <row r="32" spans="1:54" ht="13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</row>
    <row r="33" spans="1:15" ht="13" outlineLevel="1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2"/>
      <c r="O33" s="173"/>
    </row>
    <row r="34" spans="1:15" ht="13" outlineLevel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ht="13" outlineLevel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ht="13" outlineLevel="1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</row>
    <row r="37" spans="1:15" ht="13" outlineLevel="1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2"/>
      <c r="O37" s="173"/>
    </row>
    <row r="38" spans="1:15" ht="13" outlineLevel="1">
      <c r="A38" s="37"/>
      <c r="B38" s="37"/>
      <c r="C38" s="37"/>
      <c r="D38" s="37"/>
      <c r="E38" s="36"/>
      <c r="F38" s="37"/>
      <c r="G38" s="37"/>
      <c r="H38" s="37"/>
      <c r="I38" s="37"/>
      <c r="J38" s="37"/>
      <c r="K38" s="37"/>
      <c r="L38" s="37"/>
      <c r="M38" s="37"/>
      <c r="N38" s="55"/>
      <c r="O38" s="37"/>
    </row>
    <row r="39" spans="1:15" ht="13" outlineLevel="1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</row>
    <row r="40" spans="1:15" ht="13" outlineLevel="1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2"/>
      <c r="O40" s="173"/>
    </row>
    <row r="41" spans="1:15" ht="13" outlineLevel="1"/>
    <row r="42" spans="1:15" ht="13" outlineLevel="1"/>
    <row r="43" spans="1:15" ht="13" outlineLevel="1"/>
    <row r="44" spans="1:15" ht="13"/>
    <row r="45" spans="1:15" ht="13"/>
    <row r="46" spans="1:15" ht="13" outlineLevel="1"/>
    <row r="47" spans="1:15" ht="13" outlineLevel="1"/>
    <row r="48" spans="1:15" ht="13" outlineLevel="1"/>
    <row r="49" spans="1:15" ht="13" outlineLevel="1"/>
    <row r="50" spans="1:15" ht="13" outlineLevel="1">
      <c r="A50" s="118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55"/>
      <c r="O50" s="36"/>
    </row>
    <row r="51" spans="1:15" ht="13" outlineLevel="1">
      <c r="A51" s="118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55"/>
      <c r="O51" s="36"/>
    </row>
    <row r="52" spans="1:15" ht="13" outlineLevel="1">
      <c r="E52" s="11"/>
      <c r="N52" s="10"/>
    </row>
    <row r="53" spans="1:15" ht="13" outlineLevel="1">
      <c r="A53" s="137"/>
      <c r="B53" s="137"/>
      <c r="C53" s="137"/>
      <c r="D53" s="137"/>
      <c r="E53" s="137"/>
      <c r="F53" s="137"/>
      <c r="G53" s="170"/>
      <c r="H53" s="137"/>
      <c r="I53" s="137"/>
      <c r="J53" s="137"/>
      <c r="K53" s="137"/>
      <c r="L53" s="137"/>
      <c r="M53" s="137"/>
      <c r="N53" s="137"/>
      <c r="O53" s="137"/>
    </row>
    <row r="54" spans="1:15" ht="13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2"/>
      <c r="O54" s="173"/>
    </row>
    <row r="55" spans="1:15" ht="13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1:15" ht="13" outlineLevel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1:15" ht="13" outlineLevel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3" outlineLevel="1">
      <c r="A58" s="118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3" outlineLevel="1">
      <c r="A59" s="118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</row>
    <row r="60" spans="1:15" ht="13" outlineLevel="1">
      <c r="A60" s="118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</row>
    <row r="61" spans="1:15" ht="13" outlineLevel="1">
      <c r="A61" s="118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</row>
    <row r="62" spans="1:15" ht="13" outlineLevel="1">
      <c r="A62" s="118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</row>
    <row r="63" spans="1:15" ht="13" outlineLevel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55"/>
      <c r="O63" s="37"/>
    </row>
    <row r="64" spans="1:15" ht="13" outlineLevel="1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</row>
    <row r="65" spans="1:15" ht="15" customHeight="1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2"/>
      <c r="O65" s="173"/>
    </row>
    <row r="68" spans="1:15" ht="13"/>
    <row r="69" spans="1:15" ht="13">
      <c r="N69" s="10"/>
    </row>
    <row r="70" spans="1:15" ht="13">
      <c r="A70" s="118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1:15" ht="13">
      <c r="A71" s="118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1:15" ht="13">
      <c r="A72" s="118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3" spans="1:15" ht="13">
      <c r="A73" s="118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  <row r="74" spans="1:15" ht="13">
      <c r="A74" s="118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  <row r="75" spans="1:15" ht="13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1:15" ht="13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1:15" ht="1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8" spans="1:15" ht="13">
      <c r="A78" s="37"/>
      <c r="B78" s="37"/>
      <c r="C78" s="37"/>
      <c r="D78" s="37"/>
      <c r="E78" s="37"/>
      <c r="F78" s="37"/>
      <c r="G78" s="37"/>
      <c r="H78" s="37"/>
      <c r="I78" s="119"/>
      <c r="J78" s="119"/>
      <c r="K78" s="119"/>
      <c r="L78" s="119"/>
      <c r="M78" s="118"/>
      <c r="N78" s="118"/>
      <c r="O78" s="119"/>
    </row>
    <row r="79" spans="1:15" ht="13">
      <c r="A79" s="118"/>
      <c r="B79" s="37"/>
      <c r="C79" s="37"/>
      <c r="D79" s="37"/>
      <c r="E79" s="37"/>
      <c r="F79" s="37"/>
      <c r="G79" s="37"/>
      <c r="H79" s="37"/>
      <c r="I79" s="36"/>
      <c r="J79" s="36"/>
      <c r="K79" s="36"/>
      <c r="L79" s="36"/>
      <c r="M79" s="36"/>
      <c r="N79" s="36"/>
      <c r="O79" s="36"/>
    </row>
    <row r="80" spans="1:15" ht="13">
      <c r="A80" s="118"/>
      <c r="B80" s="37"/>
      <c r="C80" s="37"/>
      <c r="D80" s="37"/>
      <c r="E80" s="37"/>
      <c r="F80" s="37"/>
      <c r="G80" s="37"/>
      <c r="H80" s="37"/>
      <c r="I80" s="36"/>
      <c r="J80" s="36"/>
      <c r="K80" s="36"/>
      <c r="L80" s="36"/>
      <c r="M80" s="36"/>
      <c r="N80" s="36"/>
      <c r="O80" s="36"/>
    </row>
    <row r="81" spans="1:15" ht="13">
      <c r="A81" s="118"/>
      <c r="B81" s="37"/>
      <c r="C81" s="37"/>
      <c r="D81" s="37"/>
      <c r="E81" s="37"/>
      <c r="F81" s="37"/>
      <c r="G81" s="37"/>
      <c r="H81" s="37"/>
      <c r="I81" s="36"/>
      <c r="J81" s="36"/>
      <c r="K81" s="36"/>
      <c r="L81" s="36"/>
      <c r="M81" s="36"/>
      <c r="N81" s="36"/>
      <c r="O81" s="36"/>
    </row>
    <row r="82" spans="1:15" ht="13">
      <c r="A82" s="118"/>
      <c r="B82" s="37"/>
      <c r="C82" s="37"/>
      <c r="D82" s="37"/>
      <c r="E82" s="37"/>
      <c r="F82" s="37"/>
      <c r="G82" s="37"/>
      <c r="H82" s="37"/>
      <c r="I82" s="36"/>
      <c r="J82" s="36"/>
      <c r="K82" s="36"/>
      <c r="L82" s="36"/>
      <c r="M82" s="36"/>
      <c r="N82" s="36"/>
      <c r="O82" s="36"/>
    </row>
    <row r="83" spans="1:15" ht="13">
      <c r="E83" s="11"/>
      <c r="N83" s="10"/>
    </row>
    <row r="84" spans="1:15" ht="13">
      <c r="E84" s="11"/>
      <c r="N84" s="10"/>
    </row>
    <row r="85" spans="1:15" ht="13">
      <c r="E85" s="11"/>
      <c r="N85" s="10"/>
    </row>
    <row r="86" spans="1:15" ht="13">
      <c r="E86" s="11"/>
      <c r="N86" s="10"/>
    </row>
    <row r="87" spans="1:15" ht="13">
      <c r="E87" s="11"/>
      <c r="N87" s="10"/>
    </row>
    <row r="88" spans="1:15" ht="13">
      <c r="E88" s="11"/>
      <c r="N88" s="10"/>
    </row>
    <row r="89" spans="1:15" ht="13">
      <c r="E89" s="11"/>
      <c r="N89" s="10"/>
    </row>
    <row r="90" spans="1:15" ht="13">
      <c r="E90" s="11"/>
      <c r="N90" s="10"/>
    </row>
    <row r="91" spans="1:15" ht="13">
      <c r="E91" s="11"/>
      <c r="N91" s="10"/>
    </row>
    <row r="92" spans="1:15" ht="13">
      <c r="E92" s="11"/>
      <c r="N92" s="10"/>
    </row>
    <row r="93" spans="1:15" ht="13">
      <c r="E93" s="11"/>
      <c r="N93" s="10"/>
    </row>
    <row r="94" spans="1:15" ht="13">
      <c r="E94" s="11"/>
      <c r="N94" s="10"/>
    </row>
    <row r="95" spans="1:15" ht="13">
      <c r="E95" s="11"/>
      <c r="N95" s="10"/>
    </row>
    <row r="96" spans="1:15" ht="13">
      <c r="E96" s="11"/>
      <c r="N96" s="10"/>
    </row>
    <row r="97" spans="5:14" ht="13">
      <c r="E97" s="11"/>
      <c r="N97" s="10"/>
    </row>
    <row r="98" spans="5:14" ht="13">
      <c r="E98" s="11"/>
      <c r="N98" s="10"/>
    </row>
    <row r="99" spans="5:14" ht="13">
      <c r="E99" s="11"/>
      <c r="N99" s="10"/>
    </row>
    <row r="100" spans="5:14" ht="13">
      <c r="E100" s="11"/>
      <c r="N100" s="10"/>
    </row>
    <row r="101" spans="5:14" ht="13">
      <c r="E101" s="11"/>
      <c r="N101" s="10"/>
    </row>
    <row r="102" spans="5:14" ht="13">
      <c r="E102" s="11"/>
      <c r="N102" s="10"/>
    </row>
    <row r="103" spans="5:14" ht="13">
      <c r="E103" s="11"/>
      <c r="N103" s="10"/>
    </row>
    <row r="104" spans="5:14" ht="13">
      <c r="E104" s="11"/>
      <c r="N104" s="10"/>
    </row>
    <row r="105" spans="5:14" ht="13">
      <c r="E105" s="11"/>
      <c r="N105" s="10"/>
    </row>
    <row r="106" spans="5:14" ht="13">
      <c r="E106" s="11"/>
      <c r="N106" s="10"/>
    </row>
    <row r="107" spans="5:14" ht="13">
      <c r="E107" s="11"/>
      <c r="N107" s="10"/>
    </row>
    <row r="108" spans="5:14" ht="13">
      <c r="E108" s="11"/>
      <c r="N108" s="10"/>
    </row>
    <row r="109" spans="5:14" ht="13">
      <c r="E109" s="11"/>
      <c r="N109" s="10"/>
    </row>
    <row r="110" spans="5:14" ht="13">
      <c r="E110" s="11"/>
      <c r="N110" s="10"/>
    </row>
    <row r="111" spans="5:14" ht="13">
      <c r="E111" s="11"/>
      <c r="N111" s="10"/>
    </row>
    <row r="112" spans="5:14" ht="13">
      <c r="E112" s="11"/>
      <c r="N112" s="10"/>
    </row>
    <row r="113" spans="5:14" ht="13">
      <c r="E113" s="11"/>
      <c r="N113" s="10"/>
    </row>
    <row r="114" spans="5:14" ht="13">
      <c r="E114" s="11"/>
      <c r="N114" s="10"/>
    </row>
    <row r="115" spans="5:14" ht="13">
      <c r="E115" s="11"/>
      <c r="N115" s="10"/>
    </row>
    <row r="116" spans="5:14" ht="13">
      <c r="E116" s="11"/>
      <c r="N116" s="10"/>
    </row>
    <row r="117" spans="5:14" ht="13">
      <c r="E117" s="11"/>
      <c r="N117" s="10"/>
    </row>
    <row r="118" spans="5:14" ht="13">
      <c r="E118" s="11"/>
      <c r="N118" s="10"/>
    </row>
    <row r="119" spans="5:14" ht="13">
      <c r="E119" s="11"/>
      <c r="N119" s="10"/>
    </row>
    <row r="120" spans="5:14" ht="13">
      <c r="E120" s="11"/>
      <c r="N120" s="10"/>
    </row>
    <row r="121" spans="5:14" ht="13">
      <c r="E121" s="11"/>
      <c r="N121" s="10"/>
    </row>
    <row r="122" spans="5:14" ht="13">
      <c r="E122" s="11"/>
      <c r="N122" s="10"/>
    </row>
    <row r="123" spans="5:14" ht="13">
      <c r="E123" s="11"/>
      <c r="N123" s="10"/>
    </row>
    <row r="124" spans="5:14" ht="13">
      <c r="E124" s="11"/>
      <c r="N124" s="10"/>
    </row>
    <row r="125" spans="5:14" ht="13">
      <c r="E125" s="11"/>
      <c r="N125" s="10"/>
    </row>
    <row r="126" spans="5:14" ht="13">
      <c r="E126" s="11"/>
      <c r="N126" s="10"/>
    </row>
    <row r="127" spans="5:14" ht="13">
      <c r="E127" s="11"/>
      <c r="N127" s="10"/>
    </row>
    <row r="128" spans="5:14" ht="13">
      <c r="E128" s="11"/>
      <c r="N128" s="10"/>
    </row>
    <row r="129" spans="5:14" ht="13">
      <c r="E129" s="11"/>
      <c r="N129" s="10"/>
    </row>
    <row r="130" spans="5:14" ht="13">
      <c r="E130" s="11"/>
      <c r="N130" s="10"/>
    </row>
    <row r="131" spans="5:14" ht="13">
      <c r="E131" s="11"/>
      <c r="N131" s="10"/>
    </row>
    <row r="132" spans="5:14" ht="13">
      <c r="E132" s="11"/>
      <c r="N132" s="10"/>
    </row>
    <row r="133" spans="5:14" ht="13">
      <c r="E133" s="11"/>
      <c r="N133" s="10"/>
    </row>
    <row r="134" spans="5:14" ht="13">
      <c r="E134" s="11"/>
      <c r="N134" s="10"/>
    </row>
    <row r="135" spans="5:14" ht="13">
      <c r="E135" s="11"/>
      <c r="N135" s="10"/>
    </row>
    <row r="136" spans="5:14" ht="13">
      <c r="E136" s="11"/>
      <c r="N136" s="10"/>
    </row>
    <row r="137" spans="5:14" ht="13">
      <c r="E137" s="11"/>
      <c r="N137" s="10"/>
    </row>
    <row r="138" spans="5:14" ht="13">
      <c r="E138" s="11"/>
      <c r="N138" s="10"/>
    </row>
    <row r="139" spans="5:14" ht="13">
      <c r="E139" s="11"/>
      <c r="N139" s="10"/>
    </row>
    <row r="140" spans="5:14" ht="13">
      <c r="E140" s="11"/>
      <c r="N140" s="10"/>
    </row>
    <row r="141" spans="5:14" ht="13">
      <c r="E141" s="11"/>
      <c r="N141" s="10"/>
    </row>
    <row r="142" spans="5:14" ht="13">
      <c r="E142" s="11"/>
      <c r="N142" s="10"/>
    </row>
    <row r="143" spans="5:14" ht="13">
      <c r="E143" s="11"/>
      <c r="N143" s="10"/>
    </row>
    <row r="144" spans="5:14" ht="13">
      <c r="E144" s="11"/>
      <c r="N144" s="10"/>
    </row>
    <row r="145" spans="5:14" ht="13">
      <c r="E145" s="11"/>
      <c r="N145" s="10"/>
    </row>
    <row r="146" spans="5:14" ht="13">
      <c r="E146" s="11"/>
      <c r="N146" s="10"/>
    </row>
    <row r="147" spans="5:14" ht="13">
      <c r="E147" s="11"/>
      <c r="N147" s="10"/>
    </row>
    <row r="148" spans="5:14" ht="13">
      <c r="E148" s="11"/>
      <c r="N148" s="10"/>
    </row>
    <row r="149" spans="5:14" ht="13">
      <c r="E149" s="11"/>
      <c r="N149" s="10"/>
    </row>
    <row r="150" spans="5:14" ht="13">
      <c r="E150" s="11"/>
      <c r="N150" s="10"/>
    </row>
    <row r="151" spans="5:14" ht="13">
      <c r="E151" s="11"/>
      <c r="N151" s="10"/>
    </row>
    <row r="152" spans="5:14" ht="13">
      <c r="E152" s="11"/>
      <c r="N152" s="10"/>
    </row>
    <row r="153" spans="5:14" ht="13">
      <c r="E153" s="11"/>
      <c r="N153" s="10"/>
    </row>
    <row r="154" spans="5:14" ht="13">
      <c r="E154" s="11"/>
      <c r="N154" s="10"/>
    </row>
    <row r="155" spans="5:14" ht="13">
      <c r="E155" s="11"/>
      <c r="N155" s="10"/>
    </row>
    <row r="156" spans="5:14" ht="13">
      <c r="E156" s="11"/>
      <c r="N156" s="10"/>
    </row>
    <row r="157" spans="5:14" ht="13">
      <c r="E157" s="11"/>
      <c r="N157" s="10"/>
    </row>
    <row r="158" spans="5:14" ht="13">
      <c r="E158" s="11"/>
      <c r="N158" s="10"/>
    </row>
    <row r="159" spans="5:14" ht="13">
      <c r="E159" s="11"/>
      <c r="N159" s="10"/>
    </row>
    <row r="160" spans="5:14" ht="13">
      <c r="E160" s="11"/>
      <c r="N160" s="10"/>
    </row>
    <row r="161" spans="5:14" ht="13">
      <c r="E161" s="11"/>
      <c r="N161" s="10"/>
    </row>
    <row r="162" spans="5:14" ht="13">
      <c r="E162" s="11"/>
      <c r="N162" s="10"/>
    </row>
    <row r="163" spans="5:14" ht="13">
      <c r="E163" s="11"/>
      <c r="N163" s="10"/>
    </row>
    <row r="164" spans="5:14" ht="13">
      <c r="E164" s="11"/>
      <c r="N164" s="10"/>
    </row>
    <row r="165" spans="5:14" ht="13">
      <c r="E165" s="11"/>
      <c r="N165" s="10"/>
    </row>
    <row r="166" spans="5:14" ht="13">
      <c r="E166" s="11"/>
      <c r="N166" s="10"/>
    </row>
    <row r="167" spans="5:14" ht="13">
      <c r="E167" s="11"/>
      <c r="N167" s="10"/>
    </row>
    <row r="168" spans="5:14" ht="13">
      <c r="E168" s="11"/>
      <c r="N168" s="10"/>
    </row>
    <row r="169" spans="5:14" ht="13">
      <c r="E169" s="11"/>
      <c r="N169" s="10"/>
    </row>
    <row r="170" spans="5:14" ht="13">
      <c r="E170" s="11"/>
      <c r="N170" s="10"/>
    </row>
    <row r="171" spans="5:14" ht="13">
      <c r="E171" s="11"/>
      <c r="N171" s="10"/>
    </row>
    <row r="172" spans="5:14" ht="13">
      <c r="E172" s="11"/>
      <c r="N172" s="10"/>
    </row>
    <row r="173" spans="5:14" ht="13">
      <c r="E173" s="11"/>
      <c r="N173" s="10"/>
    </row>
    <row r="174" spans="5:14" ht="13">
      <c r="E174" s="11"/>
      <c r="N174" s="10"/>
    </row>
    <row r="175" spans="5:14" ht="13">
      <c r="E175" s="11"/>
      <c r="N175" s="10"/>
    </row>
    <row r="176" spans="5:14" ht="13">
      <c r="E176" s="11"/>
      <c r="N176" s="10"/>
    </row>
    <row r="177" spans="5:14" ht="13">
      <c r="E177" s="11"/>
      <c r="N177" s="10"/>
    </row>
    <row r="178" spans="5:14" ht="13">
      <c r="E178" s="11"/>
      <c r="N178" s="10"/>
    </row>
    <row r="179" spans="5:14" ht="13">
      <c r="E179" s="11"/>
      <c r="N179" s="10"/>
    </row>
    <row r="180" spans="5:14" ht="13">
      <c r="E180" s="11"/>
      <c r="N180" s="10"/>
    </row>
    <row r="181" spans="5:14" ht="13">
      <c r="E181" s="11"/>
      <c r="N181" s="10"/>
    </row>
    <row r="182" spans="5:14" ht="13">
      <c r="E182" s="11"/>
      <c r="N182" s="10"/>
    </row>
    <row r="183" spans="5:14" ht="13">
      <c r="E183" s="11"/>
      <c r="N183" s="10"/>
    </row>
    <row r="184" spans="5:14" ht="13">
      <c r="E184" s="11"/>
      <c r="N184" s="10"/>
    </row>
    <row r="185" spans="5:14" ht="13">
      <c r="E185" s="11"/>
      <c r="N185" s="10"/>
    </row>
    <row r="186" spans="5:14" ht="13">
      <c r="E186" s="11"/>
      <c r="N186" s="10"/>
    </row>
    <row r="187" spans="5:14" ht="13">
      <c r="E187" s="11"/>
      <c r="N187" s="10"/>
    </row>
    <row r="188" spans="5:14" ht="13">
      <c r="E188" s="11"/>
      <c r="N188" s="10"/>
    </row>
    <row r="189" spans="5:14" ht="13">
      <c r="E189" s="11"/>
      <c r="N189" s="10"/>
    </row>
    <row r="190" spans="5:14" ht="13">
      <c r="E190" s="11"/>
      <c r="N190" s="10"/>
    </row>
    <row r="191" spans="5:14" ht="13">
      <c r="E191" s="11"/>
      <c r="N191" s="10"/>
    </row>
    <row r="192" spans="5:14" ht="13">
      <c r="E192" s="11"/>
      <c r="N192" s="10"/>
    </row>
    <row r="193" spans="5:14" ht="13">
      <c r="E193" s="11"/>
      <c r="N193" s="10"/>
    </row>
    <row r="194" spans="5:14" ht="13">
      <c r="E194" s="11"/>
      <c r="N194" s="10"/>
    </row>
    <row r="195" spans="5:14" ht="13">
      <c r="E195" s="11"/>
      <c r="N195" s="10"/>
    </row>
    <row r="196" spans="5:14" ht="13">
      <c r="E196" s="11"/>
      <c r="N196" s="10"/>
    </row>
    <row r="197" spans="5:14" ht="13">
      <c r="E197" s="11"/>
      <c r="N197" s="10"/>
    </row>
    <row r="198" spans="5:14" ht="13">
      <c r="E198" s="11"/>
      <c r="N198" s="10"/>
    </row>
    <row r="199" spans="5:14" ht="13">
      <c r="E199" s="11"/>
      <c r="N199" s="10"/>
    </row>
    <row r="200" spans="5:14" ht="13">
      <c r="E200" s="11"/>
      <c r="N200" s="10"/>
    </row>
    <row r="201" spans="5:14" ht="13">
      <c r="E201" s="11"/>
      <c r="N201" s="10"/>
    </row>
    <row r="202" spans="5:14" ht="13">
      <c r="E202" s="11"/>
      <c r="N202" s="10"/>
    </row>
    <row r="203" spans="5:14" ht="13">
      <c r="E203" s="11"/>
      <c r="N203" s="10"/>
    </row>
    <row r="204" spans="5:14" ht="13">
      <c r="E204" s="11"/>
      <c r="N204" s="10"/>
    </row>
    <row r="205" spans="5:14" ht="13">
      <c r="E205" s="11"/>
      <c r="N205" s="10"/>
    </row>
    <row r="206" spans="5:14" ht="13">
      <c r="E206" s="11"/>
      <c r="N206" s="10"/>
    </row>
    <row r="207" spans="5:14" ht="13">
      <c r="E207" s="11"/>
      <c r="N207" s="10"/>
    </row>
    <row r="208" spans="5:14" ht="13">
      <c r="E208" s="11"/>
      <c r="N208" s="10"/>
    </row>
    <row r="209" spans="5:14" ht="13">
      <c r="E209" s="11"/>
      <c r="N209" s="10"/>
    </row>
    <row r="210" spans="5:14" ht="13">
      <c r="E210" s="11"/>
      <c r="N210" s="10"/>
    </row>
    <row r="211" spans="5:14" ht="13">
      <c r="E211" s="11"/>
      <c r="N211" s="10"/>
    </row>
    <row r="212" spans="5:14" ht="13">
      <c r="E212" s="11"/>
      <c r="N212" s="10"/>
    </row>
    <row r="213" spans="5:14" ht="13">
      <c r="E213" s="11"/>
      <c r="N213" s="10"/>
    </row>
    <row r="214" spans="5:14" ht="13">
      <c r="E214" s="11"/>
      <c r="N214" s="10"/>
    </row>
    <row r="215" spans="5:14" ht="13">
      <c r="E215" s="11"/>
      <c r="N215" s="10"/>
    </row>
    <row r="216" spans="5:14" ht="13">
      <c r="E216" s="11"/>
      <c r="N216" s="10"/>
    </row>
    <row r="217" spans="5:14" ht="13">
      <c r="E217" s="11"/>
      <c r="N217" s="10"/>
    </row>
    <row r="218" spans="5:14" ht="13">
      <c r="E218" s="11"/>
      <c r="N218" s="10"/>
    </row>
    <row r="219" spans="5:14" ht="13">
      <c r="E219" s="11"/>
      <c r="N219" s="10"/>
    </row>
    <row r="220" spans="5:14" ht="13">
      <c r="E220" s="11"/>
      <c r="N220" s="10"/>
    </row>
    <row r="221" spans="5:14" ht="13">
      <c r="E221" s="11"/>
      <c r="N221" s="10"/>
    </row>
    <row r="222" spans="5:14" ht="13">
      <c r="E222" s="11"/>
      <c r="N222" s="10"/>
    </row>
    <row r="223" spans="5:14" ht="13">
      <c r="E223" s="11"/>
      <c r="N223" s="10"/>
    </row>
    <row r="224" spans="5:14" ht="13">
      <c r="E224" s="11"/>
      <c r="N224" s="10"/>
    </row>
    <row r="225" spans="5:14" ht="13">
      <c r="E225" s="11"/>
      <c r="N225" s="10"/>
    </row>
    <row r="226" spans="5:14" ht="13">
      <c r="E226" s="11"/>
      <c r="N226" s="10"/>
    </row>
    <row r="227" spans="5:14" ht="13">
      <c r="E227" s="11"/>
      <c r="N227" s="10"/>
    </row>
    <row r="228" spans="5:14" ht="13">
      <c r="E228" s="11"/>
      <c r="N228" s="10"/>
    </row>
    <row r="229" spans="5:14" ht="13">
      <c r="E229" s="11"/>
      <c r="N229" s="10"/>
    </row>
    <row r="230" spans="5:14" ht="13">
      <c r="E230" s="11"/>
      <c r="N230" s="10"/>
    </row>
    <row r="231" spans="5:14" ht="13">
      <c r="E231" s="11"/>
      <c r="N231" s="10"/>
    </row>
    <row r="232" spans="5:14" ht="13">
      <c r="E232" s="11"/>
      <c r="N232" s="10"/>
    </row>
    <row r="233" spans="5:14" ht="13">
      <c r="E233" s="11"/>
      <c r="N233" s="10"/>
    </row>
    <row r="234" spans="5:14" ht="13">
      <c r="E234" s="11"/>
      <c r="N234" s="10"/>
    </row>
    <row r="235" spans="5:14" ht="13">
      <c r="E235" s="11"/>
      <c r="N235" s="10"/>
    </row>
    <row r="236" spans="5:14" ht="13">
      <c r="E236" s="11"/>
      <c r="N236" s="10"/>
    </row>
    <row r="237" spans="5:14" ht="13">
      <c r="E237" s="11"/>
      <c r="N237" s="10"/>
    </row>
    <row r="238" spans="5:14" ht="13">
      <c r="E238" s="11"/>
      <c r="N238" s="10"/>
    </row>
    <row r="239" spans="5:14" ht="13">
      <c r="E239" s="11"/>
      <c r="N239" s="10"/>
    </row>
    <row r="240" spans="5:14" ht="13">
      <c r="E240" s="11"/>
      <c r="N240" s="10"/>
    </row>
    <row r="241" spans="5:14" ht="13">
      <c r="E241" s="11"/>
      <c r="N241" s="10"/>
    </row>
    <row r="242" spans="5:14" ht="13">
      <c r="E242" s="11"/>
      <c r="N242" s="10"/>
    </row>
    <row r="243" spans="5:14" ht="13">
      <c r="E243" s="11"/>
      <c r="N243" s="10"/>
    </row>
    <row r="244" spans="5:14" ht="13">
      <c r="E244" s="11"/>
      <c r="N244" s="10"/>
    </row>
    <row r="245" spans="5:14" ht="13">
      <c r="E245" s="11"/>
      <c r="N245" s="10"/>
    </row>
    <row r="246" spans="5:14" ht="13">
      <c r="E246" s="11"/>
      <c r="N246" s="10"/>
    </row>
    <row r="247" spans="5:14" ht="13">
      <c r="E247" s="11"/>
      <c r="N247" s="10"/>
    </row>
    <row r="248" spans="5:14" ht="13">
      <c r="E248" s="11"/>
      <c r="N248" s="10"/>
    </row>
    <row r="249" spans="5:14" ht="13">
      <c r="E249" s="11"/>
      <c r="N249" s="10"/>
    </row>
    <row r="250" spans="5:14" ht="13">
      <c r="E250" s="11"/>
      <c r="N250" s="10"/>
    </row>
    <row r="251" spans="5:14" ht="13">
      <c r="E251" s="11"/>
      <c r="N251" s="10"/>
    </row>
    <row r="252" spans="5:14" ht="13">
      <c r="E252" s="11"/>
      <c r="N252" s="10"/>
    </row>
    <row r="253" spans="5:14" ht="13">
      <c r="E253" s="11"/>
      <c r="N253" s="10"/>
    </row>
    <row r="254" spans="5:14" ht="13">
      <c r="E254" s="11"/>
      <c r="N254" s="10"/>
    </row>
    <row r="255" spans="5:14" ht="13">
      <c r="E255" s="11"/>
      <c r="N255" s="10"/>
    </row>
    <row r="256" spans="5:14" ht="13">
      <c r="E256" s="11"/>
      <c r="N256" s="10"/>
    </row>
    <row r="257" spans="5:14" ht="13">
      <c r="E257" s="11"/>
      <c r="N257" s="10"/>
    </row>
    <row r="258" spans="5:14" ht="13">
      <c r="E258" s="11"/>
      <c r="N258" s="10"/>
    </row>
    <row r="259" spans="5:14" ht="13">
      <c r="E259" s="11"/>
      <c r="N259" s="10"/>
    </row>
    <row r="260" spans="5:14" ht="13">
      <c r="E260" s="11"/>
      <c r="N260" s="10"/>
    </row>
    <row r="261" spans="5:14" ht="13">
      <c r="E261" s="11"/>
      <c r="N261" s="10"/>
    </row>
    <row r="262" spans="5:14" ht="13">
      <c r="E262" s="11"/>
      <c r="N262" s="10"/>
    </row>
    <row r="263" spans="5:14" ht="13">
      <c r="E263" s="11"/>
      <c r="N263" s="10"/>
    </row>
    <row r="264" spans="5:14" ht="13">
      <c r="E264" s="11"/>
      <c r="N264" s="10"/>
    </row>
    <row r="265" spans="5:14" ht="13">
      <c r="E265" s="11"/>
      <c r="N265" s="10"/>
    </row>
    <row r="266" spans="5:14" ht="13">
      <c r="E266" s="11"/>
      <c r="N266" s="10"/>
    </row>
    <row r="267" spans="5:14" ht="13">
      <c r="E267" s="11"/>
      <c r="N267" s="10"/>
    </row>
    <row r="268" spans="5:14" ht="13">
      <c r="E268" s="11"/>
      <c r="N268" s="10"/>
    </row>
    <row r="269" spans="5:14" ht="13">
      <c r="E269" s="11"/>
      <c r="N269" s="10"/>
    </row>
    <row r="270" spans="5:14" ht="13">
      <c r="E270" s="11"/>
      <c r="N270" s="10"/>
    </row>
    <row r="271" spans="5:14" ht="13">
      <c r="E271" s="11"/>
      <c r="N271" s="10"/>
    </row>
    <row r="272" spans="5:14" ht="13">
      <c r="E272" s="11"/>
      <c r="N272" s="10"/>
    </row>
    <row r="273" spans="5:14" ht="13">
      <c r="E273" s="11"/>
      <c r="N273" s="10"/>
    </row>
    <row r="274" spans="5:14" ht="13">
      <c r="E274" s="11"/>
      <c r="N274" s="10"/>
    </row>
    <row r="275" spans="5:14" ht="13">
      <c r="E275" s="11"/>
      <c r="N275" s="10"/>
    </row>
    <row r="276" spans="5:14" ht="13">
      <c r="E276" s="11"/>
      <c r="N276" s="10"/>
    </row>
    <row r="277" spans="5:14" ht="13">
      <c r="E277" s="11"/>
      <c r="N277" s="10"/>
    </row>
    <row r="278" spans="5:14" ht="13">
      <c r="E278" s="11"/>
      <c r="N278" s="10"/>
    </row>
    <row r="279" spans="5:14" ht="13">
      <c r="E279" s="11"/>
      <c r="N279" s="10"/>
    </row>
    <row r="280" spans="5:14" ht="13">
      <c r="E280" s="11"/>
      <c r="N280" s="10"/>
    </row>
    <row r="281" spans="5:14" ht="13">
      <c r="E281" s="11"/>
      <c r="N281" s="10"/>
    </row>
    <row r="282" spans="5:14" ht="13">
      <c r="E282" s="11"/>
      <c r="N282" s="10"/>
    </row>
    <row r="283" spans="5:14" ht="13">
      <c r="E283" s="11"/>
      <c r="N283" s="10"/>
    </row>
    <row r="284" spans="5:14" ht="13">
      <c r="E284" s="11"/>
      <c r="N284" s="10"/>
    </row>
    <row r="285" spans="5:14" ht="13">
      <c r="E285" s="11"/>
      <c r="N285" s="10"/>
    </row>
    <row r="286" spans="5:14" ht="13">
      <c r="E286" s="11"/>
      <c r="N286" s="10"/>
    </row>
    <row r="287" spans="5:14" ht="13">
      <c r="E287" s="11"/>
      <c r="N287" s="10"/>
    </row>
    <row r="288" spans="5:14" ht="13">
      <c r="E288" s="11"/>
      <c r="N288" s="10"/>
    </row>
    <row r="289" spans="5:14" ht="13">
      <c r="E289" s="11"/>
      <c r="N289" s="10"/>
    </row>
    <row r="290" spans="5:14" ht="13">
      <c r="E290" s="11"/>
      <c r="N290" s="10"/>
    </row>
    <row r="291" spans="5:14" ht="13">
      <c r="E291" s="11"/>
      <c r="N291" s="10"/>
    </row>
    <row r="292" spans="5:14" ht="13">
      <c r="E292" s="11"/>
      <c r="N292" s="10"/>
    </row>
    <row r="293" spans="5:14" ht="13">
      <c r="E293" s="11"/>
      <c r="N293" s="10"/>
    </row>
    <row r="294" spans="5:14" ht="13">
      <c r="E294" s="11"/>
      <c r="N294" s="10"/>
    </row>
    <row r="295" spans="5:14" ht="13">
      <c r="E295" s="11"/>
      <c r="N295" s="10"/>
    </row>
    <row r="296" spans="5:14" ht="13">
      <c r="E296" s="11"/>
      <c r="N296" s="10"/>
    </row>
    <row r="297" spans="5:14" ht="13">
      <c r="E297" s="11"/>
      <c r="N297" s="10"/>
    </row>
    <row r="298" spans="5:14" ht="13">
      <c r="E298" s="11"/>
      <c r="N298" s="10"/>
    </row>
    <row r="299" spans="5:14" ht="13">
      <c r="E299" s="11"/>
      <c r="N299" s="10"/>
    </row>
    <row r="300" spans="5:14" ht="13">
      <c r="E300" s="11"/>
      <c r="N300" s="10"/>
    </row>
    <row r="301" spans="5:14" ht="13">
      <c r="E301" s="11"/>
      <c r="N301" s="10"/>
    </row>
    <row r="302" spans="5:14" ht="13">
      <c r="E302" s="11"/>
      <c r="N302" s="10"/>
    </row>
    <row r="303" spans="5:14" ht="13">
      <c r="E303" s="11"/>
      <c r="N303" s="10"/>
    </row>
    <row r="304" spans="5:14" ht="13">
      <c r="E304" s="11"/>
      <c r="N304" s="10"/>
    </row>
    <row r="305" spans="5:14" ht="13">
      <c r="E305" s="11"/>
      <c r="N305" s="10"/>
    </row>
    <row r="306" spans="5:14" ht="13">
      <c r="E306" s="11"/>
      <c r="N306" s="10"/>
    </row>
    <row r="307" spans="5:14" ht="13">
      <c r="E307" s="11"/>
      <c r="N307" s="10"/>
    </row>
    <row r="308" spans="5:14" ht="13">
      <c r="E308" s="11"/>
      <c r="N308" s="10"/>
    </row>
    <row r="309" spans="5:14" ht="13">
      <c r="E309" s="11"/>
      <c r="N309" s="10"/>
    </row>
    <row r="310" spans="5:14" ht="13">
      <c r="E310" s="11"/>
      <c r="N310" s="10"/>
    </row>
    <row r="311" spans="5:14" ht="13">
      <c r="E311" s="11"/>
      <c r="N311" s="10"/>
    </row>
    <row r="312" spans="5:14" ht="13">
      <c r="E312" s="11"/>
      <c r="N312" s="10"/>
    </row>
    <row r="313" spans="5:14" ht="13">
      <c r="E313" s="11"/>
      <c r="N313" s="10"/>
    </row>
    <row r="314" spans="5:14" ht="13">
      <c r="E314" s="11"/>
      <c r="N314" s="10"/>
    </row>
    <row r="315" spans="5:14" ht="13">
      <c r="E315" s="11"/>
      <c r="N315" s="10"/>
    </row>
    <row r="316" spans="5:14" ht="13">
      <c r="E316" s="11"/>
      <c r="N316" s="10"/>
    </row>
    <row r="317" spans="5:14" ht="13">
      <c r="E317" s="11"/>
      <c r="N317" s="10"/>
    </row>
    <row r="318" spans="5:14" ht="13">
      <c r="E318" s="11"/>
      <c r="N318" s="10"/>
    </row>
    <row r="319" spans="5:14" ht="13">
      <c r="E319" s="11"/>
      <c r="N319" s="10"/>
    </row>
    <row r="320" spans="5:14" ht="13">
      <c r="E320" s="11"/>
      <c r="N320" s="10"/>
    </row>
    <row r="321" spans="5:14" ht="13">
      <c r="E321" s="11"/>
      <c r="N321" s="10"/>
    </row>
    <row r="322" spans="5:14" ht="13">
      <c r="E322" s="11"/>
      <c r="N322" s="10"/>
    </row>
    <row r="323" spans="5:14" ht="13">
      <c r="E323" s="11"/>
      <c r="N323" s="10"/>
    </row>
    <row r="324" spans="5:14" ht="13">
      <c r="E324" s="11"/>
      <c r="N324" s="10"/>
    </row>
    <row r="325" spans="5:14" ht="13">
      <c r="E325" s="11"/>
      <c r="N325" s="10"/>
    </row>
    <row r="326" spans="5:14" ht="13">
      <c r="E326" s="11"/>
      <c r="N326" s="10"/>
    </row>
    <row r="327" spans="5:14" ht="13">
      <c r="E327" s="11"/>
      <c r="N327" s="10"/>
    </row>
    <row r="328" spans="5:14" ht="13">
      <c r="E328" s="11"/>
      <c r="N328" s="10"/>
    </row>
    <row r="329" spans="5:14" ht="13">
      <c r="E329" s="11"/>
      <c r="N329" s="10"/>
    </row>
    <row r="330" spans="5:14" ht="13">
      <c r="E330" s="11"/>
      <c r="N330" s="10"/>
    </row>
    <row r="331" spans="5:14" ht="13">
      <c r="E331" s="11"/>
      <c r="N331" s="10"/>
    </row>
    <row r="332" spans="5:14" ht="13">
      <c r="E332" s="11"/>
      <c r="N332" s="10"/>
    </row>
    <row r="333" spans="5:14" ht="13">
      <c r="E333" s="11"/>
      <c r="N333" s="10"/>
    </row>
    <row r="334" spans="5:14" ht="13">
      <c r="E334" s="11"/>
      <c r="N334" s="10"/>
    </row>
    <row r="335" spans="5:14" ht="13">
      <c r="E335" s="11"/>
      <c r="N335" s="10"/>
    </row>
    <row r="336" spans="5:14" ht="13">
      <c r="E336" s="11"/>
      <c r="N336" s="10"/>
    </row>
    <row r="337" spans="5:14" ht="13">
      <c r="E337" s="11"/>
      <c r="N337" s="10"/>
    </row>
    <row r="338" spans="5:14" ht="13">
      <c r="E338" s="11"/>
      <c r="N338" s="10"/>
    </row>
    <row r="339" spans="5:14" ht="13">
      <c r="E339" s="11"/>
      <c r="N339" s="10"/>
    </row>
    <row r="340" spans="5:14" ht="13">
      <c r="E340" s="11"/>
      <c r="N340" s="10"/>
    </row>
    <row r="341" spans="5:14" ht="13">
      <c r="E341" s="11"/>
      <c r="N341" s="10"/>
    </row>
    <row r="342" spans="5:14" ht="13">
      <c r="E342" s="11"/>
      <c r="N342" s="10"/>
    </row>
    <row r="343" spans="5:14" ht="13">
      <c r="E343" s="11"/>
      <c r="N343" s="10"/>
    </row>
    <row r="344" spans="5:14" ht="13">
      <c r="E344" s="11"/>
      <c r="N344" s="10"/>
    </row>
    <row r="345" spans="5:14" ht="13">
      <c r="E345" s="11"/>
      <c r="N345" s="10"/>
    </row>
    <row r="346" spans="5:14" ht="13">
      <c r="E346" s="11"/>
      <c r="N346" s="10"/>
    </row>
    <row r="347" spans="5:14" ht="13">
      <c r="E347" s="11"/>
      <c r="N347" s="10"/>
    </row>
    <row r="348" spans="5:14" ht="13">
      <c r="E348" s="11"/>
      <c r="N348" s="10"/>
    </row>
    <row r="349" spans="5:14" ht="13">
      <c r="E349" s="11"/>
      <c r="N349" s="10"/>
    </row>
    <row r="350" spans="5:14" ht="13">
      <c r="E350" s="11"/>
      <c r="N350" s="10"/>
    </row>
    <row r="351" spans="5:14" ht="13">
      <c r="E351" s="11"/>
      <c r="N351" s="10"/>
    </row>
    <row r="352" spans="5:14" ht="13">
      <c r="E352" s="11"/>
      <c r="N352" s="10"/>
    </row>
    <row r="353" spans="5:14" ht="13">
      <c r="E353" s="11"/>
      <c r="N353" s="10"/>
    </row>
    <row r="354" spans="5:14" ht="13">
      <c r="E354" s="11"/>
      <c r="N354" s="10"/>
    </row>
    <row r="355" spans="5:14" ht="13">
      <c r="E355" s="11"/>
      <c r="N355" s="10"/>
    </row>
    <row r="356" spans="5:14" ht="13">
      <c r="E356" s="11"/>
      <c r="N356" s="10"/>
    </row>
    <row r="357" spans="5:14" ht="13">
      <c r="E357" s="11"/>
      <c r="N357" s="10"/>
    </row>
    <row r="358" spans="5:14" ht="13">
      <c r="E358" s="11"/>
      <c r="N358" s="10"/>
    </row>
    <row r="359" spans="5:14" ht="13">
      <c r="E359" s="11"/>
      <c r="N359" s="10"/>
    </row>
    <row r="360" spans="5:14" ht="13">
      <c r="E360" s="11"/>
      <c r="N360" s="10"/>
    </row>
    <row r="361" spans="5:14" ht="13">
      <c r="E361" s="11"/>
      <c r="N361" s="10"/>
    </row>
    <row r="362" spans="5:14" ht="13">
      <c r="E362" s="11"/>
      <c r="N362" s="10"/>
    </row>
    <row r="363" spans="5:14" ht="13">
      <c r="E363" s="11"/>
      <c r="N363" s="10"/>
    </row>
    <row r="364" spans="5:14" ht="13">
      <c r="E364" s="11"/>
      <c r="N364" s="10"/>
    </row>
    <row r="365" spans="5:14" ht="13">
      <c r="E365" s="11"/>
      <c r="N365" s="10"/>
    </row>
    <row r="366" spans="5:14" ht="13">
      <c r="E366" s="11"/>
      <c r="N366" s="10"/>
    </row>
    <row r="367" spans="5:14" ht="13">
      <c r="E367" s="11"/>
      <c r="N367" s="10"/>
    </row>
    <row r="368" spans="5:14" ht="13">
      <c r="E368" s="11"/>
      <c r="N368" s="10"/>
    </row>
    <row r="369" spans="5:14" ht="13">
      <c r="E369" s="11"/>
      <c r="N369" s="10"/>
    </row>
    <row r="370" spans="5:14" ht="13">
      <c r="E370" s="11"/>
      <c r="N370" s="10"/>
    </row>
    <row r="371" spans="5:14" ht="13">
      <c r="E371" s="11"/>
      <c r="N371" s="10"/>
    </row>
    <row r="372" spans="5:14" ht="13">
      <c r="E372" s="11"/>
      <c r="N372" s="10"/>
    </row>
    <row r="373" spans="5:14" ht="13">
      <c r="E373" s="11"/>
      <c r="N373" s="10"/>
    </row>
    <row r="374" spans="5:14" ht="13">
      <c r="E374" s="11"/>
      <c r="N374" s="10"/>
    </row>
    <row r="375" spans="5:14" ht="13">
      <c r="E375" s="11"/>
      <c r="N375" s="10"/>
    </row>
    <row r="376" spans="5:14" ht="13">
      <c r="E376" s="11"/>
      <c r="N376" s="10"/>
    </row>
    <row r="377" spans="5:14" ht="13">
      <c r="E377" s="11"/>
      <c r="N377" s="10"/>
    </row>
    <row r="378" spans="5:14" ht="13">
      <c r="E378" s="11"/>
      <c r="N378" s="10"/>
    </row>
    <row r="379" spans="5:14" ht="13">
      <c r="E379" s="11"/>
      <c r="N379" s="10"/>
    </row>
    <row r="380" spans="5:14" ht="13">
      <c r="E380" s="11"/>
      <c r="N380" s="10"/>
    </row>
    <row r="381" spans="5:14" ht="13">
      <c r="E381" s="11"/>
      <c r="N381" s="10"/>
    </row>
    <row r="382" spans="5:14" ht="13">
      <c r="E382" s="11"/>
      <c r="N382" s="10"/>
    </row>
    <row r="383" spans="5:14" ht="13">
      <c r="E383" s="11"/>
      <c r="N383" s="10"/>
    </row>
    <row r="384" spans="5:14" ht="13">
      <c r="E384" s="11"/>
      <c r="N384" s="10"/>
    </row>
    <row r="385" spans="5:14" ht="13">
      <c r="E385" s="11"/>
      <c r="N385" s="10"/>
    </row>
    <row r="386" spans="5:14" ht="13">
      <c r="E386" s="11"/>
      <c r="N386" s="10"/>
    </row>
    <row r="387" spans="5:14" ht="13">
      <c r="E387" s="11"/>
      <c r="N387" s="10"/>
    </row>
    <row r="388" spans="5:14" ht="13">
      <c r="E388" s="11"/>
      <c r="N388" s="10"/>
    </row>
    <row r="389" spans="5:14" ht="13">
      <c r="E389" s="11"/>
      <c r="N389" s="10"/>
    </row>
    <row r="390" spans="5:14" ht="13">
      <c r="E390" s="11"/>
      <c r="N390" s="10"/>
    </row>
    <row r="391" spans="5:14" ht="13">
      <c r="E391" s="11"/>
      <c r="N391" s="10"/>
    </row>
    <row r="392" spans="5:14" ht="13">
      <c r="E392" s="11"/>
      <c r="N392" s="10"/>
    </row>
    <row r="393" spans="5:14" ht="13">
      <c r="E393" s="11"/>
      <c r="N393" s="10"/>
    </row>
    <row r="394" spans="5:14" ht="13">
      <c r="E394" s="11"/>
      <c r="N394" s="10"/>
    </row>
    <row r="395" spans="5:14" ht="13">
      <c r="E395" s="11"/>
      <c r="N395" s="10"/>
    </row>
    <row r="396" spans="5:14" ht="13">
      <c r="E396" s="11"/>
      <c r="N396" s="10"/>
    </row>
    <row r="397" spans="5:14" ht="13">
      <c r="E397" s="11"/>
      <c r="N397" s="10"/>
    </row>
    <row r="398" spans="5:14" ht="13">
      <c r="E398" s="11"/>
      <c r="N398" s="10"/>
    </row>
    <row r="399" spans="5:14" ht="13">
      <c r="E399" s="11"/>
      <c r="N399" s="10"/>
    </row>
    <row r="400" spans="5:14" ht="13">
      <c r="E400" s="11"/>
      <c r="N400" s="10"/>
    </row>
    <row r="401" spans="5:14" ht="13">
      <c r="E401" s="11"/>
      <c r="N401" s="10"/>
    </row>
    <row r="402" spans="5:14" ht="13">
      <c r="E402" s="11"/>
      <c r="N402" s="10"/>
    </row>
    <row r="403" spans="5:14" ht="13">
      <c r="E403" s="11"/>
      <c r="N403" s="10"/>
    </row>
    <row r="404" spans="5:14" ht="13">
      <c r="E404" s="11"/>
      <c r="N404" s="10"/>
    </row>
    <row r="405" spans="5:14" ht="13">
      <c r="E405" s="11"/>
      <c r="N405" s="10"/>
    </row>
    <row r="406" spans="5:14" ht="13">
      <c r="E406" s="11"/>
      <c r="N406" s="10"/>
    </row>
    <row r="407" spans="5:14" ht="13">
      <c r="E407" s="11"/>
      <c r="N407" s="10"/>
    </row>
    <row r="408" spans="5:14" ht="13">
      <c r="E408" s="11"/>
      <c r="N408" s="10"/>
    </row>
    <row r="409" spans="5:14" ht="13">
      <c r="E409" s="11"/>
      <c r="N409" s="10"/>
    </row>
    <row r="410" spans="5:14" ht="13">
      <c r="E410" s="11"/>
      <c r="N410" s="10"/>
    </row>
    <row r="411" spans="5:14" ht="13">
      <c r="E411" s="11"/>
      <c r="N411" s="10"/>
    </row>
    <row r="412" spans="5:14" ht="13">
      <c r="E412" s="11"/>
      <c r="N412" s="10"/>
    </row>
    <row r="413" spans="5:14" ht="13">
      <c r="E413" s="11"/>
      <c r="N413" s="10"/>
    </row>
    <row r="414" spans="5:14" ht="13">
      <c r="E414" s="11"/>
      <c r="N414" s="10"/>
    </row>
    <row r="415" spans="5:14" ht="13">
      <c r="E415" s="11"/>
      <c r="N415" s="10"/>
    </row>
    <row r="416" spans="5:14" ht="13">
      <c r="E416" s="11"/>
      <c r="N416" s="10"/>
    </row>
    <row r="417" spans="5:14" ht="13">
      <c r="E417" s="11"/>
      <c r="N417" s="10"/>
    </row>
    <row r="418" spans="5:14" ht="13">
      <c r="E418" s="11"/>
      <c r="N418" s="10"/>
    </row>
    <row r="419" spans="5:14" ht="13">
      <c r="E419" s="11"/>
      <c r="N419" s="10"/>
    </row>
    <row r="420" spans="5:14" ht="13">
      <c r="E420" s="11"/>
      <c r="N420" s="10"/>
    </row>
    <row r="421" spans="5:14" ht="13">
      <c r="E421" s="11"/>
      <c r="N421" s="10"/>
    </row>
    <row r="422" spans="5:14" ht="13">
      <c r="E422" s="11"/>
      <c r="N422" s="10"/>
    </row>
    <row r="423" spans="5:14" ht="13">
      <c r="E423" s="11"/>
      <c r="N423" s="10"/>
    </row>
    <row r="424" spans="5:14" ht="13">
      <c r="E424" s="11"/>
      <c r="N424" s="10"/>
    </row>
    <row r="425" spans="5:14" ht="13">
      <c r="E425" s="11"/>
      <c r="N425" s="10"/>
    </row>
    <row r="426" spans="5:14" ht="13">
      <c r="E426" s="11"/>
      <c r="N426" s="10"/>
    </row>
    <row r="427" spans="5:14" ht="13">
      <c r="E427" s="11"/>
      <c r="N427" s="10"/>
    </row>
    <row r="428" spans="5:14" ht="13">
      <c r="E428" s="11"/>
      <c r="N428" s="10"/>
    </row>
    <row r="429" spans="5:14" ht="13">
      <c r="E429" s="11"/>
      <c r="N429" s="10"/>
    </row>
    <row r="430" spans="5:14" ht="13">
      <c r="E430" s="11"/>
      <c r="N430" s="10"/>
    </row>
    <row r="431" spans="5:14" ht="13">
      <c r="E431" s="11"/>
      <c r="N431" s="10"/>
    </row>
    <row r="432" spans="5:14" ht="13">
      <c r="E432" s="11"/>
      <c r="N432" s="10"/>
    </row>
    <row r="433" spans="5:14" ht="13">
      <c r="E433" s="11"/>
      <c r="N433" s="10"/>
    </row>
    <row r="434" spans="5:14" ht="13">
      <c r="E434" s="11"/>
      <c r="N434" s="10"/>
    </row>
    <row r="435" spans="5:14" ht="13">
      <c r="E435" s="11"/>
      <c r="N435" s="10"/>
    </row>
    <row r="436" spans="5:14" ht="13">
      <c r="E436" s="11"/>
      <c r="N436" s="10"/>
    </row>
    <row r="437" spans="5:14" ht="13">
      <c r="E437" s="11"/>
      <c r="N437" s="10"/>
    </row>
    <row r="438" spans="5:14" ht="13">
      <c r="E438" s="11"/>
      <c r="N438" s="10"/>
    </row>
    <row r="439" spans="5:14" ht="13">
      <c r="E439" s="11"/>
      <c r="N439" s="10"/>
    </row>
    <row r="440" spans="5:14" ht="13">
      <c r="E440" s="11"/>
      <c r="N440" s="10"/>
    </row>
    <row r="441" spans="5:14" ht="13">
      <c r="E441" s="11"/>
      <c r="N441" s="10"/>
    </row>
    <row r="442" spans="5:14" ht="13">
      <c r="E442" s="11"/>
      <c r="N442" s="10"/>
    </row>
    <row r="443" spans="5:14" ht="13">
      <c r="E443" s="11"/>
      <c r="N443" s="10"/>
    </row>
    <row r="444" spans="5:14" ht="13">
      <c r="E444" s="11"/>
      <c r="N444" s="10"/>
    </row>
    <row r="445" spans="5:14" ht="13">
      <c r="E445" s="11"/>
      <c r="N445" s="10"/>
    </row>
    <row r="446" spans="5:14" ht="13">
      <c r="E446" s="11"/>
      <c r="N446" s="10"/>
    </row>
    <row r="447" spans="5:14" ht="13">
      <c r="E447" s="11"/>
      <c r="N447" s="10"/>
    </row>
    <row r="448" spans="5:14" ht="13">
      <c r="E448" s="11"/>
      <c r="N448" s="10"/>
    </row>
    <row r="449" spans="5:14" ht="13">
      <c r="E449" s="11"/>
      <c r="N449" s="10"/>
    </row>
    <row r="450" spans="5:14" ht="13">
      <c r="E450" s="11"/>
      <c r="N450" s="10"/>
    </row>
    <row r="451" spans="5:14" ht="13">
      <c r="E451" s="11"/>
      <c r="N451" s="10"/>
    </row>
    <row r="452" spans="5:14" ht="13">
      <c r="E452" s="11"/>
      <c r="N452" s="10"/>
    </row>
    <row r="453" spans="5:14" ht="13">
      <c r="E453" s="11"/>
      <c r="N453" s="10"/>
    </row>
    <row r="454" spans="5:14" ht="13">
      <c r="E454" s="11"/>
      <c r="N454" s="10"/>
    </row>
    <row r="455" spans="5:14" ht="13">
      <c r="E455" s="11"/>
      <c r="N455" s="10"/>
    </row>
    <row r="456" spans="5:14" ht="13">
      <c r="E456" s="11"/>
      <c r="N456" s="10"/>
    </row>
    <row r="457" spans="5:14" ht="13">
      <c r="E457" s="11"/>
      <c r="N457" s="10"/>
    </row>
    <row r="458" spans="5:14" ht="13">
      <c r="E458" s="11"/>
      <c r="N458" s="10"/>
    </row>
    <row r="459" spans="5:14" ht="13">
      <c r="E459" s="11"/>
      <c r="N459" s="10"/>
    </row>
    <row r="460" spans="5:14" ht="13">
      <c r="E460" s="11"/>
      <c r="N460" s="10"/>
    </row>
    <row r="461" spans="5:14" ht="13">
      <c r="E461" s="11"/>
      <c r="N461" s="10"/>
    </row>
    <row r="462" spans="5:14" ht="13">
      <c r="E462" s="11"/>
      <c r="N462" s="10"/>
    </row>
    <row r="463" spans="5:14" ht="13">
      <c r="E463" s="11"/>
      <c r="N463" s="10"/>
    </row>
    <row r="464" spans="5:14" ht="13">
      <c r="E464" s="11"/>
      <c r="N464" s="10"/>
    </row>
    <row r="465" spans="5:14" ht="13">
      <c r="E465" s="11"/>
      <c r="N465" s="10"/>
    </row>
    <row r="466" spans="5:14" ht="13">
      <c r="E466" s="11"/>
      <c r="N466" s="10"/>
    </row>
    <row r="467" spans="5:14" ht="13">
      <c r="E467" s="11"/>
      <c r="N467" s="10"/>
    </row>
    <row r="468" spans="5:14" ht="13">
      <c r="E468" s="11"/>
      <c r="N468" s="10"/>
    </row>
    <row r="469" spans="5:14" ht="13">
      <c r="E469" s="11"/>
      <c r="N469" s="10"/>
    </row>
    <row r="470" spans="5:14" ht="13">
      <c r="E470" s="11"/>
      <c r="N470" s="10"/>
    </row>
    <row r="471" spans="5:14" ht="13">
      <c r="E471" s="11"/>
      <c r="N471" s="10"/>
    </row>
    <row r="472" spans="5:14" ht="13">
      <c r="E472" s="11"/>
      <c r="N472" s="10"/>
    </row>
    <row r="473" spans="5:14" ht="13">
      <c r="E473" s="11"/>
      <c r="N473" s="10"/>
    </row>
    <row r="474" spans="5:14" ht="13">
      <c r="E474" s="11"/>
      <c r="N474" s="10"/>
    </row>
    <row r="475" spans="5:14" ht="13">
      <c r="E475" s="11"/>
      <c r="N475" s="10"/>
    </row>
    <row r="476" spans="5:14" ht="13">
      <c r="E476" s="11"/>
      <c r="N476" s="10"/>
    </row>
    <row r="477" spans="5:14" ht="13">
      <c r="E477" s="11"/>
      <c r="N477" s="10"/>
    </row>
    <row r="478" spans="5:14" ht="13">
      <c r="E478" s="11"/>
      <c r="N478" s="10"/>
    </row>
    <row r="479" spans="5:14" ht="13">
      <c r="E479" s="11"/>
      <c r="N479" s="10"/>
    </row>
    <row r="480" spans="5:14" ht="13">
      <c r="E480" s="11"/>
      <c r="N480" s="10"/>
    </row>
    <row r="481" spans="5:14" ht="13">
      <c r="E481" s="11"/>
      <c r="N481" s="10"/>
    </row>
    <row r="482" spans="5:14" ht="13">
      <c r="E482" s="11"/>
      <c r="N482" s="10"/>
    </row>
    <row r="483" spans="5:14" ht="13">
      <c r="E483" s="11"/>
      <c r="N483" s="10"/>
    </row>
    <row r="484" spans="5:14" ht="13">
      <c r="E484" s="11"/>
      <c r="N484" s="10"/>
    </row>
    <row r="485" spans="5:14" ht="13">
      <c r="E485" s="11"/>
      <c r="N485" s="10"/>
    </row>
    <row r="486" spans="5:14" ht="13">
      <c r="E486" s="11"/>
      <c r="N486" s="10"/>
    </row>
    <row r="487" spans="5:14" ht="13">
      <c r="E487" s="11"/>
      <c r="N487" s="10"/>
    </row>
    <row r="488" spans="5:14" ht="13">
      <c r="E488" s="11"/>
      <c r="N488" s="10"/>
    </row>
    <row r="489" spans="5:14" ht="13">
      <c r="E489" s="11"/>
      <c r="N489" s="10"/>
    </row>
    <row r="490" spans="5:14" ht="13">
      <c r="E490" s="11"/>
      <c r="N490" s="10"/>
    </row>
    <row r="491" spans="5:14" ht="13">
      <c r="E491" s="11"/>
      <c r="N491" s="10"/>
    </row>
    <row r="492" spans="5:14" ht="13">
      <c r="E492" s="11"/>
      <c r="N492" s="10"/>
    </row>
    <row r="493" spans="5:14" ht="13">
      <c r="E493" s="11"/>
      <c r="N493" s="10"/>
    </row>
    <row r="494" spans="5:14" ht="13">
      <c r="E494" s="11"/>
      <c r="N494" s="10"/>
    </row>
    <row r="495" spans="5:14" ht="13">
      <c r="E495" s="11"/>
      <c r="N495" s="10"/>
    </row>
    <row r="496" spans="5:14" ht="13">
      <c r="E496" s="11"/>
      <c r="N496" s="10"/>
    </row>
    <row r="497" spans="5:14" ht="13">
      <c r="E497" s="11"/>
      <c r="N497" s="10"/>
    </row>
    <row r="498" spans="5:14" ht="13">
      <c r="E498" s="11"/>
      <c r="N498" s="10"/>
    </row>
    <row r="499" spans="5:14" ht="13">
      <c r="E499" s="11"/>
      <c r="N499" s="10"/>
    </row>
    <row r="500" spans="5:14" ht="13">
      <c r="E500" s="11"/>
      <c r="N500" s="10"/>
    </row>
    <row r="501" spans="5:14" ht="13">
      <c r="E501" s="11"/>
      <c r="N501" s="10"/>
    </row>
    <row r="502" spans="5:14" ht="13">
      <c r="E502" s="11"/>
      <c r="N502" s="10"/>
    </row>
    <row r="503" spans="5:14" ht="13">
      <c r="E503" s="11"/>
      <c r="N503" s="10"/>
    </row>
    <row r="504" spans="5:14" ht="13">
      <c r="E504" s="11"/>
      <c r="N504" s="10"/>
    </row>
    <row r="505" spans="5:14" ht="13">
      <c r="E505" s="11"/>
      <c r="N505" s="10"/>
    </row>
    <row r="506" spans="5:14" ht="13">
      <c r="E506" s="11"/>
      <c r="N506" s="10"/>
    </row>
    <row r="507" spans="5:14" ht="13">
      <c r="E507" s="11"/>
      <c r="N507" s="10"/>
    </row>
    <row r="508" spans="5:14" ht="13">
      <c r="E508" s="11"/>
      <c r="N508" s="10"/>
    </row>
    <row r="509" spans="5:14" ht="13">
      <c r="E509" s="11"/>
      <c r="N509" s="10"/>
    </row>
    <row r="510" spans="5:14" ht="13">
      <c r="E510" s="11"/>
      <c r="N510" s="10"/>
    </row>
    <row r="511" spans="5:14" ht="13">
      <c r="E511" s="11"/>
      <c r="N511" s="10"/>
    </row>
    <row r="512" spans="5:14" ht="13">
      <c r="E512" s="11"/>
      <c r="N512" s="10"/>
    </row>
    <row r="513" spans="5:14" ht="13">
      <c r="E513" s="11"/>
      <c r="N513" s="10"/>
    </row>
    <row r="514" spans="5:14" ht="13">
      <c r="E514" s="11"/>
      <c r="N514" s="10"/>
    </row>
    <row r="515" spans="5:14" ht="13">
      <c r="E515" s="11"/>
      <c r="N515" s="10"/>
    </row>
    <row r="516" spans="5:14" ht="13">
      <c r="E516" s="11"/>
      <c r="N516" s="10"/>
    </row>
    <row r="517" spans="5:14" ht="13">
      <c r="E517" s="11"/>
      <c r="N517" s="10"/>
    </row>
    <row r="518" spans="5:14" ht="13">
      <c r="E518" s="11"/>
      <c r="N518" s="10"/>
    </row>
    <row r="519" spans="5:14" ht="13">
      <c r="E519" s="11"/>
      <c r="N519" s="10"/>
    </row>
    <row r="520" spans="5:14" ht="13">
      <c r="E520" s="11"/>
      <c r="N520" s="10"/>
    </row>
    <row r="521" spans="5:14" ht="13">
      <c r="E521" s="11"/>
      <c r="N521" s="10"/>
    </row>
    <row r="522" spans="5:14" ht="13">
      <c r="E522" s="11"/>
      <c r="N522" s="10"/>
    </row>
    <row r="523" spans="5:14" ht="13">
      <c r="E523" s="11"/>
      <c r="N523" s="10"/>
    </row>
    <row r="524" spans="5:14" ht="13">
      <c r="E524" s="11"/>
      <c r="N524" s="10"/>
    </row>
    <row r="525" spans="5:14" ht="13">
      <c r="E525" s="11"/>
      <c r="N525" s="10"/>
    </row>
    <row r="526" spans="5:14" ht="13">
      <c r="E526" s="11"/>
      <c r="N526" s="10"/>
    </row>
    <row r="527" spans="5:14" ht="13">
      <c r="E527" s="11"/>
      <c r="N527" s="10"/>
    </row>
    <row r="528" spans="5:14" ht="13">
      <c r="E528" s="11"/>
      <c r="N528" s="10"/>
    </row>
    <row r="529" spans="5:14" ht="13">
      <c r="E529" s="11"/>
      <c r="N529" s="10"/>
    </row>
    <row r="530" spans="5:14" ht="13">
      <c r="E530" s="11"/>
      <c r="N530" s="10"/>
    </row>
    <row r="531" spans="5:14" ht="13">
      <c r="E531" s="11"/>
      <c r="N531" s="10"/>
    </row>
    <row r="532" spans="5:14" ht="13">
      <c r="E532" s="11"/>
      <c r="N532" s="10"/>
    </row>
    <row r="533" spans="5:14" ht="13">
      <c r="E533" s="11"/>
      <c r="N533" s="10"/>
    </row>
    <row r="534" spans="5:14" ht="13">
      <c r="E534" s="11"/>
      <c r="N534" s="10"/>
    </row>
    <row r="535" spans="5:14" ht="13">
      <c r="E535" s="11"/>
      <c r="N535" s="10"/>
    </row>
    <row r="536" spans="5:14" ht="13">
      <c r="E536" s="11"/>
      <c r="N536" s="10"/>
    </row>
    <row r="537" spans="5:14" ht="13">
      <c r="E537" s="11"/>
      <c r="N537" s="10"/>
    </row>
    <row r="538" spans="5:14" ht="13">
      <c r="E538" s="11"/>
      <c r="N538" s="10"/>
    </row>
    <row r="539" spans="5:14" ht="13">
      <c r="E539" s="11"/>
      <c r="N539" s="10"/>
    </row>
    <row r="540" spans="5:14" ht="13">
      <c r="E540" s="11"/>
      <c r="N540" s="10"/>
    </row>
    <row r="541" spans="5:14" ht="13">
      <c r="E541" s="11"/>
      <c r="N541" s="10"/>
    </row>
    <row r="542" spans="5:14" ht="13">
      <c r="E542" s="11"/>
      <c r="N542" s="10"/>
    </row>
    <row r="543" spans="5:14" ht="13">
      <c r="E543" s="11"/>
      <c r="N543" s="10"/>
    </row>
    <row r="544" spans="5:14" ht="13">
      <c r="E544" s="11"/>
      <c r="N544" s="10"/>
    </row>
    <row r="545" spans="5:14" ht="13">
      <c r="E545" s="11"/>
      <c r="N545" s="10"/>
    </row>
    <row r="546" spans="5:14" ht="13">
      <c r="E546" s="11"/>
      <c r="N546" s="10"/>
    </row>
    <row r="547" spans="5:14" ht="13">
      <c r="E547" s="11"/>
      <c r="N547" s="10"/>
    </row>
    <row r="548" spans="5:14" ht="13">
      <c r="E548" s="11"/>
      <c r="N548" s="10"/>
    </row>
    <row r="549" spans="5:14" ht="13">
      <c r="E549" s="11"/>
      <c r="N549" s="10"/>
    </row>
    <row r="550" spans="5:14" ht="13">
      <c r="E550" s="11"/>
      <c r="N550" s="10"/>
    </row>
    <row r="551" spans="5:14" ht="13">
      <c r="E551" s="11"/>
      <c r="N551" s="10"/>
    </row>
    <row r="552" spans="5:14" ht="13">
      <c r="E552" s="11"/>
      <c r="N552" s="10"/>
    </row>
    <row r="553" spans="5:14" ht="13">
      <c r="E553" s="11"/>
      <c r="N553" s="10"/>
    </row>
    <row r="554" spans="5:14" ht="13">
      <c r="E554" s="11"/>
      <c r="N554" s="10"/>
    </row>
    <row r="555" spans="5:14" ht="13">
      <c r="E555" s="11"/>
      <c r="N555" s="10"/>
    </row>
    <row r="556" spans="5:14" ht="13">
      <c r="E556" s="11"/>
      <c r="N556" s="10"/>
    </row>
    <row r="557" spans="5:14" ht="13">
      <c r="E557" s="11"/>
      <c r="N557" s="10"/>
    </row>
    <row r="558" spans="5:14" ht="13">
      <c r="E558" s="11"/>
      <c r="N558" s="10"/>
    </row>
    <row r="559" spans="5:14" ht="13">
      <c r="E559" s="11"/>
      <c r="N559" s="10"/>
    </row>
    <row r="560" spans="5:14" ht="13">
      <c r="E560" s="11"/>
      <c r="N560" s="10"/>
    </row>
    <row r="561" spans="5:14" ht="13">
      <c r="E561" s="11"/>
      <c r="N561" s="10"/>
    </row>
    <row r="562" spans="5:14" ht="13">
      <c r="E562" s="11"/>
      <c r="N562" s="10"/>
    </row>
    <row r="563" spans="5:14" ht="13">
      <c r="E563" s="11"/>
      <c r="N563" s="10"/>
    </row>
    <row r="564" spans="5:14" ht="13">
      <c r="E564" s="11"/>
      <c r="N564" s="10"/>
    </row>
    <row r="565" spans="5:14" ht="13">
      <c r="E565" s="11"/>
      <c r="N565" s="10"/>
    </row>
    <row r="566" spans="5:14" ht="13">
      <c r="E566" s="11"/>
      <c r="N566" s="10"/>
    </row>
    <row r="567" spans="5:14" ht="13">
      <c r="E567" s="11"/>
      <c r="N567" s="10"/>
    </row>
    <row r="568" spans="5:14" ht="13">
      <c r="E568" s="11"/>
      <c r="N568" s="10"/>
    </row>
    <row r="569" spans="5:14" ht="13">
      <c r="E569" s="11"/>
      <c r="N569" s="10"/>
    </row>
    <row r="570" spans="5:14" ht="13">
      <c r="E570" s="11"/>
      <c r="N570" s="10"/>
    </row>
    <row r="571" spans="5:14" ht="13">
      <c r="E571" s="11"/>
      <c r="N571" s="10"/>
    </row>
    <row r="572" spans="5:14" ht="13">
      <c r="E572" s="11"/>
      <c r="N572" s="10"/>
    </row>
    <row r="573" spans="5:14" ht="13">
      <c r="E573" s="11"/>
      <c r="N573" s="10"/>
    </row>
    <row r="574" spans="5:14" ht="13">
      <c r="E574" s="11"/>
      <c r="N574" s="10"/>
    </row>
    <row r="575" spans="5:14" ht="13">
      <c r="E575" s="11"/>
      <c r="N575" s="10"/>
    </row>
    <row r="576" spans="5:14" ht="13">
      <c r="E576" s="11"/>
      <c r="N576" s="10"/>
    </row>
    <row r="577" spans="5:14" ht="13">
      <c r="E577" s="11"/>
      <c r="N577" s="10"/>
    </row>
    <row r="578" spans="5:14" ht="13">
      <c r="E578" s="11"/>
      <c r="N578" s="10"/>
    </row>
    <row r="579" spans="5:14" ht="13">
      <c r="E579" s="11"/>
      <c r="N579" s="10"/>
    </row>
    <row r="580" spans="5:14" ht="13">
      <c r="E580" s="11"/>
      <c r="N580" s="10"/>
    </row>
    <row r="581" spans="5:14" ht="13">
      <c r="E581" s="11"/>
      <c r="N581" s="10"/>
    </row>
    <row r="582" spans="5:14" ht="13">
      <c r="E582" s="11"/>
      <c r="N582" s="10"/>
    </row>
    <row r="583" spans="5:14" ht="13">
      <c r="E583" s="11"/>
      <c r="N583" s="10"/>
    </row>
    <row r="584" spans="5:14" ht="13">
      <c r="E584" s="11"/>
      <c r="N584" s="10"/>
    </row>
    <row r="585" spans="5:14" ht="13">
      <c r="E585" s="11"/>
      <c r="N585" s="10"/>
    </row>
    <row r="586" spans="5:14" ht="13">
      <c r="E586" s="11"/>
      <c r="N586" s="10"/>
    </row>
    <row r="587" spans="5:14" ht="13">
      <c r="E587" s="11"/>
      <c r="N587" s="10"/>
    </row>
    <row r="588" spans="5:14" ht="13">
      <c r="E588" s="11"/>
      <c r="N588" s="10"/>
    </row>
    <row r="589" spans="5:14" ht="13">
      <c r="E589" s="11"/>
      <c r="N589" s="10"/>
    </row>
    <row r="590" spans="5:14" ht="13">
      <c r="E590" s="11"/>
      <c r="N590" s="10"/>
    </row>
    <row r="591" spans="5:14" ht="13">
      <c r="E591" s="11"/>
      <c r="N591" s="10"/>
    </row>
    <row r="592" spans="5:14" ht="13">
      <c r="E592" s="11"/>
      <c r="N592" s="10"/>
    </row>
    <row r="593" spans="5:14" ht="13">
      <c r="E593" s="11"/>
      <c r="N593" s="10"/>
    </row>
    <row r="594" spans="5:14" ht="13">
      <c r="E594" s="11"/>
      <c r="N594" s="10"/>
    </row>
    <row r="595" spans="5:14" ht="13">
      <c r="E595" s="11"/>
      <c r="N595" s="10"/>
    </row>
    <row r="596" spans="5:14" ht="13">
      <c r="E596" s="11"/>
      <c r="N596" s="10"/>
    </row>
    <row r="597" spans="5:14" ht="13">
      <c r="E597" s="11"/>
      <c r="N597" s="10"/>
    </row>
    <row r="598" spans="5:14" ht="13">
      <c r="E598" s="11"/>
      <c r="N598" s="10"/>
    </row>
    <row r="599" spans="5:14" ht="13">
      <c r="E599" s="11"/>
      <c r="N599" s="10"/>
    </row>
    <row r="600" spans="5:14" ht="13">
      <c r="E600" s="11"/>
      <c r="N600" s="10"/>
    </row>
    <row r="601" spans="5:14" ht="13">
      <c r="E601" s="11"/>
      <c r="N601" s="10"/>
    </row>
    <row r="602" spans="5:14" ht="13">
      <c r="E602" s="11"/>
      <c r="N602" s="10"/>
    </row>
    <row r="603" spans="5:14" ht="13">
      <c r="E603" s="11"/>
      <c r="N603" s="10"/>
    </row>
    <row r="604" spans="5:14" ht="13">
      <c r="E604" s="11"/>
      <c r="N604" s="10"/>
    </row>
    <row r="605" spans="5:14" ht="13">
      <c r="E605" s="11"/>
      <c r="N605" s="10"/>
    </row>
    <row r="606" spans="5:14" ht="13">
      <c r="E606" s="11"/>
      <c r="N606" s="10"/>
    </row>
    <row r="607" spans="5:14" ht="13">
      <c r="E607" s="11"/>
      <c r="N607" s="10"/>
    </row>
    <row r="608" spans="5:14" ht="13">
      <c r="E608" s="11"/>
      <c r="N608" s="10"/>
    </row>
    <row r="609" spans="5:14" ht="13">
      <c r="E609" s="11"/>
      <c r="N609" s="10"/>
    </row>
    <row r="610" spans="5:14" ht="13">
      <c r="E610" s="11"/>
      <c r="N610" s="10"/>
    </row>
    <row r="611" spans="5:14" ht="13">
      <c r="E611" s="11"/>
      <c r="N611" s="10"/>
    </row>
    <row r="612" spans="5:14" ht="13">
      <c r="E612" s="11"/>
      <c r="N612" s="10"/>
    </row>
    <row r="613" spans="5:14" ht="13">
      <c r="E613" s="11"/>
      <c r="N613" s="10"/>
    </row>
    <row r="614" spans="5:14" ht="13">
      <c r="E614" s="11"/>
      <c r="N614" s="10"/>
    </row>
    <row r="615" spans="5:14" ht="13">
      <c r="E615" s="11"/>
      <c r="N615" s="10"/>
    </row>
    <row r="616" spans="5:14" ht="13">
      <c r="E616" s="11"/>
      <c r="N616" s="10"/>
    </row>
    <row r="617" spans="5:14" ht="13">
      <c r="E617" s="11"/>
      <c r="N617" s="10"/>
    </row>
    <row r="618" spans="5:14" ht="13">
      <c r="E618" s="11"/>
      <c r="N618" s="10"/>
    </row>
    <row r="619" spans="5:14" ht="13">
      <c r="E619" s="11"/>
      <c r="N619" s="10"/>
    </row>
    <row r="620" spans="5:14" ht="13">
      <c r="E620" s="11"/>
      <c r="N620" s="10"/>
    </row>
    <row r="621" spans="5:14" ht="13">
      <c r="E621" s="11"/>
      <c r="N621" s="10"/>
    </row>
    <row r="622" spans="5:14" ht="13">
      <c r="E622" s="11"/>
      <c r="N622" s="10"/>
    </row>
    <row r="623" spans="5:14" ht="13">
      <c r="E623" s="11"/>
      <c r="N623" s="10"/>
    </row>
    <row r="624" spans="5:14" ht="13">
      <c r="E624" s="11"/>
      <c r="N624" s="10"/>
    </row>
    <row r="625" spans="5:14" ht="13">
      <c r="E625" s="11"/>
      <c r="N625" s="10"/>
    </row>
    <row r="626" spans="5:14" ht="13">
      <c r="E626" s="11"/>
      <c r="N626" s="10"/>
    </row>
    <row r="627" spans="5:14" ht="13">
      <c r="E627" s="11"/>
      <c r="N627" s="10"/>
    </row>
    <row r="628" spans="5:14" ht="13">
      <c r="E628" s="11"/>
      <c r="N628" s="10"/>
    </row>
    <row r="629" spans="5:14" ht="13">
      <c r="E629" s="11"/>
      <c r="N629" s="10"/>
    </row>
    <row r="630" spans="5:14" ht="13">
      <c r="E630" s="11"/>
      <c r="N630" s="10"/>
    </row>
    <row r="631" spans="5:14" ht="13">
      <c r="E631" s="11"/>
      <c r="N631" s="10"/>
    </row>
    <row r="632" spans="5:14" ht="13">
      <c r="E632" s="11"/>
      <c r="N632" s="10"/>
    </row>
    <row r="633" spans="5:14" ht="13">
      <c r="E633" s="11"/>
      <c r="N633" s="10"/>
    </row>
    <row r="634" spans="5:14" ht="13">
      <c r="E634" s="11"/>
      <c r="N634" s="10"/>
    </row>
    <row r="635" spans="5:14" ht="13">
      <c r="E635" s="11"/>
      <c r="N635" s="10"/>
    </row>
    <row r="636" spans="5:14" ht="13">
      <c r="E636" s="11"/>
      <c r="N636" s="10"/>
    </row>
    <row r="637" spans="5:14" ht="13">
      <c r="E637" s="11"/>
      <c r="N637" s="10"/>
    </row>
    <row r="638" spans="5:14" ht="13">
      <c r="E638" s="11"/>
      <c r="N638" s="10"/>
    </row>
    <row r="639" spans="5:14" ht="13">
      <c r="E639" s="11"/>
      <c r="N639" s="10"/>
    </row>
    <row r="640" spans="5:14" ht="13">
      <c r="E640" s="11"/>
      <c r="N640" s="10"/>
    </row>
    <row r="641" spans="5:14" ht="13">
      <c r="E641" s="11"/>
      <c r="N641" s="10"/>
    </row>
    <row r="642" spans="5:14" ht="13">
      <c r="E642" s="11"/>
      <c r="N642" s="10"/>
    </row>
    <row r="643" spans="5:14" ht="13">
      <c r="E643" s="11"/>
      <c r="N643" s="10"/>
    </row>
    <row r="644" spans="5:14" ht="13">
      <c r="E644" s="11"/>
      <c r="N644" s="10"/>
    </row>
    <row r="645" spans="5:14" ht="13">
      <c r="E645" s="11"/>
      <c r="N645" s="10"/>
    </row>
    <row r="646" spans="5:14" ht="13">
      <c r="E646" s="11"/>
      <c r="N646" s="10"/>
    </row>
    <row r="647" spans="5:14" ht="13">
      <c r="E647" s="11"/>
      <c r="N647" s="10"/>
    </row>
    <row r="648" spans="5:14" ht="13">
      <c r="E648" s="11"/>
      <c r="N648" s="10"/>
    </row>
    <row r="649" spans="5:14" ht="13">
      <c r="E649" s="11"/>
      <c r="N649" s="10"/>
    </row>
    <row r="650" spans="5:14" ht="13">
      <c r="E650" s="11"/>
      <c r="N650" s="10"/>
    </row>
    <row r="651" spans="5:14" ht="13">
      <c r="E651" s="11"/>
      <c r="N651" s="10"/>
    </row>
    <row r="652" spans="5:14" ht="13">
      <c r="E652" s="11"/>
      <c r="N652" s="10"/>
    </row>
    <row r="653" spans="5:14" ht="13">
      <c r="E653" s="11"/>
      <c r="N653" s="10"/>
    </row>
    <row r="654" spans="5:14" ht="13">
      <c r="E654" s="11"/>
      <c r="N654" s="10"/>
    </row>
    <row r="655" spans="5:14" ht="13">
      <c r="E655" s="11"/>
      <c r="N655" s="10"/>
    </row>
    <row r="656" spans="5:14" ht="13">
      <c r="E656" s="11"/>
      <c r="N656" s="10"/>
    </row>
    <row r="657" spans="5:14" ht="13">
      <c r="E657" s="11"/>
      <c r="N657" s="10"/>
    </row>
    <row r="658" spans="5:14" ht="13">
      <c r="E658" s="11"/>
      <c r="N658" s="10"/>
    </row>
    <row r="659" spans="5:14" ht="13">
      <c r="E659" s="11"/>
      <c r="N659" s="10"/>
    </row>
    <row r="660" spans="5:14" ht="13">
      <c r="E660" s="11"/>
      <c r="N660" s="10"/>
    </row>
    <row r="661" spans="5:14" ht="13">
      <c r="E661" s="11"/>
      <c r="N661" s="10"/>
    </row>
    <row r="662" spans="5:14" ht="13">
      <c r="E662" s="11"/>
      <c r="N662" s="10"/>
    </row>
    <row r="663" spans="5:14" ht="13">
      <c r="E663" s="11"/>
      <c r="N663" s="10"/>
    </row>
    <row r="664" spans="5:14" ht="13">
      <c r="E664" s="11"/>
      <c r="N664" s="10"/>
    </row>
    <row r="665" spans="5:14" ht="13">
      <c r="E665" s="11"/>
      <c r="N665" s="10"/>
    </row>
    <row r="666" spans="5:14" ht="13">
      <c r="E666" s="11"/>
      <c r="N666" s="10"/>
    </row>
    <row r="667" spans="5:14" ht="13">
      <c r="E667" s="11"/>
      <c r="N667" s="10"/>
    </row>
    <row r="668" spans="5:14" ht="13">
      <c r="E668" s="11"/>
      <c r="N668" s="10"/>
    </row>
    <row r="669" spans="5:14" ht="13">
      <c r="E669" s="11"/>
      <c r="N669" s="10"/>
    </row>
    <row r="670" spans="5:14" ht="13">
      <c r="E670" s="11"/>
      <c r="N670" s="10"/>
    </row>
    <row r="671" spans="5:14" ht="13">
      <c r="E671" s="11"/>
      <c r="N671" s="10"/>
    </row>
    <row r="672" spans="5:14" ht="13">
      <c r="E672" s="11"/>
      <c r="N672" s="10"/>
    </row>
    <row r="673" spans="5:14" ht="13">
      <c r="E673" s="11"/>
      <c r="N673" s="10"/>
    </row>
    <row r="674" spans="5:14" ht="13">
      <c r="E674" s="11"/>
      <c r="N674" s="10"/>
    </row>
    <row r="675" spans="5:14" ht="13">
      <c r="E675" s="11"/>
      <c r="N675" s="10"/>
    </row>
    <row r="676" spans="5:14" ht="13">
      <c r="E676" s="11"/>
      <c r="N676" s="10"/>
    </row>
    <row r="677" spans="5:14" ht="13">
      <c r="E677" s="11"/>
      <c r="N677" s="10"/>
    </row>
    <row r="678" spans="5:14" ht="13">
      <c r="E678" s="11"/>
      <c r="N678" s="10"/>
    </row>
    <row r="679" spans="5:14" ht="13">
      <c r="E679" s="11"/>
      <c r="N679" s="10"/>
    </row>
    <row r="680" spans="5:14" ht="13">
      <c r="E680" s="11"/>
      <c r="N680" s="10"/>
    </row>
    <row r="681" spans="5:14" ht="13">
      <c r="E681" s="11"/>
      <c r="N681" s="10"/>
    </row>
    <row r="682" spans="5:14" ht="13">
      <c r="E682" s="11"/>
      <c r="N682" s="10"/>
    </row>
    <row r="683" spans="5:14" ht="13">
      <c r="E683" s="11"/>
      <c r="N683" s="10"/>
    </row>
    <row r="684" spans="5:14" ht="13">
      <c r="E684" s="11"/>
      <c r="N684" s="10"/>
    </row>
    <row r="685" spans="5:14" ht="13">
      <c r="E685" s="11"/>
      <c r="N685" s="10"/>
    </row>
    <row r="686" spans="5:14" ht="13">
      <c r="E686" s="11"/>
      <c r="N686" s="10"/>
    </row>
    <row r="687" spans="5:14" ht="13">
      <c r="E687" s="11"/>
      <c r="N687" s="10"/>
    </row>
    <row r="688" spans="5:14" ht="13">
      <c r="E688" s="11"/>
      <c r="N688" s="10"/>
    </row>
    <row r="689" spans="5:14" ht="13">
      <c r="E689" s="11"/>
      <c r="N689" s="10"/>
    </row>
    <row r="690" spans="5:14" ht="13">
      <c r="E690" s="11"/>
      <c r="N690" s="10"/>
    </row>
    <row r="691" spans="5:14" ht="13">
      <c r="E691" s="11"/>
      <c r="N691" s="10"/>
    </row>
    <row r="692" spans="5:14" ht="13">
      <c r="E692" s="11"/>
      <c r="N692" s="10"/>
    </row>
    <row r="693" spans="5:14" ht="13">
      <c r="E693" s="11"/>
      <c r="N693" s="10"/>
    </row>
    <row r="694" spans="5:14" ht="13">
      <c r="E694" s="11"/>
      <c r="N694" s="10"/>
    </row>
    <row r="695" spans="5:14" ht="13">
      <c r="E695" s="11"/>
      <c r="N695" s="10"/>
    </row>
    <row r="696" spans="5:14" ht="13">
      <c r="E696" s="11"/>
      <c r="N696" s="10"/>
    </row>
    <row r="697" spans="5:14" ht="13">
      <c r="E697" s="11"/>
      <c r="N697" s="10"/>
    </row>
    <row r="698" spans="5:14" ht="13">
      <c r="E698" s="11"/>
      <c r="N698" s="10"/>
    </row>
    <row r="699" spans="5:14" ht="13">
      <c r="E699" s="11"/>
      <c r="N699" s="10"/>
    </row>
    <row r="700" spans="5:14" ht="13">
      <c r="E700" s="11"/>
      <c r="N700" s="10"/>
    </row>
    <row r="701" spans="5:14" ht="13">
      <c r="E701" s="11"/>
      <c r="N701" s="10"/>
    </row>
    <row r="702" spans="5:14" ht="13">
      <c r="E702" s="11"/>
      <c r="N702" s="10"/>
    </row>
    <row r="703" spans="5:14" ht="13">
      <c r="E703" s="11"/>
      <c r="N703" s="10"/>
    </row>
    <row r="704" spans="5:14" ht="13">
      <c r="E704" s="11"/>
      <c r="N704" s="10"/>
    </row>
    <row r="705" spans="5:14" ht="13">
      <c r="E705" s="11"/>
      <c r="N705" s="10"/>
    </row>
    <row r="706" spans="5:14" ht="13">
      <c r="E706" s="11"/>
      <c r="N706" s="10"/>
    </row>
    <row r="707" spans="5:14" ht="13">
      <c r="E707" s="11"/>
      <c r="N707" s="10"/>
    </row>
    <row r="708" spans="5:14" ht="13">
      <c r="E708" s="11"/>
      <c r="N708" s="10"/>
    </row>
    <row r="709" spans="5:14" ht="13">
      <c r="E709" s="11"/>
      <c r="N709" s="10"/>
    </row>
    <row r="710" spans="5:14" ht="13">
      <c r="E710" s="11"/>
      <c r="N710" s="10"/>
    </row>
    <row r="711" spans="5:14" ht="13">
      <c r="E711" s="11"/>
      <c r="N711" s="10"/>
    </row>
    <row r="712" spans="5:14" ht="13">
      <c r="E712" s="11"/>
      <c r="N712" s="10"/>
    </row>
    <row r="713" spans="5:14" ht="13">
      <c r="E713" s="11"/>
      <c r="N713" s="10"/>
    </row>
    <row r="714" spans="5:14" ht="13">
      <c r="E714" s="11"/>
      <c r="N714" s="10"/>
    </row>
    <row r="715" spans="5:14" ht="13">
      <c r="E715" s="11"/>
      <c r="N715" s="10"/>
    </row>
    <row r="716" spans="5:14" ht="13">
      <c r="E716" s="11"/>
      <c r="N716" s="10"/>
    </row>
    <row r="717" spans="5:14" ht="13">
      <c r="E717" s="11"/>
      <c r="N717" s="10"/>
    </row>
    <row r="718" spans="5:14" ht="13">
      <c r="E718" s="11"/>
      <c r="N718" s="10"/>
    </row>
    <row r="719" spans="5:14" ht="13">
      <c r="E719" s="11"/>
      <c r="N719" s="10"/>
    </row>
    <row r="720" spans="5:14" ht="13">
      <c r="E720" s="11"/>
      <c r="N720" s="10"/>
    </row>
    <row r="721" spans="5:14" ht="13">
      <c r="E721" s="11"/>
      <c r="N721" s="10"/>
    </row>
    <row r="722" spans="5:14" ht="13">
      <c r="E722" s="11"/>
      <c r="N722" s="10"/>
    </row>
    <row r="723" spans="5:14" ht="13">
      <c r="E723" s="11"/>
      <c r="N723" s="10"/>
    </row>
    <row r="724" spans="5:14" ht="13">
      <c r="E724" s="11"/>
      <c r="N724" s="10"/>
    </row>
    <row r="725" spans="5:14" ht="13">
      <c r="E725" s="11"/>
      <c r="N725" s="10"/>
    </row>
    <row r="726" spans="5:14" ht="13">
      <c r="E726" s="11"/>
      <c r="N726" s="10"/>
    </row>
    <row r="727" spans="5:14" ht="13">
      <c r="E727" s="11"/>
      <c r="N727" s="10"/>
    </row>
    <row r="728" spans="5:14" ht="13">
      <c r="E728" s="11"/>
      <c r="N728" s="10"/>
    </row>
    <row r="729" spans="5:14" ht="13">
      <c r="E729" s="11"/>
      <c r="N729" s="10"/>
    </row>
    <row r="730" spans="5:14" ht="13">
      <c r="E730" s="11"/>
      <c r="N730" s="10"/>
    </row>
    <row r="731" spans="5:14" ht="13">
      <c r="E731" s="11"/>
      <c r="N731" s="10"/>
    </row>
    <row r="732" spans="5:14" ht="13">
      <c r="E732" s="11"/>
      <c r="N732" s="10"/>
    </row>
    <row r="733" spans="5:14" ht="13">
      <c r="E733" s="11"/>
      <c r="N733" s="10"/>
    </row>
    <row r="734" spans="5:14" ht="13">
      <c r="E734" s="11"/>
      <c r="N734" s="10"/>
    </row>
    <row r="735" spans="5:14" ht="13">
      <c r="E735" s="11"/>
      <c r="N735" s="10"/>
    </row>
    <row r="736" spans="5:14" ht="13">
      <c r="E736" s="11"/>
      <c r="N736" s="10"/>
    </row>
    <row r="737" spans="5:14" ht="13">
      <c r="E737" s="11"/>
      <c r="N737" s="10"/>
    </row>
    <row r="738" spans="5:14" ht="13">
      <c r="E738" s="11"/>
      <c r="N738" s="10"/>
    </row>
    <row r="739" spans="5:14" ht="13">
      <c r="E739" s="11"/>
      <c r="N739" s="10"/>
    </row>
    <row r="740" spans="5:14" ht="13">
      <c r="E740" s="11"/>
      <c r="N740" s="10"/>
    </row>
    <row r="741" spans="5:14" ht="13">
      <c r="E741" s="11"/>
      <c r="N741" s="10"/>
    </row>
    <row r="742" spans="5:14" ht="13">
      <c r="E742" s="11"/>
      <c r="N742" s="10"/>
    </row>
    <row r="743" spans="5:14" ht="13">
      <c r="E743" s="11"/>
      <c r="N743" s="10"/>
    </row>
    <row r="744" spans="5:14" ht="13">
      <c r="E744" s="11"/>
      <c r="N744" s="10"/>
    </row>
    <row r="745" spans="5:14" ht="13">
      <c r="E745" s="11"/>
      <c r="N745" s="10"/>
    </row>
    <row r="746" spans="5:14" ht="13">
      <c r="E746" s="11"/>
      <c r="N746" s="10"/>
    </row>
    <row r="747" spans="5:14" ht="13">
      <c r="E747" s="11"/>
      <c r="N747" s="10"/>
    </row>
    <row r="748" spans="5:14" ht="13">
      <c r="E748" s="11"/>
      <c r="N748" s="10"/>
    </row>
    <row r="749" spans="5:14" ht="13">
      <c r="E749" s="11"/>
      <c r="N749" s="10"/>
    </row>
    <row r="750" spans="5:14" ht="13">
      <c r="E750" s="11"/>
      <c r="N750" s="10"/>
    </row>
    <row r="751" spans="5:14" ht="13">
      <c r="E751" s="11"/>
      <c r="N751" s="10"/>
    </row>
    <row r="752" spans="5:14" ht="13">
      <c r="E752" s="11"/>
      <c r="N752" s="10"/>
    </row>
    <row r="753" spans="5:14" ht="13">
      <c r="E753" s="11"/>
      <c r="N753" s="10"/>
    </row>
    <row r="754" spans="5:14" ht="13">
      <c r="E754" s="11"/>
      <c r="N754" s="10"/>
    </row>
    <row r="755" spans="5:14" ht="13">
      <c r="E755" s="11"/>
      <c r="N755" s="10"/>
    </row>
    <row r="756" spans="5:14" ht="13">
      <c r="E756" s="11"/>
      <c r="N756" s="10"/>
    </row>
    <row r="757" spans="5:14" ht="13">
      <c r="E757" s="11"/>
      <c r="N757" s="10"/>
    </row>
    <row r="758" spans="5:14" ht="13">
      <c r="E758" s="11"/>
      <c r="N758" s="10"/>
    </row>
    <row r="759" spans="5:14" ht="13">
      <c r="E759" s="11"/>
      <c r="N759" s="10"/>
    </row>
    <row r="760" spans="5:14" ht="13">
      <c r="E760" s="11"/>
      <c r="N760" s="10"/>
    </row>
    <row r="761" spans="5:14" ht="13">
      <c r="E761" s="11"/>
      <c r="N761" s="10"/>
    </row>
    <row r="762" spans="5:14" ht="13">
      <c r="E762" s="11"/>
      <c r="N762" s="10"/>
    </row>
    <row r="763" spans="5:14" ht="13">
      <c r="E763" s="11"/>
      <c r="N763" s="10"/>
    </row>
    <row r="764" spans="5:14" ht="13">
      <c r="E764" s="11"/>
      <c r="N764" s="10"/>
    </row>
    <row r="765" spans="5:14" ht="13">
      <c r="E765" s="11"/>
      <c r="N765" s="10"/>
    </row>
    <row r="766" spans="5:14" ht="13">
      <c r="E766" s="11"/>
      <c r="N766" s="10"/>
    </row>
    <row r="767" spans="5:14" ht="13">
      <c r="E767" s="11"/>
      <c r="N767" s="10"/>
    </row>
    <row r="768" spans="5:14" ht="13">
      <c r="E768" s="11"/>
      <c r="N768" s="10"/>
    </row>
    <row r="769" spans="5:14" ht="13">
      <c r="E769" s="11"/>
      <c r="N769" s="10"/>
    </row>
    <row r="770" spans="5:14" ht="13">
      <c r="E770" s="11"/>
      <c r="N770" s="10"/>
    </row>
    <row r="771" spans="5:14" ht="13">
      <c r="E771" s="11"/>
      <c r="N771" s="10"/>
    </row>
    <row r="772" spans="5:14" ht="13">
      <c r="E772" s="11"/>
      <c r="N772" s="10"/>
    </row>
    <row r="773" spans="5:14" ht="13">
      <c r="E773" s="11"/>
      <c r="N773" s="10"/>
    </row>
    <row r="774" spans="5:14" ht="13">
      <c r="E774" s="11"/>
      <c r="N774" s="10"/>
    </row>
    <row r="775" spans="5:14" ht="13">
      <c r="E775" s="11"/>
      <c r="N775" s="10"/>
    </row>
    <row r="776" spans="5:14" ht="13">
      <c r="E776" s="11"/>
      <c r="N776" s="10"/>
    </row>
    <row r="777" spans="5:14" ht="13">
      <c r="E777" s="11"/>
      <c r="N777" s="10"/>
    </row>
    <row r="778" spans="5:14" ht="13">
      <c r="E778" s="11"/>
      <c r="N778" s="10"/>
    </row>
    <row r="779" spans="5:14" ht="13">
      <c r="E779" s="11"/>
      <c r="N779" s="10"/>
    </row>
    <row r="780" spans="5:14" ht="13">
      <c r="E780" s="11"/>
      <c r="N780" s="10"/>
    </row>
    <row r="781" spans="5:14" ht="13">
      <c r="E781" s="11"/>
      <c r="N781" s="10"/>
    </row>
    <row r="782" spans="5:14" ht="13">
      <c r="E782" s="11"/>
      <c r="N782" s="10"/>
    </row>
    <row r="783" spans="5:14" ht="13">
      <c r="E783" s="11"/>
      <c r="N783" s="10"/>
    </row>
    <row r="784" spans="5:14" ht="13">
      <c r="E784" s="11"/>
      <c r="N784" s="10"/>
    </row>
    <row r="785" spans="5:14" ht="13">
      <c r="E785" s="11"/>
      <c r="N785" s="10"/>
    </row>
    <row r="786" spans="5:14" ht="13">
      <c r="E786" s="11"/>
      <c r="N786" s="10"/>
    </row>
    <row r="787" spans="5:14" ht="13">
      <c r="E787" s="11"/>
      <c r="N787" s="10"/>
    </row>
    <row r="788" spans="5:14" ht="13">
      <c r="E788" s="11"/>
      <c r="N788" s="10"/>
    </row>
    <row r="789" spans="5:14" ht="13">
      <c r="E789" s="11"/>
      <c r="N789" s="10"/>
    </row>
    <row r="790" spans="5:14" ht="13">
      <c r="E790" s="11"/>
      <c r="N790" s="10"/>
    </row>
    <row r="791" spans="5:14" ht="13">
      <c r="E791" s="11"/>
      <c r="N791" s="10"/>
    </row>
    <row r="792" spans="5:14" ht="13">
      <c r="E792" s="11"/>
      <c r="N792" s="10"/>
    </row>
    <row r="793" spans="5:14" ht="13">
      <c r="E793" s="11"/>
      <c r="N793" s="10"/>
    </row>
    <row r="794" spans="5:14" ht="13">
      <c r="E794" s="11"/>
      <c r="N794" s="10"/>
    </row>
    <row r="795" spans="5:14" ht="13">
      <c r="E795" s="11"/>
      <c r="N795" s="10"/>
    </row>
    <row r="796" spans="5:14" ht="13">
      <c r="E796" s="11"/>
      <c r="N796" s="10"/>
    </row>
    <row r="797" spans="5:14" ht="13">
      <c r="E797" s="11"/>
      <c r="N797" s="10"/>
    </row>
    <row r="798" spans="5:14" ht="13">
      <c r="E798" s="11"/>
      <c r="N798" s="10"/>
    </row>
    <row r="799" spans="5:14" ht="13">
      <c r="E799" s="11"/>
      <c r="N799" s="10"/>
    </row>
    <row r="800" spans="5:14" ht="13">
      <c r="E800" s="11"/>
      <c r="N800" s="10"/>
    </row>
    <row r="801" spans="5:14" ht="13">
      <c r="E801" s="11"/>
      <c r="N801" s="10"/>
    </row>
    <row r="802" spans="5:14" ht="13">
      <c r="E802" s="11"/>
      <c r="N802" s="10"/>
    </row>
    <row r="803" spans="5:14" ht="13">
      <c r="E803" s="11"/>
      <c r="N803" s="10"/>
    </row>
    <row r="804" spans="5:14" ht="13">
      <c r="E804" s="11"/>
      <c r="N804" s="10"/>
    </row>
    <row r="805" spans="5:14" ht="13">
      <c r="E805" s="11"/>
      <c r="N805" s="10"/>
    </row>
    <row r="806" spans="5:14" ht="13">
      <c r="E806" s="11"/>
      <c r="N806" s="10"/>
    </row>
    <row r="807" spans="5:14" ht="13">
      <c r="E807" s="11"/>
      <c r="N807" s="10"/>
    </row>
    <row r="808" spans="5:14" ht="13">
      <c r="E808" s="11"/>
      <c r="N808" s="10"/>
    </row>
    <row r="809" spans="5:14" ht="13">
      <c r="E809" s="11"/>
      <c r="N809" s="10"/>
    </row>
    <row r="810" spans="5:14" ht="13">
      <c r="E810" s="11"/>
      <c r="N810" s="10"/>
    </row>
    <row r="811" spans="5:14" ht="13">
      <c r="E811" s="11"/>
      <c r="N811" s="10"/>
    </row>
    <row r="812" spans="5:14" ht="13">
      <c r="E812" s="11"/>
      <c r="N812" s="10"/>
    </row>
    <row r="813" spans="5:14" ht="13">
      <c r="E813" s="11"/>
      <c r="N813" s="10"/>
    </row>
    <row r="814" spans="5:14" ht="13">
      <c r="E814" s="11"/>
      <c r="N814" s="10"/>
    </row>
    <row r="815" spans="5:14" ht="13">
      <c r="E815" s="11"/>
      <c r="N815" s="10"/>
    </row>
    <row r="816" spans="5:14" ht="13">
      <c r="E816" s="11"/>
      <c r="N816" s="10"/>
    </row>
    <row r="817" spans="5:14" ht="13">
      <c r="E817" s="11"/>
      <c r="N817" s="10"/>
    </row>
    <row r="818" spans="5:14" ht="13">
      <c r="E818" s="11"/>
      <c r="N818" s="10"/>
    </row>
    <row r="819" spans="5:14" ht="13">
      <c r="E819" s="11"/>
      <c r="N819" s="10"/>
    </row>
    <row r="820" spans="5:14" ht="13">
      <c r="E820" s="11"/>
      <c r="N820" s="10"/>
    </row>
    <row r="821" spans="5:14" ht="13">
      <c r="E821" s="11"/>
      <c r="N821" s="10"/>
    </row>
    <row r="822" spans="5:14" ht="13">
      <c r="E822" s="11"/>
      <c r="N822" s="10"/>
    </row>
    <row r="823" spans="5:14" ht="13">
      <c r="E823" s="11"/>
      <c r="N823" s="10"/>
    </row>
    <row r="824" spans="5:14" ht="13">
      <c r="E824" s="11"/>
      <c r="N824" s="10"/>
    </row>
    <row r="825" spans="5:14" ht="13">
      <c r="E825" s="11"/>
      <c r="N825" s="10"/>
    </row>
    <row r="826" spans="5:14" ht="13">
      <c r="E826" s="11"/>
      <c r="N826" s="10"/>
    </row>
    <row r="827" spans="5:14" ht="13">
      <c r="E827" s="11"/>
      <c r="N827" s="10"/>
    </row>
    <row r="828" spans="5:14" ht="13">
      <c r="E828" s="11"/>
      <c r="N828" s="10"/>
    </row>
    <row r="829" spans="5:14" ht="13">
      <c r="E829" s="11"/>
      <c r="N829" s="10"/>
    </row>
    <row r="830" spans="5:14" ht="13">
      <c r="E830" s="11"/>
      <c r="N830" s="10"/>
    </row>
    <row r="831" spans="5:14" ht="13">
      <c r="E831" s="11"/>
      <c r="N831" s="10"/>
    </row>
    <row r="832" spans="5:14" ht="13">
      <c r="E832" s="11"/>
      <c r="N832" s="10"/>
    </row>
    <row r="833" spans="5:14" ht="13">
      <c r="E833" s="11"/>
      <c r="N833" s="10"/>
    </row>
    <row r="834" spans="5:14" ht="13">
      <c r="E834" s="11"/>
      <c r="N834" s="10"/>
    </row>
    <row r="835" spans="5:14" ht="13">
      <c r="E835" s="11"/>
      <c r="N835" s="10"/>
    </row>
    <row r="836" spans="5:14" ht="13">
      <c r="E836" s="11"/>
      <c r="N836" s="10"/>
    </row>
    <row r="837" spans="5:14" ht="13">
      <c r="E837" s="11"/>
      <c r="N837" s="10"/>
    </row>
    <row r="838" spans="5:14" ht="13">
      <c r="E838" s="11"/>
      <c r="N838" s="10"/>
    </row>
    <row r="839" spans="5:14" ht="13">
      <c r="E839" s="11"/>
      <c r="N839" s="10"/>
    </row>
    <row r="840" spans="5:14" ht="13">
      <c r="E840" s="11"/>
      <c r="N840" s="10"/>
    </row>
    <row r="841" spans="5:14" ht="13">
      <c r="E841" s="11"/>
      <c r="N841" s="10"/>
    </row>
    <row r="842" spans="5:14" ht="13">
      <c r="E842" s="11"/>
      <c r="N842" s="10"/>
    </row>
    <row r="843" spans="5:14" ht="13">
      <c r="E843" s="11"/>
      <c r="N843" s="10"/>
    </row>
    <row r="844" spans="5:14" ht="13">
      <c r="E844" s="11"/>
      <c r="N844" s="10"/>
    </row>
    <row r="845" spans="5:14" ht="13">
      <c r="E845" s="11"/>
      <c r="N845" s="10"/>
    </row>
    <row r="846" spans="5:14" ht="13">
      <c r="E846" s="11"/>
      <c r="N846" s="10"/>
    </row>
    <row r="847" spans="5:14" ht="13">
      <c r="E847" s="11"/>
      <c r="N847" s="10"/>
    </row>
    <row r="848" spans="5:14" ht="13">
      <c r="E848" s="11"/>
      <c r="N848" s="10"/>
    </row>
    <row r="849" spans="5:14" ht="13">
      <c r="E849" s="11"/>
      <c r="N849" s="10"/>
    </row>
    <row r="850" spans="5:14" ht="13">
      <c r="E850" s="11"/>
      <c r="N850" s="10"/>
    </row>
    <row r="851" spans="5:14" ht="13">
      <c r="E851" s="11"/>
      <c r="N851" s="10"/>
    </row>
    <row r="852" spans="5:14" ht="13">
      <c r="E852" s="11"/>
      <c r="N852" s="10"/>
    </row>
    <row r="853" spans="5:14" ht="13">
      <c r="E853" s="11"/>
      <c r="N853" s="10"/>
    </row>
    <row r="854" spans="5:14" ht="13">
      <c r="E854" s="11"/>
      <c r="N854" s="10"/>
    </row>
    <row r="855" spans="5:14" ht="13">
      <c r="E855" s="11"/>
      <c r="N855" s="10"/>
    </row>
    <row r="856" spans="5:14" ht="13">
      <c r="E856" s="11"/>
      <c r="N856" s="10"/>
    </row>
    <row r="857" spans="5:14" ht="13">
      <c r="E857" s="11"/>
      <c r="N857" s="10"/>
    </row>
    <row r="858" spans="5:14" ht="13">
      <c r="E858" s="11"/>
      <c r="N858" s="10"/>
    </row>
    <row r="859" spans="5:14" ht="13">
      <c r="E859" s="11"/>
      <c r="N859" s="10"/>
    </row>
    <row r="860" spans="5:14" ht="13">
      <c r="E860" s="11"/>
      <c r="N860" s="10"/>
    </row>
    <row r="861" spans="5:14" ht="13">
      <c r="E861" s="11"/>
      <c r="N861" s="10"/>
    </row>
    <row r="862" spans="5:14" ht="13">
      <c r="E862" s="11"/>
      <c r="N862" s="10"/>
    </row>
    <row r="863" spans="5:14" ht="13">
      <c r="E863" s="11"/>
      <c r="N863" s="10"/>
    </row>
    <row r="864" spans="5:14" ht="13">
      <c r="E864" s="11"/>
      <c r="N864" s="10"/>
    </row>
    <row r="865" spans="5:14" ht="13">
      <c r="E865" s="11"/>
      <c r="N865" s="10"/>
    </row>
    <row r="866" spans="5:14" ht="13">
      <c r="E866" s="11"/>
      <c r="N866" s="10"/>
    </row>
    <row r="867" spans="5:14" ht="13">
      <c r="E867" s="11"/>
      <c r="N867" s="10"/>
    </row>
    <row r="868" spans="5:14" ht="13">
      <c r="E868" s="11"/>
      <c r="N868" s="10"/>
    </row>
    <row r="869" spans="5:14" ht="13">
      <c r="E869" s="11"/>
      <c r="N869" s="10"/>
    </row>
    <row r="870" spans="5:14" ht="13">
      <c r="E870" s="11"/>
      <c r="N870" s="10"/>
    </row>
    <row r="871" spans="5:14" ht="13">
      <c r="E871" s="11"/>
      <c r="N871" s="10"/>
    </row>
    <row r="872" spans="5:14" ht="13">
      <c r="E872" s="11"/>
      <c r="N872" s="10"/>
    </row>
    <row r="873" spans="5:14" ht="13">
      <c r="E873" s="11"/>
      <c r="N873" s="10"/>
    </row>
    <row r="874" spans="5:14" ht="13">
      <c r="E874" s="11"/>
      <c r="N874" s="10"/>
    </row>
    <row r="875" spans="5:14" ht="13">
      <c r="E875" s="11"/>
      <c r="N875" s="10"/>
    </row>
    <row r="876" spans="5:14" ht="13">
      <c r="E876" s="11"/>
      <c r="N876" s="10"/>
    </row>
    <row r="877" spans="5:14" ht="13">
      <c r="E877" s="11"/>
      <c r="N877" s="10"/>
    </row>
    <row r="878" spans="5:14" ht="13">
      <c r="E878" s="11"/>
      <c r="N878" s="10"/>
    </row>
    <row r="879" spans="5:14" ht="13">
      <c r="E879" s="11"/>
      <c r="N879" s="10"/>
    </row>
    <row r="880" spans="5:14" ht="13">
      <c r="E880" s="11"/>
      <c r="N880" s="10"/>
    </row>
    <row r="881" spans="5:14" ht="13">
      <c r="E881" s="11"/>
      <c r="N881" s="10"/>
    </row>
    <row r="882" spans="5:14" ht="13">
      <c r="E882" s="11"/>
      <c r="N882" s="10"/>
    </row>
    <row r="883" spans="5:14" ht="13">
      <c r="E883" s="11"/>
      <c r="N883" s="10"/>
    </row>
    <row r="884" spans="5:14" ht="13">
      <c r="E884" s="11"/>
      <c r="N884" s="10"/>
    </row>
    <row r="885" spans="5:14" ht="13">
      <c r="E885" s="11"/>
      <c r="N885" s="10"/>
    </row>
    <row r="886" spans="5:14" ht="13">
      <c r="E886" s="11"/>
      <c r="N886" s="10"/>
    </row>
    <row r="887" spans="5:14" ht="13">
      <c r="E887" s="11"/>
      <c r="N887" s="10"/>
    </row>
    <row r="888" spans="5:14" ht="13">
      <c r="E888" s="11"/>
      <c r="N888" s="10"/>
    </row>
    <row r="889" spans="5:14" ht="13">
      <c r="E889" s="11"/>
      <c r="N889" s="10"/>
    </row>
    <row r="890" spans="5:14" ht="13">
      <c r="E890" s="11"/>
      <c r="N890" s="10"/>
    </row>
    <row r="891" spans="5:14" ht="13">
      <c r="E891" s="11"/>
      <c r="N891" s="10"/>
    </row>
    <row r="892" spans="5:14" ht="13">
      <c r="E892" s="11"/>
      <c r="N892" s="10"/>
    </row>
  </sheetData>
  <mergeCells count="3">
    <mergeCell ref="A5:L5"/>
    <mergeCell ref="A6:L6"/>
    <mergeCell ref="A27:L27"/>
  </mergeCells>
  <conditionalFormatting sqref="C7">
    <cfRule type="notContainsBlanks" dxfId="48" priority="7">
      <formula>LEN(TRIM(C7))&gt;0</formula>
    </cfRule>
  </conditionalFormatting>
  <conditionalFormatting sqref="D7">
    <cfRule type="notContainsBlanks" dxfId="47" priority="6">
      <formula>LEN(TRIM(D7))&gt;0</formula>
    </cfRule>
  </conditionalFormatting>
  <conditionalFormatting sqref="F7">
    <cfRule type="notContainsBlanks" dxfId="46" priority="5">
      <formula>LEN(TRIM(F7))&gt;0</formula>
    </cfRule>
  </conditionalFormatting>
  <conditionalFormatting sqref="G7">
    <cfRule type="notContainsBlanks" dxfId="45" priority="4">
      <formula>LEN(TRIM(G7))&gt;0</formula>
    </cfRule>
  </conditionalFormatting>
  <conditionalFormatting sqref="I7">
    <cfRule type="notContainsBlanks" dxfId="44" priority="3">
      <formula>LEN(TRIM(I7))&gt;0</formula>
    </cfRule>
  </conditionalFormatting>
  <conditionalFormatting sqref="K7">
    <cfRule type="notContainsBlanks" dxfId="43" priority="2">
      <formula>LEN(TRIM(K7))&gt;0</formula>
    </cfRule>
  </conditionalFormatting>
  <conditionalFormatting sqref="E7">
    <cfRule type="notContainsBlanks" dxfId="42" priority="1">
      <formula>LEN(TRIM(E7))&gt;0</formula>
    </cfRule>
  </conditionalFormatting>
  <hyperlinks>
    <hyperlink ref="A8" r:id="rId1" xr:uid="{00000000-0004-0000-0500-000000000000}"/>
    <hyperlink ref="A9" r:id="rId2" xr:uid="{00000000-0004-0000-0500-000001000000}"/>
    <hyperlink ref="A10" r:id="rId3" xr:uid="{00000000-0004-0000-0500-000002000000}"/>
    <hyperlink ref="A11" r:id="rId4" xr:uid="{00000000-0004-0000-0500-000003000000}"/>
    <hyperlink ref="A12" r:id="rId5" xr:uid="{00000000-0004-0000-0500-000004000000}"/>
    <hyperlink ref="A13" r:id="rId6" xr:uid="{00000000-0004-0000-0500-000005000000}"/>
    <hyperlink ref="A14" r:id="rId7" xr:uid="{00000000-0004-0000-0500-000006000000}"/>
    <hyperlink ref="A15" r:id="rId8" xr:uid="{00000000-0004-0000-0500-000007000000}"/>
    <hyperlink ref="A16" r:id="rId9" xr:uid="{00000000-0004-0000-0500-000008000000}"/>
    <hyperlink ref="A17" r:id="rId10" xr:uid="{00000000-0004-0000-0500-000009000000}"/>
    <hyperlink ref="A18" r:id="rId11" xr:uid="{00000000-0004-0000-0500-00000A000000}"/>
    <hyperlink ref="A19" r:id="rId12" xr:uid="{00000000-0004-0000-0500-00000B000000}"/>
    <hyperlink ref="A20" r:id="rId13" xr:uid="{00000000-0004-0000-0500-00000C000000}"/>
    <hyperlink ref="A21" r:id="rId14" xr:uid="{00000000-0004-0000-0500-00000D000000}"/>
    <hyperlink ref="A22" r:id="rId15" xr:uid="{00000000-0004-0000-0500-00000E000000}"/>
    <hyperlink ref="A23" r:id="rId16" xr:uid="{00000000-0004-0000-0500-00000F000000}"/>
    <hyperlink ref="A24" r:id="rId17" xr:uid="{00000000-0004-0000-0500-000010000000}"/>
    <hyperlink ref="A25" r:id="rId18" xr:uid="{00000000-0004-0000-0500-000011000000}"/>
    <hyperlink ref="A26" r:id="rId19" xr:uid="{00000000-0004-0000-0500-000012000000}"/>
  </hyperlink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O57"/>
  <sheetViews>
    <sheetView workbookViewId="0">
      <selection activeCell="I43" sqref="I43"/>
    </sheetView>
  </sheetViews>
  <sheetFormatPr baseColWidth="10" defaultColWidth="12.6640625" defaultRowHeight="15.75" customHeight="1" outlineLevelRow="1"/>
  <cols>
    <col min="1" max="1" width="21" customWidth="1"/>
    <col min="5" max="5" width="14.1640625" customWidth="1"/>
    <col min="6" max="6" width="13.33203125" customWidth="1"/>
    <col min="7" max="7" width="14" customWidth="1"/>
    <col min="8" max="8" width="10.1640625" customWidth="1"/>
    <col min="9" max="9" width="10.83203125" customWidth="1"/>
    <col min="10" max="10" width="18.1640625" customWidth="1"/>
    <col min="11" max="11" width="20.1640625" customWidth="1"/>
    <col min="12" max="12" width="20.6640625" customWidth="1"/>
    <col min="13" max="13" width="24.33203125" customWidth="1"/>
    <col min="14" max="14" width="21.33203125" customWidth="1"/>
  </cols>
  <sheetData>
    <row r="1" spans="1:15" ht="13"/>
    <row r="2" spans="1:15" ht="19" outlineLevel="1" thickBot="1">
      <c r="D2" s="120"/>
      <c r="E2" s="37"/>
      <c r="F2" s="37"/>
      <c r="G2" s="31"/>
    </row>
    <row r="3" spans="1:15" ht="18" customHeight="1" outlineLevel="1" thickBot="1">
      <c r="A3" s="218" t="s">
        <v>655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20"/>
    </row>
    <row r="4" spans="1:15" ht="35" customHeight="1" outlineLevel="1" thickBot="1">
      <c r="A4" s="212" t="s">
        <v>656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27"/>
      <c r="O4" s="217"/>
    </row>
    <row r="5" spans="1:15" ht="40" customHeight="1" outlineLevel="1" thickBot="1">
      <c r="A5" s="206" t="s">
        <v>616</v>
      </c>
      <c r="B5" s="221" t="s">
        <v>0</v>
      </c>
      <c r="C5" s="134" t="s">
        <v>631</v>
      </c>
      <c r="D5" s="134" t="s">
        <v>632</v>
      </c>
      <c r="E5" s="135" t="s">
        <v>633</v>
      </c>
      <c r="F5" s="134" t="s">
        <v>634</v>
      </c>
      <c r="G5" s="134" t="s">
        <v>641</v>
      </c>
      <c r="H5" s="318" t="s">
        <v>40</v>
      </c>
      <c r="I5" s="222" t="s">
        <v>144</v>
      </c>
      <c r="J5" s="136" t="s">
        <v>636</v>
      </c>
      <c r="K5" s="160" t="s">
        <v>637</v>
      </c>
      <c r="L5" s="136" t="s">
        <v>642</v>
      </c>
      <c r="M5" s="160" t="s">
        <v>643</v>
      </c>
      <c r="N5" s="269" t="s">
        <v>666</v>
      </c>
    </row>
    <row r="6" spans="1:15" ht="13" outlineLevel="1">
      <c r="A6" s="56" t="s">
        <v>163</v>
      </c>
      <c r="B6" s="63" t="s">
        <v>24</v>
      </c>
      <c r="C6" s="47">
        <v>2000</v>
      </c>
      <c r="D6" s="47">
        <v>2553.44</v>
      </c>
      <c r="E6" s="88">
        <f>D6/(C6*8765.81277)*1000</f>
        <v>0.1456476465444744</v>
      </c>
      <c r="F6" s="47">
        <v>54.8</v>
      </c>
      <c r="G6" s="47"/>
      <c r="H6" s="47"/>
      <c r="I6" s="341" t="s">
        <v>49</v>
      </c>
      <c r="J6" s="184">
        <f>C6*E6/(F6)</f>
        <v>5.3156075381195045</v>
      </c>
      <c r="K6" s="111">
        <f>D6*10^(-3)/(F6)</f>
        <v>4.659562043795621E-2</v>
      </c>
      <c r="L6" s="48"/>
      <c r="M6" s="48"/>
      <c r="N6" s="49"/>
    </row>
    <row r="7" spans="1:15" ht="13" outlineLevel="1">
      <c r="A7" s="57" t="s">
        <v>164</v>
      </c>
      <c r="B7" s="63" t="s">
        <v>24</v>
      </c>
      <c r="C7" s="36">
        <v>520</v>
      </c>
      <c r="D7" s="36">
        <v>934</v>
      </c>
      <c r="E7" s="55">
        <f t="shared" ref="E7:E35" si="0">D7/(C7*8765.81277)*1000</f>
        <v>0.20490442737962405</v>
      </c>
      <c r="F7" s="36">
        <v>162</v>
      </c>
      <c r="G7" s="36">
        <v>42000</v>
      </c>
      <c r="H7" s="36"/>
      <c r="I7" s="146"/>
      <c r="J7" s="93">
        <f>C7*E7/(F7)</f>
        <v>0.65771791504570687</v>
      </c>
      <c r="K7" s="91">
        <f>D7*10^(-3)/(F7)</f>
        <v>5.7654320987654325E-3</v>
      </c>
      <c r="L7" s="181">
        <f>C7*10^6*E7/(G7*10^6)</f>
        <v>2.5369119580334405E-3</v>
      </c>
      <c r="M7" s="181">
        <f>D7*10^(-3)/(G7)</f>
        <v>2.2238095238095238E-5</v>
      </c>
      <c r="N7" s="97">
        <f>J7/L7</f>
        <v>259.2592592592593</v>
      </c>
    </row>
    <row r="8" spans="1:15" ht="13" outlineLevel="1">
      <c r="A8" s="57" t="s">
        <v>165</v>
      </c>
      <c r="B8" s="63" t="s">
        <v>24</v>
      </c>
      <c r="C8" s="36">
        <v>520</v>
      </c>
      <c r="D8" s="36">
        <v>1783</v>
      </c>
      <c r="E8" s="55">
        <f t="shared" si="0"/>
        <v>0.39116123556517102</v>
      </c>
      <c r="F8" s="36">
        <v>64.900000000000006</v>
      </c>
      <c r="G8" s="36"/>
      <c r="H8" s="36"/>
      <c r="I8" s="146"/>
      <c r="J8" s="93">
        <f t="shared" ref="J8:J35" si="1">C8*E8/(F8)</f>
        <v>3.1341115946670093</v>
      </c>
      <c r="K8" s="91">
        <f>D8*10^(-3)/(F8)</f>
        <v>2.7473035439137133E-2</v>
      </c>
      <c r="L8" s="181"/>
      <c r="M8" s="181"/>
      <c r="N8" s="97"/>
    </row>
    <row r="9" spans="1:15" ht="13" outlineLevel="1">
      <c r="A9" s="57" t="s">
        <v>166</v>
      </c>
      <c r="B9" s="63" t="s">
        <v>24</v>
      </c>
      <c r="C9" s="36">
        <v>2280</v>
      </c>
      <c r="D9" s="36">
        <v>4137</v>
      </c>
      <c r="E9" s="55">
        <f t="shared" si="0"/>
        <v>0.20699434631097263</v>
      </c>
      <c r="F9" s="36">
        <v>48</v>
      </c>
      <c r="G9" s="36"/>
      <c r="H9" s="36"/>
      <c r="I9" s="146" t="s">
        <v>49</v>
      </c>
      <c r="J9" s="93">
        <f t="shared" si="1"/>
        <v>9.8322314497712</v>
      </c>
      <c r="K9" s="91">
        <f>D9*10^(-3)/(F9)</f>
        <v>8.6187500000000014E-2</v>
      </c>
      <c r="L9" s="181"/>
      <c r="M9" s="181"/>
      <c r="N9" s="97"/>
    </row>
    <row r="10" spans="1:15" ht="13" outlineLevel="1">
      <c r="A10" s="57" t="s">
        <v>167</v>
      </c>
      <c r="B10" s="63" t="s">
        <v>24</v>
      </c>
      <c r="C10" s="36">
        <v>1020</v>
      </c>
      <c r="D10" s="36">
        <v>2107</v>
      </c>
      <c r="E10" s="55">
        <f t="shared" si="0"/>
        <v>0.23565256624911965</v>
      </c>
      <c r="F10" s="36">
        <v>29</v>
      </c>
      <c r="G10" s="36">
        <v>12813.4</v>
      </c>
      <c r="H10" s="36"/>
      <c r="I10" s="146" t="s">
        <v>49</v>
      </c>
      <c r="J10" s="93">
        <f t="shared" si="1"/>
        <v>8.2884695715207606</v>
      </c>
      <c r="K10" s="91">
        <f>D10*10^(-3)/(F10)</f>
        <v>7.2655172413793115E-2</v>
      </c>
      <c r="L10" s="181">
        <f>C10*10^6*E10/(G10*10^6)</f>
        <v>1.8758925622715441E-2</v>
      </c>
      <c r="M10" s="181">
        <f>D10*10^(-3)/(G10)</f>
        <v>1.6443722977507922E-4</v>
      </c>
      <c r="N10" s="97">
        <f>J10/L10</f>
        <v>441.84137931034485</v>
      </c>
    </row>
    <row r="11" spans="1:15" ht="13" outlineLevel="1">
      <c r="A11" s="57" t="s">
        <v>168</v>
      </c>
      <c r="B11" s="63" t="s">
        <v>24</v>
      </c>
      <c r="C11" s="36">
        <v>2000</v>
      </c>
      <c r="D11" s="36">
        <v>3700</v>
      </c>
      <c r="E11" s="55">
        <f t="shared" si="0"/>
        <v>0.21104717252590829</v>
      </c>
      <c r="F11" s="36">
        <v>7.49</v>
      </c>
      <c r="G11" s="36">
        <v>27548</v>
      </c>
      <c r="H11" s="36">
        <v>140</v>
      </c>
      <c r="I11" s="146" t="s">
        <v>49</v>
      </c>
      <c r="J11" s="93">
        <f t="shared" si="1"/>
        <v>56.354385187158421</v>
      </c>
      <c r="K11" s="91">
        <f>D11*10^(-3)/(F11)</f>
        <v>0.49399198931909211</v>
      </c>
      <c r="L11" s="181">
        <f>C11*10^6*E11/(G11*10^6)</f>
        <v>1.5322141173653861E-2</v>
      </c>
      <c r="M11" s="181">
        <f>D11*10^(-3)/(G11)</f>
        <v>1.3431102076375781E-4</v>
      </c>
      <c r="N11" s="97">
        <f>J11/L11</f>
        <v>3677.9706275033377</v>
      </c>
    </row>
    <row r="12" spans="1:15" ht="13" outlineLevel="1">
      <c r="A12" s="57" t="s">
        <v>169</v>
      </c>
      <c r="B12" s="63" t="s">
        <v>24</v>
      </c>
      <c r="C12" s="36">
        <v>45</v>
      </c>
      <c r="D12" s="36">
        <v>57.45</v>
      </c>
      <c r="E12" s="55">
        <f t="shared" si="0"/>
        <v>0.14564156230166284</v>
      </c>
      <c r="F12" s="36">
        <v>0.03</v>
      </c>
      <c r="G12" s="36"/>
      <c r="H12" s="36"/>
      <c r="I12" s="146"/>
      <c r="J12" s="93">
        <f t="shared" si="1"/>
        <v>218.46234345249425</v>
      </c>
      <c r="K12" s="91">
        <f>D12*10^(-3)/(F12)</f>
        <v>1.915</v>
      </c>
      <c r="L12" s="181"/>
      <c r="M12" s="181"/>
      <c r="N12" s="97"/>
    </row>
    <row r="13" spans="1:15" ht="13" outlineLevel="1">
      <c r="A13" s="57" t="s">
        <v>170</v>
      </c>
      <c r="B13" s="63" t="s">
        <v>24</v>
      </c>
      <c r="C13" s="36">
        <v>33.299999999999997</v>
      </c>
      <c r="D13" s="36"/>
      <c r="E13" s="55"/>
      <c r="F13" s="36"/>
      <c r="G13" s="36"/>
      <c r="H13" s="36">
        <v>84</v>
      </c>
      <c r="I13" s="146"/>
      <c r="J13" s="93"/>
      <c r="K13" s="91"/>
      <c r="L13" s="181"/>
      <c r="M13" s="181"/>
      <c r="N13" s="97"/>
    </row>
    <row r="14" spans="1:15" ht="13" outlineLevel="1">
      <c r="A14" s="57" t="s">
        <v>171</v>
      </c>
      <c r="B14" s="63" t="s">
        <v>24</v>
      </c>
      <c r="C14" s="36">
        <v>13.5</v>
      </c>
      <c r="D14" s="36">
        <v>31</v>
      </c>
      <c r="E14" s="55">
        <f t="shared" si="0"/>
        <v>0.26196045438651278</v>
      </c>
      <c r="F14" s="36">
        <v>5.2</v>
      </c>
      <c r="G14" s="36"/>
      <c r="H14" s="36">
        <v>91</v>
      </c>
      <c r="I14" s="146" t="s">
        <v>49</v>
      </c>
      <c r="J14" s="93">
        <f t="shared" si="1"/>
        <v>0.68008964119575432</v>
      </c>
      <c r="K14" s="91">
        <f>D14*10^(-3)/(F14)</f>
        <v>5.9615384615384617E-3</v>
      </c>
      <c r="L14" s="181"/>
      <c r="M14" s="181"/>
      <c r="N14" s="97"/>
    </row>
    <row r="15" spans="1:15" ht="13" outlineLevel="1">
      <c r="A15" s="57" t="s">
        <v>172</v>
      </c>
      <c r="B15" s="63" t="s">
        <v>24</v>
      </c>
      <c r="C15" s="36">
        <v>8.4</v>
      </c>
      <c r="D15" s="36">
        <v>40</v>
      </c>
      <c r="E15" s="55">
        <f t="shared" si="0"/>
        <v>0.54323596531765317</v>
      </c>
      <c r="F15" s="36">
        <v>10000</v>
      </c>
      <c r="G15" s="36"/>
      <c r="H15" s="36"/>
      <c r="I15" s="146"/>
      <c r="J15" s="93">
        <f t="shared" si="1"/>
        <v>4.5631821086682871E-4</v>
      </c>
      <c r="K15" s="91">
        <f>D15*10^(-3)/(F15)</f>
        <v>3.9999999999999998E-6</v>
      </c>
      <c r="L15" s="181"/>
      <c r="M15" s="181"/>
      <c r="N15" s="97"/>
    </row>
    <row r="16" spans="1:15" ht="13" outlineLevel="1">
      <c r="A16" s="57" t="s">
        <v>173</v>
      </c>
      <c r="B16" s="63" t="s">
        <v>24</v>
      </c>
      <c r="C16" s="36">
        <v>480</v>
      </c>
      <c r="D16" s="36">
        <v>850</v>
      </c>
      <c r="E16" s="55">
        <f t="shared" si="0"/>
        <v>0.20201587460250225</v>
      </c>
      <c r="F16" s="36">
        <v>69.5</v>
      </c>
      <c r="G16" s="36">
        <v>27886</v>
      </c>
      <c r="H16" s="36"/>
      <c r="I16" s="146"/>
      <c r="J16" s="93">
        <f t="shared" si="1"/>
        <v>1.3952175512115264</v>
      </c>
      <c r="K16" s="91">
        <f>D16*10^(-3)/(F16)</f>
        <v>1.2230215827338129E-2</v>
      </c>
      <c r="L16" s="181">
        <f>C16*10^6*E16/(G16*10^6)</f>
        <v>3.4772868037438527E-3</v>
      </c>
      <c r="M16" s="181">
        <f>D16*10^(-3)/(G16)</f>
        <v>3.0481245069210356E-5</v>
      </c>
      <c r="N16" s="97">
        <f>J16/L16</f>
        <v>401.23741007194246</v>
      </c>
    </row>
    <row r="17" spans="1:14" ht="13" outlineLevel="1">
      <c r="A17" s="57" t="s">
        <v>174</v>
      </c>
      <c r="B17" s="63" t="s">
        <v>24</v>
      </c>
      <c r="C17" s="36">
        <v>450</v>
      </c>
      <c r="D17" s="36">
        <v>986</v>
      </c>
      <c r="E17" s="55">
        <f t="shared" si="0"/>
        <v>0.24996097550816282</v>
      </c>
      <c r="F17" s="36">
        <v>4.1100000000000003</v>
      </c>
      <c r="G17" s="36"/>
      <c r="H17" s="36"/>
      <c r="I17" s="146"/>
      <c r="J17" s="93">
        <f t="shared" si="1"/>
        <v>27.367990019141914</v>
      </c>
      <c r="K17" s="91">
        <f>D17*10^(-3)/(F17)</f>
        <v>0.23990267639902674</v>
      </c>
      <c r="L17" s="181"/>
      <c r="M17" s="181"/>
      <c r="N17" s="97"/>
    </row>
    <row r="18" spans="1:14" ht="13" outlineLevel="1">
      <c r="A18" s="57" t="s">
        <v>175</v>
      </c>
      <c r="B18" s="63" t="s">
        <v>24</v>
      </c>
      <c r="C18" s="36">
        <v>150</v>
      </c>
      <c r="D18" s="36">
        <v>482</v>
      </c>
      <c r="E18" s="55">
        <f t="shared" si="0"/>
        <v>0.36657562939635235</v>
      </c>
      <c r="F18" s="36"/>
      <c r="G18" s="36"/>
      <c r="H18" s="36"/>
      <c r="I18" s="146"/>
      <c r="J18" s="93"/>
      <c r="K18" s="91"/>
      <c r="L18" s="181"/>
      <c r="M18" s="181"/>
      <c r="N18" s="97"/>
    </row>
    <row r="19" spans="1:14" ht="13" outlineLevel="1">
      <c r="A19" s="57" t="s">
        <v>176</v>
      </c>
      <c r="B19" s="63" t="s">
        <v>24</v>
      </c>
      <c r="C19" s="36">
        <v>75</v>
      </c>
      <c r="D19" s="36">
        <v>95.75</v>
      </c>
      <c r="E19" s="55">
        <f t="shared" si="0"/>
        <v>0.14564156230166281</v>
      </c>
      <c r="F19" s="36">
        <v>25</v>
      </c>
      <c r="G19" s="36"/>
      <c r="H19" s="36"/>
      <c r="I19" s="146"/>
      <c r="J19" s="93">
        <f t="shared" si="1"/>
        <v>0.43692468690498842</v>
      </c>
      <c r="K19" s="91">
        <f>D19*10^(-3)/(F19)</f>
        <v>3.8300000000000001E-3</v>
      </c>
      <c r="L19" s="181"/>
      <c r="M19" s="181"/>
      <c r="N19" s="97"/>
    </row>
    <row r="20" spans="1:14" ht="13" outlineLevel="1">
      <c r="A20" s="57" t="s">
        <v>177</v>
      </c>
      <c r="B20" s="63" t="s">
        <v>24</v>
      </c>
      <c r="C20" s="36">
        <v>1000</v>
      </c>
      <c r="D20" s="36">
        <v>4500</v>
      </c>
      <c r="E20" s="55">
        <f t="shared" si="0"/>
        <v>0.51335798722518233</v>
      </c>
      <c r="F20" s="36">
        <v>96.5</v>
      </c>
      <c r="G20" s="36">
        <v>32425</v>
      </c>
      <c r="H20" s="36"/>
      <c r="I20" s="146"/>
      <c r="J20" s="93">
        <f t="shared" si="1"/>
        <v>5.3197718883438583</v>
      </c>
      <c r="K20" s="91">
        <f>D20*10^(-3)/(F20)</f>
        <v>4.6632124352331605E-2</v>
      </c>
      <c r="L20" s="181">
        <f>C20*10^6*E20/(G20*10^6)</f>
        <v>1.5832166144184499E-2</v>
      </c>
      <c r="M20" s="181">
        <f>D20*10^(-3)/(G20)</f>
        <v>1.3878180416345413E-4</v>
      </c>
      <c r="N20" s="97">
        <f>J20/L20</f>
        <v>336.01036269430045</v>
      </c>
    </row>
    <row r="21" spans="1:14" ht="13" outlineLevel="1">
      <c r="A21" s="57" t="s">
        <v>178</v>
      </c>
      <c r="B21" s="63" t="s">
        <v>24</v>
      </c>
      <c r="C21" s="36">
        <v>210</v>
      </c>
      <c r="D21" s="36"/>
      <c r="E21" s="55"/>
      <c r="F21" s="36">
        <v>10</v>
      </c>
      <c r="G21" s="36"/>
      <c r="H21" s="36"/>
      <c r="I21" s="146"/>
      <c r="J21" s="93"/>
      <c r="K21" s="91"/>
      <c r="L21" s="181"/>
      <c r="M21" s="181"/>
      <c r="N21" s="97"/>
    </row>
    <row r="22" spans="1:14" ht="13" outlineLevel="1">
      <c r="A22" s="57" t="s">
        <v>179</v>
      </c>
      <c r="B22" s="63" t="s">
        <v>24</v>
      </c>
      <c r="C22" s="36">
        <v>1500</v>
      </c>
      <c r="D22" s="36">
        <v>3000</v>
      </c>
      <c r="E22" s="55">
        <f t="shared" si="0"/>
        <v>0.22815910543341436</v>
      </c>
      <c r="F22" s="36">
        <v>58.7</v>
      </c>
      <c r="G22" s="36">
        <v>6288</v>
      </c>
      <c r="H22" s="36">
        <v>289</v>
      </c>
      <c r="I22" s="146" t="s">
        <v>49</v>
      </c>
      <c r="J22" s="93">
        <f t="shared" si="1"/>
        <v>5.8303008202746422</v>
      </c>
      <c r="K22" s="91">
        <f>D22*10^(-3)/(F22)</f>
        <v>5.1107325383304938E-2</v>
      </c>
      <c r="L22" s="181">
        <f>C22*10^6*E22/(G22*10^6)</f>
        <v>5.4427267517512971E-2</v>
      </c>
      <c r="M22" s="181">
        <f>D22*10^(-3)/(G22)</f>
        <v>4.7709923664122136E-4</v>
      </c>
      <c r="N22" s="97">
        <f>J22/L22</f>
        <v>107.12095400340714</v>
      </c>
    </row>
    <row r="23" spans="1:14" ht="14" outlineLevel="1" thickBot="1">
      <c r="A23" s="58" t="s">
        <v>180</v>
      </c>
      <c r="B23" s="63" t="s">
        <v>24</v>
      </c>
      <c r="C23" s="50">
        <v>400</v>
      </c>
      <c r="D23" s="50">
        <v>1121</v>
      </c>
      <c r="E23" s="90">
        <f t="shared" si="0"/>
        <v>0.31970794648857187</v>
      </c>
      <c r="F23" s="50">
        <v>24.5</v>
      </c>
      <c r="G23" s="50">
        <v>7733</v>
      </c>
      <c r="H23" s="50">
        <v>177</v>
      </c>
      <c r="I23" s="342" t="s">
        <v>49</v>
      </c>
      <c r="J23" s="185">
        <f t="shared" si="1"/>
        <v>5.2197215753236224</v>
      </c>
      <c r="K23" s="112">
        <f>D23*10^(-3)/(F23)</f>
        <v>4.5755102040816328E-2</v>
      </c>
      <c r="L23" s="179">
        <f>C23*10^6*E23/(G23*10^6)</f>
        <v>1.6537330737802759E-2</v>
      </c>
      <c r="M23" s="179">
        <f>D23*10^(-3)/(G23)</f>
        <v>1.4496314496314496E-4</v>
      </c>
      <c r="N23" s="194">
        <f>J23/L23</f>
        <v>315.63265306122452</v>
      </c>
    </row>
    <row r="24" spans="1:14" ht="13" outlineLevel="1">
      <c r="A24" s="59" t="s">
        <v>181</v>
      </c>
      <c r="B24" s="339" t="s">
        <v>35</v>
      </c>
      <c r="C24" s="47">
        <v>27</v>
      </c>
      <c r="D24" s="47">
        <v>30.74</v>
      </c>
      <c r="E24" s="88">
        <f t="shared" si="0"/>
        <v>0.12988168335228067</v>
      </c>
      <c r="F24" s="47">
        <v>85</v>
      </c>
      <c r="G24" s="47"/>
      <c r="H24" s="47"/>
      <c r="I24" s="337"/>
      <c r="J24" s="184">
        <f>C24*E24/(F24)</f>
        <v>4.1256534711900918E-2</v>
      </c>
      <c r="K24" s="111">
        <f>D24*10^(-3)/(F24)</f>
        <v>3.6164705882352942E-4</v>
      </c>
      <c r="L24" s="180"/>
      <c r="M24" s="180"/>
      <c r="N24" s="96"/>
    </row>
    <row r="25" spans="1:14" ht="14" outlineLevel="1">
      <c r="A25" s="60" t="s">
        <v>182</v>
      </c>
      <c r="B25" s="340" t="s">
        <v>35</v>
      </c>
      <c r="C25" s="36">
        <v>170</v>
      </c>
      <c r="D25" s="36"/>
      <c r="E25" s="55"/>
      <c r="F25" s="36">
        <v>5.5E-2</v>
      </c>
      <c r="G25" s="36"/>
      <c r="H25" s="36"/>
      <c r="I25" s="338"/>
      <c r="J25" s="93"/>
      <c r="K25" s="91"/>
      <c r="L25" s="181"/>
      <c r="M25" s="181"/>
      <c r="N25" s="97"/>
    </row>
    <row r="26" spans="1:14" ht="15.75" customHeight="1">
      <c r="A26" s="61" t="s">
        <v>183</v>
      </c>
      <c r="B26" s="340" t="s">
        <v>35</v>
      </c>
      <c r="C26" s="36">
        <v>2.4</v>
      </c>
      <c r="D26" s="36"/>
      <c r="E26" s="55"/>
      <c r="F26" s="36"/>
      <c r="G26" s="36"/>
      <c r="H26" s="36"/>
      <c r="I26" s="338"/>
      <c r="J26" s="93"/>
      <c r="K26" s="91"/>
      <c r="L26" s="181"/>
      <c r="M26" s="181"/>
      <c r="N26" s="97"/>
    </row>
    <row r="27" spans="1:14" ht="13">
      <c r="A27" s="61" t="s">
        <v>184</v>
      </c>
      <c r="B27" s="340" t="s">
        <v>35</v>
      </c>
      <c r="C27" s="36">
        <v>32</v>
      </c>
      <c r="D27" s="36"/>
      <c r="E27" s="55"/>
      <c r="F27" s="36">
        <v>4.1500000000000004</v>
      </c>
      <c r="G27" s="36">
        <v>20142</v>
      </c>
      <c r="H27" s="36"/>
      <c r="I27" s="338"/>
      <c r="J27" s="93"/>
      <c r="K27" s="91"/>
      <c r="L27" s="181"/>
      <c r="M27" s="181"/>
      <c r="N27" s="97"/>
    </row>
    <row r="28" spans="1:14" ht="13" outlineLevel="1">
      <c r="A28" s="61" t="s">
        <v>185</v>
      </c>
      <c r="B28" s="340" t="s">
        <v>35</v>
      </c>
      <c r="C28" s="36">
        <v>1500</v>
      </c>
      <c r="D28" s="36"/>
      <c r="E28" s="55"/>
      <c r="F28" s="36">
        <v>100</v>
      </c>
      <c r="G28" s="36"/>
      <c r="H28" s="36"/>
      <c r="I28" s="338"/>
      <c r="J28" s="93"/>
      <c r="K28" s="91"/>
      <c r="L28" s="181"/>
      <c r="M28" s="181"/>
      <c r="N28" s="97"/>
    </row>
    <row r="29" spans="1:14" ht="15" customHeight="1" outlineLevel="1">
      <c r="A29" s="61" t="s">
        <v>186</v>
      </c>
      <c r="B29" s="340" t="s">
        <v>35</v>
      </c>
      <c r="C29" s="36">
        <v>249</v>
      </c>
      <c r="D29" s="36">
        <v>282.39999999999998</v>
      </c>
      <c r="E29" s="55">
        <f t="shared" si="0"/>
        <v>0.12938178990842611</v>
      </c>
      <c r="F29" s="36">
        <v>113</v>
      </c>
      <c r="G29" s="36">
        <v>17850</v>
      </c>
      <c r="H29" s="36"/>
      <c r="I29" s="338"/>
      <c r="J29" s="93">
        <f t="shared" si="1"/>
        <v>0.28509792643538145</v>
      </c>
      <c r="K29" s="91">
        <f>D29*10^(-3)/(F29)</f>
        <v>2.4991150442477874E-3</v>
      </c>
      <c r="L29" s="181">
        <f>C29*10^6*E29/(G29*10^6)</f>
        <v>1.8048216071259442E-3</v>
      </c>
      <c r="M29" s="181">
        <f>D29*10^(-3)/(G29)</f>
        <v>1.5820728291316527E-5</v>
      </c>
      <c r="N29" s="97">
        <f>J29/L29</f>
        <v>157.9646017699115</v>
      </c>
    </row>
    <row r="30" spans="1:14" ht="13" outlineLevel="1">
      <c r="A30" s="61" t="s">
        <v>187</v>
      </c>
      <c r="B30" s="340" t="s">
        <v>35</v>
      </c>
      <c r="C30" s="36">
        <v>37.6</v>
      </c>
      <c r="D30" s="36"/>
      <c r="E30" s="55"/>
      <c r="F30" s="36"/>
      <c r="G30" s="36"/>
      <c r="H30" s="36"/>
      <c r="I30" s="338"/>
      <c r="J30" s="93"/>
      <c r="K30" s="91"/>
      <c r="L30" s="181"/>
      <c r="M30" s="181"/>
      <c r="N30" s="97"/>
    </row>
    <row r="31" spans="1:14" ht="13" outlineLevel="1">
      <c r="A31" s="61" t="s">
        <v>188</v>
      </c>
      <c r="B31" s="340" t="s">
        <v>35</v>
      </c>
      <c r="C31" s="36">
        <v>400</v>
      </c>
      <c r="D31" s="36">
        <v>455.48</v>
      </c>
      <c r="E31" s="55">
        <f t="shared" si="0"/>
        <v>0.12990238667851448</v>
      </c>
      <c r="F31" s="36">
        <v>270</v>
      </c>
      <c r="G31" s="36">
        <v>11690</v>
      </c>
      <c r="H31" s="36"/>
      <c r="I31" s="338"/>
      <c r="J31" s="93">
        <f t="shared" si="1"/>
        <v>0.19244798026446588</v>
      </c>
      <c r="K31" s="91">
        <f>D31*10^(-3)/(F31)</f>
        <v>1.6869629629629632E-3</v>
      </c>
      <c r="L31" s="181">
        <f>C31*10^6*E31/(G31*10^6)</f>
        <v>4.4449063020877491E-3</v>
      </c>
      <c r="M31" s="181">
        <f>D31*10^(-3)/(G31)</f>
        <v>3.896321642429427E-5</v>
      </c>
      <c r="N31" s="97">
        <f>J31/L31</f>
        <v>43.296296296296298</v>
      </c>
    </row>
    <row r="32" spans="1:14" ht="13" outlineLevel="1">
      <c r="A32" s="61" t="s">
        <v>189</v>
      </c>
      <c r="B32" s="340" t="s">
        <v>35</v>
      </c>
      <c r="C32" s="36">
        <v>660</v>
      </c>
      <c r="D32" s="36">
        <v>751.54</v>
      </c>
      <c r="E32" s="55">
        <f t="shared" si="0"/>
        <v>0.12990204098290017</v>
      </c>
      <c r="F32" s="36">
        <v>500</v>
      </c>
      <c r="G32" s="36"/>
      <c r="H32" s="36"/>
      <c r="I32" s="338"/>
      <c r="J32" s="93">
        <f t="shared" si="1"/>
        <v>0.17147069409742824</v>
      </c>
      <c r="K32" s="91">
        <f>D32*10^(-3)/(F32)</f>
        <v>1.50308E-3</v>
      </c>
      <c r="L32" s="46"/>
      <c r="M32" s="46"/>
      <c r="N32" s="97"/>
    </row>
    <row r="33" spans="1:15" ht="13" outlineLevel="1">
      <c r="A33" s="61" t="s">
        <v>190</v>
      </c>
      <c r="B33" s="340" t="s">
        <v>35</v>
      </c>
      <c r="C33" s="36">
        <v>50</v>
      </c>
      <c r="D33" s="36">
        <v>56.93</v>
      </c>
      <c r="E33" s="55">
        <f t="shared" si="0"/>
        <v>0.12989097872324279</v>
      </c>
      <c r="F33" s="36">
        <v>213.48</v>
      </c>
      <c r="G33" s="36"/>
      <c r="H33" s="36"/>
      <c r="I33" s="338"/>
      <c r="J33" s="93">
        <f t="shared" si="1"/>
        <v>3.0422282818822092E-2</v>
      </c>
      <c r="K33" s="91">
        <f>D33*10^(-3)/(F33)</f>
        <v>2.6667603522578229E-4</v>
      </c>
      <c r="L33" s="46"/>
      <c r="M33" s="46"/>
      <c r="N33" s="97"/>
    </row>
    <row r="34" spans="1:15" ht="13" outlineLevel="1">
      <c r="A34" s="61" t="s">
        <v>191</v>
      </c>
      <c r="B34" s="340" t="s">
        <v>35</v>
      </c>
      <c r="C34" s="36">
        <v>1052</v>
      </c>
      <c r="D34" s="36">
        <v>3420</v>
      </c>
      <c r="E34" s="55">
        <f t="shared" si="0"/>
        <v>0.37086698696876286</v>
      </c>
      <c r="F34" s="36">
        <v>200</v>
      </c>
      <c r="G34" s="36"/>
      <c r="H34" s="36"/>
      <c r="I34" s="338"/>
      <c r="J34" s="93">
        <f t="shared" si="1"/>
        <v>1.9507603514556926</v>
      </c>
      <c r="K34" s="91">
        <f>D34*10^(-3)/(F34)</f>
        <v>1.7100000000000001E-2</v>
      </c>
      <c r="L34" s="46"/>
      <c r="M34" s="46"/>
      <c r="N34" s="53"/>
    </row>
    <row r="35" spans="1:15" ht="14" outlineLevel="1" thickBot="1">
      <c r="A35" s="61" t="s">
        <v>192</v>
      </c>
      <c r="B35" s="340" t="s">
        <v>35</v>
      </c>
      <c r="C35" s="36">
        <v>75</v>
      </c>
      <c r="D35" s="36">
        <v>85.4</v>
      </c>
      <c r="E35" s="55">
        <f t="shared" si="0"/>
        <v>0.12989858402675725</v>
      </c>
      <c r="F35" s="36"/>
      <c r="G35" s="36"/>
      <c r="H35" s="36"/>
      <c r="I35" s="338"/>
      <c r="J35" s="93"/>
      <c r="K35" s="91"/>
      <c r="L35" s="46"/>
      <c r="M35" s="46"/>
      <c r="N35" s="53"/>
    </row>
    <row r="36" spans="1:15" ht="35" customHeight="1" outlineLevel="1" thickBot="1">
      <c r="A36" s="226" t="s">
        <v>638</v>
      </c>
      <c r="B36" s="224"/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5"/>
    </row>
    <row r="37" spans="1:15" ht="13" outlineLevel="1"/>
    <row r="38" spans="1:15" ht="13" outlineLevel="1"/>
    <row r="39" spans="1:15" ht="13" outlineLevel="1"/>
    <row r="40" spans="1:15" ht="13" outlineLevel="1"/>
    <row r="41" spans="1:15" ht="13" outlineLevel="1"/>
    <row r="42" spans="1:15" ht="13" outlineLevel="1"/>
    <row r="43" spans="1:15" ht="13" outlineLevel="1"/>
    <row r="44" spans="1:15" ht="13" outlineLevel="1"/>
    <row r="45" spans="1:15" ht="13" outlineLevel="1"/>
    <row r="46" spans="1:15" ht="15.75" customHeight="1">
      <c r="A46" s="118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1:15" ht="15.75" customHeight="1">
      <c r="A47" s="118"/>
      <c r="B47" s="37"/>
      <c r="C47" s="37"/>
      <c r="D47" s="37"/>
      <c r="E47" s="37"/>
      <c r="F47" s="37"/>
      <c r="G47" s="37"/>
      <c r="H47" s="37"/>
      <c r="I47" s="36"/>
      <c r="J47" s="36"/>
      <c r="K47" s="36"/>
      <c r="L47" s="36"/>
      <c r="M47" s="37"/>
      <c r="N47" s="37"/>
      <c r="O47" s="36"/>
    </row>
    <row r="48" spans="1:15" ht="13">
      <c r="A48" s="118"/>
      <c r="B48" s="37"/>
      <c r="C48" s="37"/>
      <c r="D48" s="37"/>
      <c r="E48" s="37"/>
      <c r="F48" s="37"/>
      <c r="G48" s="37"/>
      <c r="H48" s="37"/>
      <c r="I48" s="36"/>
      <c r="J48" s="36"/>
      <c r="K48" s="36"/>
      <c r="L48" s="36"/>
      <c r="M48" s="37"/>
      <c r="N48" s="37"/>
      <c r="O48" s="36"/>
    </row>
    <row r="49" spans="1:15" ht="13">
      <c r="A49" s="118"/>
      <c r="B49" s="37"/>
      <c r="C49" s="37"/>
      <c r="D49" s="37"/>
      <c r="E49" s="37"/>
      <c r="F49" s="37"/>
      <c r="G49" s="37"/>
      <c r="H49" s="37"/>
      <c r="I49" s="36"/>
      <c r="J49" s="36"/>
      <c r="K49" s="36"/>
      <c r="L49" s="36"/>
      <c r="M49" s="37"/>
      <c r="N49" s="37"/>
      <c r="O49" s="36"/>
    </row>
    <row r="50" spans="1:15" ht="13">
      <c r="A50" s="118"/>
      <c r="B50" s="37"/>
      <c r="C50" s="37"/>
      <c r="D50" s="37"/>
      <c r="E50" s="37"/>
      <c r="F50" s="37"/>
      <c r="G50" s="37"/>
      <c r="H50" s="37"/>
      <c r="I50" s="36"/>
      <c r="J50" s="36"/>
      <c r="K50" s="36"/>
      <c r="L50" s="36"/>
      <c r="M50" s="37"/>
      <c r="N50" s="37"/>
      <c r="O50" s="36"/>
    </row>
    <row r="51" spans="1:15" ht="13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1:15" ht="13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1:15" ht="15" customHeight="1">
      <c r="A53" s="37"/>
      <c r="B53" s="37"/>
      <c r="C53" s="37"/>
      <c r="D53" s="37"/>
      <c r="E53" s="37"/>
      <c r="F53" s="37"/>
      <c r="G53" s="37"/>
      <c r="H53" s="37"/>
      <c r="I53" s="119"/>
      <c r="J53" s="119"/>
      <c r="K53" s="119"/>
      <c r="L53" s="119"/>
      <c r="M53" s="118"/>
      <c r="N53" s="118"/>
      <c r="O53" s="119"/>
    </row>
    <row r="54" spans="1:15" ht="15.75" customHeight="1">
      <c r="A54" s="118"/>
      <c r="B54" s="37"/>
      <c r="C54" s="37"/>
      <c r="D54" s="37"/>
      <c r="E54" s="37"/>
      <c r="F54" s="37"/>
      <c r="G54" s="37"/>
      <c r="H54" s="37"/>
      <c r="I54" s="36"/>
      <c r="J54" s="36"/>
      <c r="K54" s="36"/>
      <c r="L54" s="36"/>
      <c r="M54" s="36"/>
      <c r="N54" s="36"/>
      <c r="O54" s="36"/>
    </row>
    <row r="55" spans="1:15" ht="15.75" customHeight="1">
      <c r="A55" s="118"/>
      <c r="B55" s="37"/>
      <c r="C55" s="37"/>
      <c r="D55" s="37"/>
      <c r="E55" s="37"/>
      <c r="F55" s="37"/>
      <c r="G55" s="37"/>
      <c r="H55" s="37"/>
      <c r="I55" s="36"/>
      <c r="J55" s="36"/>
      <c r="K55" s="36"/>
      <c r="L55" s="36"/>
      <c r="M55" s="36"/>
      <c r="N55" s="36"/>
      <c r="O55" s="36"/>
    </row>
    <row r="56" spans="1:15" ht="13" customHeight="1">
      <c r="A56" s="118"/>
      <c r="B56" s="37"/>
      <c r="C56" s="37"/>
      <c r="D56" s="37"/>
      <c r="E56" s="37"/>
      <c r="F56" s="37"/>
      <c r="G56" s="37"/>
      <c r="H56" s="37"/>
      <c r="I56" s="36"/>
      <c r="J56" s="36"/>
      <c r="K56" s="36"/>
      <c r="L56" s="36"/>
      <c r="M56" s="36"/>
      <c r="N56" s="36"/>
      <c r="O56" s="36"/>
    </row>
    <row r="57" spans="1:15" ht="15.75" customHeight="1">
      <c r="A57" s="118"/>
      <c r="B57" s="37"/>
      <c r="C57" s="37"/>
      <c r="D57" s="37"/>
      <c r="E57" s="37"/>
      <c r="F57" s="37"/>
      <c r="G57" s="37"/>
      <c r="H57" s="37"/>
      <c r="I57" s="36"/>
      <c r="J57" s="36"/>
      <c r="K57" s="36"/>
      <c r="L57" s="36"/>
      <c r="M57" s="36"/>
      <c r="N57" s="36"/>
      <c r="O57" s="36"/>
    </row>
  </sheetData>
  <mergeCells count="3">
    <mergeCell ref="A36:N36"/>
    <mergeCell ref="A3:N3"/>
    <mergeCell ref="A4:N4"/>
  </mergeCells>
  <conditionalFormatting sqref="B5:C5">
    <cfRule type="notContainsBlanks" dxfId="41" priority="7">
      <formula>LEN(TRIM(B5))&gt;0</formula>
    </cfRule>
  </conditionalFormatting>
  <conditionalFormatting sqref="D5">
    <cfRule type="notContainsBlanks" dxfId="40" priority="6">
      <formula>LEN(TRIM(D5))&gt;0</formula>
    </cfRule>
  </conditionalFormatting>
  <conditionalFormatting sqref="E5">
    <cfRule type="notContainsBlanks" dxfId="39" priority="5">
      <formula>LEN(TRIM(E5))&gt;0</formula>
    </cfRule>
  </conditionalFormatting>
  <conditionalFormatting sqref="F5">
    <cfRule type="notContainsBlanks" dxfId="38" priority="4">
      <formula>LEN(TRIM(F5))&gt;0</formula>
    </cfRule>
  </conditionalFormatting>
  <conditionalFormatting sqref="G5">
    <cfRule type="notContainsBlanks" dxfId="37" priority="3">
      <formula>LEN(TRIM(G5))&gt;0</formula>
    </cfRule>
  </conditionalFormatting>
  <conditionalFormatting sqref="K5">
    <cfRule type="notContainsBlanks" dxfId="36" priority="2">
      <formula>LEN(TRIM(K5))&gt;0</formula>
    </cfRule>
  </conditionalFormatting>
  <conditionalFormatting sqref="M5">
    <cfRule type="notContainsBlanks" dxfId="35" priority="1">
      <formula>LEN(TRIM(M5))&gt;0</formula>
    </cfRule>
  </conditionalFormatting>
  <hyperlinks>
    <hyperlink ref="A6" r:id="rId1" xr:uid="{00000000-0004-0000-0600-000000000000}"/>
    <hyperlink ref="A7" r:id="rId2" xr:uid="{00000000-0004-0000-0600-000001000000}"/>
    <hyperlink ref="A8" r:id="rId3" xr:uid="{00000000-0004-0000-0600-000002000000}"/>
    <hyperlink ref="A9" r:id="rId4" xr:uid="{00000000-0004-0000-0600-000003000000}"/>
    <hyperlink ref="A10" r:id="rId5" xr:uid="{00000000-0004-0000-0600-000004000000}"/>
    <hyperlink ref="A11" r:id="rId6" xr:uid="{00000000-0004-0000-0600-000005000000}"/>
    <hyperlink ref="A12" r:id="rId7" xr:uid="{00000000-0004-0000-0600-000006000000}"/>
    <hyperlink ref="A13" r:id="rId8" xr:uid="{00000000-0004-0000-0600-000007000000}"/>
    <hyperlink ref="A14" r:id="rId9" xr:uid="{00000000-0004-0000-0600-000008000000}"/>
    <hyperlink ref="A15" r:id="rId10" xr:uid="{00000000-0004-0000-0600-000009000000}"/>
    <hyperlink ref="A16" r:id="rId11" xr:uid="{00000000-0004-0000-0600-00000A000000}"/>
    <hyperlink ref="A17" r:id="rId12" xr:uid="{00000000-0004-0000-0600-00000B000000}"/>
    <hyperlink ref="A18" r:id="rId13" xr:uid="{00000000-0004-0000-0600-00000C000000}"/>
    <hyperlink ref="A19" r:id="rId14" xr:uid="{00000000-0004-0000-0600-00000D000000}"/>
    <hyperlink ref="A20" r:id="rId15" xr:uid="{00000000-0004-0000-0600-00000E000000}"/>
    <hyperlink ref="A21" r:id="rId16" xr:uid="{00000000-0004-0000-0600-00000F000000}"/>
    <hyperlink ref="A22" r:id="rId17" xr:uid="{00000000-0004-0000-0600-000010000000}"/>
    <hyperlink ref="A23" r:id="rId18" xr:uid="{00000000-0004-0000-0600-000011000000}"/>
    <hyperlink ref="A24" r:id="rId19" xr:uid="{00000000-0004-0000-0600-000012000000}"/>
    <hyperlink ref="A25" r:id="rId20" xr:uid="{00000000-0004-0000-0600-000013000000}"/>
    <hyperlink ref="A26" r:id="rId21" xr:uid="{00000000-0004-0000-0600-000014000000}"/>
    <hyperlink ref="A27" r:id="rId22" xr:uid="{00000000-0004-0000-0600-000015000000}"/>
    <hyperlink ref="A28" r:id="rId23" xr:uid="{00000000-0004-0000-0600-000016000000}"/>
    <hyperlink ref="A29" r:id="rId24" xr:uid="{00000000-0004-0000-0600-000017000000}"/>
    <hyperlink ref="A30" r:id="rId25" xr:uid="{00000000-0004-0000-0600-000018000000}"/>
    <hyperlink ref="A31" r:id="rId26" xr:uid="{00000000-0004-0000-0600-000019000000}"/>
    <hyperlink ref="A32" r:id="rId27" xr:uid="{00000000-0004-0000-0600-00001A000000}"/>
    <hyperlink ref="A33" r:id="rId28" xr:uid="{00000000-0004-0000-0600-00001B000000}"/>
    <hyperlink ref="A34" r:id="rId29" xr:uid="{00000000-0004-0000-0600-00001C000000}"/>
    <hyperlink ref="A35" r:id="rId30" xr:uid="{00000000-0004-0000-0600-00001D000000}"/>
  </hyperlink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P953"/>
  <sheetViews>
    <sheetView zoomScale="88" workbookViewId="0">
      <selection activeCell="F65" sqref="F65"/>
    </sheetView>
  </sheetViews>
  <sheetFormatPr baseColWidth="10" defaultColWidth="12.6640625" defaultRowHeight="15.75" customHeight="1" outlineLevelRow="1"/>
  <cols>
    <col min="1" max="1" width="41.33203125" customWidth="1"/>
    <col min="3" max="3" width="13" customWidth="1"/>
    <col min="4" max="4" width="14.33203125" customWidth="1"/>
    <col min="5" max="5" width="15.1640625" customWidth="1"/>
    <col min="6" max="6" width="14" customWidth="1"/>
    <col min="8" max="8" width="10.6640625" customWidth="1"/>
    <col min="10" max="10" width="18.1640625" customWidth="1"/>
    <col min="11" max="11" width="20.6640625" customWidth="1"/>
    <col min="12" max="12" width="22" customWidth="1"/>
    <col min="13" max="13" width="25" customWidth="1"/>
    <col min="14" max="14" width="21.6640625" customWidth="1"/>
  </cols>
  <sheetData>
    <row r="1" spans="1:15" ht="13"/>
    <row r="2" spans="1:15" ht="14" customHeight="1" outlineLevel="1" thickBot="1">
      <c r="D2" s="120"/>
      <c r="E2" s="37"/>
      <c r="F2" s="37"/>
      <c r="G2" s="31"/>
    </row>
    <row r="3" spans="1:15" ht="18" customHeight="1" outlineLevel="1" thickBot="1">
      <c r="A3" s="251" t="s">
        <v>662</v>
      </c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</row>
    <row r="4" spans="1:15" ht="35" customHeight="1" outlineLevel="1" thickBot="1">
      <c r="A4" s="212" t="s">
        <v>663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27"/>
      <c r="O4" s="249"/>
    </row>
    <row r="5" spans="1:15" ht="40" customHeight="1" outlineLevel="1" thickBot="1">
      <c r="A5" s="206" t="s">
        <v>38</v>
      </c>
      <c r="B5" s="206" t="s">
        <v>0</v>
      </c>
      <c r="C5" s="134" t="s">
        <v>631</v>
      </c>
      <c r="D5" s="134" t="s">
        <v>632</v>
      </c>
      <c r="E5" s="135" t="s">
        <v>633</v>
      </c>
      <c r="F5" s="134" t="s">
        <v>634</v>
      </c>
      <c r="G5" s="134" t="s">
        <v>641</v>
      </c>
      <c r="H5" s="318" t="s">
        <v>40</v>
      </c>
      <c r="I5" s="222" t="s">
        <v>144</v>
      </c>
      <c r="J5" s="136" t="s">
        <v>636</v>
      </c>
      <c r="K5" s="160" t="s">
        <v>637</v>
      </c>
      <c r="L5" s="136" t="s">
        <v>642</v>
      </c>
      <c r="M5" s="160" t="s">
        <v>643</v>
      </c>
      <c r="N5" s="269" t="s">
        <v>666</v>
      </c>
    </row>
    <row r="6" spans="1:15" ht="14" outlineLevel="1">
      <c r="A6" s="254" t="s">
        <v>193</v>
      </c>
      <c r="B6" s="365" t="s">
        <v>657</v>
      </c>
      <c r="C6" s="231">
        <v>6400</v>
      </c>
      <c r="D6" s="231">
        <v>23500</v>
      </c>
      <c r="E6" s="228">
        <f>D6/(C6*8765.81277)*1000</f>
        <v>0.4188858576316592</v>
      </c>
      <c r="F6" s="231">
        <v>621</v>
      </c>
      <c r="G6" s="231">
        <v>179900</v>
      </c>
      <c r="H6" s="231">
        <v>194</v>
      </c>
      <c r="I6" s="328" t="s">
        <v>49</v>
      </c>
      <c r="J6" s="237">
        <f>C6*E6/(F6)</f>
        <v>4.3170201108576798</v>
      </c>
      <c r="K6" s="234">
        <f>D6*10^(-3)/(F6)</f>
        <v>3.7842190016103061E-2</v>
      </c>
      <c r="L6" s="243">
        <f>C6*10^6*E6/(G6*10^6)</f>
        <v>1.4901998270386987E-2</v>
      </c>
      <c r="M6" s="246">
        <f>D6*10^(-3)/(G6)</f>
        <v>1.3062812673707617E-4</v>
      </c>
      <c r="N6" s="255">
        <f>K6/M6</f>
        <v>289.69404186795492</v>
      </c>
    </row>
    <row r="7" spans="1:15" ht="14" outlineLevel="1">
      <c r="A7" s="256" t="s">
        <v>194</v>
      </c>
      <c r="B7" s="365" t="s">
        <v>657</v>
      </c>
      <c r="C7" s="232">
        <v>6000</v>
      </c>
      <c r="D7" s="232">
        <v>20400</v>
      </c>
      <c r="E7" s="229">
        <f t="shared" ref="E7:E49" si="0">D7/(C7*8765.81277)*1000</f>
        <v>0.3878704792368044</v>
      </c>
      <c r="F7" s="232">
        <v>2000</v>
      </c>
      <c r="G7" s="232"/>
      <c r="H7" s="232"/>
      <c r="I7" s="329"/>
      <c r="J7" s="238">
        <f t="shared" ref="J7:J49" si="1">C7*E7/(F7)</f>
        <v>1.1636114377104132</v>
      </c>
      <c r="K7" s="235">
        <f>D7*10^(-3)/(F7)</f>
        <v>1.0200000000000001E-2</v>
      </c>
      <c r="L7" s="244"/>
      <c r="M7" s="247"/>
      <c r="N7" s="257"/>
    </row>
    <row r="8" spans="1:15" ht="14" outlineLevel="1">
      <c r="A8" s="256" t="s">
        <v>195</v>
      </c>
      <c r="B8" s="365" t="s">
        <v>657</v>
      </c>
      <c r="C8" s="232">
        <v>4515</v>
      </c>
      <c r="D8" s="232">
        <v>22600</v>
      </c>
      <c r="E8" s="229">
        <f t="shared" si="0"/>
        <v>0.57102943331064948</v>
      </c>
      <c r="F8" s="232">
        <v>5470</v>
      </c>
      <c r="G8" s="232"/>
      <c r="H8" s="232">
        <v>108</v>
      </c>
      <c r="I8" s="329" t="s">
        <v>49</v>
      </c>
      <c r="J8" s="238">
        <f t="shared" si="1"/>
        <v>0.4713341666174739</v>
      </c>
      <c r="K8" s="235">
        <f>D8*10^(-3)/(F8)</f>
        <v>4.1316270566727608E-3</v>
      </c>
      <c r="L8" s="244"/>
      <c r="M8" s="247"/>
      <c r="N8" s="257"/>
    </row>
    <row r="9" spans="1:15" ht="14" outlineLevel="1">
      <c r="A9" s="256" t="s">
        <v>196</v>
      </c>
      <c r="B9" s="365" t="s">
        <v>657</v>
      </c>
      <c r="C9" s="232">
        <v>3840</v>
      </c>
      <c r="D9" s="232">
        <v>21700</v>
      </c>
      <c r="E9" s="229">
        <f t="shared" si="0"/>
        <v>0.64466830571680867</v>
      </c>
      <c r="F9" s="232">
        <v>1922</v>
      </c>
      <c r="G9" s="232"/>
      <c r="H9" s="232"/>
      <c r="I9" s="329" t="s">
        <v>49</v>
      </c>
      <c r="J9" s="238">
        <f t="shared" si="1"/>
        <v>1.2879949500273387</v>
      </c>
      <c r="K9" s="235">
        <f>D9*10^(-3)/(F9)</f>
        <v>1.1290322580645161E-2</v>
      </c>
      <c r="L9" s="244"/>
      <c r="M9" s="247"/>
      <c r="N9" s="257"/>
    </row>
    <row r="10" spans="1:15" ht="14" outlineLevel="1">
      <c r="A10" s="256" t="s">
        <v>197</v>
      </c>
      <c r="B10" s="365" t="s">
        <v>657</v>
      </c>
      <c r="C10" s="232">
        <v>2997</v>
      </c>
      <c r="D10" s="232">
        <v>17600</v>
      </c>
      <c r="E10" s="229">
        <f t="shared" si="0"/>
        <v>0.66993664591726609</v>
      </c>
      <c r="F10" s="232">
        <v>2326</v>
      </c>
      <c r="G10" s="232">
        <v>831000</v>
      </c>
      <c r="H10" s="232">
        <v>65.5</v>
      </c>
      <c r="I10" s="329" t="s">
        <v>49</v>
      </c>
      <c r="J10" s="238">
        <f t="shared" si="1"/>
        <v>0.86319867919778437</v>
      </c>
      <c r="K10" s="235">
        <f>D10*10^(-3)/(F10)</f>
        <v>7.5666380051590716E-3</v>
      </c>
      <c r="L10" s="244">
        <f>C10*10^6*E10/(G10*10^6)</f>
        <v>2.4161253042286959E-3</v>
      </c>
      <c r="M10" s="247">
        <f>D10*10^(-3)/(G10)</f>
        <v>2.117930204572804E-5</v>
      </c>
      <c r="N10" s="257">
        <f>K10/M10</f>
        <v>357.26569217540839</v>
      </c>
    </row>
    <row r="11" spans="1:15" ht="14" outlineLevel="1">
      <c r="A11" s="256" t="s">
        <v>198</v>
      </c>
      <c r="B11" s="365" t="s">
        <v>657</v>
      </c>
      <c r="C11" s="232">
        <v>2744</v>
      </c>
      <c r="D11" s="232">
        <v>10999</v>
      </c>
      <c r="E11" s="229">
        <f t="shared" si="0"/>
        <v>0.4572744170302705</v>
      </c>
      <c r="F11" s="232">
        <v>3117</v>
      </c>
      <c r="G11" s="232"/>
      <c r="H11" s="232"/>
      <c r="I11" s="329"/>
      <c r="J11" s="238">
        <f t="shared" si="1"/>
        <v>0.40255405849568887</v>
      </c>
      <c r="K11" s="235">
        <f>D11*10^(-3)/(F11)</f>
        <v>3.5287135065768371E-3</v>
      </c>
      <c r="L11" s="244"/>
      <c r="M11" s="247"/>
      <c r="N11" s="257"/>
    </row>
    <row r="12" spans="1:15" ht="14" outlineLevel="1">
      <c r="A12" s="256" t="s">
        <v>199</v>
      </c>
      <c r="B12" s="365" t="s">
        <v>657</v>
      </c>
      <c r="C12" s="232">
        <v>2488</v>
      </c>
      <c r="D12" s="232">
        <v>11815</v>
      </c>
      <c r="E12" s="229">
        <f t="shared" si="0"/>
        <v>0.54174031967359138</v>
      </c>
      <c r="F12" s="232">
        <v>6450</v>
      </c>
      <c r="G12" s="232"/>
      <c r="H12" s="232"/>
      <c r="I12" s="329"/>
      <c r="J12" s="238">
        <f t="shared" si="1"/>
        <v>0.20896897912370471</v>
      </c>
      <c r="K12" s="235">
        <f>D12*10^(-3)/(F12)</f>
        <v>1.8317829457364339E-3</v>
      </c>
      <c r="L12" s="244"/>
      <c r="M12" s="247"/>
      <c r="N12" s="257"/>
    </row>
    <row r="13" spans="1:15" ht="14" outlineLevel="1">
      <c r="A13" s="256" t="s">
        <v>200</v>
      </c>
      <c r="B13" s="365" t="s">
        <v>657</v>
      </c>
      <c r="C13" s="232">
        <v>2010</v>
      </c>
      <c r="D13" s="232"/>
      <c r="E13" s="229">
        <f t="shared" si="0"/>
        <v>0</v>
      </c>
      <c r="F13" s="232">
        <v>750</v>
      </c>
      <c r="G13" s="232">
        <v>65200</v>
      </c>
      <c r="H13" s="232"/>
      <c r="I13" s="329"/>
      <c r="J13" s="238"/>
      <c r="K13" s="235"/>
      <c r="L13" s="244"/>
      <c r="M13" s="247"/>
      <c r="N13" s="257"/>
    </row>
    <row r="14" spans="1:15" ht="14" outlineLevel="1">
      <c r="A14" s="256" t="s">
        <v>201</v>
      </c>
      <c r="B14" s="365" t="s">
        <v>657</v>
      </c>
      <c r="C14" s="232">
        <v>1831</v>
      </c>
      <c r="D14" s="232">
        <v>5352</v>
      </c>
      <c r="E14" s="229">
        <f t="shared" si="0"/>
        <v>0.33345372263234124</v>
      </c>
      <c r="F14" s="232">
        <v>1415</v>
      </c>
      <c r="G14" s="232"/>
      <c r="H14" s="232"/>
      <c r="I14" s="329"/>
      <c r="J14" s="238">
        <f t="shared" si="1"/>
        <v>0.43148676052283874</v>
      </c>
      <c r="K14" s="235">
        <f>D14*10^(-3)/(F14)</f>
        <v>3.7823321554770321E-3</v>
      </c>
      <c r="L14" s="244"/>
      <c r="M14" s="247"/>
      <c r="N14" s="257"/>
    </row>
    <row r="15" spans="1:15" ht="14" outlineLevel="1">
      <c r="A15" s="256" t="s">
        <v>202</v>
      </c>
      <c r="B15" s="365" t="s">
        <v>657</v>
      </c>
      <c r="C15" s="232">
        <v>1404</v>
      </c>
      <c r="D15" s="232">
        <v>2100</v>
      </c>
      <c r="E15" s="229">
        <f t="shared" si="0"/>
        <v>0.17063180961900645</v>
      </c>
      <c r="F15" s="232">
        <v>2182</v>
      </c>
      <c r="G15" s="232"/>
      <c r="H15" s="232"/>
      <c r="I15" s="329" t="s">
        <v>74</v>
      </c>
      <c r="J15" s="238">
        <f t="shared" si="1"/>
        <v>0.1097924201214872</v>
      </c>
      <c r="K15" s="235">
        <f>D15*10^(-3)/(F15)</f>
        <v>9.6241979835013757E-4</v>
      </c>
      <c r="L15" s="244"/>
      <c r="M15" s="247"/>
      <c r="N15" s="257"/>
    </row>
    <row r="16" spans="1:15" ht="14" outlineLevel="1">
      <c r="A16" s="256" t="s">
        <v>203</v>
      </c>
      <c r="B16" s="365" t="s">
        <v>657</v>
      </c>
      <c r="C16" s="232">
        <v>1330</v>
      </c>
      <c r="D16" s="232">
        <v>4910</v>
      </c>
      <c r="E16" s="229">
        <f t="shared" si="0"/>
        <v>0.42115082995415953</v>
      </c>
      <c r="F16" s="232">
        <v>2420</v>
      </c>
      <c r="G16" s="232"/>
      <c r="H16" s="232"/>
      <c r="I16" s="329"/>
      <c r="J16" s="238">
        <f t="shared" si="1"/>
        <v>0.23145892720621167</v>
      </c>
      <c r="K16" s="235">
        <f>D16*10^(-3)/(F16)</f>
        <v>2.0289256198347109E-3</v>
      </c>
      <c r="L16" s="244"/>
      <c r="M16" s="247"/>
      <c r="N16" s="257"/>
    </row>
    <row r="17" spans="1:14" ht="14" outlineLevel="1">
      <c r="A17" s="256" t="s">
        <v>204</v>
      </c>
      <c r="B17" s="365" t="s">
        <v>657</v>
      </c>
      <c r="C17" s="232">
        <v>1248</v>
      </c>
      <c r="D17" s="232">
        <v>2540</v>
      </c>
      <c r="E17" s="229">
        <f t="shared" si="0"/>
        <v>0.23218114094586234</v>
      </c>
      <c r="F17" s="232">
        <v>1084</v>
      </c>
      <c r="G17" s="232"/>
      <c r="H17" s="232">
        <v>12.4</v>
      </c>
      <c r="I17" s="329" t="s">
        <v>74</v>
      </c>
      <c r="J17" s="238">
        <f t="shared" si="1"/>
        <v>0.26730817702992271</v>
      </c>
      <c r="K17" s="235">
        <f>D17*10^(-3)/(F17)</f>
        <v>2.3431734317343172E-3</v>
      </c>
      <c r="L17" s="244"/>
      <c r="M17" s="247"/>
      <c r="N17" s="257"/>
    </row>
    <row r="18" spans="1:14" ht="14" outlineLevel="1">
      <c r="A18" s="256" t="s">
        <v>205</v>
      </c>
      <c r="B18" s="365" t="s">
        <v>657</v>
      </c>
      <c r="C18" s="232">
        <v>1080</v>
      </c>
      <c r="D18" s="232">
        <v>2200</v>
      </c>
      <c r="E18" s="229">
        <f t="shared" si="0"/>
        <v>0.23238427405255166</v>
      </c>
      <c r="F18" s="232">
        <v>1120</v>
      </c>
      <c r="G18" s="232">
        <v>184000</v>
      </c>
      <c r="H18" s="232">
        <v>16.75</v>
      </c>
      <c r="I18" s="329"/>
      <c r="J18" s="238">
        <f t="shared" si="1"/>
        <v>0.22408483569353196</v>
      </c>
      <c r="K18" s="235">
        <f>D18*10^(-3)/(F18)</f>
        <v>1.9642857142857144E-3</v>
      </c>
      <c r="L18" s="244">
        <f>C18*10^6*E18/(G18*10^6)</f>
        <v>1.3639946520475859E-3</v>
      </c>
      <c r="M18" s="247">
        <f>D18*10^(-3)/(G18)</f>
        <v>1.1956521739130435E-5</v>
      </c>
      <c r="N18" s="257">
        <f>K18/M18</f>
        <v>164.28571428571428</v>
      </c>
    </row>
    <row r="19" spans="1:14" ht="14" outlineLevel="1">
      <c r="A19" s="256" t="s">
        <v>206</v>
      </c>
      <c r="B19" s="365" t="s">
        <v>657</v>
      </c>
      <c r="C19" s="232">
        <v>1000</v>
      </c>
      <c r="D19" s="232">
        <v>2470</v>
      </c>
      <c r="E19" s="229">
        <f t="shared" si="0"/>
        <v>0.28177649521026676</v>
      </c>
      <c r="F19" s="232">
        <v>42.4</v>
      </c>
      <c r="G19" s="232">
        <v>11290</v>
      </c>
      <c r="H19" s="232">
        <v>205</v>
      </c>
      <c r="I19" s="329" t="s">
        <v>49</v>
      </c>
      <c r="J19" s="238">
        <f t="shared" si="1"/>
        <v>6.6456720568459149</v>
      </c>
      <c r="K19" s="235">
        <f>D19*10^(-3)/(F19)</f>
        <v>5.8254716981132083E-2</v>
      </c>
      <c r="L19" s="244">
        <f>C19*10^6*E19/(G19*10^6)</f>
        <v>2.4958059806046658E-2</v>
      </c>
      <c r="M19" s="247">
        <f>D19*10^(-3)/(G19)</f>
        <v>2.187776793622675E-4</v>
      </c>
      <c r="N19" s="257">
        <f>K19/M19</f>
        <v>266.27358490566041</v>
      </c>
    </row>
    <row r="20" spans="1:14" ht="14" outlineLevel="1">
      <c r="A20" s="256" t="s">
        <v>207</v>
      </c>
      <c r="B20" s="365" t="s">
        <v>657</v>
      </c>
      <c r="C20" s="232">
        <v>678.1</v>
      </c>
      <c r="D20" s="232">
        <v>4100</v>
      </c>
      <c r="E20" s="229">
        <f t="shared" si="0"/>
        <v>0.68975986748045925</v>
      </c>
      <c r="F20" s="232">
        <v>1386</v>
      </c>
      <c r="G20" s="232"/>
      <c r="H20" s="232">
        <v>31</v>
      </c>
      <c r="I20" s="329"/>
      <c r="J20" s="238">
        <f t="shared" si="1"/>
        <v>0.33746476633369366</v>
      </c>
      <c r="K20" s="235">
        <f>D20*10^(-3)/(F20)</f>
        <v>2.9581529581529579E-3</v>
      </c>
      <c r="L20" s="244"/>
      <c r="M20" s="247"/>
      <c r="N20" s="257"/>
    </row>
    <row r="21" spans="1:14" ht="14" outlineLevel="1">
      <c r="A21" s="256" t="s">
        <v>208</v>
      </c>
      <c r="B21" s="365" t="s">
        <v>657</v>
      </c>
      <c r="C21" s="232">
        <v>522</v>
      </c>
      <c r="D21" s="232">
        <v>1710</v>
      </c>
      <c r="E21" s="229">
        <f t="shared" si="0"/>
        <v>0.37370887958921317</v>
      </c>
      <c r="F21" s="232">
        <v>1915</v>
      </c>
      <c r="G21" s="232">
        <v>167200</v>
      </c>
      <c r="H21" s="232"/>
      <c r="I21" s="329"/>
      <c r="J21" s="238">
        <f t="shared" si="1"/>
        <v>0.10186738127705967</v>
      </c>
      <c r="K21" s="235">
        <f>D21*10^(-3)/(F21)</f>
        <v>8.9295039164490855E-4</v>
      </c>
      <c r="L21" s="244">
        <f>C21*10^6*E21/(G21*10^6)</f>
        <v>1.1667226982390506E-3</v>
      </c>
      <c r="M21" s="247">
        <f>D21*10^(-3)/(G21)</f>
        <v>1.0227272727272727E-5</v>
      </c>
      <c r="N21" s="257">
        <f>K21/M21</f>
        <v>87.310704960835508</v>
      </c>
    </row>
    <row r="22" spans="1:14" ht="14" outlineLevel="1">
      <c r="A22" s="256" t="s">
        <v>209</v>
      </c>
      <c r="B22" s="365" t="s">
        <v>657</v>
      </c>
      <c r="C22" s="232">
        <v>900</v>
      </c>
      <c r="D22" s="232">
        <v>3325</v>
      </c>
      <c r="E22" s="229">
        <f t="shared" si="0"/>
        <v>0.42146056975894591</v>
      </c>
      <c r="F22" s="232">
        <v>454.6</v>
      </c>
      <c r="G22" s="232"/>
      <c r="H22" s="232">
        <v>115.2</v>
      </c>
      <c r="I22" s="329"/>
      <c r="J22" s="238">
        <f t="shared" si="1"/>
        <v>0.83439180110658007</v>
      </c>
      <c r="K22" s="235">
        <f>D22*10^(-3)/(F22)</f>
        <v>7.3141223053233614E-3</v>
      </c>
      <c r="L22" s="244"/>
      <c r="M22" s="247"/>
      <c r="N22" s="257"/>
    </row>
    <row r="23" spans="1:14" ht="14" outlineLevel="1">
      <c r="A23" s="256" t="s">
        <v>210</v>
      </c>
      <c r="B23" s="365" t="s">
        <v>657</v>
      </c>
      <c r="C23" s="232">
        <v>125</v>
      </c>
      <c r="D23" s="232">
        <v>640</v>
      </c>
      <c r="E23" s="229">
        <f t="shared" si="0"/>
        <v>0.58408730990954083</v>
      </c>
      <c r="F23" s="232">
        <v>191</v>
      </c>
      <c r="G23" s="232"/>
      <c r="H23" s="232"/>
      <c r="I23" s="329"/>
      <c r="J23" s="238">
        <f t="shared" si="1"/>
        <v>0.38225609287273615</v>
      </c>
      <c r="K23" s="235">
        <f>D23*10^(-3)/(F23)</f>
        <v>3.350785340314136E-3</v>
      </c>
      <c r="L23" s="244"/>
      <c r="M23" s="247"/>
      <c r="N23" s="257"/>
    </row>
    <row r="24" spans="1:14" ht="14" outlineLevel="1">
      <c r="A24" s="256" t="s">
        <v>211</v>
      </c>
      <c r="B24" s="365" t="s">
        <v>657</v>
      </c>
      <c r="C24" s="232">
        <v>201.6</v>
      </c>
      <c r="D24" s="232">
        <v>590</v>
      </c>
      <c r="E24" s="229">
        <f t="shared" si="0"/>
        <v>0.33386377035147441</v>
      </c>
      <c r="F24" s="232">
        <v>116</v>
      </c>
      <c r="G24" s="232"/>
      <c r="H24" s="232"/>
      <c r="I24" s="329"/>
      <c r="J24" s="238">
        <f t="shared" si="1"/>
        <v>0.58023220778325202</v>
      </c>
      <c r="K24" s="235">
        <f>D24*10^(-3)/(F24)</f>
        <v>5.0862068965517237E-3</v>
      </c>
      <c r="L24" s="244"/>
      <c r="M24" s="247"/>
      <c r="N24" s="257"/>
    </row>
    <row r="25" spans="1:14" ht="14" outlineLevel="1">
      <c r="A25" s="256" t="s">
        <v>212</v>
      </c>
      <c r="B25" s="365" t="s">
        <v>657</v>
      </c>
      <c r="C25" s="232">
        <v>376.4</v>
      </c>
      <c r="D25" s="232">
        <v>935</v>
      </c>
      <c r="E25" s="229">
        <f t="shared" si="0"/>
        <v>0.283380397954626</v>
      </c>
      <c r="F25" s="232">
        <v>4580</v>
      </c>
      <c r="G25" s="232"/>
      <c r="H25" s="232"/>
      <c r="I25" s="329" t="s">
        <v>74</v>
      </c>
      <c r="J25" s="238">
        <f t="shared" si="1"/>
        <v>2.3289166329720789E-2</v>
      </c>
      <c r="K25" s="235">
        <f>D25*10^(-3)/(F25)</f>
        <v>2.0414847161572054E-4</v>
      </c>
      <c r="L25" s="244"/>
      <c r="M25" s="247"/>
      <c r="N25" s="257"/>
    </row>
    <row r="26" spans="1:14" ht="15" outlineLevel="1" thickBot="1">
      <c r="A26" s="258" t="s">
        <v>203</v>
      </c>
      <c r="B26" s="365" t="s">
        <v>657</v>
      </c>
      <c r="C26" s="233">
        <v>1330</v>
      </c>
      <c r="D26" s="233">
        <v>4910</v>
      </c>
      <c r="E26" s="230">
        <f t="shared" si="0"/>
        <v>0.42115082995415953</v>
      </c>
      <c r="F26" s="233">
        <v>2420</v>
      </c>
      <c r="G26" s="233"/>
      <c r="H26" s="233"/>
      <c r="I26" s="330"/>
      <c r="J26" s="239">
        <f t="shared" si="1"/>
        <v>0.23145892720621167</v>
      </c>
      <c r="K26" s="236">
        <f>D26*10^(-3)/(F26)</f>
        <v>2.0289256198347109E-3</v>
      </c>
      <c r="L26" s="245"/>
      <c r="M26" s="248"/>
      <c r="N26" s="259"/>
    </row>
    <row r="27" spans="1:14" ht="14" outlineLevel="1">
      <c r="A27" s="195" t="s">
        <v>213</v>
      </c>
      <c r="B27" s="366" t="s">
        <v>29</v>
      </c>
      <c r="C27" s="260">
        <v>675</v>
      </c>
      <c r="D27" s="260">
        <v>2770</v>
      </c>
      <c r="E27" s="228">
        <f t="shared" si="0"/>
        <v>0.46814868300041312</v>
      </c>
      <c r="F27" s="260">
        <v>5490</v>
      </c>
      <c r="G27" s="260">
        <v>12260</v>
      </c>
      <c r="H27" s="260"/>
      <c r="I27" s="331"/>
      <c r="J27" s="237">
        <f t="shared" si="1"/>
        <v>5.7559264303329478E-2</v>
      </c>
      <c r="K27" s="234">
        <f>D27*10^(-3)/(F27)</f>
        <v>5.0455373406193074E-4</v>
      </c>
      <c r="L27" s="243">
        <f>C27*10^6*E27/(G27*10^6)</f>
        <v>2.577490709830986E-2</v>
      </c>
      <c r="M27" s="246">
        <f>D27*10^(-3)/(G27)</f>
        <v>2.2593800978792822E-4</v>
      </c>
      <c r="N27" s="255">
        <f>K27/M27</f>
        <v>2.2331511839708558</v>
      </c>
    </row>
    <row r="28" spans="1:14" ht="14" outlineLevel="1">
      <c r="A28" s="196" t="s">
        <v>214</v>
      </c>
      <c r="B28" s="367" t="s">
        <v>29</v>
      </c>
      <c r="C28" s="261">
        <v>364</v>
      </c>
      <c r="D28" s="261">
        <v>972</v>
      </c>
      <c r="E28" s="229">
        <f t="shared" si="0"/>
        <v>0.30463001439736093</v>
      </c>
      <c r="F28" s="261">
        <v>1847</v>
      </c>
      <c r="G28" s="261">
        <v>113000</v>
      </c>
      <c r="H28" s="261"/>
      <c r="I28" s="332"/>
      <c r="J28" s="238">
        <f t="shared" si="1"/>
        <v>6.0035368294877843E-2</v>
      </c>
      <c r="K28" s="235">
        <f>D28*10^(-3)/(F28)</f>
        <v>5.2625879805089332E-4</v>
      </c>
      <c r="L28" s="244">
        <f>C28*10^6*E28/(G28*10^6)</f>
        <v>9.812860640764547E-4</v>
      </c>
      <c r="M28" s="247">
        <f>D28*10^(-3)/(G28)</f>
        <v>8.6017699115044244E-6</v>
      </c>
      <c r="N28" s="257">
        <f>K28/M28</f>
        <v>61.180292365998916</v>
      </c>
    </row>
    <row r="29" spans="1:14" ht="14">
      <c r="A29" s="196" t="s">
        <v>215</v>
      </c>
      <c r="B29" s="367" t="s">
        <v>29</v>
      </c>
      <c r="C29" s="71">
        <v>339.4</v>
      </c>
      <c r="D29" s="71">
        <v>1580</v>
      </c>
      <c r="E29" s="229">
        <f t="shared" si="0"/>
        <v>0.53107157717264974</v>
      </c>
      <c r="F29" s="71">
        <v>37</v>
      </c>
      <c r="G29" s="71"/>
      <c r="H29" s="71"/>
      <c r="I29" s="333"/>
      <c r="J29" s="238">
        <f t="shared" si="1"/>
        <v>4.8715052241188461</v>
      </c>
      <c r="K29" s="235">
        <f>D29*10^(-3)/(F29)</f>
        <v>4.2702702702702704E-2</v>
      </c>
      <c r="L29" s="244"/>
      <c r="M29" s="247"/>
      <c r="N29" s="257"/>
    </row>
    <row r="30" spans="1:14" ht="15" thickBot="1">
      <c r="A30" s="197" t="s">
        <v>216</v>
      </c>
      <c r="B30" s="368" t="s">
        <v>29</v>
      </c>
      <c r="C30" s="262">
        <v>702</v>
      </c>
      <c r="D30" s="262">
        <v>1660</v>
      </c>
      <c r="E30" s="230">
        <f t="shared" si="0"/>
        <v>0.26976076568338164</v>
      </c>
      <c r="F30" s="262">
        <v>255</v>
      </c>
      <c r="G30" s="262">
        <v>1643000</v>
      </c>
      <c r="H30" s="262"/>
      <c r="I30" s="334"/>
      <c r="J30" s="239">
        <f t="shared" si="1"/>
        <v>0.74263551964601537</v>
      </c>
      <c r="K30" s="236">
        <f>D30*10^(-3)/(F30)</f>
        <v>6.5098039215686276E-3</v>
      </c>
      <c r="L30" s="245">
        <f>C30*10^6*E30/(G30*10^6)</f>
        <v>1.1525992544719045E-4</v>
      </c>
      <c r="M30" s="248">
        <f>D30*10^(-3)/(G30)</f>
        <v>1.0103469263542301E-6</v>
      </c>
      <c r="N30" s="259">
        <f>K30/M30</f>
        <v>6443.1372549019607</v>
      </c>
    </row>
    <row r="31" spans="1:14" ht="14" outlineLevel="1">
      <c r="A31" s="263" t="s">
        <v>217</v>
      </c>
      <c r="B31" s="366" t="s">
        <v>28</v>
      </c>
      <c r="C31" s="264">
        <v>418.8</v>
      </c>
      <c r="D31" s="264">
        <v>683</v>
      </c>
      <c r="E31" s="228">
        <f t="shared" si="0"/>
        <v>0.18604664399596701</v>
      </c>
      <c r="F31" s="264">
        <v>922</v>
      </c>
      <c r="G31" s="264"/>
      <c r="H31" s="264">
        <v>12</v>
      </c>
      <c r="I31" s="335"/>
      <c r="J31" s="237">
        <f t="shared" si="1"/>
        <v>8.4507954995131224E-2</v>
      </c>
      <c r="K31" s="234">
        <f>D31*10^(-3)/(F31)</f>
        <v>7.4078091106290678E-4</v>
      </c>
      <c r="L31" s="243"/>
      <c r="M31" s="246"/>
      <c r="N31" s="255"/>
    </row>
    <row r="32" spans="1:14" ht="14" outlineLevel="1">
      <c r="A32" s="60" t="s">
        <v>218</v>
      </c>
      <c r="B32" s="367" t="s">
        <v>28</v>
      </c>
      <c r="C32" s="71">
        <v>444</v>
      </c>
      <c r="D32" s="71">
        <v>972</v>
      </c>
      <c r="E32" s="229">
        <f t="shared" si="0"/>
        <v>0.24974172351495355</v>
      </c>
      <c r="F32" s="71">
        <v>642</v>
      </c>
      <c r="G32" s="71"/>
      <c r="H32" s="71"/>
      <c r="I32" s="333"/>
      <c r="J32" s="238">
        <f t="shared" si="1"/>
        <v>0.17271857514118283</v>
      </c>
      <c r="K32" s="235">
        <f>D32*10^(-3)/(F32)</f>
        <v>1.5140186915887849E-3</v>
      </c>
      <c r="L32" s="244"/>
      <c r="M32" s="247"/>
      <c r="N32" s="257"/>
    </row>
    <row r="33" spans="1:14" ht="14" outlineLevel="1">
      <c r="A33" s="60" t="s">
        <v>219</v>
      </c>
      <c r="B33" s="367" t="s">
        <v>28</v>
      </c>
      <c r="C33" s="71">
        <v>624</v>
      </c>
      <c r="D33" s="71">
        <v>1500</v>
      </c>
      <c r="E33" s="229">
        <f t="shared" si="0"/>
        <v>0.27422969403054609</v>
      </c>
      <c r="F33" s="71">
        <v>2250</v>
      </c>
      <c r="G33" s="71"/>
      <c r="H33" s="71"/>
      <c r="I33" s="333"/>
      <c r="J33" s="238">
        <f t="shared" si="1"/>
        <v>7.6053035144471454E-2</v>
      </c>
      <c r="K33" s="235">
        <f>D33*10^(-3)/(F33)</f>
        <v>6.6666666666666664E-4</v>
      </c>
      <c r="L33" s="244"/>
      <c r="M33" s="247"/>
      <c r="N33" s="257"/>
    </row>
    <row r="34" spans="1:14" ht="14" outlineLevel="1">
      <c r="A34" s="60" t="s">
        <v>220</v>
      </c>
      <c r="B34" s="367" t="s">
        <v>28</v>
      </c>
      <c r="C34" s="71">
        <v>357</v>
      </c>
      <c r="D34" s="71">
        <v>1500</v>
      </c>
      <c r="E34" s="229">
        <f t="shared" si="0"/>
        <v>0.47932585175087045</v>
      </c>
      <c r="F34" s="71">
        <v>2155</v>
      </c>
      <c r="G34" s="71"/>
      <c r="H34" s="71"/>
      <c r="I34" s="333"/>
      <c r="J34" s="238">
        <f t="shared" si="1"/>
        <v>7.940572114852007E-2</v>
      </c>
      <c r="K34" s="235">
        <f>D34*10^(-3)/(F34)</f>
        <v>6.9605568445475633E-4</v>
      </c>
      <c r="L34" s="244"/>
      <c r="M34" s="247"/>
      <c r="N34" s="257"/>
    </row>
    <row r="35" spans="1:14" ht="14" outlineLevel="1">
      <c r="A35" s="60" t="s">
        <v>221</v>
      </c>
      <c r="B35" s="367" t="s">
        <v>28</v>
      </c>
      <c r="C35" s="71">
        <v>352</v>
      </c>
      <c r="D35" s="71">
        <v>1400</v>
      </c>
      <c r="E35" s="229">
        <f t="shared" si="0"/>
        <v>0.45372549375963084</v>
      </c>
      <c r="F35" s="71">
        <v>567</v>
      </c>
      <c r="G35" s="71"/>
      <c r="H35" s="71"/>
      <c r="I35" s="333"/>
      <c r="J35" s="238">
        <f t="shared" si="1"/>
        <v>0.28167790794248687</v>
      </c>
      <c r="K35" s="235">
        <f>D35*10^(-3)/(F35)</f>
        <v>2.4691358024691362E-3</v>
      </c>
      <c r="L35" s="244"/>
      <c r="M35" s="247"/>
      <c r="N35" s="257"/>
    </row>
    <row r="36" spans="1:14" ht="15" outlineLevel="1" thickBot="1">
      <c r="A36" s="197" t="s">
        <v>222</v>
      </c>
      <c r="B36" s="368" t="s">
        <v>28</v>
      </c>
      <c r="C36" s="262">
        <v>1569</v>
      </c>
      <c r="D36" s="262">
        <v>4008</v>
      </c>
      <c r="E36" s="230">
        <f t="shared" si="0"/>
        <v>0.29141545397613916</v>
      </c>
      <c r="F36" s="262">
        <v>410</v>
      </c>
      <c r="G36" s="262"/>
      <c r="H36" s="262"/>
      <c r="I36" s="334"/>
      <c r="J36" s="239">
        <f t="shared" si="1"/>
        <v>1.1151971885086887</v>
      </c>
      <c r="K36" s="236">
        <f>D36*10^(-3)/(F36)</f>
        <v>9.7756097560975606E-3</v>
      </c>
      <c r="L36" s="245"/>
      <c r="M36" s="248"/>
      <c r="N36" s="259"/>
    </row>
    <row r="37" spans="1:14" ht="14" outlineLevel="1">
      <c r="A37" s="59" t="s">
        <v>223</v>
      </c>
      <c r="B37" s="366" t="s">
        <v>19</v>
      </c>
      <c r="C37" s="264">
        <v>126</v>
      </c>
      <c r="D37" s="264">
        <v>830</v>
      </c>
      <c r="E37" s="228">
        <f t="shared" si="0"/>
        <v>0.75147641868942017</v>
      </c>
      <c r="F37" s="264">
        <v>48</v>
      </c>
      <c r="G37" s="264"/>
      <c r="H37" s="264"/>
      <c r="I37" s="335"/>
      <c r="J37" s="237">
        <f t="shared" si="1"/>
        <v>1.9726255990597279</v>
      </c>
      <c r="K37" s="240">
        <f>D37*10^(-3)/(F37)</f>
        <v>1.7291666666666667E-2</v>
      </c>
      <c r="L37" s="243"/>
      <c r="M37" s="246"/>
      <c r="N37" s="255"/>
    </row>
    <row r="38" spans="1:14" ht="14" outlineLevel="1">
      <c r="A38" s="61" t="s">
        <v>224</v>
      </c>
      <c r="B38" s="367" t="s">
        <v>19</v>
      </c>
      <c r="C38" s="71">
        <v>126</v>
      </c>
      <c r="D38" s="71">
        <v>690</v>
      </c>
      <c r="E38" s="229">
        <f t="shared" si="0"/>
        <v>0.62472136011530111</v>
      </c>
      <c r="F38" s="71">
        <v>513</v>
      </c>
      <c r="G38" s="71">
        <v>136000</v>
      </c>
      <c r="H38" s="71"/>
      <c r="I38" s="333"/>
      <c r="J38" s="238">
        <f t="shared" si="1"/>
        <v>0.15344033406340729</v>
      </c>
      <c r="K38" s="241">
        <f>D38*10^(-3)/(F38)</f>
        <v>1.345029239766082E-3</v>
      </c>
      <c r="L38" s="244">
        <f>C38*10^6*E38/(G38*10^6)</f>
        <v>5.7878596598917608E-4</v>
      </c>
      <c r="M38" s="247">
        <f>D38*10^(-3)/(G38)</f>
        <v>5.0735294117647063E-6</v>
      </c>
      <c r="N38" s="257">
        <f>K38/M38</f>
        <v>265.1072124756335</v>
      </c>
    </row>
    <row r="39" spans="1:14" ht="14" outlineLevel="1">
      <c r="A39" s="61" t="s">
        <v>225</v>
      </c>
      <c r="B39" s="367" t="s">
        <v>19</v>
      </c>
      <c r="C39" s="71">
        <v>3015</v>
      </c>
      <c r="D39" s="71">
        <v>11400</v>
      </c>
      <c r="E39" s="229">
        <f t="shared" si="0"/>
        <v>0.43134557246118138</v>
      </c>
      <c r="F39" s="71">
        <v>98</v>
      </c>
      <c r="G39" s="71"/>
      <c r="H39" s="71"/>
      <c r="I39" s="333"/>
      <c r="J39" s="238">
        <f t="shared" si="1"/>
        <v>13.270478581331243</v>
      </c>
      <c r="K39" s="241">
        <f>D39*10^(-3)/(F39)</f>
        <v>0.1163265306122449</v>
      </c>
      <c r="L39" s="244"/>
      <c r="M39" s="247"/>
      <c r="N39" s="265"/>
    </row>
    <row r="40" spans="1:14" ht="14" outlineLevel="1">
      <c r="A40" s="61" t="s">
        <v>226</v>
      </c>
      <c r="B40" s="367" t="s">
        <v>19</v>
      </c>
      <c r="C40" s="71">
        <v>600</v>
      </c>
      <c r="D40" s="71">
        <v>17000</v>
      </c>
      <c r="E40" s="229">
        <f t="shared" si="0"/>
        <v>3.2322539936400365</v>
      </c>
      <c r="F40" s="71">
        <v>110.7</v>
      </c>
      <c r="G40" s="71"/>
      <c r="H40" s="71"/>
      <c r="I40" s="333"/>
      <c r="J40" s="238">
        <f t="shared" si="1"/>
        <v>17.518991835447352</v>
      </c>
      <c r="K40" s="241">
        <f>D40*10^(-3)/(F40)</f>
        <v>0.15356820234869015</v>
      </c>
      <c r="L40" s="244"/>
      <c r="M40" s="247"/>
      <c r="N40" s="265"/>
    </row>
    <row r="41" spans="1:14" ht="14">
      <c r="A41" s="61" t="s">
        <v>227</v>
      </c>
      <c r="B41" s="367" t="s">
        <v>19</v>
      </c>
      <c r="C41" s="71">
        <v>670</v>
      </c>
      <c r="D41" s="71">
        <v>2700</v>
      </c>
      <c r="E41" s="229">
        <f t="shared" si="0"/>
        <v>0.45972357064941699</v>
      </c>
      <c r="F41" s="71">
        <v>9.75</v>
      </c>
      <c r="G41" s="71"/>
      <c r="H41" s="71"/>
      <c r="I41" s="333"/>
      <c r="J41" s="238">
        <f t="shared" si="1"/>
        <v>31.591260752318913</v>
      </c>
      <c r="K41" s="241">
        <f>D41*10^(-3)/(F41)</f>
        <v>0.27692307692307694</v>
      </c>
      <c r="L41" s="244"/>
      <c r="M41" s="247"/>
      <c r="N41" s="265"/>
    </row>
    <row r="42" spans="1:14" ht="14">
      <c r="A42" s="61" t="s">
        <v>228</v>
      </c>
      <c r="B42" s="367" t="s">
        <v>19</v>
      </c>
      <c r="C42" s="71">
        <v>600</v>
      </c>
      <c r="D42" s="71">
        <v>3500</v>
      </c>
      <c r="E42" s="229">
        <f t="shared" si="0"/>
        <v>0.66546405751412518</v>
      </c>
      <c r="F42" s="71"/>
      <c r="G42" s="71"/>
      <c r="H42" s="71"/>
      <c r="I42" s="333"/>
      <c r="J42" s="238"/>
      <c r="K42" s="241"/>
      <c r="L42" s="244"/>
      <c r="M42" s="247"/>
      <c r="N42" s="265"/>
    </row>
    <row r="43" spans="1:14" ht="14" outlineLevel="1">
      <c r="A43" s="61" t="s">
        <v>229</v>
      </c>
      <c r="B43" s="367" t="s">
        <v>19</v>
      </c>
      <c r="C43" s="71">
        <v>240</v>
      </c>
      <c r="D43" s="71">
        <v>900</v>
      </c>
      <c r="E43" s="229">
        <f t="shared" si="0"/>
        <v>0.42779832268765189</v>
      </c>
      <c r="F43" s="71"/>
      <c r="G43" s="71"/>
      <c r="H43" s="71">
        <v>31</v>
      </c>
      <c r="I43" s="333"/>
      <c r="J43" s="238"/>
      <c r="K43" s="241"/>
      <c r="L43" s="244"/>
      <c r="M43" s="247"/>
      <c r="N43" s="265"/>
    </row>
    <row r="44" spans="1:14" ht="15" outlineLevel="1" thickBot="1">
      <c r="A44" s="62" t="s">
        <v>230</v>
      </c>
      <c r="B44" s="368" t="s">
        <v>19</v>
      </c>
      <c r="C44" s="262">
        <v>600</v>
      </c>
      <c r="D44" s="262">
        <v>2600</v>
      </c>
      <c r="E44" s="230">
        <f t="shared" si="0"/>
        <v>0.49434472843906435</v>
      </c>
      <c r="F44" s="262"/>
      <c r="G44" s="262"/>
      <c r="H44" s="262"/>
      <c r="I44" s="334"/>
      <c r="J44" s="239"/>
      <c r="K44" s="242"/>
      <c r="L44" s="245"/>
      <c r="M44" s="248"/>
      <c r="N44" s="266"/>
    </row>
    <row r="45" spans="1:14" ht="14" outlineLevel="1">
      <c r="A45" s="195" t="s">
        <v>231</v>
      </c>
      <c r="B45" s="366" t="s">
        <v>36</v>
      </c>
      <c r="C45" s="264">
        <v>420</v>
      </c>
      <c r="D45" s="264">
        <v>1400</v>
      </c>
      <c r="E45" s="228">
        <f t="shared" si="0"/>
        <v>0.38026517572235724</v>
      </c>
      <c r="F45" s="264">
        <v>605</v>
      </c>
      <c r="G45" s="264"/>
      <c r="H45" s="264">
        <v>65</v>
      </c>
      <c r="I45" s="336" t="s">
        <v>49</v>
      </c>
      <c r="J45" s="237">
        <f t="shared" si="1"/>
        <v>0.2639857418237852</v>
      </c>
      <c r="K45" s="240">
        <f>D45*10^(-3)/(F45)</f>
        <v>2.3140495867768596E-3</v>
      </c>
      <c r="L45" s="243"/>
      <c r="M45" s="246"/>
      <c r="N45" s="267"/>
    </row>
    <row r="46" spans="1:14" ht="14" outlineLevel="1">
      <c r="A46" s="268" t="s">
        <v>658</v>
      </c>
      <c r="B46" s="367" t="s">
        <v>36</v>
      </c>
      <c r="C46" s="71">
        <v>380</v>
      </c>
      <c r="D46" s="71">
        <v>830</v>
      </c>
      <c r="E46" s="229">
        <f t="shared" si="0"/>
        <v>0.24917375988122883</v>
      </c>
      <c r="F46" s="71"/>
      <c r="G46" s="71">
        <v>40500</v>
      </c>
      <c r="H46" s="71"/>
      <c r="I46" s="71"/>
      <c r="J46" s="238"/>
      <c r="K46" s="241"/>
      <c r="L46" s="244">
        <f>C46*10^6*E46/(G46*10^6)</f>
        <v>2.3379266359226411E-3</v>
      </c>
      <c r="M46" s="247">
        <f>D46*10^(-3)/(G46)</f>
        <v>2.0493827160493828E-5</v>
      </c>
      <c r="N46" s="265"/>
    </row>
    <row r="47" spans="1:14" ht="14" outlineLevel="1">
      <c r="A47" s="196" t="s">
        <v>659</v>
      </c>
      <c r="B47" s="367" t="s">
        <v>36</v>
      </c>
      <c r="C47" s="71">
        <v>145</v>
      </c>
      <c r="D47" s="71"/>
      <c r="E47" s="229">
        <f t="shared" si="0"/>
        <v>0</v>
      </c>
      <c r="F47" s="71">
        <v>22</v>
      </c>
      <c r="G47" s="71"/>
      <c r="H47" s="71"/>
      <c r="I47" s="71"/>
      <c r="J47" s="238"/>
      <c r="K47" s="241"/>
      <c r="L47" s="232"/>
      <c r="M47" s="244"/>
      <c r="N47" s="265"/>
    </row>
    <row r="48" spans="1:14" ht="14" outlineLevel="1">
      <c r="A48" s="196" t="s">
        <v>660</v>
      </c>
      <c r="B48" s="367" t="s">
        <v>36</v>
      </c>
      <c r="C48" s="71">
        <v>150</v>
      </c>
      <c r="D48" s="71">
        <v>200.21</v>
      </c>
      <c r="E48" s="229">
        <f t="shared" si="0"/>
        <v>0.15226578166274629</v>
      </c>
      <c r="F48" s="71">
        <v>23.2</v>
      </c>
      <c r="G48" s="71"/>
      <c r="H48" s="71"/>
      <c r="I48" s="71"/>
      <c r="J48" s="238">
        <f t="shared" si="1"/>
        <v>0.9844770366125839</v>
      </c>
      <c r="K48" s="241">
        <f>D48*10^(-3)/(F48)</f>
        <v>8.6297413793103451E-3</v>
      </c>
      <c r="L48" s="232"/>
      <c r="M48" s="232"/>
      <c r="N48" s="265"/>
    </row>
    <row r="49" spans="1:15" ht="15" outlineLevel="1" thickBot="1">
      <c r="A49" s="196" t="s">
        <v>661</v>
      </c>
      <c r="B49" s="367" t="s">
        <v>36</v>
      </c>
      <c r="C49" s="71">
        <v>16.5</v>
      </c>
      <c r="D49" s="71">
        <v>90</v>
      </c>
      <c r="E49" s="229">
        <f t="shared" si="0"/>
        <v>0.62225210572749357</v>
      </c>
      <c r="F49" s="71">
        <v>20.5</v>
      </c>
      <c r="G49" s="71"/>
      <c r="H49" s="71"/>
      <c r="I49" s="71"/>
      <c r="J49" s="238">
        <f t="shared" si="1"/>
        <v>0.50083706070749479</v>
      </c>
      <c r="K49" s="241">
        <f>D49*10^(-3)/(F49)</f>
        <v>4.390243902439024E-3</v>
      </c>
      <c r="L49" s="232"/>
      <c r="M49" s="232"/>
      <c r="N49" s="265"/>
    </row>
    <row r="50" spans="1:15" ht="35" customHeight="1" outlineLevel="1" thickBot="1">
      <c r="A50" s="226" t="s">
        <v>638</v>
      </c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5"/>
    </row>
    <row r="51" spans="1:15" ht="13" outlineLevel="1"/>
    <row r="52" spans="1:15" ht="13" outlineLevel="1"/>
    <row r="53" spans="1:15" ht="13" outlineLevel="1"/>
    <row r="54" spans="1:15" ht="13" outlineLevel="1"/>
    <row r="55" spans="1:15" ht="13"/>
    <row r="56" spans="1:15" ht="13"/>
    <row r="57" spans="1:15" ht="13" outlineLevel="1"/>
    <row r="58" spans="1:15" ht="13" outlineLevel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13" outlineLevel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</row>
    <row r="60" spans="1:15" ht="13" outlineLevel="1">
      <c r="A60" s="170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</row>
    <row r="61" spans="1:15" ht="13" outlineLevel="1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2"/>
      <c r="O61" s="173"/>
    </row>
    <row r="62" spans="1:15" ht="13" outlineLevel="1">
      <c r="A62" s="121"/>
      <c r="B62" s="36"/>
      <c r="C62" s="36"/>
      <c r="D62" s="36"/>
      <c r="E62" s="36"/>
      <c r="F62" s="36"/>
      <c r="G62" s="36"/>
      <c r="H62" s="36"/>
      <c r="I62" s="69"/>
      <c r="J62" s="69"/>
      <c r="K62" s="36"/>
      <c r="L62" s="36"/>
      <c r="M62" s="36"/>
      <c r="N62" s="55"/>
      <c r="O62" s="36"/>
    </row>
    <row r="63" spans="1:15" ht="13" outlineLevel="1">
      <c r="A63" s="121"/>
      <c r="B63" s="36"/>
      <c r="C63" s="36"/>
      <c r="D63" s="36"/>
      <c r="E63" s="36"/>
      <c r="F63" s="36"/>
      <c r="G63" s="36"/>
      <c r="H63" s="36"/>
      <c r="I63" s="69"/>
      <c r="J63" s="69"/>
      <c r="K63" s="36"/>
      <c r="L63" s="36"/>
      <c r="M63" s="36"/>
      <c r="N63" s="55"/>
      <c r="O63" s="36"/>
    </row>
    <row r="64" spans="1:15" ht="13" outlineLevel="1">
      <c r="A64" s="121"/>
      <c r="B64" s="36"/>
      <c r="C64" s="36"/>
      <c r="D64" s="36"/>
      <c r="E64" s="36"/>
      <c r="F64" s="36"/>
      <c r="G64" s="36"/>
      <c r="H64" s="36"/>
      <c r="I64" s="69"/>
      <c r="J64" s="69"/>
      <c r="K64" s="36"/>
      <c r="L64" s="36"/>
      <c r="M64" s="36"/>
      <c r="N64" s="55"/>
      <c r="O64" s="36"/>
    </row>
    <row r="65" spans="1:15" ht="13" outlineLevel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55"/>
      <c r="O65" s="37"/>
    </row>
    <row r="66" spans="1:15" ht="13" outlineLevel="1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</row>
    <row r="67" spans="1:15" ht="13" outlineLevel="1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2"/>
      <c r="O67" s="173"/>
    </row>
    <row r="68" spans="1:15" ht="13" outlineLevel="1">
      <c r="A68" s="118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1:15" ht="13" outlineLevel="1">
      <c r="A69" s="118"/>
      <c r="B69" s="37"/>
      <c r="C69" s="37"/>
      <c r="D69" s="37"/>
      <c r="E69" s="37"/>
      <c r="F69" s="37"/>
      <c r="G69" s="37"/>
      <c r="H69" s="37"/>
      <c r="I69" s="36"/>
      <c r="J69" s="36"/>
      <c r="K69" s="37"/>
      <c r="L69" s="37"/>
      <c r="M69" s="36"/>
      <c r="N69" s="55"/>
      <c r="O69" s="37"/>
    </row>
    <row r="70" spans="1:15" ht="13" outlineLevel="1">
      <c r="A70" s="118"/>
      <c r="B70" s="37"/>
      <c r="C70" s="37"/>
      <c r="D70" s="37"/>
      <c r="E70" s="37"/>
      <c r="F70" s="37"/>
      <c r="G70" s="37"/>
      <c r="H70" s="37"/>
      <c r="I70" s="36"/>
      <c r="J70" s="36"/>
      <c r="K70" s="37"/>
      <c r="L70" s="37"/>
      <c r="M70" s="36"/>
      <c r="N70" s="55"/>
      <c r="O70" s="37"/>
    </row>
    <row r="71" spans="1:15" ht="15.75" customHeight="1">
      <c r="A71" s="118"/>
      <c r="B71" s="37"/>
      <c r="C71" s="37"/>
      <c r="D71" s="37"/>
      <c r="E71" s="37"/>
      <c r="F71" s="37"/>
      <c r="G71" s="37"/>
      <c r="H71" s="37"/>
      <c r="I71" s="36"/>
      <c r="J71" s="36"/>
      <c r="K71" s="37"/>
      <c r="L71" s="37"/>
      <c r="M71" s="36"/>
      <c r="N71" s="55"/>
      <c r="O71" s="37"/>
    </row>
    <row r="72" spans="1:15" ht="13">
      <c r="A72" s="118"/>
      <c r="B72" s="37"/>
      <c r="C72" s="37"/>
      <c r="D72" s="37"/>
      <c r="E72" s="37"/>
      <c r="F72" s="37"/>
      <c r="G72" s="37"/>
      <c r="H72" s="37"/>
      <c r="I72" s="36"/>
      <c r="J72" s="36"/>
      <c r="K72" s="37"/>
      <c r="L72" s="37"/>
      <c r="M72" s="36"/>
      <c r="N72" s="55"/>
      <c r="O72" s="37"/>
    </row>
    <row r="73" spans="1:15" ht="13" outlineLevel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55"/>
      <c r="O73" s="37"/>
    </row>
    <row r="74" spans="1:15" ht="13" outlineLevel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</row>
    <row r="75" spans="1:15" ht="13" outlineLevel="1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2"/>
      <c r="O75" s="173"/>
    </row>
    <row r="76" spans="1:15" ht="13" outlineLevel="1">
      <c r="A76" s="118"/>
      <c r="B76" s="37"/>
      <c r="C76" s="37"/>
      <c r="D76" s="37"/>
      <c r="E76" s="37"/>
      <c r="F76" s="37"/>
      <c r="G76" s="37"/>
      <c r="H76" s="37"/>
      <c r="I76" s="36"/>
      <c r="J76" s="36"/>
      <c r="K76" s="36"/>
      <c r="L76" s="36"/>
      <c r="M76" s="36"/>
      <c r="N76" s="55"/>
      <c r="O76" s="36"/>
    </row>
    <row r="77" spans="1:15" ht="13" outlineLevel="1">
      <c r="A77" s="118"/>
      <c r="B77" s="37"/>
      <c r="C77" s="37"/>
      <c r="D77" s="37"/>
      <c r="E77" s="37"/>
      <c r="F77" s="37"/>
      <c r="G77" s="37"/>
      <c r="H77" s="37"/>
      <c r="I77" s="36"/>
      <c r="J77" s="36"/>
      <c r="K77" s="36"/>
      <c r="L77" s="36"/>
      <c r="M77" s="36"/>
      <c r="N77" s="55"/>
      <c r="O77" s="36"/>
    </row>
    <row r="78" spans="1:15" ht="13" outlineLevel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1:15" ht="13" outlineLevel="1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</row>
    <row r="80" spans="1:15" ht="13" outlineLevel="1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2"/>
      <c r="O80" s="173"/>
    </row>
    <row r="81" spans="1:16" ht="13" outlineLevel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</row>
    <row r="82" spans="1:16" ht="13" outlineLevel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</row>
    <row r="83" spans="1:16" ht="13" outlineLevel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</row>
    <row r="84" spans="1:16" ht="13" outlineLevel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</row>
    <row r="85" spans="1:16" ht="1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</row>
    <row r="86" spans="1:16" ht="1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3"/>
      <c r="O86" s="34"/>
    </row>
    <row r="87" spans="1:16" ht="13">
      <c r="A87" s="118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2"/>
    </row>
    <row r="88" spans="1:16" ht="13">
      <c r="A88" s="118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55"/>
      <c r="O88" s="36"/>
      <c r="P88" s="32"/>
    </row>
    <row r="89" spans="1:16" ht="13">
      <c r="A89" s="118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55"/>
      <c r="O89" s="36"/>
      <c r="P89" s="32"/>
    </row>
    <row r="90" spans="1:16" ht="13">
      <c r="A90" s="118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55"/>
      <c r="O90" s="36"/>
      <c r="P90" s="32"/>
    </row>
    <row r="91" spans="1:16" ht="13">
      <c r="A91" s="118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55"/>
      <c r="O91" s="36"/>
    </row>
    <row r="92" spans="1:16" ht="13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55"/>
      <c r="O92" s="37"/>
    </row>
    <row r="93" spans="1:16" ht="13">
      <c r="A93" s="37"/>
      <c r="B93" s="37"/>
      <c r="C93" s="37"/>
      <c r="D93" s="37"/>
      <c r="E93" s="37"/>
      <c r="F93" s="37"/>
      <c r="G93" s="37"/>
      <c r="H93" s="37"/>
      <c r="I93" s="119"/>
      <c r="J93" s="119"/>
      <c r="K93" s="119"/>
      <c r="L93" s="119"/>
      <c r="M93" s="118"/>
      <c r="N93" s="122"/>
      <c r="O93" s="119"/>
    </row>
    <row r="94" spans="1:16" ht="13">
      <c r="A94" s="118"/>
      <c r="B94" s="37"/>
      <c r="C94" s="37"/>
      <c r="D94" s="37"/>
      <c r="E94" s="37"/>
      <c r="F94" s="37"/>
      <c r="G94" s="37"/>
      <c r="H94" s="37"/>
      <c r="I94" s="36"/>
      <c r="J94" s="36"/>
      <c r="K94" s="36"/>
      <c r="L94" s="36"/>
      <c r="M94" s="36"/>
      <c r="N94" s="36"/>
      <c r="O94" s="36"/>
    </row>
    <row r="95" spans="1:16" ht="13">
      <c r="A95" s="118"/>
      <c r="B95" s="37"/>
      <c r="C95" s="37"/>
      <c r="D95" s="37"/>
      <c r="E95" s="37"/>
      <c r="F95" s="37"/>
      <c r="G95" s="37"/>
      <c r="H95" s="37"/>
      <c r="I95" s="36"/>
      <c r="J95" s="36"/>
      <c r="K95" s="36"/>
      <c r="L95" s="36"/>
      <c r="M95" s="36"/>
      <c r="N95" s="36"/>
      <c r="O95" s="36"/>
    </row>
    <row r="96" spans="1:16" ht="13">
      <c r="A96" s="118"/>
      <c r="B96" s="37"/>
      <c r="C96" s="37"/>
      <c r="D96" s="37"/>
      <c r="E96" s="37"/>
      <c r="F96" s="37"/>
      <c r="G96" s="37"/>
      <c r="H96" s="37"/>
      <c r="I96" s="36"/>
      <c r="J96" s="36"/>
      <c r="K96" s="36"/>
      <c r="L96" s="36"/>
      <c r="M96" s="36"/>
      <c r="N96" s="36"/>
      <c r="O96" s="36"/>
    </row>
    <row r="97" spans="1:15" ht="13">
      <c r="A97" s="118"/>
      <c r="B97" s="37"/>
      <c r="C97" s="37"/>
      <c r="D97" s="37"/>
      <c r="E97" s="37"/>
      <c r="F97" s="37"/>
      <c r="G97" s="37"/>
      <c r="H97" s="37"/>
      <c r="I97" s="36"/>
      <c r="J97" s="36"/>
      <c r="K97" s="36"/>
      <c r="L97" s="36"/>
      <c r="M97" s="36"/>
      <c r="N97" s="36"/>
      <c r="O97" s="36"/>
    </row>
    <row r="98" spans="1:15" ht="13">
      <c r="N98" s="10"/>
    </row>
    <row r="99" spans="1:15" ht="13"/>
    <row r="100" spans="1:15" ht="13">
      <c r="N100" s="10"/>
    </row>
    <row r="101" spans="1:15" ht="13">
      <c r="N101" s="10"/>
    </row>
    <row r="102" spans="1:15" ht="13">
      <c r="N102" s="10"/>
    </row>
    <row r="103" spans="1:15" ht="13">
      <c r="N103" s="10"/>
    </row>
    <row r="104" spans="1:15" ht="13">
      <c r="N104" s="10"/>
    </row>
    <row r="105" spans="1:15" ht="13">
      <c r="N105" s="10"/>
    </row>
    <row r="106" spans="1:15" ht="13">
      <c r="N106" s="10"/>
    </row>
    <row r="107" spans="1:15" ht="13">
      <c r="N107" s="10"/>
    </row>
    <row r="108" spans="1:15" ht="13">
      <c r="N108" s="10"/>
    </row>
    <row r="109" spans="1:15" ht="13">
      <c r="N109" s="10"/>
    </row>
    <row r="110" spans="1:15" ht="13">
      <c r="N110" s="10"/>
    </row>
    <row r="111" spans="1:15" ht="13">
      <c r="N111" s="10"/>
    </row>
    <row r="112" spans="1:15" ht="13">
      <c r="N112" s="10"/>
    </row>
    <row r="113" spans="14:14" ht="13">
      <c r="N113" s="10"/>
    </row>
    <row r="114" spans="14:14" ht="13">
      <c r="N114" s="10"/>
    </row>
    <row r="115" spans="14:14" ht="13">
      <c r="N115" s="10"/>
    </row>
    <row r="116" spans="14:14" ht="13">
      <c r="N116" s="10"/>
    </row>
    <row r="117" spans="14:14" ht="13">
      <c r="N117" s="10"/>
    </row>
    <row r="118" spans="14:14" ht="13">
      <c r="N118" s="10"/>
    </row>
    <row r="119" spans="14:14" ht="13">
      <c r="N119" s="10"/>
    </row>
    <row r="120" spans="14:14" ht="13">
      <c r="N120" s="10"/>
    </row>
    <row r="121" spans="14:14" ht="13">
      <c r="N121" s="10"/>
    </row>
    <row r="122" spans="14:14" ht="13">
      <c r="N122" s="10"/>
    </row>
    <row r="123" spans="14:14" ht="13">
      <c r="N123" s="10"/>
    </row>
    <row r="124" spans="14:14" ht="13">
      <c r="N124" s="10"/>
    </row>
    <row r="125" spans="14:14" ht="13">
      <c r="N125" s="10"/>
    </row>
    <row r="126" spans="14:14" ht="13">
      <c r="N126" s="10"/>
    </row>
    <row r="127" spans="14:14" ht="13">
      <c r="N127" s="10"/>
    </row>
    <row r="128" spans="14:14" ht="13">
      <c r="N128" s="10"/>
    </row>
    <row r="129" spans="14:14" ht="13">
      <c r="N129" s="10"/>
    </row>
    <row r="130" spans="14:14" ht="13">
      <c r="N130" s="10"/>
    </row>
    <row r="131" spans="14:14" ht="13">
      <c r="N131" s="10"/>
    </row>
    <row r="132" spans="14:14" ht="13">
      <c r="N132" s="10"/>
    </row>
    <row r="133" spans="14:14" ht="13">
      <c r="N133" s="10"/>
    </row>
    <row r="134" spans="14:14" ht="13">
      <c r="N134" s="10"/>
    </row>
    <row r="135" spans="14:14" ht="13">
      <c r="N135" s="10"/>
    </row>
    <row r="136" spans="14:14" ht="13">
      <c r="N136" s="10"/>
    </row>
    <row r="137" spans="14:14" ht="13">
      <c r="N137" s="10"/>
    </row>
    <row r="138" spans="14:14" ht="13">
      <c r="N138" s="10"/>
    </row>
    <row r="139" spans="14:14" ht="13">
      <c r="N139" s="10"/>
    </row>
    <row r="140" spans="14:14" ht="13">
      <c r="N140" s="10"/>
    </row>
    <row r="141" spans="14:14" ht="13">
      <c r="N141" s="10"/>
    </row>
    <row r="142" spans="14:14" ht="13">
      <c r="N142" s="10"/>
    </row>
    <row r="143" spans="14:14" ht="13">
      <c r="N143" s="10"/>
    </row>
    <row r="144" spans="14:14" ht="13">
      <c r="N144" s="10"/>
    </row>
    <row r="145" spans="14:14" ht="13">
      <c r="N145" s="10"/>
    </row>
    <row r="146" spans="14:14" ht="13">
      <c r="N146" s="10"/>
    </row>
    <row r="147" spans="14:14" ht="13">
      <c r="N147" s="10"/>
    </row>
    <row r="148" spans="14:14" ht="13">
      <c r="N148" s="10"/>
    </row>
    <row r="149" spans="14:14" ht="13">
      <c r="N149" s="10"/>
    </row>
    <row r="150" spans="14:14" ht="13">
      <c r="N150" s="10"/>
    </row>
    <row r="151" spans="14:14" ht="13">
      <c r="N151" s="10"/>
    </row>
    <row r="152" spans="14:14" ht="13">
      <c r="N152" s="10"/>
    </row>
    <row r="153" spans="14:14" ht="13">
      <c r="N153" s="10"/>
    </row>
    <row r="154" spans="14:14" ht="13">
      <c r="N154" s="10"/>
    </row>
    <row r="155" spans="14:14" ht="13">
      <c r="N155" s="10"/>
    </row>
    <row r="156" spans="14:14" ht="13">
      <c r="N156" s="10"/>
    </row>
    <row r="157" spans="14:14" ht="13">
      <c r="N157" s="10"/>
    </row>
    <row r="158" spans="14:14" ht="13">
      <c r="N158" s="10"/>
    </row>
    <row r="159" spans="14:14" ht="13">
      <c r="N159" s="10"/>
    </row>
    <row r="160" spans="14:14" ht="13">
      <c r="N160" s="10"/>
    </row>
    <row r="161" spans="14:14" ht="13">
      <c r="N161" s="10"/>
    </row>
    <row r="162" spans="14:14" ht="13">
      <c r="N162" s="10"/>
    </row>
    <row r="163" spans="14:14" ht="13">
      <c r="N163" s="10"/>
    </row>
    <row r="164" spans="14:14" ht="13">
      <c r="N164" s="10"/>
    </row>
    <row r="165" spans="14:14" ht="13">
      <c r="N165" s="10"/>
    </row>
    <row r="166" spans="14:14" ht="13">
      <c r="N166" s="10"/>
    </row>
    <row r="167" spans="14:14" ht="13">
      <c r="N167" s="10"/>
    </row>
    <row r="168" spans="14:14" ht="13">
      <c r="N168" s="10"/>
    </row>
    <row r="169" spans="14:14" ht="13">
      <c r="N169" s="10"/>
    </row>
    <row r="170" spans="14:14" ht="13">
      <c r="N170" s="10"/>
    </row>
    <row r="171" spans="14:14" ht="13">
      <c r="N171" s="10"/>
    </row>
    <row r="172" spans="14:14" ht="13">
      <c r="N172" s="10"/>
    </row>
    <row r="173" spans="14:14" ht="13">
      <c r="N173" s="10"/>
    </row>
    <row r="174" spans="14:14" ht="13">
      <c r="N174" s="10"/>
    </row>
    <row r="175" spans="14:14" ht="13">
      <c r="N175" s="10"/>
    </row>
    <row r="176" spans="14:14" ht="13">
      <c r="N176" s="10"/>
    </row>
    <row r="177" spans="14:14" ht="13">
      <c r="N177" s="10"/>
    </row>
    <row r="178" spans="14:14" ht="13">
      <c r="N178" s="10"/>
    </row>
    <row r="179" spans="14:14" ht="13">
      <c r="N179" s="10"/>
    </row>
    <row r="180" spans="14:14" ht="13">
      <c r="N180" s="10"/>
    </row>
    <row r="181" spans="14:14" ht="13">
      <c r="N181" s="10"/>
    </row>
    <row r="182" spans="14:14" ht="13">
      <c r="N182" s="10"/>
    </row>
    <row r="183" spans="14:14" ht="13">
      <c r="N183" s="10"/>
    </row>
    <row r="184" spans="14:14" ht="13">
      <c r="N184" s="10"/>
    </row>
    <row r="185" spans="14:14" ht="13">
      <c r="N185" s="10"/>
    </row>
    <row r="186" spans="14:14" ht="13">
      <c r="N186" s="10"/>
    </row>
    <row r="187" spans="14:14" ht="13">
      <c r="N187" s="10"/>
    </row>
    <row r="188" spans="14:14" ht="13">
      <c r="N188" s="10"/>
    </row>
    <row r="189" spans="14:14" ht="13">
      <c r="N189" s="10"/>
    </row>
    <row r="190" spans="14:14" ht="13">
      <c r="N190" s="10"/>
    </row>
    <row r="191" spans="14:14" ht="13">
      <c r="N191" s="10"/>
    </row>
    <row r="192" spans="14:14" ht="13">
      <c r="N192" s="10"/>
    </row>
    <row r="193" spans="14:14" ht="13">
      <c r="N193" s="10"/>
    </row>
    <row r="194" spans="14:14" ht="13">
      <c r="N194" s="10"/>
    </row>
    <row r="195" spans="14:14" ht="13">
      <c r="N195" s="10"/>
    </row>
    <row r="196" spans="14:14" ht="13">
      <c r="N196" s="10"/>
    </row>
    <row r="197" spans="14:14" ht="13">
      <c r="N197" s="10"/>
    </row>
    <row r="198" spans="14:14" ht="13">
      <c r="N198" s="10"/>
    </row>
    <row r="199" spans="14:14" ht="13">
      <c r="N199" s="10"/>
    </row>
    <row r="200" spans="14:14" ht="13">
      <c r="N200" s="10"/>
    </row>
    <row r="201" spans="14:14" ht="13">
      <c r="N201" s="10"/>
    </row>
    <row r="202" spans="14:14" ht="13">
      <c r="N202" s="10"/>
    </row>
    <row r="203" spans="14:14" ht="13">
      <c r="N203" s="10"/>
    </row>
    <row r="204" spans="14:14" ht="13">
      <c r="N204" s="10"/>
    </row>
    <row r="205" spans="14:14" ht="13">
      <c r="N205" s="10"/>
    </row>
    <row r="206" spans="14:14" ht="13">
      <c r="N206" s="10"/>
    </row>
    <row r="207" spans="14:14" ht="13">
      <c r="N207" s="10"/>
    </row>
    <row r="208" spans="14:14" ht="13">
      <c r="N208" s="10"/>
    </row>
    <row r="209" spans="14:14" ht="13">
      <c r="N209" s="10"/>
    </row>
    <row r="210" spans="14:14" ht="13">
      <c r="N210" s="10"/>
    </row>
    <row r="211" spans="14:14" ht="13">
      <c r="N211" s="10"/>
    </row>
    <row r="212" spans="14:14" ht="13">
      <c r="N212" s="10"/>
    </row>
    <row r="213" spans="14:14" ht="13">
      <c r="N213" s="10"/>
    </row>
    <row r="214" spans="14:14" ht="13">
      <c r="N214" s="10"/>
    </row>
    <row r="215" spans="14:14" ht="13">
      <c r="N215" s="10"/>
    </row>
    <row r="216" spans="14:14" ht="13">
      <c r="N216" s="10"/>
    </row>
    <row r="217" spans="14:14" ht="13">
      <c r="N217" s="10"/>
    </row>
    <row r="218" spans="14:14" ht="13">
      <c r="N218" s="10"/>
    </row>
    <row r="219" spans="14:14" ht="13">
      <c r="N219" s="10"/>
    </row>
    <row r="220" spans="14:14" ht="13">
      <c r="N220" s="10"/>
    </row>
    <row r="221" spans="14:14" ht="13">
      <c r="N221" s="10"/>
    </row>
    <row r="222" spans="14:14" ht="13">
      <c r="N222" s="10"/>
    </row>
    <row r="223" spans="14:14" ht="13">
      <c r="N223" s="10"/>
    </row>
    <row r="224" spans="14:14" ht="13">
      <c r="N224" s="10"/>
    </row>
    <row r="225" spans="14:14" ht="13">
      <c r="N225" s="10"/>
    </row>
    <row r="226" spans="14:14" ht="13">
      <c r="N226" s="10"/>
    </row>
    <row r="227" spans="14:14" ht="13">
      <c r="N227" s="10"/>
    </row>
    <row r="228" spans="14:14" ht="13">
      <c r="N228" s="10"/>
    </row>
    <row r="229" spans="14:14" ht="13">
      <c r="N229" s="10"/>
    </row>
    <row r="230" spans="14:14" ht="13">
      <c r="N230" s="10"/>
    </row>
    <row r="231" spans="14:14" ht="13">
      <c r="N231" s="10"/>
    </row>
    <row r="232" spans="14:14" ht="13">
      <c r="N232" s="10"/>
    </row>
    <row r="233" spans="14:14" ht="13">
      <c r="N233" s="10"/>
    </row>
    <row r="234" spans="14:14" ht="13">
      <c r="N234" s="10"/>
    </row>
    <row r="235" spans="14:14" ht="13">
      <c r="N235" s="10"/>
    </row>
    <row r="236" spans="14:14" ht="13">
      <c r="N236" s="10"/>
    </row>
    <row r="237" spans="14:14" ht="13">
      <c r="N237" s="10"/>
    </row>
    <row r="238" spans="14:14" ht="13">
      <c r="N238" s="10"/>
    </row>
    <row r="239" spans="14:14" ht="13">
      <c r="N239" s="10"/>
    </row>
    <row r="240" spans="14:14" ht="13">
      <c r="N240" s="10"/>
    </row>
    <row r="241" spans="14:14" ht="13">
      <c r="N241" s="10"/>
    </row>
    <row r="242" spans="14:14" ht="13">
      <c r="N242" s="10"/>
    </row>
    <row r="243" spans="14:14" ht="13">
      <c r="N243" s="10"/>
    </row>
    <row r="244" spans="14:14" ht="13">
      <c r="N244" s="10"/>
    </row>
    <row r="245" spans="14:14" ht="13">
      <c r="N245" s="10"/>
    </row>
    <row r="246" spans="14:14" ht="13">
      <c r="N246" s="10"/>
    </row>
    <row r="247" spans="14:14" ht="13">
      <c r="N247" s="10"/>
    </row>
    <row r="248" spans="14:14" ht="13">
      <c r="N248" s="10"/>
    </row>
    <row r="249" spans="14:14" ht="13">
      <c r="N249" s="10"/>
    </row>
    <row r="250" spans="14:14" ht="13">
      <c r="N250" s="10"/>
    </row>
    <row r="251" spans="14:14" ht="13">
      <c r="N251" s="10"/>
    </row>
    <row r="252" spans="14:14" ht="13">
      <c r="N252" s="10"/>
    </row>
    <row r="253" spans="14:14" ht="13">
      <c r="N253" s="10"/>
    </row>
    <row r="254" spans="14:14" ht="13">
      <c r="N254" s="10"/>
    </row>
    <row r="255" spans="14:14" ht="13">
      <c r="N255" s="10"/>
    </row>
    <row r="256" spans="14:14" ht="13">
      <c r="N256" s="10"/>
    </row>
    <row r="257" spans="14:14" ht="13">
      <c r="N257" s="10"/>
    </row>
    <row r="258" spans="14:14" ht="13">
      <c r="N258" s="10"/>
    </row>
    <row r="259" spans="14:14" ht="13">
      <c r="N259" s="10"/>
    </row>
    <row r="260" spans="14:14" ht="13">
      <c r="N260" s="10"/>
    </row>
    <row r="261" spans="14:14" ht="13">
      <c r="N261" s="10"/>
    </row>
    <row r="262" spans="14:14" ht="13">
      <c r="N262" s="10"/>
    </row>
    <row r="263" spans="14:14" ht="13">
      <c r="N263" s="10"/>
    </row>
    <row r="264" spans="14:14" ht="13">
      <c r="N264" s="10"/>
    </row>
    <row r="265" spans="14:14" ht="13">
      <c r="N265" s="10"/>
    </row>
    <row r="266" spans="14:14" ht="13">
      <c r="N266" s="10"/>
    </row>
    <row r="267" spans="14:14" ht="13">
      <c r="N267" s="10"/>
    </row>
    <row r="268" spans="14:14" ht="13">
      <c r="N268" s="10"/>
    </row>
    <row r="269" spans="14:14" ht="13">
      <c r="N269" s="10"/>
    </row>
    <row r="270" spans="14:14" ht="13">
      <c r="N270" s="10"/>
    </row>
    <row r="271" spans="14:14" ht="13">
      <c r="N271" s="10"/>
    </row>
    <row r="272" spans="14:14" ht="13">
      <c r="N272" s="10"/>
    </row>
    <row r="273" spans="14:14" ht="13">
      <c r="N273" s="10"/>
    </row>
    <row r="274" spans="14:14" ht="13">
      <c r="N274" s="10"/>
    </row>
    <row r="275" spans="14:14" ht="13">
      <c r="N275" s="10"/>
    </row>
    <row r="276" spans="14:14" ht="13">
      <c r="N276" s="10"/>
    </row>
    <row r="277" spans="14:14" ht="13">
      <c r="N277" s="10"/>
    </row>
    <row r="278" spans="14:14" ht="13">
      <c r="N278" s="10"/>
    </row>
    <row r="279" spans="14:14" ht="13">
      <c r="N279" s="10"/>
    </row>
    <row r="280" spans="14:14" ht="13">
      <c r="N280" s="10"/>
    </row>
    <row r="281" spans="14:14" ht="13">
      <c r="N281" s="10"/>
    </row>
    <row r="282" spans="14:14" ht="13">
      <c r="N282" s="10"/>
    </row>
    <row r="283" spans="14:14" ht="13">
      <c r="N283" s="10"/>
    </row>
    <row r="284" spans="14:14" ht="13">
      <c r="N284" s="10"/>
    </row>
    <row r="285" spans="14:14" ht="13">
      <c r="N285" s="10"/>
    </row>
    <row r="286" spans="14:14" ht="13">
      <c r="N286" s="10"/>
    </row>
    <row r="287" spans="14:14" ht="13">
      <c r="N287" s="10"/>
    </row>
    <row r="288" spans="14:14" ht="13">
      <c r="N288" s="10"/>
    </row>
    <row r="289" spans="14:14" ht="13">
      <c r="N289" s="10"/>
    </row>
    <row r="290" spans="14:14" ht="13">
      <c r="N290" s="10"/>
    </row>
    <row r="291" spans="14:14" ht="13">
      <c r="N291" s="10"/>
    </row>
    <row r="292" spans="14:14" ht="13">
      <c r="N292" s="10"/>
    </row>
    <row r="293" spans="14:14" ht="13">
      <c r="N293" s="10"/>
    </row>
    <row r="294" spans="14:14" ht="13">
      <c r="N294" s="10"/>
    </row>
    <row r="295" spans="14:14" ht="13">
      <c r="N295" s="10"/>
    </row>
    <row r="296" spans="14:14" ht="13">
      <c r="N296" s="10"/>
    </row>
    <row r="297" spans="14:14" ht="13">
      <c r="N297" s="10"/>
    </row>
    <row r="298" spans="14:14" ht="13">
      <c r="N298" s="10"/>
    </row>
    <row r="299" spans="14:14" ht="13">
      <c r="N299" s="10"/>
    </row>
    <row r="300" spans="14:14" ht="13">
      <c r="N300" s="10"/>
    </row>
    <row r="301" spans="14:14" ht="13">
      <c r="N301" s="10"/>
    </row>
    <row r="302" spans="14:14" ht="13">
      <c r="N302" s="10"/>
    </row>
    <row r="303" spans="14:14" ht="13">
      <c r="N303" s="10"/>
    </row>
    <row r="304" spans="14:14" ht="13">
      <c r="N304" s="10"/>
    </row>
    <row r="305" spans="14:14" ht="13">
      <c r="N305" s="10"/>
    </row>
    <row r="306" spans="14:14" ht="13">
      <c r="N306" s="10"/>
    </row>
    <row r="307" spans="14:14" ht="13">
      <c r="N307" s="10"/>
    </row>
    <row r="308" spans="14:14" ht="13">
      <c r="N308" s="10"/>
    </row>
    <row r="309" spans="14:14" ht="13">
      <c r="N309" s="10"/>
    </row>
    <row r="310" spans="14:14" ht="13">
      <c r="N310" s="10"/>
    </row>
    <row r="311" spans="14:14" ht="13">
      <c r="N311" s="10"/>
    </row>
    <row r="312" spans="14:14" ht="13">
      <c r="N312" s="10"/>
    </row>
    <row r="313" spans="14:14" ht="13">
      <c r="N313" s="10"/>
    </row>
    <row r="314" spans="14:14" ht="13">
      <c r="N314" s="10"/>
    </row>
    <row r="315" spans="14:14" ht="13">
      <c r="N315" s="10"/>
    </row>
    <row r="316" spans="14:14" ht="13">
      <c r="N316" s="10"/>
    </row>
    <row r="317" spans="14:14" ht="13">
      <c r="N317" s="10"/>
    </row>
    <row r="318" spans="14:14" ht="13">
      <c r="N318" s="10"/>
    </row>
    <row r="319" spans="14:14" ht="13">
      <c r="N319" s="10"/>
    </row>
    <row r="320" spans="14:14" ht="13">
      <c r="N320" s="10"/>
    </row>
    <row r="321" spans="14:14" ht="13">
      <c r="N321" s="10"/>
    </row>
    <row r="322" spans="14:14" ht="13">
      <c r="N322" s="10"/>
    </row>
    <row r="323" spans="14:14" ht="13">
      <c r="N323" s="10"/>
    </row>
    <row r="324" spans="14:14" ht="13">
      <c r="N324" s="10"/>
    </row>
    <row r="325" spans="14:14" ht="13">
      <c r="N325" s="10"/>
    </row>
    <row r="326" spans="14:14" ht="13">
      <c r="N326" s="10"/>
    </row>
    <row r="327" spans="14:14" ht="13">
      <c r="N327" s="10"/>
    </row>
    <row r="328" spans="14:14" ht="13">
      <c r="N328" s="10"/>
    </row>
    <row r="329" spans="14:14" ht="13">
      <c r="N329" s="10"/>
    </row>
    <row r="330" spans="14:14" ht="13">
      <c r="N330" s="10"/>
    </row>
    <row r="331" spans="14:14" ht="13">
      <c r="N331" s="10"/>
    </row>
    <row r="332" spans="14:14" ht="13">
      <c r="N332" s="10"/>
    </row>
    <row r="333" spans="14:14" ht="13">
      <c r="N333" s="10"/>
    </row>
    <row r="334" spans="14:14" ht="13">
      <c r="N334" s="10"/>
    </row>
    <row r="335" spans="14:14" ht="13">
      <c r="N335" s="10"/>
    </row>
    <row r="336" spans="14:14" ht="13">
      <c r="N336" s="10"/>
    </row>
    <row r="337" spans="14:14" ht="13">
      <c r="N337" s="10"/>
    </row>
    <row r="338" spans="14:14" ht="13">
      <c r="N338" s="10"/>
    </row>
    <row r="339" spans="14:14" ht="13">
      <c r="N339" s="10"/>
    </row>
    <row r="340" spans="14:14" ht="13">
      <c r="N340" s="10"/>
    </row>
    <row r="341" spans="14:14" ht="13">
      <c r="N341" s="10"/>
    </row>
    <row r="342" spans="14:14" ht="13">
      <c r="N342" s="10"/>
    </row>
    <row r="343" spans="14:14" ht="13">
      <c r="N343" s="10"/>
    </row>
    <row r="344" spans="14:14" ht="13">
      <c r="N344" s="10"/>
    </row>
    <row r="345" spans="14:14" ht="13">
      <c r="N345" s="10"/>
    </row>
    <row r="346" spans="14:14" ht="13">
      <c r="N346" s="10"/>
    </row>
    <row r="347" spans="14:14" ht="13">
      <c r="N347" s="10"/>
    </row>
    <row r="348" spans="14:14" ht="13">
      <c r="N348" s="10"/>
    </row>
    <row r="349" spans="14:14" ht="13">
      <c r="N349" s="10"/>
    </row>
    <row r="350" spans="14:14" ht="13">
      <c r="N350" s="10"/>
    </row>
    <row r="351" spans="14:14" ht="13">
      <c r="N351" s="10"/>
    </row>
    <row r="352" spans="14:14" ht="13">
      <c r="N352" s="10"/>
    </row>
    <row r="353" spans="14:14" ht="13">
      <c r="N353" s="10"/>
    </row>
    <row r="354" spans="14:14" ht="13">
      <c r="N354" s="10"/>
    </row>
    <row r="355" spans="14:14" ht="13">
      <c r="N355" s="10"/>
    </row>
    <row r="356" spans="14:14" ht="13">
      <c r="N356" s="10"/>
    </row>
    <row r="357" spans="14:14" ht="13">
      <c r="N357" s="10"/>
    </row>
    <row r="358" spans="14:14" ht="13">
      <c r="N358" s="10"/>
    </row>
    <row r="359" spans="14:14" ht="13">
      <c r="N359" s="10"/>
    </row>
    <row r="360" spans="14:14" ht="13">
      <c r="N360" s="10"/>
    </row>
    <row r="361" spans="14:14" ht="13">
      <c r="N361" s="10"/>
    </row>
    <row r="362" spans="14:14" ht="13">
      <c r="N362" s="10"/>
    </row>
    <row r="363" spans="14:14" ht="13">
      <c r="N363" s="10"/>
    </row>
    <row r="364" spans="14:14" ht="13">
      <c r="N364" s="10"/>
    </row>
    <row r="365" spans="14:14" ht="13">
      <c r="N365" s="10"/>
    </row>
    <row r="366" spans="14:14" ht="13">
      <c r="N366" s="10"/>
    </row>
    <row r="367" spans="14:14" ht="13">
      <c r="N367" s="10"/>
    </row>
    <row r="368" spans="14:14" ht="13">
      <c r="N368" s="10"/>
    </row>
    <row r="369" spans="14:14" ht="13">
      <c r="N369" s="10"/>
    </row>
    <row r="370" spans="14:14" ht="13">
      <c r="N370" s="10"/>
    </row>
    <row r="371" spans="14:14" ht="13">
      <c r="N371" s="10"/>
    </row>
    <row r="372" spans="14:14" ht="13">
      <c r="N372" s="10"/>
    </row>
    <row r="373" spans="14:14" ht="13">
      <c r="N373" s="10"/>
    </row>
    <row r="374" spans="14:14" ht="13">
      <c r="N374" s="10"/>
    </row>
    <row r="375" spans="14:14" ht="13">
      <c r="N375" s="10"/>
    </row>
    <row r="376" spans="14:14" ht="13">
      <c r="N376" s="10"/>
    </row>
    <row r="377" spans="14:14" ht="13">
      <c r="N377" s="10"/>
    </row>
    <row r="378" spans="14:14" ht="13">
      <c r="N378" s="10"/>
    </row>
    <row r="379" spans="14:14" ht="13">
      <c r="N379" s="10"/>
    </row>
    <row r="380" spans="14:14" ht="13">
      <c r="N380" s="10"/>
    </row>
    <row r="381" spans="14:14" ht="13">
      <c r="N381" s="10"/>
    </row>
    <row r="382" spans="14:14" ht="13">
      <c r="N382" s="10"/>
    </row>
    <row r="383" spans="14:14" ht="13">
      <c r="N383" s="10"/>
    </row>
    <row r="384" spans="14:14" ht="13">
      <c r="N384" s="10"/>
    </row>
    <row r="385" spans="14:14" ht="13">
      <c r="N385" s="10"/>
    </row>
    <row r="386" spans="14:14" ht="13">
      <c r="N386" s="10"/>
    </row>
    <row r="387" spans="14:14" ht="13">
      <c r="N387" s="10"/>
    </row>
    <row r="388" spans="14:14" ht="13">
      <c r="N388" s="10"/>
    </row>
    <row r="389" spans="14:14" ht="13">
      <c r="N389" s="10"/>
    </row>
    <row r="390" spans="14:14" ht="13">
      <c r="N390" s="10"/>
    </row>
    <row r="391" spans="14:14" ht="13">
      <c r="N391" s="10"/>
    </row>
    <row r="392" spans="14:14" ht="13">
      <c r="N392" s="10"/>
    </row>
    <row r="393" spans="14:14" ht="13">
      <c r="N393" s="10"/>
    </row>
    <row r="394" spans="14:14" ht="13">
      <c r="N394" s="10"/>
    </row>
    <row r="395" spans="14:14" ht="13">
      <c r="N395" s="10"/>
    </row>
    <row r="396" spans="14:14" ht="13">
      <c r="N396" s="10"/>
    </row>
    <row r="397" spans="14:14" ht="13">
      <c r="N397" s="10"/>
    </row>
    <row r="398" spans="14:14" ht="13">
      <c r="N398" s="10"/>
    </row>
    <row r="399" spans="14:14" ht="13">
      <c r="N399" s="10"/>
    </row>
    <row r="400" spans="14:14" ht="13">
      <c r="N400" s="10"/>
    </row>
    <row r="401" spans="14:14" ht="13">
      <c r="N401" s="10"/>
    </row>
    <row r="402" spans="14:14" ht="13">
      <c r="N402" s="10"/>
    </row>
    <row r="403" spans="14:14" ht="13">
      <c r="N403" s="10"/>
    </row>
    <row r="404" spans="14:14" ht="13">
      <c r="N404" s="10"/>
    </row>
    <row r="405" spans="14:14" ht="13">
      <c r="N405" s="10"/>
    </row>
    <row r="406" spans="14:14" ht="13">
      <c r="N406" s="10"/>
    </row>
    <row r="407" spans="14:14" ht="13">
      <c r="N407" s="10"/>
    </row>
    <row r="408" spans="14:14" ht="13">
      <c r="N408" s="10"/>
    </row>
    <row r="409" spans="14:14" ht="13">
      <c r="N409" s="10"/>
    </row>
    <row r="410" spans="14:14" ht="13">
      <c r="N410" s="10"/>
    </row>
    <row r="411" spans="14:14" ht="13">
      <c r="N411" s="10"/>
    </row>
    <row r="412" spans="14:14" ht="13">
      <c r="N412" s="10"/>
    </row>
    <row r="413" spans="14:14" ht="13">
      <c r="N413" s="10"/>
    </row>
    <row r="414" spans="14:14" ht="13">
      <c r="N414" s="10"/>
    </row>
    <row r="415" spans="14:14" ht="13">
      <c r="N415" s="10"/>
    </row>
    <row r="416" spans="14:14" ht="13">
      <c r="N416" s="10"/>
    </row>
    <row r="417" spans="14:14" ht="13">
      <c r="N417" s="10"/>
    </row>
    <row r="418" spans="14:14" ht="13">
      <c r="N418" s="10"/>
    </row>
    <row r="419" spans="14:14" ht="13">
      <c r="N419" s="10"/>
    </row>
    <row r="420" spans="14:14" ht="13">
      <c r="N420" s="10"/>
    </row>
    <row r="421" spans="14:14" ht="13">
      <c r="N421" s="10"/>
    </row>
    <row r="422" spans="14:14" ht="13">
      <c r="N422" s="10"/>
    </row>
    <row r="423" spans="14:14" ht="13">
      <c r="N423" s="10"/>
    </row>
    <row r="424" spans="14:14" ht="13">
      <c r="N424" s="10"/>
    </row>
    <row r="425" spans="14:14" ht="13">
      <c r="N425" s="10"/>
    </row>
    <row r="426" spans="14:14" ht="13">
      <c r="N426" s="10"/>
    </row>
    <row r="427" spans="14:14" ht="13">
      <c r="N427" s="10"/>
    </row>
    <row r="428" spans="14:14" ht="13">
      <c r="N428" s="10"/>
    </row>
    <row r="429" spans="14:14" ht="13">
      <c r="N429" s="10"/>
    </row>
    <row r="430" spans="14:14" ht="13">
      <c r="N430" s="10"/>
    </row>
    <row r="431" spans="14:14" ht="13">
      <c r="N431" s="10"/>
    </row>
    <row r="432" spans="14:14" ht="13">
      <c r="N432" s="10"/>
    </row>
    <row r="433" spans="14:14" ht="13">
      <c r="N433" s="10"/>
    </row>
    <row r="434" spans="14:14" ht="13">
      <c r="N434" s="10"/>
    </row>
    <row r="435" spans="14:14" ht="13">
      <c r="N435" s="10"/>
    </row>
    <row r="436" spans="14:14" ht="13">
      <c r="N436" s="10"/>
    </row>
    <row r="437" spans="14:14" ht="13">
      <c r="N437" s="10"/>
    </row>
    <row r="438" spans="14:14" ht="13">
      <c r="N438" s="10"/>
    </row>
    <row r="439" spans="14:14" ht="13">
      <c r="N439" s="10"/>
    </row>
    <row r="440" spans="14:14" ht="13">
      <c r="N440" s="10"/>
    </row>
    <row r="441" spans="14:14" ht="13">
      <c r="N441" s="10"/>
    </row>
    <row r="442" spans="14:14" ht="13">
      <c r="N442" s="10"/>
    </row>
    <row r="443" spans="14:14" ht="13">
      <c r="N443" s="10"/>
    </row>
    <row r="444" spans="14:14" ht="13">
      <c r="N444" s="10"/>
    </row>
    <row r="445" spans="14:14" ht="13">
      <c r="N445" s="10"/>
    </row>
    <row r="446" spans="14:14" ht="13">
      <c r="N446" s="10"/>
    </row>
    <row r="447" spans="14:14" ht="13">
      <c r="N447" s="10"/>
    </row>
    <row r="448" spans="14:14" ht="13">
      <c r="N448" s="10"/>
    </row>
    <row r="449" spans="14:14" ht="13">
      <c r="N449" s="10"/>
    </row>
    <row r="450" spans="14:14" ht="13">
      <c r="N450" s="10"/>
    </row>
    <row r="451" spans="14:14" ht="13">
      <c r="N451" s="10"/>
    </row>
    <row r="452" spans="14:14" ht="13">
      <c r="N452" s="10"/>
    </row>
    <row r="453" spans="14:14" ht="13">
      <c r="N453" s="10"/>
    </row>
    <row r="454" spans="14:14" ht="13">
      <c r="N454" s="10"/>
    </row>
    <row r="455" spans="14:14" ht="13">
      <c r="N455" s="10"/>
    </row>
    <row r="456" spans="14:14" ht="13">
      <c r="N456" s="10"/>
    </row>
    <row r="457" spans="14:14" ht="13">
      <c r="N457" s="10"/>
    </row>
    <row r="458" spans="14:14" ht="13">
      <c r="N458" s="10"/>
    </row>
    <row r="459" spans="14:14" ht="13">
      <c r="N459" s="10"/>
    </row>
    <row r="460" spans="14:14" ht="13">
      <c r="N460" s="10"/>
    </row>
    <row r="461" spans="14:14" ht="13">
      <c r="N461" s="10"/>
    </row>
    <row r="462" spans="14:14" ht="13">
      <c r="N462" s="10"/>
    </row>
    <row r="463" spans="14:14" ht="13">
      <c r="N463" s="10"/>
    </row>
    <row r="464" spans="14:14" ht="13">
      <c r="N464" s="10"/>
    </row>
    <row r="465" spans="14:14" ht="13">
      <c r="N465" s="10"/>
    </row>
    <row r="466" spans="14:14" ht="13">
      <c r="N466" s="10"/>
    </row>
    <row r="467" spans="14:14" ht="13">
      <c r="N467" s="10"/>
    </row>
    <row r="468" spans="14:14" ht="13">
      <c r="N468" s="10"/>
    </row>
    <row r="469" spans="14:14" ht="13">
      <c r="N469" s="10"/>
    </row>
    <row r="470" spans="14:14" ht="13">
      <c r="N470" s="10"/>
    </row>
    <row r="471" spans="14:14" ht="13">
      <c r="N471" s="10"/>
    </row>
    <row r="472" spans="14:14" ht="13">
      <c r="N472" s="10"/>
    </row>
    <row r="473" spans="14:14" ht="13">
      <c r="N473" s="10"/>
    </row>
    <row r="474" spans="14:14" ht="13">
      <c r="N474" s="10"/>
    </row>
    <row r="475" spans="14:14" ht="13">
      <c r="N475" s="10"/>
    </row>
    <row r="476" spans="14:14" ht="13">
      <c r="N476" s="10"/>
    </row>
    <row r="477" spans="14:14" ht="13">
      <c r="N477" s="10"/>
    </row>
    <row r="478" spans="14:14" ht="13">
      <c r="N478" s="10"/>
    </row>
    <row r="479" spans="14:14" ht="13">
      <c r="N479" s="10"/>
    </row>
    <row r="480" spans="14:14" ht="13">
      <c r="N480" s="10"/>
    </row>
    <row r="481" spans="14:14" ht="13">
      <c r="N481" s="10"/>
    </row>
    <row r="482" spans="14:14" ht="13">
      <c r="N482" s="10"/>
    </row>
    <row r="483" spans="14:14" ht="13">
      <c r="N483" s="10"/>
    </row>
    <row r="484" spans="14:14" ht="13">
      <c r="N484" s="10"/>
    </row>
    <row r="485" spans="14:14" ht="13">
      <c r="N485" s="10"/>
    </row>
    <row r="486" spans="14:14" ht="13">
      <c r="N486" s="10"/>
    </row>
    <row r="487" spans="14:14" ht="13">
      <c r="N487" s="10"/>
    </row>
    <row r="488" spans="14:14" ht="13">
      <c r="N488" s="10"/>
    </row>
    <row r="489" spans="14:14" ht="13">
      <c r="N489" s="10"/>
    </row>
    <row r="490" spans="14:14" ht="13">
      <c r="N490" s="10"/>
    </row>
    <row r="491" spans="14:14" ht="13">
      <c r="N491" s="10"/>
    </row>
    <row r="492" spans="14:14" ht="13">
      <c r="N492" s="10"/>
    </row>
    <row r="493" spans="14:14" ht="13">
      <c r="N493" s="10"/>
    </row>
    <row r="494" spans="14:14" ht="13">
      <c r="N494" s="10"/>
    </row>
    <row r="495" spans="14:14" ht="13">
      <c r="N495" s="10"/>
    </row>
    <row r="496" spans="14:14" ht="13">
      <c r="N496" s="10"/>
    </row>
    <row r="497" spans="14:14" ht="13">
      <c r="N497" s="10"/>
    </row>
    <row r="498" spans="14:14" ht="13">
      <c r="N498" s="10"/>
    </row>
    <row r="499" spans="14:14" ht="13">
      <c r="N499" s="10"/>
    </row>
    <row r="500" spans="14:14" ht="13">
      <c r="N500" s="10"/>
    </row>
    <row r="501" spans="14:14" ht="13">
      <c r="N501" s="10"/>
    </row>
    <row r="502" spans="14:14" ht="13">
      <c r="N502" s="10"/>
    </row>
    <row r="503" spans="14:14" ht="13">
      <c r="N503" s="10"/>
    </row>
    <row r="504" spans="14:14" ht="13">
      <c r="N504" s="10"/>
    </row>
    <row r="505" spans="14:14" ht="13">
      <c r="N505" s="10"/>
    </row>
    <row r="506" spans="14:14" ht="13">
      <c r="N506" s="10"/>
    </row>
    <row r="507" spans="14:14" ht="13">
      <c r="N507" s="10"/>
    </row>
    <row r="508" spans="14:14" ht="13">
      <c r="N508" s="10"/>
    </row>
    <row r="509" spans="14:14" ht="13">
      <c r="N509" s="10"/>
    </row>
    <row r="510" spans="14:14" ht="13">
      <c r="N510" s="10"/>
    </row>
    <row r="511" spans="14:14" ht="13">
      <c r="N511" s="10"/>
    </row>
    <row r="512" spans="14:14" ht="13">
      <c r="N512" s="10"/>
    </row>
    <row r="513" spans="14:14" ht="13">
      <c r="N513" s="10"/>
    </row>
    <row r="514" spans="14:14" ht="13">
      <c r="N514" s="10"/>
    </row>
    <row r="515" spans="14:14" ht="13">
      <c r="N515" s="10"/>
    </row>
    <row r="516" spans="14:14" ht="13">
      <c r="N516" s="10"/>
    </row>
    <row r="517" spans="14:14" ht="13">
      <c r="N517" s="10"/>
    </row>
    <row r="518" spans="14:14" ht="13">
      <c r="N518" s="10"/>
    </row>
    <row r="519" spans="14:14" ht="13">
      <c r="N519" s="10"/>
    </row>
    <row r="520" spans="14:14" ht="13">
      <c r="N520" s="10"/>
    </row>
    <row r="521" spans="14:14" ht="13">
      <c r="N521" s="10"/>
    </row>
    <row r="522" spans="14:14" ht="13">
      <c r="N522" s="10"/>
    </row>
    <row r="523" spans="14:14" ht="13">
      <c r="N523" s="10"/>
    </row>
    <row r="524" spans="14:14" ht="13">
      <c r="N524" s="10"/>
    </row>
    <row r="525" spans="14:14" ht="13">
      <c r="N525" s="10"/>
    </row>
    <row r="526" spans="14:14" ht="13">
      <c r="N526" s="10"/>
    </row>
    <row r="527" spans="14:14" ht="13">
      <c r="N527" s="10"/>
    </row>
    <row r="528" spans="14:14" ht="13">
      <c r="N528" s="10"/>
    </row>
    <row r="529" spans="14:14" ht="13">
      <c r="N529" s="10"/>
    </row>
    <row r="530" spans="14:14" ht="13">
      <c r="N530" s="10"/>
    </row>
    <row r="531" spans="14:14" ht="13">
      <c r="N531" s="10"/>
    </row>
    <row r="532" spans="14:14" ht="13">
      <c r="N532" s="10"/>
    </row>
    <row r="533" spans="14:14" ht="13">
      <c r="N533" s="10"/>
    </row>
    <row r="534" spans="14:14" ht="13">
      <c r="N534" s="10"/>
    </row>
    <row r="535" spans="14:14" ht="13">
      <c r="N535" s="10"/>
    </row>
    <row r="536" spans="14:14" ht="13">
      <c r="N536" s="10"/>
    </row>
    <row r="537" spans="14:14" ht="13">
      <c r="N537" s="10"/>
    </row>
    <row r="538" spans="14:14" ht="13">
      <c r="N538" s="10"/>
    </row>
    <row r="539" spans="14:14" ht="13">
      <c r="N539" s="10"/>
    </row>
    <row r="540" spans="14:14" ht="13">
      <c r="N540" s="10"/>
    </row>
    <row r="541" spans="14:14" ht="13">
      <c r="N541" s="10"/>
    </row>
    <row r="542" spans="14:14" ht="13">
      <c r="N542" s="10"/>
    </row>
    <row r="543" spans="14:14" ht="13">
      <c r="N543" s="10"/>
    </row>
    <row r="544" spans="14:14" ht="13">
      <c r="N544" s="10"/>
    </row>
    <row r="545" spans="14:14" ht="13">
      <c r="N545" s="10"/>
    </row>
    <row r="546" spans="14:14" ht="13">
      <c r="N546" s="10"/>
    </row>
    <row r="547" spans="14:14" ht="13">
      <c r="N547" s="10"/>
    </row>
    <row r="548" spans="14:14" ht="13">
      <c r="N548" s="10"/>
    </row>
    <row r="549" spans="14:14" ht="13">
      <c r="N549" s="10"/>
    </row>
    <row r="550" spans="14:14" ht="13">
      <c r="N550" s="10"/>
    </row>
    <row r="551" spans="14:14" ht="13">
      <c r="N551" s="10"/>
    </row>
    <row r="552" spans="14:14" ht="13">
      <c r="N552" s="10"/>
    </row>
    <row r="553" spans="14:14" ht="13">
      <c r="N553" s="10"/>
    </row>
    <row r="554" spans="14:14" ht="13">
      <c r="N554" s="10"/>
    </row>
    <row r="555" spans="14:14" ht="13">
      <c r="N555" s="10"/>
    </row>
    <row r="556" spans="14:14" ht="13">
      <c r="N556" s="10"/>
    </row>
    <row r="557" spans="14:14" ht="13">
      <c r="N557" s="10"/>
    </row>
    <row r="558" spans="14:14" ht="13">
      <c r="N558" s="10"/>
    </row>
    <row r="559" spans="14:14" ht="13">
      <c r="N559" s="10"/>
    </row>
    <row r="560" spans="14:14" ht="13">
      <c r="N560" s="10"/>
    </row>
    <row r="561" spans="14:14" ht="13">
      <c r="N561" s="10"/>
    </row>
    <row r="562" spans="14:14" ht="13">
      <c r="N562" s="10"/>
    </row>
    <row r="563" spans="14:14" ht="13">
      <c r="N563" s="10"/>
    </row>
    <row r="564" spans="14:14" ht="13">
      <c r="N564" s="10"/>
    </row>
    <row r="565" spans="14:14" ht="13">
      <c r="N565" s="10"/>
    </row>
    <row r="566" spans="14:14" ht="13">
      <c r="N566" s="10"/>
    </row>
    <row r="567" spans="14:14" ht="13">
      <c r="N567" s="10"/>
    </row>
    <row r="568" spans="14:14" ht="13">
      <c r="N568" s="10"/>
    </row>
    <row r="569" spans="14:14" ht="13">
      <c r="N569" s="10"/>
    </row>
    <row r="570" spans="14:14" ht="13">
      <c r="N570" s="10"/>
    </row>
    <row r="571" spans="14:14" ht="13">
      <c r="N571" s="10"/>
    </row>
    <row r="572" spans="14:14" ht="13">
      <c r="N572" s="10"/>
    </row>
    <row r="573" spans="14:14" ht="13">
      <c r="N573" s="10"/>
    </row>
    <row r="574" spans="14:14" ht="13">
      <c r="N574" s="10"/>
    </row>
    <row r="575" spans="14:14" ht="13">
      <c r="N575" s="10"/>
    </row>
    <row r="576" spans="14:14" ht="13">
      <c r="N576" s="10"/>
    </row>
    <row r="577" spans="14:14" ht="13">
      <c r="N577" s="10"/>
    </row>
    <row r="578" spans="14:14" ht="13">
      <c r="N578" s="10"/>
    </row>
    <row r="579" spans="14:14" ht="13">
      <c r="N579" s="10"/>
    </row>
    <row r="580" spans="14:14" ht="13">
      <c r="N580" s="10"/>
    </row>
    <row r="581" spans="14:14" ht="13">
      <c r="N581" s="10"/>
    </row>
    <row r="582" spans="14:14" ht="13">
      <c r="N582" s="10"/>
    </row>
    <row r="583" spans="14:14" ht="13">
      <c r="N583" s="10"/>
    </row>
    <row r="584" spans="14:14" ht="13">
      <c r="N584" s="10"/>
    </row>
    <row r="585" spans="14:14" ht="13">
      <c r="N585" s="10"/>
    </row>
    <row r="586" spans="14:14" ht="13">
      <c r="N586" s="10"/>
    </row>
    <row r="587" spans="14:14" ht="13">
      <c r="N587" s="10"/>
    </row>
    <row r="588" spans="14:14" ht="13">
      <c r="N588" s="10"/>
    </row>
    <row r="589" spans="14:14" ht="13">
      <c r="N589" s="10"/>
    </row>
    <row r="590" spans="14:14" ht="13">
      <c r="N590" s="10"/>
    </row>
    <row r="591" spans="14:14" ht="13">
      <c r="N591" s="10"/>
    </row>
    <row r="592" spans="14:14" ht="13">
      <c r="N592" s="10"/>
    </row>
    <row r="593" spans="14:14" ht="13">
      <c r="N593" s="10"/>
    </row>
    <row r="594" spans="14:14" ht="13">
      <c r="N594" s="10"/>
    </row>
    <row r="595" spans="14:14" ht="13">
      <c r="N595" s="10"/>
    </row>
    <row r="596" spans="14:14" ht="13">
      <c r="N596" s="10"/>
    </row>
    <row r="597" spans="14:14" ht="13">
      <c r="N597" s="10"/>
    </row>
    <row r="598" spans="14:14" ht="13">
      <c r="N598" s="10"/>
    </row>
    <row r="599" spans="14:14" ht="13">
      <c r="N599" s="10"/>
    </row>
    <row r="600" spans="14:14" ht="13">
      <c r="N600" s="10"/>
    </row>
    <row r="601" spans="14:14" ht="13">
      <c r="N601" s="10"/>
    </row>
    <row r="602" spans="14:14" ht="13">
      <c r="N602" s="10"/>
    </row>
    <row r="603" spans="14:14" ht="13">
      <c r="N603" s="10"/>
    </row>
    <row r="604" spans="14:14" ht="13">
      <c r="N604" s="10"/>
    </row>
    <row r="605" spans="14:14" ht="13">
      <c r="N605" s="10"/>
    </row>
    <row r="606" spans="14:14" ht="13">
      <c r="N606" s="10"/>
    </row>
    <row r="607" spans="14:14" ht="13">
      <c r="N607" s="10"/>
    </row>
    <row r="608" spans="14:14" ht="13">
      <c r="N608" s="10"/>
    </row>
    <row r="609" spans="14:14" ht="13">
      <c r="N609" s="10"/>
    </row>
    <row r="610" spans="14:14" ht="13">
      <c r="N610" s="10"/>
    </row>
    <row r="611" spans="14:14" ht="13">
      <c r="N611" s="10"/>
    </row>
    <row r="612" spans="14:14" ht="13">
      <c r="N612" s="10"/>
    </row>
    <row r="613" spans="14:14" ht="13">
      <c r="N613" s="10"/>
    </row>
    <row r="614" spans="14:14" ht="13">
      <c r="N614" s="10"/>
    </row>
    <row r="615" spans="14:14" ht="13">
      <c r="N615" s="10"/>
    </row>
    <row r="616" spans="14:14" ht="13">
      <c r="N616" s="10"/>
    </row>
    <row r="617" spans="14:14" ht="13">
      <c r="N617" s="10"/>
    </row>
    <row r="618" spans="14:14" ht="13">
      <c r="N618" s="10"/>
    </row>
    <row r="619" spans="14:14" ht="13">
      <c r="N619" s="10"/>
    </row>
    <row r="620" spans="14:14" ht="13">
      <c r="N620" s="10"/>
    </row>
    <row r="621" spans="14:14" ht="13">
      <c r="N621" s="10"/>
    </row>
    <row r="622" spans="14:14" ht="13">
      <c r="N622" s="10"/>
    </row>
    <row r="623" spans="14:14" ht="13">
      <c r="N623" s="10"/>
    </row>
    <row r="624" spans="14:14" ht="13">
      <c r="N624" s="10"/>
    </row>
    <row r="625" spans="14:14" ht="13">
      <c r="N625" s="10"/>
    </row>
    <row r="626" spans="14:14" ht="13">
      <c r="N626" s="10"/>
    </row>
    <row r="627" spans="14:14" ht="13">
      <c r="N627" s="10"/>
    </row>
    <row r="628" spans="14:14" ht="13">
      <c r="N628" s="10"/>
    </row>
    <row r="629" spans="14:14" ht="13">
      <c r="N629" s="10"/>
    </row>
    <row r="630" spans="14:14" ht="13">
      <c r="N630" s="10"/>
    </row>
    <row r="631" spans="14:14" ht="13">
      <c r="N631" s="10"/>
    </row>
    <row r="632" spans="14:14" ht="13">
      <c r="N632" s="10"/>
    </row>
    <row r="633" spans="14:14" ht="13">
      <c r="N633" s="10"/>
    </row>
    <row r="634" spans="14:14" ht="13">
      <c r="N634" s="10"/>
    </row>
    <row r="635" spans="14:14" ht="13">
      <c r="N635" s="10"/>
    </row>
    <row r="636" spans="14:14" ht="13">
      <c r="N636" s="10"/>
    </row>
    <row r="637" spans="14:14" ht="13">
      <c r="N637" s="10"/>
    </row>
    <row r="638" spans="14:14" ht="13">
      <c r="N638" s="10"/>
    </row>
    <row r="639" spans="14:14" ht="13">
      <c r="N639" s="10"/>
    </row>
    <row r="640" spans="14:14" ht="13">
      <c r="N640" s="10"/>
    </row>
    <row r="641" spans="14:14" ht="13">
      <c r="N641" s="10"/>
    </row>
    <row r="642" spans="14:14" ht="13">
      <c r="N642" s="10"/>
    </row>
    <row r="643" spans="14:14" ht="13">
      <c r="N643" s="10"/>
    </row>
    <row r="644" spans="14:14" ht="13">
      <c r="N644" s="10"/>
    </row>
    <row r="645" spans="14:14" ht="13">
      <c r="N645" s="10"/>
    </row>
    <row r="646" spans="14:14" ht="13">
      <c r="N646" s="10"/>
    </row>
    <row r="647" spans="14:14" ht="13">
      <c r="N647" s="10"/>
    </row>
    <row r="648" spans="14:14" ht="13">
      <c r="N648" s="10"/>
    </row>
    <row r="649" spans="14:14" ht="13">
      <c r="N649" s="10"/>
    </row>
    <row r="650" spans="14:14" ht="13">
      <c r="N650" s="10"/>
    </row>
    <row r="651" spans="14:14" ht="13">
      <c r="N651" s="10"/>
    </row>
    <row r="652" spans="14:14" ht="13">
      <c r="N652" s="10"/>
    </row>
    <row r="653" spans="14:14" ht="13">
      <c r="N653" s="10"/>
    </row>
    <row r="654" spans="14:14" ht="13">
      <c r="N654" s="10"/>
    </row>
    <row r="655" spans="14:14" ht="13">
      <c r="N655" s="10"/>
    </row>
    <row r="656" spans="14:14" ht="13">
      <c r="N656" s="10"/>
    </row>
    <row r="657" spans="14:14" ht="13">
      <c r="N657" s="10"/>
    </row>
    <row r="658" spans="14:14" ht="13">
      <c r="N658" s="10"/>
    </row>
    <row r="659" spans="14:14" ht="13">
      <c r="N659" s="10"/>
    </row>
    <row r="660" spans="14:14" ht="13">
      <c r="N660" s="10"/>
    </row>
    <row r="661" spans="14:14" ht="13">
      <c r="N661" s="10"/>
    </row>
    <row r="662" spans="14:14" ht="13">
      <c r="N662" s="10"/>
    </row>
    <row r="663" spans="14:14" ht="13">
      <c r="N663" s="10"/>
    </row>
    <row r="664" spans="14:14" ht="13">
      <c r="N664" s="10"/>
    </row>
    <row r="665" spans="14:14" ht="13">
      <c r="N665" s="10"/>
    </row>
    <row r="666" spans="14:14" ht="13">
      <c r="N666" s="10"/>
    </row>
    <row r="667" spans="14:14" ht="13">
      <c r="N667" s="10"/>
    </row>
    <row r="668" spans="14:14" ht="13">
      <c r="N668" s="10"/>
    </row>
    <row r="669" spans="14:14" ht="13">
      <c r="N669" s="10"/>
    </row>
    <row r="670" spans="14:14" ht="13">
      <c r="N670" s="10"/>
    </row>
    <row r="671" spans="14:14" ht="13">
      <c r="N671" s="10"/>
    </row>
    <row r="672" spans="14:14" ht="13">
      <c r="N672" s="10"/>
    </row>
    <row r="673" spans="14:14" ht="13">
      <c r="N673" s="10"/>
    </row>
    <row r="674" spans="14:14" ht="13">
      <c r="N674" s="10"/>
    </row>
    <row r="675" spans="14:14" ht="13">
      <c r="N675" s="10"/>
    </row>
    <row r="676" spans="14:14" ht="13">
      <c r="N676" s="10"/>
    </row>
    <row r="677" spans="14:14" ht="13">
      <c r="N677" s="10"/>
    </row>
    <row r="678" spans="14:14" ht="13">
      <c r="N678" s="10"/>
    </row>
    <row r="679" spans="14:14" ht="13">
      <c r="N679" s="10"/>
    </row>
    <row r="680" spans="14:14" ht="13">
      <c r="N680" s="10"/>
    </row>
    <row r="681" spans="14:14" ht="13">
      <c r="N681" s="10"/>
    </row>
    <row r="682" spans="14:14" ht="13">
      <c r="N682" s="10"/>
    </row>
    <row r="683" spans="14:14" ht="13">
      <c r="N683" s="10"/>
    </row>
    <row r="684" spans="14:14" ht="13">
      <c r="N684" s="10"/>
    </row>
    <row r="685" spans="14:14" ht="13">
      <c r="N685" s="10"/>
    </row>
    <row r="686" spans="14:14" ht="13">
      <c r="N686" s="10"/>
    </row>
    <row r="687" spans="14:14" ht="13">
      <c r="N687" s="10"/>
    </row>
    <row r="688" spans="14:14" ht="13">
      <c r="N688" s="10"/>
    </row>
    <row r="689" spans="14:14" ht="13">
      <c r="N689" s="10"/>
    </row>
    <row r="690" spans="14:14" ht="13">
      <c r="N690" s="10"/>
    </row>
    <row r="691" spans="14:14" ht="13">
      <c r="N691" s="10"/>
    </row>
    <row r="692" spans="14:14" ht="13">
      <c r="N692" s="10"/>
    </row>
    <row r="693" spans="14:14" ht="13">
      <c r="N693" s="10"/>
    </row>
    <row r="694" spans="14:14" ht="13">
      <c r="N694" s="10"/>
    </row>
    <row r="695" spans="14:14" ht="13">
      <c r="N695" s="10"/>
    </row>
    <row r="696" spans="14:14" ht="13">
      <c r="N696" s="10"/>
    </row>
    <row r="697" spans="14:14" ht="13">
      <c r="N697" s="10"/>
    </row>
    <row r="698" spans="14:14" ht="13">
      <c r="N698" s="10"/>
    </row>
    <row r="699" spans="14:14" ht="13">
      <c r="N699" s="10"/>
    </row>
    <row r="700" spans="14:14" ht="13">
      <c r="N700" s="10"/>
    </row>
    <row r="701" spans="14:14" ht="13">
      <c r="N701" s="10"/>
    </row>
    <row r="702" spans="14:14" ht="13">
      <c r="N702" s="10"/>
    </row>
    <row r="703" spans="14:14" ht="13">
      <c r="N703" s="10"/>
    </row>
    <row r="704" spans="14:14" ht="13">
      <c r="N704" s="10"/>
    </row>
    <row r="705" spans="14:14" ht="13">
      <c r="N705" s="10"/>
    </row>
    <row r="706" spans="14:14" ht="13">
      <c r="N706" s="10"/>
    </row>
    <row r="707" spans="14:14" ht="13">
      <c r="N707" s="10"/>
    </row>
    <row r="708" spans="14:14" ht="13">
      <c r="N708" s="10"/>
    </row>
    <row r="709" spans="14:14" ht="13">
      <c r="N709" s="10"/>
    </row>
    <row r="710" spans="14:14" ht="13">
      <c r="N710" s="10"/>
    </row>
    <row r="711" spans="14:14" ht="13">
      <c r="N711" s="10"/>
    </row>
    <row r="712" spans="14:14" ht="13">
      <c r="N712" s="10"/>
    </row>
    <row r="713" spans="14:14" ht="13">
      <c r="N713" s="10"/>
    </row>
    <row r="714" spans="14:14" ht="13">
      <c r="N714" s="10"/>
    </row>
    <row r="715" spans="14:14" ht="13">
      <c r="N715" s="10"/>
    </row>
    <row r="716" spans="14:14" ht="13">
      <c r="N716" s="10"/>
    </row>
    <row r="717" spans="14:14" ht="13">
      <c r="N717" s="10"/>
    </row>
    <row r="718" spans="14:14" ht="13">
      <c r="N718" s="10"/>
    </row>
    <row r="719" spans="14:14" ht="13">
      <c r="N719" s="10"/>
    </row>
    <row r="720" spans="14:14" ht="13">
      <c r="N720" s="10"/>
    </row>
    <row r="721" spans="14:14" ht="13">
      <c r="N721" s="10"/>
    </row>
    <row r="722" spans="14:14" ht="13">
      <c r="N722" s="10"/>
    </row>
    <row r="723" spans="14:14" ht="13">
      <c r="N723" s="10"/>
    </row>
    <row r="724" spans="14:14" ht="13">
      <c r="N724" s="10"/>
    </row>
    <row r="725" spans="14:14" ht="13">
      <c r="N725" s="10"/>
    </row>
    <row r="726" spans="14:14" ht="13">
      <c r="N726" s="10"/>
    </row>
    <row r="727" spans="14:14" ht="13">
      <c r="N727" s="10"/>
    </row>
    <row r="728" spans="14:14" ht="13">
      <c r="N728" s="10"/>
    </row>
    <row r="729" spans="14:14" ht="13">
      <c r="N729" s="10"/>
    </row>
    <row r="730" spans="14:14" ht="13">
      <c r="N730" s="10"/>
    </row>
    <row r="731" spans="14:14" ht="13">
      <c r="N731" s="10"/>
    </row>
    <row r="732" spans="14:14" ht="13">
      <c r="N732" s="10"/>
    </row>
    <row r="733" spans="14:14" ht="13">
      <c r="N733" s="10"/>
    </row>
    <row r="734" spans="14:14" ht="13">
      <c r="N734" s="10"/>
    </row>
    <row r="735" spans="14:14" ht="13">
      <c r="N735" s="10"/>
    </row>
    <row r="736" spans="14:14" ht="13">
      <c r="N736" s="10"/>
    </row>
    <row r="737" spans="14:14" ht="13">
      <c r="N737" s="10"/>
    </row>
    <row r="738" spans="14:14" ht="13">
      <c r="N738" s="10"/>
    </row>
    <row r="739" spans="14:14" ht="13">
      <c r="N739" s="10"/>
    </row>
    <row r="740" spans="14:14" ht="13">
      <c r="N740" s="10"/>
    </row>
    <row r="741" spans="14:14" ht="13">
      <c r="N741" s="10"/>
    </row>
    <row r="742" spans="14:14" ht="13">
      <c r="N742" s="10"/>
    </row>
    <row r="743" spans="14:14" ht="13">
      <c r="N743" s="10"/>
    </row>
    <row r="744" spans="14:14" ht="13">
      <c r="N744" s="10"/>
    </row>
    <row r="745" spans="14:14" ht="13">
      <c r="N745" s="10"/>
    </row>
    <row r="746" spans="14:14" ht="13">
      <c r="N746" s="10"/>
    </row>
    <row r="747" spans="14:14" ht="13">
      <c r="N747" s="10"/>
    </row>
    <row r="748" spans="14:14" ht="13">
      <c r="N748" s="10"/>
    </row>
    <row r="749" spans="14:14" ht="13">
      <c r="N749" s="10"/>
    </row>
    <row r="750" spans="14:14" ht="13">
      <c r="N750" s="10"/>
    </row>
    <row r="751" spans="14:14" ht="13">
      <c r="N751" s="10"/>
    </row>
    <row r="752" spans="14:14" ht="13">
      <c r="N752" s="10"/>
    </row>
    <row r="753" spans="14:14" ht="13">
      <c r="N753" s="10"/>
    </row>
    <row r="754" spans="14:14" ht="13">
      <c r="N754" s="10"/>
    </row>
    <row r="755" spans="14:14" ht="13">
      <c r="N755" s="10"/>
    </row>
    <row r="756" spans="14:14" ht="13">
      <c r="N756" s="10"/>
    </row>
    <row r="757" spans="14:14" ht="13">
      <c r="N757" s="10"/>
    </row>
    <row r="758" spans="14:14" ht="13">
      <c r="N758" s="10"/>
    </row>
    <row r="759" spans="14:14" ht="13">
      <c r="N759" s="10"/>
    </row>
    <row r="760" spans="14:14" ht="13">
      <c r="N760" s="10"/>
    </row>
    <row r="761" spans="14:14" ht="13">
      <c r="N761" s="10"/>
    </row>
    <row r="762" spans="14:14" ht="13">
      <c r="N762" s="10"/>
    </row>
    <row r="763" spans="14:14" ht="13">
      <c r="N763" s="10"/>
    </row>
    <row r="764" spans="14:14" ht="13">
      <c r="N764" s="10"/>
    </row>
    <row r="765" spans="14:14" ht="13">
      <c r="N765" s="10"/>
    </row>
    <row r="766" spans="14:14" ht="13">
      <c r="N766" s="10"/>
    </row>
    <row r="767" spans="14:14" ht="13">
      <c r="N767" s="10"/>
    </row>
    <row r="768" spans="14:14" ht="13">
      <c r="N768" s="10"/>
    </row>
    <row r="769" spans="14:14" ht="13">
      <c r="N769" s="10"/>
    </row>
    <row r="770" spans="14:14" ht="13">
      <c r="N770" s="10"/>
    </row>
    <row r="771" spans="14:14" ht="13">
      <c r="N771" s="10"/>
    </row>
    <row r="772" spans="14:14" ht="13">
      <c r="N772" s="10"/>
    </row>
    <row r="773" spans="14:14" ht="13">
      <c r="N773" s="10"/>
    </row>
    <row r="774" spans="14:14" ht="13">
      <c r="N774" s="10"/>
    </row>
    <row r="775" spans="14:14" ht="13">
      <c r="N775" s="10"/>
    </row>
    <row r="776" spans="14:14" ht="13">
      <c r="N776" s="10"/>
    </row>
    <row r="777" spans="14:14" ht="13">
      <c r="N777" s="10"/>
    </row>
    <row r="778" spans="14:14" ht="13">
      <c r="N778" s="10"/>
    </row>
    <row r="779" spans="14:14" ht="13">
      <c r="N779" s="10"/>
    </row>
    <row r="780" spans="14:14" ht="13">
      <c r="N780" s="10"/>
    </row>
    <row r="781" spans="14:14" ht="13">
      <c r="N781" s="10"/>
    </row>
    <row r="782" spans="14:14" ht="13">
      <c r="N782" s="10"/>
    </row>
    <row r="783" spans="14:14" ht="13">
      <c r="N783" s="10"/>
    </row>
    <row r="784" spans="14:14" ht="13">
      <c r="N784" s="10"/>
    </row>
    <row r="785" spans="14:14" ht="13">
      <c r="N785" s="10"/>
    </row>
    <row r="786" spans="14:14" ht="13">
      <c r="N786" s="10"/>
    </row>
    <row r="787" spans="14:14" ht="13">
      <c r="N787" s="10"/>
    </row>
    <row r="788" spans="14:14" ht="13">
      <c r="N788" s="10"/>
    </row>
    <row r="789" spans="14:14" ht="13">
      <c r="N789" s="10"/>
    </row>
    <row r="790" spans="14:14" ht="13">
      <c r="N790" s="10"/>
    </row>
    <row r="791" spans="14:14" ht="13">
      <c r="N791" s="10"/>
    </row>
    <row r="792" spans="14:14" ht="13">
      <c r="N792" s="10"/>
    </row>
    <row r="793" spans="14:14" ht="13">
      <c r="N793" s="10"/>
    </row>
    <row r="794" spans="14:14" ht="13">
      <c r="N794" s="10"/>
    </row>
    <row r="795" spans="14:14" ht="13">
      <c r="N795" s="10"/>
    </row>
    <row r="796" spans="14:14" ht="13">
      <c r="N796" s="10"/>
    </row>
    <row r="797" spans="14:14" ht="13">
      <c r="N797" s="10"/>
    </row>
    <row r="798" spans="14:14" ht="13">
      <c r="N798" s="10"/>
    </row>
    <row r="799" spans="14:14" ht="13">
      <c r="N799" s="10"/>
    </row>
    <row r="800" spans="14:14" ht="13">
      <c r="N800" s="10"/>
    </row>
    <row r="801" spans="14:14" ht="13">
      <c r="N801" s="10"/>
    </row>
    <row r="802" spans="14:14" ht="13">
      <c r="N802" s="10"/>
    </row>
    <row r="803" spans="14:14" ht="13">
      <c r="N803" s="10"/>
    </row>
    <row r="804" spans="14:14" ht="13">
      <c r="N804" s="10"/>
    </row>
    <row r="805" spans="14:14" ht="13">
      <c r="N805" s="10"/>
    </row>
    <row r="806" spans="14:14" ht="13">
      <c r="N806" s="10"/>
    </row>
    <row r="807" spans="14:14" ht="13">
      <c r="N807" s="10"/>
    </row>
    <row r="808" spans="14:14" ht="13">
      <c r="N808" s="10"/>
    </row>
    <row r="809" spans="14:14" ht="13">
      <c r="N809" s="10"/>
    </row>
    <row r="810" spans="14:14" ht="13">
      <c r="N810" s="10"/>
    </row>
    <row r="811" spans="14:14" ht="13">
      <c r="N811" s="10"/>
    </row>
    <row r="812" spans="14:14" ht="13">
      <c r="N812" s="10"/>
    </row>
    <row r="813" spans="14:14" ht="13">
      <c r="N813" s="10"/>
    </row>
    <row r="814" spans="14:14" ht="13">
      <c r="N814" s="10"/>
    </row>
    <row r="815" spans="14:14" ht="13">
      <c r="N815" s="10"/>
    </row>
    <row r="816" spans="14:14" ht="13">
      <c r="N816" s="10"/>
    </row>
    <row r="817" spans="14:14" ht="13">
      <c r="N817" s="10"/>
    </row>
    <row r="818" spans="14:14" ht="13">
      <c r="N818" s="10"/>
    </row>
    <row r="819" spans="14:14" ht="13">
      <c r="N819" s="10"/>
    </row>
    <row r="820" spans="14:14" ht="13">
      <c r="N820" s="10"/>
    </row>
    <row r="821" spans="14:14" ht="13">
      <c r="N821" s="10"/>
    </row>
    <row r="822" spans="14:14" ht="13">
      <c r="N822" s="10"/>
    </row>
    <row r="823" spans="14:14" ht="13">
      <c r="N823" s="10"/>
    </row>
    <row r="824" spans="14:14" ht="13">
      <c r="N824" s="10"/>
    </row>
    <row r="825" spans="14:14" ht="13">
      <c r="N825" s="10"/>
    </row>
    <row r="826" spans="14:14" ht="13">
      <c r="N826" s="10"/>
    </row>
    <row r="827" spans="14:14" ht="13">
      <c r="N827" s="10"/>
    </row>
    <row r="828" spans="14:14" ht="13">
      <c r="N828" s="10"/>
    </row>
    <row r="829" spans="14:14" ht="13">
      <c r="N829" s="10"/>
    </row>
    <row r="830" spans="14:14" ht="13">
      <c r="N830" s="10"/>
    </row>
    <row r="831" spans="14:14" ht="13">
      <c r="N831" s="10"/>
    </row>
    <row r="832" spans="14:14" ht="13">
      <c r="N832" s="10"/>
    </row>
    <row r="833" spans="14:14" ht="13">
      <c r="N833" s="10"/>
    </row>
    <row r="834" spans="14:14" ht="13">
      <c r="N834" s="10"/>
    </row>
    <row r="835" spans="14:14" ht="13">
      <c r="N835" s="10"/>
    </row>
    <row r="836" spans="14:14" ht="13">
      <c r="N836" s="10"/>
    </row>
    <row r="837" spans="14:14" ht="13">
      <c r="N837" s="10"/>
    </row>
    <row r="838" spans="14:14" ht="13">
      <c r="N838" s="10"/>
    </row>
    <row r="839" spans="14:14" ht="13">
      <c r="N839" s="10"/>
    </row>
    <row r="840" spans="14:14" ht="13">
      <c r="N840" s="10"/>
    </row>
    <row r="841" spans="14:14" ht="13">
      <c r="N841" s="10"/>
    </row>
    <row r="842" spans="14:14" ht="13">
      <c r="N842" s="10"/>
    </row>
    <row r="843" spans="14:14" ht="13">
      <c r="N843" s="10"/>
    </row>
    <row r="844" spans="14:14" ht="13">
      <c r="N844" s="10"/>
    </row>
    <row r="845" spans="14:14" ht="13">
      <c r="N845" s="10"/>
    </row>
    <row r="846" spans="14:14" ht="13">
      <c r="N846" s="10"/>
    </row>
    <row r="847" spans="14:14" ht="13">
      <c r="N847" s="10"/>
    </row>
    <row r="848" spans="14:14" ht="13">
      <c r="N848" s="10"/>
    </row>
    <row r="849" spans="14:14" ht="13">
      <c r="N849" s="10"/>
    </row>
    <row r="850" spans="14:14" ht="13">
      <c r="N850" s="10"/>
    </row>
    <row r="851" spans="14:14" ht="13">
      <c r="N851" s="10"/>
    </row>
    <row r="852" spans="14:14" ht="13">
      <c r="N852" s="10"/>
    </row>
    <row r="853" spans="14:14" ht="13">
      <c r="N853" s="10"/>
    </row>
    <row r="854" spans="14:14" ht="13">
      <c r="N854" s="10"/>
    </row>
    <row r="855" spans="14:14" ht="13">
      <c r="N855" s="10"/>
    </row>
    <row r="856" spans="14:14" ht="13">
      <c r="N856" s="10"/>
    </row>
    <row r="857" spans="14:14" ht="13">
      <c r="N857" s="10"/>
    </row>
    <row r="858" spans="14:14" ht="13">
      <c r="N858" s="10"/>
    </row>
    <row r="859" spans="14:14" ht="13">
      <c r="N859" s="10"/>
    </row>
    <row r="860" spans="14:14" ht="13">
      <c r="N860" s="10"/>
    </row>
    <row r="861" spans="14:14" ht="13">
      <c r="N861" s="10"/>
    </row>
    <row r="862" spans="14:14" ht="13">
      <c r="N862" s="10"/>
    </row>
    <row r="863" spans="14:14" ht="13">
      <c r="N863" s="10"/>
    </row>
    <row r="864" spans="14:14" ht="13">
      <c r="N864" s="10"/>
    </row>
    <row r="865" spans="14:14" ht="13">
      <c r="N865" s="10"/>
    </row>
    <row r="866" spans="14:14" ht="13">
      <c r="N866" s="10"/>
    </row>
    <row r="867" spans="14:14" ht="13">
      <c r="N867" s="10"/>
    </row>
    <row r="868" spans="14:14" ht="13">
      <c r="N868" s="10"/>
    </row>
    <row r="869" spans="14:14" ht="13">
      <c r="N869" s="10"/>
    </row>
    <row r="870" spans="14:14" ht="13">
      <c r="N870" s="10"/>
    </row>
    <row r="871" spans="14:14" ht="13">
      <c r="N871" s="10"/>
    </row>
    <row r="872" spans="14:14" ht="13">
      <c r="N872" s="10"/>
    </row>
    <row r="873" spans="14:14" ht="13">
      <c r="N873" s="10"/>
    </row>
    <row r="874" spans="14:14" ht="13">
      <c r="N874" s="10"/>
    </row>
    <row r="875" spans="14:14" ht="13">
      <c r="N875" s="10"/>
    </row>
    <row r="876" spans="14:14" ht="13">
      <c r="N876" s="10"/>
    </row>
    <row r="877" spans="14:14" ht="13">
      <c r="N877" s="10"/>
    </row>
    <row r="878" spans="14:14" ht="13">
      <c r="N878" s="10"/>
    </row>
    <row r="879" spans="14:14" ht="13">
      <c r="N879" s="10"/>
    </row>
    <row r="880" spans="14:14" ht="13">
      <c r="N880" s="10"/>
    </row>
    <row r="881" spans="14:14" ht="13">
      <c r="N881" s="10"/>
    </row>
    <row r="882" spans="14:14" ht="13">
      <c r="N882" s="10"/>
    </row>
    <row r="883" spans="14:14" ht="13">
      <c r="N883" s="10"/>
    </row>
    <row r="884" spans="14:14" ht="13">
      <c r="N884" s="10"/>
    </row>
    <row r="885" spans="14:14" ht="13">
      <c r="N885" s="10"/>
    </row>
    <row r="886" spans="14:14" ht="13">
      <c r="N886" s="10"/>
    </row>
    <row r="887" spans="14:14" ht="13">
      <c r="N887" s="10"/>
    </row>
    <row r="888" spans="14:14" ht="13">
      <c r="N888" s="10"/>
    </row>
    <row r="889" spans="14:14" ht="13">
      <c r="N889" s="10"/>
    </row>
    <row r="890" spans="14:14" ht="13">
      <c r="N890" s="10"/>
    </row>
    <row r="891" spans="14:14" ht="13">
      <c r="N891" s="10"/>
    </row>
    <row r="892" spans="14:14" ht="13">
      <c r="N892" s="10"/>
    </row>
    <row r="893" spans="14:14" ht="13">
      <c r="N893" s="10"/>
    </row>
    <row r="894" spans="14:14" ht="13">
      <c r="N894" s="10"/>
    </row>
    <row r="895" spans="14:14" ht="13">
      <c r="N895" s="10"/>
    </row>
    <row r="896" spans="14:14" ht="13">
      <c r="N896" s="10"/>
    </row>
    <row r="897" spans="14:14" ht="13">
      <c r="N897" s="10"/>
    </row>
    <row r="898" spans="14:14" ht="13">
      <c r="N898" s="10"/>
    </row>
    <row r="899" spans="14:14" ht="13">
      <c r="N899" s="10"/>
    </row>
    <row r="900" spans="14:14" ht="13">
      <c r="N900" s="10"/>
    </row>
    <row r="901" spans="14:14" ht="13">
      <c r="N901" s="10"/>
    </row>
    <row r="902" spans="14:14" ht="13">
      <c r="N902" s="10"/>
    </row>
    <row r="903" spans="14:14" ht="13">
      <c r="N903" s="10"/>
    </row>
    <row r="904" spans="14:14" ht="13">
      <c r="N904" s="10"/>
    </row>
    <row r="905" spans="14:14" ht="13">
      <c r="N905" s="10"/>
    </row>
    <row r="906" spans="14:14" ht="13">
      <c r="N906" s="10"/>
    </row>
    <row r="907" spans="14:14" ht="13">
      <c r="N907" s="10"/>
    </row>
    <row r="908" spans="14:14" ht="13">
      <c r="N908" s="10"/>
    </row>
    <row r="909" spans="14:14" ht="13">
      <c r="N909" s="10"/>
    </row>
    <row r="910" spans="14:14" ht="13">
      <c r="N910" s="10"/>
    </row>
    <row r="911" spans="14:14" ht="13">
      <c r="N911" s="10"/>
    </row>
    <row r="912" spans="14:14" ht="13">
      <c r="N912" s="10"/>
    </row>
    <row r="913" spans="14:14" ht="13">
      <c r="N913" s="10"/>
    </row>
    <row r="914" spans="14:14" ht="13">
      <c r="N914" s="10"/>
    </row>
    <row r="915" spans="14:14" ht="13">
      <c r="N915" s="10"/>
    </row>
    <row r="916" spans="14:14" ht="13">
      <c r="N916" s="10"/>
    </row>
    <row r="917" spans="14:14" ht="13">
      <c r="N917" s="10"/>
    </row>
    <row r="918" spans="14:14" ht="13">
      <c r="N918" s="10"/>
    </row>
    <row r="919" spans="14:14" ht="13">
      <c r="N919" s="10"/>
    </row>
    <row r="920" spans="14:14" ht="13">
      <c r="N920" s="10"/>
    </row>
    <row r="921" spans="14:14" ht="13">
      <c r="N921" s="10"/>
    </row>
    <row r="922" spans="14:14" ht="13">
      <c r="N922" s="10"/>
    </row>
    <row r="923" spans="14:14" ht="13">
      <c r="N923" s="10"/>
    </row>
    <row r="924" spans="14:14" ht="13">
      <c r="N924" s="10"/>
    </row>
    <row r="925" spans="14:14" ht="13">
      <c r="N925" s="10"/>
    </row>
    <row r="926" spans="14:14" ht="13">
      <c r="N926" s="10"/>
    </row>
    <row r="927" spans="14:14" ht="13">
      <c r="N927" s="10"/>
    </row>
    <row r="928" spans="14:14" ht="13">
      <c r="N928" s="10"/>
    </row>
    <row r="929" spans="14:14" ht="13">
      <c r="N929" s="10"/>
    </row>
    <row r="930" spans="14:14" ht="13">
      <c r="N930" s="10"/>
    </row>
    <row r="931" spans="14:14" ht="13">
      <c r="N931" s="10"/>
    </row>
    <row r="932" spans="14:14" ht="13">
      <c r="N932" s="10"/>
    </row>
    <row r="933" spans="14:14" ht="13">
      <c r="N933" s="10"/>
    </row>
    <row r="934" spans="14:14" ht="13">
      <c r="N934" s="10"/>
    </row>
    <row r="935" spans="14:14" ht="13">
      <c r="N935" s="10"/>
    </row>
    <row r="936" spans="14:14" ht="13">
      <c r="N936" s="10"/>
    </row>
    <row r="937" spans="14:14" ht="13">
      <c r="N937" s="10"/>
    </row>
    <row r="938" spans="14:14" ht="13">
      <c r="N938" s="10"/>
    </row>
    <row r="939" spans="14:14" ht="13">
      <c r="N939" s="10"/>
    </row>
    <row r="940" spans="14:14" ht="13">
      <c r="N940" s="10"/>
    </row>
    <row r="941" spans="14:14" ht="13">
      <c r="N941" s="10"/>
    </row>
    <row r="942" spans="14:14" ht="13">
      <c r="N942" s="10"/>
    </row>
    <row r="943" spans="14:14" ht="13">
      <c r="N943" s="10"/>
    </row>
    <row r="944" spans="14:14" ht="13">
      <c r="N944" s="10"/>
    </row>
    <row r="945" spans="14:14" ht="13">
      <c r="N945" s="10"/>
    </row>
    <row r="946" spans="14:14" ht="13">
      <c r="N946" s="10"/>
    </row>
    <row r="947" spans="14:14" ht="13">
      <c r="N947" s="10"/>
    </row>
    <row r="948" spans="14:14" ht="13">
      <c r="N948" s="10"/>
    </row>
    <row r="949" spans="14:14" ht="13">
      <c r="N949" s="10"/>
    </row>
    <row r="950" spans="14:14" ht="13">
      <c r="N950" s="10"/>
    </row>
    <row r="951" spans="14:14" ht="13">
      <c r="N951" s="10"/>
    </row>
    <row r="952" spans="14:14" ht="13">
      <c r="N952" s="10"/>
    </row>
    <row r="953" spans="14:14" ht="13">
      <c r="N953" s="10"/>
    </row>
  </sheetData>
  <mergeCells count="3">
    <mergeCell ref="A3:N3"/>
    <mergeCell ref="A4:N4"/>
    <mergeCell ref="A50:N50"/>
  </mergeCells>
  <conditionalFormatting sqref="C5">
    <cfRule type="notContainsBlanks" dxfId="34" priority="7">
      <formula>LEN(TRIM(C5))&gt;0</formula>
    </cfRule>
  </conditionalFormatting>
  <conditionalFormatting sqref="D5">
    <cfRule type="notContainsBlanks" dxfId="33" priority="6">
      <formula>LEN(TRIM(D5))&gt;0</formula>
    </cfRule>
  </conditionalFormatting>
  <conditionalFormatting sqref="F5">
    <cfRule type="notContainsBlanks" dxfId="32" priority="5">
      <formula>LEN(TRIM(F5))&gt;0</formula>
    </cfRule>
  </conditionalFormatting>
  <conditionalFormatting sqref="G5">
    <cfRule type="notContainsBlanks" dxfId="31" priority="4">
      <formula>LEN(TRIM(G5))&gt;0</formula>
    </cfRule>
  </conditionalFormatting>
  <conditionalFormatting sqref="E5">
    <cfRule type="notContainsBlanks" dxfId="30" priority="3">
      <formula>LEN(TRIM(E5))&gt;0</formula>
    </cfRule>
  </conditionalFormatting>
  <conditionalFormatting sqref="K5">
    <cfRule type="notContainsBlanks" dxfId="29" priority="2">
      <formula>LEN(TRIM(K5))&gt;0</formula>
    </cfRule>
  </conditionalFormatting>
  <conditionalFormatting sqref="M5">
    <cfRule type="notContainsBlanks" dxfId="28" priority="1">
      <formula>LEN(TRIM(M5))&gt;0</formula>
    </cfRule>
  </conditionalFormatting>
  <hyperlinks>
    <hyperlink ref="A6" r:id="rId1" xr:uid="{00000000-0004-0000-0700-000000000000}"/>
    <hyperlink ref="A7" r:id="rId2" xr:uid="{00000000-0004-0000-0700-000001000000}"/>
    <hyperlink ref="A8" r:id="rId3" xr:uid="{00000000-0004-0000-0700-000002000000}"/>
    <hyperlink ref="A9" r:id="rId4" xr:uid="{00000000-0004-0000-0700-000003000000}"/>
    <hyperlink ref="A10" r:id="rId5" xr:uid="{00000000-0004-0000-0700-000004000000}"/>
    <hyperlink ref="A11" r:id="rId6" xr:uid="{00000000-0004-0000-0700-000005000000}"/>
    <hyperlink ref="A12" r:id="rId7" xr:uid="{00000000-0004-0000-0700-000006000000}"/>
    <hyperlink ref="A13" r:id="rId8" xr:uid="{00000000-0004-0000-0700-000007000000}"/>
    <hyperlink ref="A14" r:id="rId9" xr:uid="{00000000-0004-0000-0700-000008000000}"/>
    <hyperlink ref="A15" r:id="rId10" xr:uid="{00000000-0004-0000-0700-000009000000}"/>
    <hyperlink ref="A16" r:id="rId11" xr:uid="{00000000-0004-0000-0700-00000A000000}"/>
    <hyperlink ref="A17" r:id="rId12" xr:uid="{00000000-0004-0000-0700-00000B000000}"/>
    <hyperlink ref="A18" r:id="rId13" xr:uid="{00000000-0004-0000-0700-00000C000000}"/>
    <hyperlink ref="A19" r:id="rId14" xr:uid="{00000000-0004-0000-0700-00000D000000}"/>
    <hyperlink ref="A20" r:id="rId15" xr:uid="{00000000-0004-0000-0700-00000E000000}"/>
    <hyperlink ref="A21" r:id="rId16" xr:uid="{00000000-0004-0000-0700-00000F000000}"/>
    <hyperlink ref="A22" r:id="rId17" xr:uid="{00000000-0004-0000-0700-000010000000}"/>
    <hyperlink ref="A23" r:id="rId18" xr:uid="{00000000-0004-0000-0700-000011000000}"/>
    <hyperlink ref="A24" r:id="rId19" xr:uid="{00000000-0004-0000-0700-000012000000}"/>
    <hyperlink ref="A25" r:id="rId20" xr:uid="{00000000-0004-0000-0700-000013000000}"/>
    <hyperlink ref="A26" r:id="rId21" xr:uid="{00000000-0004-0000-0700-000014000000}"/>
    <hyperlink ref="A27" r:id="rId22" xr:uid="{00000000-0004-0000-0700-000015000000}"/>
    <hyperlink ref="A28" r:id="rId23" xr:uid="{00000000-0004-0000-0700-000016000000}"/>
    <hyperlink ref="A29" r:id="rId24" xr:uid="{00000000-0004-0000-0700-000017000000}"/>
    <hyperlink ref="A30" r:id="rId25" xr:uid="{00000000-0004-0000-0700-000018000000}"/>
    <hyperlink ref="A31" r:id="rId26" xr:uid="{00000000-0004-0000-0700-000019000000}"/>
    <hyperlink ref="A32" r:id="rId27" xr:uid="{00000000-0004-0000-0700-00001A000000}"/>
    <hyperlink ref="A33" r:id="rId28" xr:uid="{00000000-0004-0000-0700-00001B000000}"/>
    <hyperlink ref="A34" r:id="rId29" xr:uid="{00000000-0004-0000-0700-00001C000000}"/>
    <hyperlink ref="A35" r:id="rId30" xr:uid="{00000000-0004-0000-0700-00001D000000}"/>
    <hyperlink ref="A36" r:id="rId31" xr:uid="{00000000-0004-0000-0700-00001E000000}"/>
    <hyperlink ref="A37" r:id="rId32" xr:uid="{00000000-0004-0000-0700-00001F000000}"/>
    <hyperlink ref="A38" r:id="rId33" xr:uid="{00000000-0004-0000-0700-000020000000}"/>
    <hyperlink ref="A39" r:id="rId34" xr:uid="{00000000-0004-0000-0700-000021000000}"/>
    <hyperlink ref="A40" r:id="rId35" xr:uid="{00000000-0004-0000-0700-000022000000}"/>
    <hyperlink ref="A41" r:id="rId36" xr:uid="{00000000-0004-0000-0700-000023000000}"/>
    <hyperlink ref="A42" r:id="rId37" xr:uid="{00000000-0004-0000-0700-000024000000}"/>
    <hyperlink ref="A43" r:id="rId38" xr:uid="{00000000-0004-0000-0700-000025000000}"/>
    <hyperlink ref="A45" r:id="rId39" xr:uid="{00000000-0004-0000-0700-000026000000}"/>
  </hyperlink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2:O975"/>
  <sheetViews>
    <sheetView zoomScale="118" workbookViewId="0">
      <selection activeCell="B6" sqref="B6:B56"/>
    </sheetView>
  </sheetViews>
  <sheetFormatPr baseColWidth="10" defaultColWidth="12.6640625" defaultRowHeight="15.75" customHeight="1" outlineLevelRow="1"/>
  <cols>
    <col min="1" max="1" width="19.1640625" customWidth="1"/>
    <col min="5" max="5" width="14.33203125" customWidth="1"/>
    <col min="6" max="7" width="13.33203125" customWidth="1"/>
    <col min="8" max="8" width="18.33203125" customWidth="1"/>
    <col min="9" max="9" width="21" customWidth="1"/>
    <col min="10" max="10" width="20.1640625" customWidth="1"/>
    <col min="11" max="11" width="24.1640625" customWidth="1"/>
    <col min="12" max="12" width="20.33203125" customWidth="1"/>
  </cols>
  <sheetData>
    <row r="2" spans="1:15" ht="19" customHeight="1" outlineLevel="1" thickBot="1">
      <c r="D2" s="120"/>
      <c r="E2" s="37"/>
      <c r="F2" s="37"/>
      <c r="G2" s="31"/>
    </row>
    <row r="3" spans="1:15" ht="18" customHeight="1" outlineLevel="1" thickBot="1">
      <c r="A3" s="271" t="s">
        <v>664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3"/>
    </row>
    <row r="4" spans="1:15" ht="35" customHeight="1" outlineLevel="1" thickBot="1">
      <c r="A4" s="212" t="s">
        <v>667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23"/>
      <c r="M4" s="217"/>
      <c r="N4" s="137"/>
      <c r="O4" s="137"/>
    </row>
    <row r="5" spans="1:15" ht="40" customHeight="1" outlineLevel="1" thickBot="1">
      <c r="A5" s="44" t="s">
        <v>617</v>
      </c>
      <c r="B5" s="44" t="s">
        <v>0</v>
      </c>
      <c r="C5" s="215" t="s">
        <v>631</v>
      </c>
      <c r="D5" s="215" t="s">
        <v>632</v>
      </c>
      <c r="E5" s="274" t="s">
        <v>633</v>
      </c>
      <c r="F5" s="215" t="s">
        <v>634</v>
      </c>
      <c r="G5" s="215" t="s">
        <v>641</v>
      </c>
      <c r="H5" s="275" t="s">
        <v>636</v>
      </c>
      <c r="I5" s="275" t="s">
        <v>637</v>
      </c>
      <c r="J5" s="275" t="s">
        <v>642</v>
      </c>
      <c r="K5" s="275" t="s">
        <v>643</v>
      </c>
      <c r="L5" s="216" t="s">
        <v>666</v>
      </c>
      <c r="M5" s="270"/>
      <c r="N5" s="37"/>
      <c r="O5" s="37"/>
    </row>
    <row r="6" spans="1:15" ht="15.75" customHeight="1" outlineLevel="1">
      <c r="A6" s="56" t="s">
        <v>232</v>
      </c>
      <c r="B6" s="346" t="s">
        <v>665</v>
      </c>
      <c r="C6" s="47">
        <v>494.32</v>
      </c>
      <c r="D6" s="47">
        <v>969</v>
      </c>
      <c r="E6" s="88">
        <f>D6/(C6*8765.81277)*1000</f>
        <v>0.22362657101167113</v>
      </c>
      <c r="F6" s="47">
        <v>230.2</v>
      </c>
      <c r="G6" s="47">
        <v>15126</v>
      </c>
      <c r="H6" s="184">
        <f>C6*E6/F6</f>
        <v>0.48020454640525312</v>
      </c>
      <c r="I6" s="111">
        <f>D6*10^(-3)/(F6)</f>
        <v>4.2093831450912252E-3</v>
      </c>
      <c r="J6" s="191">
        <f>C6*10^6*E6/(G6*10^6)</f>
        <v>7.3081506401222575E-3</v>
      </c>
      <c r="K6" s="188">
        <f>D6*10^(-3)/(G6)</f>
        <v>6.4061880206267352E-5</v>
      </c>
      <c r="L6" s="96">
        <f>H6/J6</f>
        <v>65.708079930495217</v>
      </c>
      <c r="M6" s="36"/>
    </row>
    <row r="7" spans="1:15" ht="15.75" customHeight="1" outlineLevel="1">
      <c r="A7" s="57" t="s">
        <v>233</v>
      </c>
      <c r="B7" s="347" t="s">
        <v>665</v>
      </c>
      <c r="C7" s="36">
        <v>1003.25</v>
      </c>
      <c r="D7" s="36">
        <v>3587</v>
      </c>
      <c r="E7" s="55">
        <f t="shared" ref="E7:E56" si="0">D7/(C7*8765.81277)*1000</f>
        <v>0.40787775289791045</v>
      </c>
      <c r="F7" s="36">
        <v>6.75</v>
      </c>
      <c r="G7" s="36">
        <v>65000</v>
      </c>
      <c r="H7" s="93">
        <f t="shared" ref="H7:H56" si="1">C7*E7/F7</f>
        <v>60.622719347382024</v>
      </c>
      <c r="I7" s="91">
        <f>D7*10^(-3)/(F7)</f>
        <v>0.53140740740740744</v>
      </c>
      <c r="J7" s="192">
        <f>C7*10^6*E7/(G7*10^6)</f>
        <v>6.2954362399204409E-3</v>
      </c>
      <c r="K7" s="189">
        <f>D7*10^(-3)/(G7)</f>
        <v>5.5184615384615389E-5</v>
      </c>
      <c r="L7" s="97">
        <f>H7/J7</f>
        <v>9629.6296296296296</v>
      </c>
      <c r="M7" s="36"/>
    </row>
    <row r="8" spans="1:15" ht="15.75" customHeight="1" outlineLevel="1">
      <c r="A8" s="57" t="s">
        <v>234</v>
      </c>
      <c r="B8" s="347" t="s">
        <v>665</v>
      </c>
      <c r="C8" s="36">
        <v>585.4</v>
      </c>
      <c r="D8" s="36">
        <v>2406.8000000000002</v>
      </c>
      <c r="E8" s="55">
        <f t="shared" si="0"/>
        <v>0.46902403054077701</v>
      </c>
      <c r="F8" s="36">
        <v>61</v>
      </c>
      <c r="G8" s="36">
        <v>188000</v>
      </c>
      <c r="H8" s="93">
        <f t="shared" si="1"/>
        <v>4.5010929094847683</v>
      </c>
      <c r="I8" s="91">
        <f>D8*10^(-3)/(F8)</f>
        <v>3.9455737704918031E-2</v>
      </c>
      <c r="J8" s="192">
        <f>C8*10^6*E8/(G8*10^6)</f>
        <v>1.4604609972264408E-3</v>
      </c>
      <c r="K8" s="189">
        <f>D8*10^(-3)/(G8)</f>
        <v>1.2802127659574469E-5</v>
      </c>
      <c r="L8" s="97">
        <f>H8/J8</f>
        <v>3081.967213114754</v>
      </c>
      <c r="M8" s="36"/>
    </row>
    <row r="9" spans="1:15" ht="15.75" customHeight="1" outlineLevel="1">
      <c r="A9" s="57" t="s">
        <v>235</v>
      </c>
      <c r="B9" s="347" t="s">
        <v>665</v>
      </c>
      <c r="C9" s="36">
        <v>380</v>
      </c>
      <c r="D9" s="36">
        <v>883.91</v>
      </c>
      <c r="E9" s="55">
        <f t="shared" si="0"/>
        <v>0.26535804589953849</v>
      </c>
      <c r="F9" s="36">
        <v>288.3</v>
      </c>
      <c r="G9" s="36">
        <v>15630</v>
      </c>
      <c r="H9" s="93">
        <f t="shared" si="1"/>
        <v>0.34976086521617972</v>
      </c>
      <c r="I9" s="91">
        <f>D9*10^(-3)/(F9)</f>
        <v>3.0659382587582377E-3</v>
      </c>
      <c r="J9" s="192">
        <f>C9*10^6*E9/(G9*10^6)</f>
        <v>6.4514432144481531E-3</v>
      </c>
      <c r="K9" s="189">
        <f>D9*10^(-3)/(G9)</f>
        <v>5.6552143314139476E-5</v>
      </c>
      <c r="L9" s="97">
        <f>H9/J9</f>
        <v>54.214360041623301</v>
      </c>
      <c r="M9" s="36"/>
    </row>
    <row r="10" spans="1:15" ht="15.75" customHeight="1" outlineLevel="1">
      <c r="A10" s="57" t="s">
        <v>236</v>
      </c>
      <c r="B10" s="347" t="s">
        <v>665</v>
      </c>
      <c r="C10" s="36">
        <v>2620</v>
      </c>
      <c r="D10" s="36">
        <v>9780</v>
      </c>
      <c r="E10" s="55">
        <f t="shared" si="0"/>
        <v>0.42583894105702141</v>
      </c>
      <c r="F10" s="36">
        <v>34</v>
      </c>
      <c r="G10" s="36">
        <v>195285</v>
      </c>
      <c r="H10" s="93">
        <f t="shared" si="1"/>
        <v>32.814647810864592</v>
      </c>
      <c r="I10" s="91">
        <f>D10*10^(-3)/(F10)</f>
        <v>0.28764705882352937</v>
      </c>
      <c r="J10" s="192">
        <f>C10*10^6*E10/(G10*10^6)</f>
        <v>5.7131783064208515E-3</v>
      </c>
      <c r="K10" s="189">
        <f>D10*10^(-3)/(G10)</f>
        <v>5.0080651355710879E-5</v>
      </c>
      <c r="L10" s="97">
        <f>H10/J10</f>
        <v>5743.676470588236</v>
      </c>
      <c r="M10" s="36"/>
    </row>
    <row r="11" spans="1:15" ht="15.75" customHeight="1" outlineLevel="1">
      <c r="A11" s="57" t="s">
        <v>237</v>
      </c>
      <c r="B11" s="347" t="s">
        <v>665</v>
      </c>
      <c r="C11" s="36">
        <v>165.9</v>
      </c>
      <c r="D11" s="36"/>
      <c r="E11" s="55">
        <f t="shared" si="0"/>
        <v>0</v>
      </c>
      <c r="F11" s="36">
        <v>4</v>
      </c>
      <c r="G11" s="36"/>
      <c r="H11" s="93"/>
      <c r="I11" s="91"/>
      <c r="J11" s="192"/>
      <c r="K11" s="189"/>
      <c r="L11" s="97"/>
      <c r="M11" s="36"/>
    </row>
    <row r="12" spans="1:15" ht="15.75" customHeight="1" outlineLevel="1">
      <c r="A12" s="57" t="s">
        <v>238</v>
      </c>
      <c r="B12" s="347" t="s">
        <v>665</v>
      </c>
      <c r="C12" s="36">
        <v>548</v>
      </c>
      <c r="D12" s="36">
        <v>1600</v>
      </c>
      <c r="E12" s="55">
        <f t="shared" si="0"/>
        <v>0.33307898603418151</v>
      </c>
      <c r="F12" s="36">
        <v>36</v>
      </c>
      <c r="G12" s="36"/>
      <c r="H12" s="93">
        <f t="shared" si="1"/>
        <v>5.0702023429647634</v>
      </c>
      <c r="I12" s="91">
        <f>D12*10^(-3)/(F12)</f>
        <v>4.4444444444444446E-2</v>
      </c>
      <c r="J12" s="192"/>
      <c r="K12" s="189"/>
      <c r="L12" s="97"/>
      <c r="M12" s="36"/>
    </row>
    <row r="13" spans="1:15" ht="15.75" customHeight="1" outlineLevel="1">
      <c r="A13" s="57" t="s">
        <v>239</v>
      </c>
      <c r="B13" s="347" t="s">
        <v>665</v>
      </c>
      <c r="C13" s="36">
        <v>251</v>
      </c>
      <c r="D13" s="36">
        <v>1148</v>
      </c>
      <c r="E13" s="55">
        <f t="shared" si="0"/>
        <v>0.52176624111067671</v>
      </c>
      <c r="F13" s="36">
        <v>107</v>
      </c>
      <c r="G13" s="36"/>
      <c r="H13" s="93">
        <f t="shared" si="1"/>
        <v>1.2239563226054193</v>
      </c>
      <c r="I13" s="91">
        <f>D13*10^(-3)/(F13)</f>
        <v>1.0728971962616823E-2</v>
      </c>
      <c r="J13" s="192"/>
      <c r="K13" s="189"/>
      <c r="L13" s="97"/>
      <c r="M13" s="36"/>
    </row>
    <row r="14" spans="1:15" ht="15.75" customHeight="1" outlineLevel="1">
      <c r="A14" s="57" t="s">
        <v>240</v>
      </c>
      <c r="B14" s="347" t="s">
        <v>665</v>
      </c>
      <c r="C14" s="36">
        <v>460</v>
      </c>
      <c r="D14" s="36">
        <v>1693</v>
      </c>
      <c r="E14" s="55">
        <f t="shared" si="0"/>
        <v>0.41986235380301135</v>
      </c>
      <c r="F14" s="36">
        <v>69.2</v>
      </c>
      <c r="G14" s="36">
        <v>6300</v>
      </c>
      <c r="H14" s="93">
        <f t="shared" si="1"/>
        <v>2.7909925252801329</v>
      </c>
      <c r="I14" s="91">
        <f>D14*10^(-3)/(F14)</f>
        <v>2.4465317919075143E-2</v>
      </c>
      <c r="J14" s="192">
        <f>C14*10^6*E14/(G14*10^6)</f>
        <v>3.0656616309426222E-2</v>
      </c>
      <c r="K14" s="189">
        <f>D14*10^(-3)/(G14)</f>
        <v>2.6873015873015875E-4</v>
      </c>
      <c r="L14" s="97">
        <f>H14/J14</f>
        <v>91.040462427745666</v>
      </c>
      <c r="M14" s="36"/>
    </row>
    <row r="15" spans="1:15" ht="15.75" customHeight="1" outlineLevel="1">
      <c r="A15" s="57" t="s">
        <v>241</v>
      </c>
      <c r="B15" s="347" t="s">
        <v>665</v>
      </c>
      <c r="C15" s="36">
        <v>320</v>
      </c>
      <c r="D15" s="36">
        <v>1000</v>
      </c>
      <c r="E15" s="55">
        <f t="shared" si="0"/>
        <v>0.35649860223970986</v>
      </c>
      <c r="F15" s="36">
        <v>410</v>
      </c>
      <c r="G15" s="36">
        <v>36648</v>
      </c>
      <c r="H15" s="93">
        <f t="shared" si="1"/>
        <v>0.2782428115041638</v>
      </c>
      <c r="I15" s="91">
        <f>D15*10^(-3)/(F15)</f>
        <v>2.4390243902439024E-3</v>
      </c>
      <c r="J15" s="192">
        <f>C15*10^6*E15/(G15*10^6)</f>
        <v>3.1128452498555763E-3</v>
      </c>
      <c r="K15" s="189">
        <f>D15*10^(-3)/(G15)</f>
        <v>2.7286618642217856E-5</v>
      </c>
      <c r="L15" s="97">
        <f>H15/J15</f>
        <v>89.385365853658541</v>
      </c>
      <c r="M15" s="36"/>
    </row>
    <row r="16" spans="1:15" ht="15.75" customHeight="1" outlineLevel="1">
      <c r="A16" s="57" t="s">
        <v>242</v>
      </c>
      <c r="B16" s="347" t="s">
        <v>665</v>
      </c>
      <c r="C16" s="36">
        <v>583.29999999999995</v>
      </c>
      <c r="D16" s="36">
        <v>2250</v>
      </c>
      <c r="E16" s="55">
        <f t="shared" si="0"/>
        <v>0.44004627740886532</v>
      </c>
      <c r="F16" s="36">
        <v>1546</v>
      </c>
      <c r="G16" s="36">
        <v>320899</v>
      </c>
      <c r="H16" s="93">
        <f t="shared" si="1"/>
        <v>0.16602780958123617</v>
      </c>
      <c r="I16" s="91">
        <f>D16*10^(-3)/(F16)</f>
        <v>1.4553686934023287E-3</v>
      </c>
      <c r="J16" s="192">
        <f>C16*10^6*E16/(G16*10^6)</f>
        <v>7.9987470703427293E-4</v>
      </c>
      <c r="K16" s="189">
        <f>D16*10^(-3)/(G16)</f>
        <v>7.0115519213210385E-6</v>
      </c>
      <c r="L16" s="97">
        <f>H16/J16</f>
        <v>207.56727037516168</v>
      </c>
      <c r="M16" s="36"/>
    </row>
    <row r="17" spans="1:14" ht="15.75" customHeight="1" outlineLevel="1">
      <c r="A17" s="57" t="s">
        <v>243</v>
      </c>
      <c r="B17" s="347" t="s">
        <v>665</v>
      </c>
      <c r="C17" s="36">
        <v>1320</v>
      </c>
      <c r="D17" s="36">
        <v>4717</v>
      </c>
      <c r="E17" s="55">
        <f t="shared" si="0"/>
        <v>0.40766155315508168</v>
      </c>
      <c r="F17" s="36">
        <v>653.1</v>
      </c>
      <c r="G17" s="36">
        <v>280590</v>
      </c>
      <c r="H17" s="93">
        <f t="shared" si="1"/>
        <v>0.82393699305574608</v>
      </c>
      <c r="I17" s="91">
        <f>D17*10^(-3)/(F17)</f>
        <v>7.2224774154034613E-3</v>
      </c>
      <c r="J17" s="192">
        <f>C17*10^6*E17/(G17*10^6)</f>
        <v>1.9177919746416756E-3</v>
      </c>
      <c r="K17" s="189">
        <f>D17*10^(-3)/(G17)</f>
        <v>1.681100538151752E-5</v>
      </c>
      <c r="L17" s="97">
        <f>H17/J17</f>
        <v>429.62792834175474</v>
      </c>
      <c r="M17" s="36"/>
    </row>
    <row r="18" spans="1:14" ht="15.75" customHeight="1" outlineLevel="1">
      <c r="A18" s="57" t="s">
        <v>244</v>
      </c>
      <c r="B18" s="347" t="s">
        <v>665</v>
      </c>
      <c r="C18" s="36">
        <v>6809</v>
      </c>
      <c r="D18" s="36">
        <v>21000</v>
      </c>
      <c r="E18" s="55">
        <f t="shared" si="0"/>
        <v>0.35183883199454408</v>
      </c>
      <c r="F18" s="36">
        <v>324</v>
      </c>
      <c r="G18" s="36">
        <v>191918</v>
      </c>
      <c r="H18" s="93">
        <f t="shared" si="1"/>
        <v>7.3940450834902798</v>
      </c>
      <c r="I18" s="91">
        <f>D18*10^(-3)/(F18)</f>
        <v>6.4814814814814811E-2</v>
      </c>
      <c r="J18" s="192">
        <f>C18*10^6*E18/(G18*10^6)</f>
        <v>1.2482782266649561E-2</v>
      </c>
      <c r="K18" s="189">
        <f>D18*10^(-3)/(G18)</f>
        <v>1.0942173219812629E-4</v>
      </c>
      <c r="L18" s="97">
        <f>H18/J18</f>
        <v>592.33950617283949</v>
      </c>
      <c r="M18" s="36"/>
    </row>
    <row r="19" spans="1:14" ht="15.75" customHeight="1" outlineLevel="1">
      <c r="A19" s="57" t="s">
        <v>245</v>
      </c>
      <c r="B19" s="347" t="s">
        <v>665</v>
      </c>
      <c r="C19" s="36">
        <v>421</v>
      </c>
      <c r="D19" s="36">
        <v>468</v>
      </c>
      <c r="E19" s="55">
        <f t="shared" si="0"/>
        <v>0.12681527475396429</v>
      </c>
      <c r="F19" s="36">
        <v>226</v>
      </c>
      <c r="G19" s="36"/>
      <c r="H19" s="93">
        <f t="shared" si="1"/>
        <v>0.23623553394433169</v>
      </c>
      <c r="I19" s="91">
        <f>D19*10^(-3)/(F19)</f>
        <v>2.0707964601769913E-3</v>
      </c>
      <c r="J19" s="192"/>
      <c r="K19" s="189"/>
      <c r="L19" s="97"/>
      <c r="M19" s="36"/>
    </row>
    <row r="20" spans="1:14" ht="15.75" customHeight="1" outlineLevel="1">
      <c r="A20" s="57" t="s">
        <v>246</v>
      </c>
      <c r="B20" s="347" t="s">
        <v>665</v>
      </c>
      <c r="C20" s="36">
        <v>391</v>
      </c>
      <c r="D20" s="36">
        <v>2051.3000000000002</v>
      </c>
      <c r="E20" s="55">
        <f t="shared" si="0"/>
        <v>0.59849459459790644</v>
      </c>
      <c r="F20" s="36">
        <v>10</v>
      </c>
      <c r="G20" s="36">
        <v>189800</v>
      </c>
      <c r="H20" s="93">
        <f t="shared" si="1"/>
        <v>23.40113864877814</v>
      </c>
      <c r="I20" s="91">
        <f>D20*10^(-3)/(F20)</f>
        <v>0.20513000000000003</v>
      </c>
      <c r="J20" s="192">
        <f>C20*10^6*E20/(G20*10^6)</f>
        <v>1.2329367043613351E-3</v>
      </c>
      <c r="K20" s="189">
        <f>D20*10^(-3)/(G20)</f>
        <v>1.0807692307692309E-5</v>
      </c>
      <c r="L20" s="97">
        <f>H20/J20</f>
        <v>18980</v>
      </c>
      <c r="M20" s="36"/>
    </row>
    <row r="21" spans="1:14" ht="15.75" customHeight="1" outlineLevel="1">
      <c r="A21" s="57" t="s">
        <v>247</v>
      </c>
      <c r="B21" s="347" t="s">
        <v>665</v>
      </c>
      <c r="C21" s="36">
        <v>2080</v>
      </c>
      <c r="D21" s="36">
        <v>4200</v>
      </c>
      <c r="E21" s="55">
        <f t="shared" si="0"/>
        <v>0.23035294298565873</v>
      </c>
      <c r="F21" s="36">
        <v>640</v>
      </c>
      <c r="G21" s="36">
        <v>435000</v>
      </c>
      <c r="H21" s="93">
        <f t="shared" si="1"/>
        <v>0.74864706470339093</v>
      </c>
      <c r="I21" s="91">
        <f>D21*10^(-3)/(F21)</f>
        <v>6.5625000000000006E-3</v>
      </c>
      <c r="J21" s="192">
        <f>C21*10^6*E21/(G21*10^6)</f>
        <v>1.1014577503682072E-3</v>
      </c>
      <c r="K21" s="189">
        <f>D21*10^(-3)/(G21)</f>
        <v>9.6551724137931033E-6</v>
      </c>
      <c r="L21" s="97">
        <f>H21/J21</f>
        <v>679.68750000000011</v>
      </c>
      <c r="M21" s="36"/>
    </row>
    <row r="22" spans="1:14" ht="15.75" customHeight="1" outlineLevel="1">
      <c r="A22" s="57" t="s">
        <v>248</v>
      </c>
      <c r="B22" s="347" t="s">
        <v>665</v>
      </c>
      <c r="C22" s="36">
        <v>380</v>
      </c>
      <c r="D22" s="36">
        <v>700</v>
      </c>
      <c r="E22" s="55">
        <f t="shared" si="0"/>
        <v>0.21014654447814479</v>
      </c>
      <c r="F22" s="36">
        <v>288</v>
      </c>
      <c r="G22" s="36">
        <v>15910</v>
      </c>
      <c r="H22" s="93">
        <f t="shared" si="1"/>
        <v>0.2772766906308855</v>
      </c>
      <c r="I22" s="91">
        <f>D22*10^(-3)/(F22)</f>
        <v>2.4305555555555556E-3</v>
      </c>
      <c r="J22" s="192">
        <f>C22*10^6*E22/(G22*10^6)</f>
        <v>5.0192135073346966E-3</v>
      </c>
      <c r="K22" s="189">
        <f>D22*10^(-3)/(G22)</f>
        <v>4.3997485857950977E-5</v>
      </c>
      <c r="L22" s="97">
        <f>H22/J22</f>
        <v>55.243055555555557</v>
      </c>
      <c r="M22" s="36"/>
    </row>
    <row r="23" spans="1:14" ht="15.75" customHeight="1" outlineLevel="1">
      <c r="A23" s="57" t="s">
        <v>249</v>
      </c>
      <c r="B23" s="347" t="s">
        <v>665</v>
      </c>
      <c r="C23" s="36">
        <v>600</v>
      </c>
      <c r="D23" s="36">
        <v>1574.4</v>
      </c>
      <c r="E23" s="55">
        <f t="shared" si="0"/>
        <v>0.29934474632863961</v>
      </c>
      <c r="F23" s="36">
        <v>189</v>
      </c>
      <c r="G23" s="36">
        <v>23270</v>
      </c>
      <c r="H23" s="93">
        <f t="shared" si="1"/>
        <v>0.95030078199568135</v>
      </c>
      <c r="I23" s="91">
        <f>D23*10^(-3)/(F23)</f>
        <v>8.3301587301587311E-3</v>
      </c>
      <c r="J23" s="192">
        <f>C23*10^6*E23/(G23*10^6)</f>
        <v>7.7183862396727008E-3</v>
      </c>
      <c r="K23" s="189">
        <f>D23*10^(-3)/(G23)</f>
        <v>6.7657928663515261E-5</v>
      </c>
      <c r="L23" s="97">
        <f>H23/J23</f>
        <v>123.12169312169314</v>
      </c>
      <c r="M23" s="36"/>
    </row>
    <row r="24" spans="1:14" ht="15.75" customHeight="1" outlineLevel="1">
      <c r="A24" s="57" t="s">
        <v>250</v>
      </c>
      <c r="B24" s="347" t="s">
        <v>665</v>
      </c>
      <c r="C24" s="36">
        <v>378.4</v>
      </c>
      <c r="D24" s="36">
        <v>1100</v>
      </c>
      <c r="E24" s="55">
        <f t="shared" si="0"/>
        <v>0.33162660673461392</v>
      </c>
      <c r="F24" s="36">
        <v>47.9</v>
      </c>
      <c r="G24" s="36">
        <v>2700</v>
      </c>
      <c r="H24" s="93">
        <f t="shared" si="1"/>
        <v>2.6197809600913966</v>
      </c>
      <c r="I24" s="91">
        <f>D24*10^(-3)/(F24)</f>
        <v>2.2964509394572029E-2</v>
      </c>
      <c r="J24" s="192">
        <f>C24*10^6*E24/(G24*10^6)</f>
        <v>4.647685481051033E-2</v>
      </c>
      <c r="K24" s="189">
        <f>D24*10^(-3)/(G24)</f>
        <v>4.0740740740740744E-4</v>
      </c>
      <c r="L24" s="97">
        <f>H24/J24</f>
        <v>56.367432150313157</v>
      </c>
      <c r="M24" s="36"/>
    </row>
    <row r="25" spans="1:14" ht="15.75" customHeight="1" outlineLevel="1">
      <c r="A25" s="57" t="s">
        <v>251</v>
      </c>
      <c r="B25" s="347" t="s">
        <v>665</v>
      </c>
      <c r="C25" s="36">
        <v>340</v>
      </c>
      <c r="D25" s="36">
        <v>1114</v>
      </c>
      <c r="E25" s="55">
        <f t="shared" si="0"/>
        <v>0.37377829919532884</v>
      </c>
      <c r="F25" s="36">
        <v>19.5</v>
      </c>
      <c r="G25" s="36">
        <v>1270</v>
      </c>
      <c r="H25" s="93">
        <f t="shared" si="1"/>
        <v>6.5171600885339389</v>
      </c>
      <c r="I25" s="91">
        <f>D25*10^(-3)/(F25)</f>
        <v>5.7128205128205135E-2</v>
      </c>
      <c r="J25" s="192">
        <f>C25*10^6*E25/(G25*10^6)</f>
        <v>0.10006663128063921</v>
      </c>
      <c r="K25" s="189">
        <f>D25*10^(-3)/(G25)</f>
        <v>8.7716535433070872E-4</v>
      </c>
      <c r="L25" s="97">
        <f>H25/J25</f>
        <v>65.128205128205138</v>
      </c>
      <c r="M25" s="36"/>
      <c r="N25" s="34"/>
    </row>
    <row r="26" spans="1:14" ht="15.75" customHeight="1" outlineLevel="1">
      <c r="A26" s="57" t="s">
        <v>252</v>
      </c>
      <c r="B26" s="347" t="s">
        <v>665</v>
      </c>
      <c r="C26" s="36">
        <v>300</v>
      </c>
      <c r="D26" s="36">
        <v>417.88</v>
      </c>
      <c r="E26" s="55">
        <f t="shared" si="0"/>
        <v>0.15890521163085863</v>
      </c>
      <c r="F26" s="36">
        <v>51</v>
      </c>
      <c r="G26" s="36">
        <v>2340</v>
      </c>
      <c r="H26" s="93">
        <f t="shared" si="1"/>
        <v>0.93473653900505083</v>
      </c>
      <c r="I26" s="91">
        <f>D26*10^(-3)/(F26)</f>
        <v>8.1937254901960788E-3</v>
      </c>
      <c r="J26" s="192">
        <f>C26*10^6*E26/(G26*10^6)</f>
        <v>2.0372463029597259E-2</v>
      </c>
      <c r="K26" s="189">
        <f>D26*10^(-3)/(G26)</f>
        <v>1.7858119658119658E-4</v>
      </c>
      <c r="L26" s="97">
        <f>H26/J26</f>
        <v>45.882352941176478</v>
      </c>
      <c r="M26" s="36"/>
      <c r="N26" s="34"/>
    </row>
    <row r="27" spans="1:14" ht="15.75" customHeight="1" outlineLevel="1">
      <c r="A27" s="57" t="s">
        <v>253</v>
      </c>
      <c r="B27" s="347" t="s">
        <v>665</v>
      </c>
      <c r="C27" s="36">
        <v>527</v>
      </c>
      <c r="D27" s="36"/>
      <c r="E27" s="55">
        <f t="shared" si="0"/>
        <v>0</v>
      </c>
      <c r="F27" s="36">
        <v>31</v>
      </c>
      <c r="G27" s="36">
        <v>56500</v>
      </c>
      <c r="H27" s="93"/>
      <c r="I27" s="91"/>
      <c r="J27" s="192"/>
      <c r="K27" s="189"/>
      <c r="L27" s="97"/>
      <c r="M27" s="36"/>
      <c r="N27" s="34"/>
    </row>
    <row r="28" spans="1:14" ht="15.75" customHeight="1" outlineLevel="1">
      <c r="A28" s="57" t="s">
        <v>254</v>
      </c>
      <c r="B28" s="347" t="s">
        <v>665</v>
      </c>
      <c r="C28" s="36">
        <v>786</v>
      </c>
      <c r="D28" s="36">
        <v>2621</v>
      </c>
      <c r="E28" s="55">
        <f t="shared" si="0"/>
        <v>0.38041031510240392</v>
      </c>
      <c r="F28" s="36">
        <v>1510</v>
      </c>
      <c r="G28" s="36"/>
      <c r="H28" s="93">
        <f t="shared" si="1"/>
        <v>0.198014905742046</v>
      </c>
      <c r="I28" s="91">
        <f>D28*10^(-3)/(F28)</f>
        <v>1.7357615894039735E-3</v>
      </c>
      <c r="J28" s="192"/>
      <c r="K28" s="189"/>
      <c r="L28" s="97"/>
      <c r="M28" s="36"/>
      <c r="N28" s="34"/>
    </row>
    <row r="29" spans="1:14" ht="15.75" customHeight="1" outlineLevel="1">
      <c r="A29" s="57" t="s">
        <v>255</v>
      </c>
      <c r="B29" s="347" t="s">
        <v>665</v>
      </c>
      <c r="C29" s="36">
        <v>819</v>
      </c>
      <c r="D29" s="36">
        <v>1629</v>
      </c>
      <c r="E29" s="55">
        <f t="shared" si="0"/>
        <v>0.226905483974989</v>
      </c>
      <c r="F29" s="36">
        <v>63.96</v>
      </c>
      <c r="G29" s="36">
        <v>9340</v>
      </c>
      <c r="H29" s="93">
        <f t="shared" si="1"/>
        <v>2.9054970508992493</v>
      </c>
      <c r="I29" s="91">
        <f>D29*10^(-3)/(F29)</f>
        <v>2.5469043151969982E-2</v>
      </c>
      <c r="J29" s="192">
        <f>C29*10^6*E29/(G29*10^6)</f>
        <v>1.9896744258620556E-2</v>
      </c>
      <c r="K29" s="189">
        <f>D29*10^(-3)/(G29)</f>
        <v>1.7441113490364025E-4</v>
      </c>
      <c r="L29" s="97">
        <f>H29/J29</f>
        <v>146.02876797998749</v>
      </c>
      <c r="M29" s="36"/>
      <c r="N29" s="34"/>
    </row>
    <row r="30" spans="1:14" ht="15.75" customHeight="1" outlineLevel="1">
      <c r="A30" s="57" t="s">
        <v>256</v>
      </c>
      <c r="B30" s="347" t="s">
        <v>665</v>
      </c>
      <c r="C30" s="36">
        <v>372.5</v>
      </c>
      <c r="D30" s="36">
        <v>972.53989999999999</v>
      </c>
      <c r="E30" s="55">
        <f t="shared" si="0"/>
        <v>0.29784407192255336</v>
      </c>
      <c r="F30" s="36">
        <v>16.2</v>
      </c>
      <c r="G30" s="36">
        <v>19500</v>
      </c>
      <c r="H30" s="93">
        <f t="shared" si="1"/>
        <v>6.8485751105648847</v>
      </c>
      <c r="I30" s="91">
        <f>D30*10^(-3)/(F30)</f>
        <v>6.0033327160493831E-2</v>
      </c>
      <c r="J30" s="192">
        <f>C30*10^6*E30/(G30*10^6)</f>
        <v>5.6895854764692881E-3</v>
      </c>
      <c r="K30" s="189">
        <f>D30*10^(-3)/(G30)</f>
        <v>4.9873841025641025E-5</v>
      </c>
      <c r="L30" s="97">
        <f>H30/J30</f>
        <v>1203.7037037037039</v>
      </c>
      <c r="M30" s="36"/>
      <c r="N30" s="34"/>
    </row>
    <row r="31" spans="1:14" ht="15.75" customHeight="1" outlineLevel="1">
      <c r="A31" s="57" t="s">
        <v>257</v>
      </c>
      <c r="B31" s="347" t="s">
        <v>665</v>
      </c>
      <c r="C31" s="36">
        <v>676</v>
      </c>
      <c r="D31" s="36">
        <v>1935</v>
      </c>
      <c r="E31" s="55">
        <f t="shared" si="0"/>
        <v>0.32654428181483486</v>
      </c>
      <c r="F31" s="36">
        <v>120.4</v>
      </c>
      <c r="G31" s="36">
        <v>17260</v>
      </c>
      <c r="H31" s="93">
        <f t="shared" si="1"/>
        <v>1.8334213829470793</v>
      </c>
      <c r="I31" s="91">
        <f>D31*10^(-3)/(F31)</f>
        <v>1.607142857142857E-2</v>
      </c>
      <c r="J31" s="192">
        <f>C31*10^6*E31/(G31*10^6)</f>
        <v>1.278933571881972E-2</v>
      </c>
      <c r="K31" s="189">
        <f>D31*10^(-3)/(G31)</f>
        <v>1.1210892236384705E-4</v>
      </c>
      <c r="L31" s="97">
        <f>H31/J31</f>
        <v>143.35548172757476</v>
      </c>
      <c r="M31" s="36"/>
      <c r="N31" s="34"/>
    </row>
    <row r="32" spans="1:14" ht="15.75" customHeight="1" outlineLevel="1">
      <c r="A32" s="57" t="s">
        <v>258</v>
      </c>
      <c r="B32" s="347" t="s">
        <v>665</v>
      </c>
      <c r="C32" s="36">
        <v>1957</v>
      </c>
      <c r="D32" s="36"/>
      <c r="E32" s="55">
        <f t="shared" si="0"/>
        <v>0</v>
      </c>
      <c r="F32" s="36">
        <v>259</v>
      </c>
      <c r="G32" s="36"/>
      <c r="H32" s="93"/>
      <c r="I32" s="91"/>
      <c r="J32" s="192"/>
      <c r="K32" s="189"/>
      <c r="L32" s="97"/>
      <c r="M32" s="36"/>
      <c r="N32" s="34"/>
    </row>
    <row r="33" spans="1:14" ht="15.75" customHeight="1" outlineLevel="1" thickBot="1">
      <c r="A33" s="58" t="s">
        <v>259</v>
      </c>
      <c r="B33" s="348" t="s">
        <v>665</v>
      </c>
      <c r="C33" s="50">
        <v>653</v>
      </c>
      <c r="D33" s="50"/>
      <c r="E33" s="90">
        <f t="shared" si="0"/>
        <v>0</v>
      </c>
      <c r="F33" s="50">
        <v>63</v>
      </c>
      <c r="G33" s="50"/>
      <c r="H33" s="185"/>
      <c r="I33" s="112"/>
      <c r="J33" s="190"/>
      <c r="K33" s="186"/>
      <c r="L33" s="194"/>
      <c r="M33" s="36"/>
      <c r="N33" s="34"/>
    </row>
    <row r="34" spans="1:14" ht="15.75" customHeight="1" outlineLevel="1">
      <c r="A34" s="56" t="s">
        <v>260</v>
      </c>
      <c r="B34" s="346" t="s">
        <v>3</v>
      </c>
      <c r="C34" s="47">
        <v>1178</v>
      </c>
      <c r="D34" s="47">
        <v>5585.71</v>
      </c>
      <c r="E34" s="88">
        <f t="shared" si="0"/>
        <v>0.5409297949110683</v>
      </c>
      <c r="F34" s="47">
        <v>798</v>
      </c>
      <c r="G34" s="47"/>
      <c r="H34" s="184">
        <f>C34*E34/F34</f>
        <v>0.79851541153538652</v>
      </c>
      <c r="I34" s="111">
        <f>D34*10^(-3)/(F34)</f>
        <v>6.9996365914786968E-3</v>
      </c>
      <c r="J34" s="191"/>
      <c r="K34" s="188"/>
      <c r="L34" s="96"/>
      <c r="M34" s="36"/>
      <c r="N34" s="34"/>
    </row>
    <row r="35" spans="1:14" ht="15.75" customHeight="1" outlineLevel="1">
      <c r="A35" s="57" t="s">
        <v>261</v>
      </c>
      <c r="B35" s="347" t="s">
        <v>3</v>
      </c>
      <c r="C35" s="36">
        <v>120</v>
      </c>
      <c r="D35" s="36">
        <v>408</v>
      </c>
      <c r="E35" s="55">
        <f t="shared" si="0"/>
        <v>0.3878704792368044</v>
      </c>
      <c r="F35" s="36">
        <v>53.7</v>
      </c>
      <c r="G35" s="36"/>
      <c r="H35" s="93">
        <f t="shared" si="1"/>
        <v>0.86674967427218852</v>
      </c>
      <c r="I35" s="91">
        <f>D35*10^(-3)/(F35)</f>
        <v>7.5977653631284919E-3</v>
      </c>
      <c r="J35" s="192"/>
      <c r="K35" s="189"/>
      <c r="L35" s="97"/>
      <c r="M35" s="36"/>
      <c r="N35" s="34"/>
    </row>
    <row r="36" spans="1:14" ht="15.75" customHeight="1">
      <c r="A36" s="57" t="s">
        <v>262</v>
      </c>
      <c r="B36" s="347" t="s">
        <v>3</v>
      </c>
      <c r="C36" s="36">
        <v>469</v>
      </c>
      <c r="D36" s="36">
        <v>2300</v>
      </c>
      <c r="E36" s="55">
        <f t="shared" si="0"/>
        <v>0.55945196428235922</v>
      </c>
      <c r="F36" s="36">
        <v>4275</v>
      </c>
      <c r="G36" s="36"/>
      <c r="H36" s="93">
        <f t="shared" si="1"/>
        <v>6.1376133625362921E-2</v>
      </c>
      <c r="I36" s="91">
        <f>D36*10^(-3)/(F36)</f>
        <v>5.3801169590643276E-4</v>
      </c>
      <c r="J36" s="192"/>
      <c r="K36" s="189"/>
      <c r="L36" s="97"/>
      <c r="M36" s="36"/>
      <c r="N36" s="34"/>
    </row>
    <row r="37" spans="1:14" ht="15.75" customHeight="1">
      <c r="A37" s="57" t="s">
        <v>263</v>
      </c>
      <c r="B37" s="347" t="s">
        <v>3</v>
      </c>
      <c r="C37" s="36">
        <v>5428</v>
      </c>
      <c r="D37" s="36">
        <v>35000</v>
      </c>
      <c r="E37" s="55">
        <f t="shared" si="0"/>
        <v>0.73559033623521575</v>
      </c>
      <c r="F37" s="36">
        <v>6988</v>
      </c>
      <c r="G37" s="36">
        <v>71750</v>
      </c>
      <c r="H37" s="93">
        <f t="shared" si="1"/>
        <v>0.57137726747062845</v>
      </c>
      <c r="I37" s="91">
        <f>D37*10^(-3)/(F37)</f>
        <v>5.0085861476817399E-3</v>
      </c>
      <c r="J37" s="192">
        <f>C37*10^6*E37/(G37*10^6)</f>
        <v>5.5648562300832767E-2</v>
      </c>
      <c r="K37" s="189">
        <f>D37*10^(-3)/(G37)</f>
        <v>4.8780487804878049E-4</v>
      </c>
      <c r="L37" s="97">
        <f>H37/J37</f>
        <v>10.267601602747568</v>
      </c>
      <c r="M37" s="36"/>
      <c r="N37" s="34"/>
    </row>
    <row r="38" spans="1:14" ht="15" customHeight="1" outlineLevel="1">
      <c r="A38" s="57" t="s">
        <v>264</v>
      </c>
      <c r="B38" s="347" t="s">
        <v>3</v>
      </c>
      <c r="C38" s="36">
        <v>2730</v>
      </c>
      <c r="D38" s="36">
        <v>13300</v>
      </c>
      <c r="E38" s="55">
        <f t="shared" si="0"/>
        <v>0.55577217990190675</v>
      </c>
      <c r="F38" s="36">
        <v>1761</v>
      </c>
      <c r="G38" s="36"/>
      <c r="H38" s="93">
        <f t="shared" si="1"/>
        <v>0.86158889899614166</v>
      </c>
      <c r="I38" s="91">
        <f>D38*10^(-3)/(F38)</f>
        <v>7.5525269733106191E-3</v>
      </c>
      <c r="J38" s="46"/>
      <c r="K38" s="189"/>
      <c r="L38" s="53"/>
      <c r="M38" s="36"/>
      <c r="N38" s="34"/>
    </row>
    <row r="39" spans="1:14" ht="15.75" customHeight="1" outlineLevel="1">
      <c r="A39" s="57" t="s">
        <v>265</v>
      </c>
      <c r="B39" s="347" t="s">
        <v>3</v>
      </c>
      <c r="C39" s="36">
        <v>588</v>
      </c>
      <c r="D39" s="36">
        <v>2482</v>
      </c>
      <c r="E39" s="55">
        <f t="shared" si="0"/>
        <v>0.48153988068514836</v>
      </c>
      <c r="F39" s="36">
        <v>389</v>
      </c>
      <c r="G39" s="36"/>
      <c r="H39" s="93">
        <f t="shared" si="1"/>
        <v>0.72788033378629102</v>
      </c>
      <c r="I39" s="91">
        <f>D39*10^(-3)/(F39)</f>
        <v>6.3804627249357329E-3</v>
      </c>
      <c r="J39" s="46"/>
      <c r="K39" s="189"/>
      <c r="L39" s="53"/>
      <c r="M39" s="36"/>
      <c r="N39" s="34"/>
    </row>
    <row r="40" spans="1:14" ht="15.75" customHeight="1" outlineLevel="1">
      <c r="A40" s="57" t="s">
        <v>266</v>
      </c>
      <c r="B40" s="347" t="s">
        <v>3</v>
      </c>
      <c r="C40" s="36">
        <v>2106</v>
      </c>
      <c r="D40" s="36">
        <v>11600</v>
      </c>
      <c r="E40" s="55">
        <f t="shared" si="0"/>
        <v>0.62835841002554771</v>
      </c>
      <c r="F40" s="36">
        <v>2835</v>
      </c>
      <c r="G40" s="36"/>
      <c r="H40" s="93">
        <f t="shared" si="1"/>
        <v>0.46678053316183549</v>
      </c>
      <c r="I40" s="91">
        <f>D40*10^(-3)/(F40)</f>
        <v>4.0917107583774252E-3</v>
      </c>
      <c r="J40" s="46"/>
      <c r="K40" s="189"/>
      <c r="L40" s="53"/>
      <c r="M40" s="36"/>
      <c r="N40" s="34"/>
    </row>
    <row r="41" spans="1:14" ht="15" customHeight="1" outlineLevel="1">
      <c r="A41" s="57" t="s">
        <v>267</v>
      </c>
      <c r="B41" s="347" t="s">
        <v>3</v>
      </c>
      <c r="C41" s="36">
        <v>2418</v>
      </c>
      <c r="D41" s="36">
        <v>12300</v>
      </c>
      <c r="E41" s="55">
        <f t="shared" si="0"/>
        <v>0.5803054170452846</v>
      </c>
      <c r="F41" s="36">
        <v>2420</v>
      </c>
      <c r="G41" s="36"/>
      <c r="H41" s="93">
        <f t="shared" si="1"/>
        <v>0.57982582579152819</v>
      </c>
      <c r="I41" s="91">
        <f>D41*10^(-3)/(F41)</f>
        <v>5.0826446280991741E-3</v>
      </c>
      <c r="J41" s="46"/>
      <c r="K41" s="189"/>
      <c r="L41" s="53"/>
      <c r="M41" s="36"/>
      <c r="N41" s="34"/>
    </row>
    <row r="42" spans="1:14" ht="15" customHeight="1" outlineLevel="1">
      <c r="A42" s="57" t="s">
        <v>268</v>
      </c>
      <c r="B42" s="347" t="s">
        <v>3</v>
      </c>
      <c r="C42" s="36">
        <v>2779</v>
      </c>
      <c r="D42" s="36">
        <v>14600</v>
      </c>
      <c r="E42" s="55">
        <f t="shared" si="0"/>
        <v>0.5993384201741363</v>
      </c>
      <c r="F42" s="36">
        <v>765</v>
      </c>
      <c r="G42" s="36"/>
      <c r="H42" s="93">
        <f t="shared" si="1"/>
        <v>2.1772045355083982</v>
      </c>
      <c r="I42" s="91">
        <f>D42*10^(-3)/(F42)</f>
        <v>1.9084967320261437E-2</v>
      </c>
      <c r="J42" s="46"/>
      <c r="K42" s="189"/>
      <c r="L42" s="53"/>
      <c r="M42" s="36"/>
      <c r="N42" s="34"/>
    </row>
    <row r="43" spans="1:14" ht="15.75" customHeight="1" outlineLevel="1">
      <c r="A43" s="57" t="s">
        <v>269</v>
      </c>
      <c r="B43" s="347" t="s">
        <v>3</v>
      </c>
      <c r="C43" s="36">
        <v>878</v>
      </c>
      <c r="D43" s="36">
        <v>4500</v>
      </c>
      <c r="E43" s="55">
        <f t="shared" si="0"/>
        <v>0.58469019046148329</v>
      </c>
      <c r="F43" s="36">
        <v>1288</v>
      </c>
      <c r="G43" s="36"/>
      <c r="H43" s="93">
        <f t="shared" si="1"/>
        <v>0.39856986585806081</v>
      </c>
      <c r="I43" s="91">
        <f>D43*10^(-3)/(F43)</f>
        <v>3.4937888198757765E-3</v>
      </c>
      <c r="J43" s="46"/>
      <c r="K43" s="189"/>
      <c r="L43" s="53"/>
      <c r="M43" s="36"/>
      <c r="N43" s="34"/>
    </row>
    <row r="44" spans="1:14" ht="15.75" customHeight="1" outlineLevel="1">
      <c r="A44" s="57" t="s">
        <v>270</v>
      </c>
      <c r="B44" s="347" t="s">
        <v>3</v>
      </c>
      <c r="C44" s="36">
        <v>653</v>
      </c>
      <c r="D44" s="36">
        <v>3100</v>
      </c>
      <c r="E44" s="55">
        <f t="shared" si="0"/>
        <v>0.54157214919110597</v>
      </c>
      <c r="F44" s="36">
        <v>83.85</v>
      </c>
      <c r="G44" s="36"/>
      <c r="H44" s="93">
        <f t="shared" si="1"/>
        <v>4.2176101779581661</v>
      </c>
      <c r="I44" s="91">
        <f>D44*10^(-3)/(F44)</f>
        <v>3.697078115682767E-2</v>
      </c>
      <c r="J44" s="46"/>
      <c r="K44" s="189"/>
      <c r="L44" s="53"/>
      <c r="M44" s="36"/>
      <c r="N44" s="34"/>
    </row>
    <row r="45" spans="1:14" ht="15.75" customHeight="1" outlineLevel="1">
      <c r="A45" s="57" t="s">
        <v>271</v>
      </c>
      <c r="B45" s="347" t="s">
        <v>3</v>
      </c>
      <c r="C45" s="36">
        <f>1528+1064</f>
        <v>2592</v>
      </c>
      <c r="D45" s="36">
        <v>7400</v>
      </c>
      <c r="E45" s="55">
        <f t="shared" si="0"/>
        <v>0.32569008105850039</v>
      </c>
      <c r="F45" s="36">
        <v>1950</v>
      </c>
      <c r="G45" s="36">
        <v>29241</v>
      </c>
      <c r="H45" s="93">
        <f t="shared" si="1"/>
        <v>0.43291727697622207</v>
      </c>
      <c r="I45" s="91">
        <f>D45*10^(-3)/(F45)</f>
        <v>3.7948717948717951E-3</v>
      </c>
      <c r="J45" s="46">
        <f>C45*10^6*E45/(G45*10^6)</f>
        <v>2.8870034886072059E-2</v>
      </c>
      <c r="K45" s="189">
        <f>D45*10^(-3)/(G45)</f>
        <v>2.5306932047467596E-4</v>
      </c>
      <c r="L45" s="53">
        <f>H45/J45</f>
        <v>14.995384615384614</v>
      </c>
      <c r="M45" s="36"/>
      <c r="N45" s="34"/>
    </row>
    <row r="46" spans="1:14" ht="15.75" customHeight="1" outlineLevel="1">
      <c r="A46" s="57" t="s">
        <v>272</v>
      </c>
      <c r="B46" s="347" t="s">
        <v>3</v>
      </c>
      <c r="C46" s="36">
        <v>2805</v>
      </c>
      <c r="D46" s="36">
        <v>7200</v>
      </c>
      <c r="E46" s="55">
        <f t="shared" si="0"/>
        <v>0.29282452034234996</v>
      </c>
      <c r="F46" s="36">
        <v>430</v>
      </c>
      <c r="G46" s="36"/>
      <c r="H46" s="93">
        <f t="shared" si="1"/>
        <v>1.9101692547913758</v>
      </c>
      <c r="I46" s="91">
        <f>D46*10^(-3)/(F46)</f>
        <v>1.6744186046511629E-2</v>
      </c>
      <c r="J46" s="46"/>
      <c r="K46" s="106"/>
      <c r="L46" s="53"/>
      <c r="M46" s="36"/>
      <c r="N46" s="34"/>
    </row>
    <row r="47" spans="1:14" ht="15.75" customHeight="1" outlineLevel="1">
      <c r="A47" s="57" t="s">
        <v>273</v>
      </c>
      <c r="B47" s="347" t="s">
        <v>3</v>
      </c>
      <c r="C47" s="36">
        <v>785</v>
      </c>
      <c r="D47" s="36">
        <v>3722.23</v>
      </c>
      <c r="E47" s="55">
        <f t="shared" si="0"/>
        <v>0.54093036115759108</v>
      </c>
      <c r="F47" s="36">
        <v>650</v>
      </c>
      <c r="G47" s="36"/>
      <c r="H47" s="93">
        <f t="shared" si="1"/>
        <v>0.65327743616724454</v>
      </c>
      <c r="I47" s="91">
        <f>D47*10^(-3)/(F47)</f>
        <v>5.7265076923076925E-3</v>
      </c>
      <c r="J47" s="46"/>
      <c r="K47" s="106"/>
      <c r="L47" s="53"/>
      <c r="M47" s="36"/>
      <c r="N47" s="34"/>
    </row>
    <row r="48" spans="1:14" ht="15.75" customHeight="1" outlineLevel="1">
      <c r="A48" s="57" t="s">
        <v>274</v>
      </c>
      <c r="B48" s="347" t="s">
        <v>3</v>
      </c>
      <c r="C48" s="36">
        <v>2480</v>
      </c>
      <c r="D48" s="36">
        <v>7817</v>
      </c>
      <c r="E48" s="55">
        <f t="shared" si="0"/>
        <v>0.35958059015584676</v>
      </c>
      <c r="F48" s="36">
        <v>115</v>
      </c>
      <c r="G48" s="36"/>
      <c r="H48" s="93">
        <f>C48*E48/F48</f>
        <v>7.7544335964043469</v>
      </c>
      <c r="I48" s="91">
        <f>D48*10^(-3)/(F48)</f>
        <v>6.797391304347826E-2</v>
      </c>
      <c r="J48" s="46"/>
      <c r="K48" s="106"/>
      <c r="L48" s="53"/>
      <c r="M48" s="36"/>
      <c r="N48" s="34"/>
    </row>
    <row r="49" spans="1:14" ht="15.75" customHeight="1" outlineLevel="1">
      <c r="A49" s="57" t="s">
        <v>275</v>
      </c>
      <c r="B49" s="347" t="s">
        <v>3</v>
      </c>
      <c r="C49" s="36">
        <v>1045</v>
      </c>
      <c r="D49" s="36">
        <v>4955.07</v>
      </c>
      <c r="E49" s="55">
        <f t="shared" si="0"/>
        <v>0.54093030553107579</v>
      </c>
      <c r="F49" s="36">
        <v>259</v>
      </c>
      <c r="G49" s="36"/>
      <c r="H49" s="93">
        <f t="shared" si="1"/>
        <v>2.1825180281080083</v>
      </c>
      <c r="I49" s="91">
        <f>D49*10^(-3)/(F49)</f>
        <v>1.9131544401544402E-2</v>
      </c>
      <c r="J49" s="46"/>
      <c r="K49" s="106"/>
      <c r="L49" s="53"/>
      <c r="M49" s="36"/>
      <c r="N49" s="34"/>
    </row>
    <row r="50" spans="1:14" ht="15.75" customHeight="1" outlineLevel="1">
      <c r="A50" s="57" t="s">
        <v>276</v>
      </c>
      <c r="B50" s="347" t="s">
        <v>3</v>
      </c>
      <c r="C50" s="36">
        <v>5616</v>
      </c>
      <c r="D50" s="36">
        <v>31000</v>
      </c>
      <c r="E50" s="55">
        <f t="shared" si="0"/>
        <v>0.6297126307368095</v>
      </c>
      <c r="F50" s="36">
        <v>2835</v>
      </c>
      <c r="G50" s="36"/>
      <c r="H50" s="93">
        <f t="shared" si="1"/>
        <v>1.2474307351738703</v>
      </c>
      <c r="I50" s="91">
        <f>D50*10^(-3)/(F50)</f>
        <v>1.0934744268077601E-2</v>
      </c>
      <c r="J50" s="46"/>
      <c r="K50" s="106"/>
      <c r="L50" s="53"/>
      <c r="M50" s="36"/>
      <c r="N50" s="34"/>
    </row>
    <row r="51" spans="1:14" ht="15.75" customHeight="1" outlineLevel="1">
      <c r="A51" s="57" t="s">
        <v>277</v>
      </c>
      <c r="B51" s="347" t="s">
        <v>3</v>
      </c>
      <c r="C51" s="36">
        <v>640</v>
      </c>
      <c r="D51" s="36">
        <v>3300</v>
      </c>
      <c r="E51" s="55">
        <f t="shared" si="0"/>
        <v>0.58822269369552127</v>
      </c>
      <c r="F51" s="36">
        <v>85.8</v>
      </c>
      <c r="G51" s="36"/>
      <c r="H51" s="93">
        <f t="shared" si="1"/>
        <v>4.3876751044887374</v>
      </c>
      <c r="I51" s="91">
        <f>D51*10^(-3)/(F51)</f>
        <v>3.8461538461538464E-2</v>
      </c>
      <c r="J51" s="46"/>
      <c r="K51" s="106"/>
      <c r="L51" s="53"/>
      <c r="M51" s="36"/>
      <c r="N51" s="34"/>
    </row>
    <row r="52" spans="1:14" ht="15.75" customHeight="1" outlineLevel="1">
      <c r="A52" s="57" t="s">
        <v>278</v>
      </c>
      <c r="B52" s="347" t="s">
        <v>3</v>
      </c>
      <c r="C52" s="36">
        <v>395</v>
      </c>
      <c r="D52" s="36">
        <v>2000</v>
      </c>
      <c r="E52" s="55">
        <f t="shared" si="0"/>
        <v>0.57761798843902368</v>
      </c>
      <c r="F52" s="36">
        <v>38.6</v>
      </c>
      <c r="G52" s="36"/>
      <c r="H52" s="93">
        <f t="shared" si="1"/>
        <v>5.9108576537153974</v>
      </c>
      <c r="I52" s="91">
        <f>D52*10^(-3)/(F52)</f>
        <v>5.181347150259067E-2</v>
      </c>
      <c r="J52" s="46"/>
      <c r="K52" s="106"/>
      <c r="L52" s="53"/>
      <c r="M52" s="36"/>
      <c r="N52" s="34"/>
    </row>
    <row r="53" spans="1:14" ht="15.75" customHeight="1" outlineLevel="1">
      <c r="A53" s="57" t="s">
        <v>279</v>
      </c>
      <c r="B53" s="347" t="s">
        <v>3</v>
      </c>
      <c r="C53" s="36">
        <v>105</v>
      </c>
      <c r="D53" s="36">
        <v>374</v>
      </c>
      <c r="E53" s="55">
        <f t="shared" si="0"/>
        <v>0.40634050205760464</v>
      </c>
      <c r="F53" s="36">
        <v>3</v>
      </c>
      <c r="G53" s="36">
        <v>953</v>
      </c>
      <c r="H53" s="93">
        <f t="shared" si="1"/>
        <v>14.221917572016162</v>
      </c>
      <c r="I53" s="91">
        <f>D53*10^(-3)/(F53)</f>
        <v>0.12466666666666666</v>
      </c>
      <c r="J53" s="181">
        <f>C53*10^6*E53/(G53*10^6)</f>
        <v>4.476993989092181E-2</v>
      </c>
      <c r="K53" s="189">
        <f>D53*10^(-3)/(G53)</f>
        <v>3.9244491080797482E-4</v>
      </c>
      <c r="L53" s="53">
        <f>H53/J53</f>
        <v>317.66666666666669</v>
      </c>
      <c r="M53" s="36"/>
      <c r="N53" s="34"/>
    </row>
    <row r="54" spans="1:14" ht="15.75" customHeight="1" outlineLevel="1">
      <c r="A54" s="57" t="s">
        <v>280</v>
      </c>
      <c r="B54" s="347" t="s">
        <v>3</v>
      </c>
      <c r="C54" s="36">
        <v>882</v>
      </c>
      <c r="D54" s="36">
        <v>4182.17</v>
      </c>
      <c r="E54" s="55">
        <f t="shared" si="0"/>
        <v>0.54092979930298324</v>
      </c>
      <c r="F54" s="36">
        <v>253</v>
      </c>
      <c r="G54" s="36">
        <v>9000</v>
      </c>
      <c r="H54" s="93">
        <f t="shared" si="1"/>
        <v>1.8857710789930087</v>
      </c>
      <c r="I54" s="91">
        <f>D54*10^(-3)/(F54)</f>
        <v>1.6530316205533597E-2</v>
      </c>
      <c r="J54" s="181"/>
      <c r="K54" s="189"/>
      <c r="L54" s="53"/>
      <c r="M54" s="36"/>
      <c r="N54" s="34"/>
    </row>
    <row r="55" spans="1:14" ht="15.75" customHeight="1" outlineLevel="1">
      <c r="A55" s="57" t="s">
        <v>281</v>
      </c>
      <c r="B55" s="347" t="s">
        <v>3</v>
      </c>
      <c r="C55" s="36">
        <v>112</v>
      </c>
      <c r="D55" s="36">
        <v>531.07000000000005</v>
      </c>
      <c r="E55" s="55">
        <f t="shared" si="0"/>
        <v>0.54093060768983647</v>
      </c>
      <c r="F55" s="36">
        <v>19.899999999999999</v>
      </c>
      <c r="G55" s="36"/>
      <c r="H55" s="93">
        <f t="shared" si="1"/>
        <v>3.0444335709176729</v>
      </c>
      <c r="I55" s="91">
        <f>D55*10^(-3)/(F55)</f>
        <v>2.6686934673366837E-2</v>
      </c>
      <c r="J55" s="181"/>
      <c r="K55" s="189"/>
      <c r="L55" s="53"/>
      <c r="M55" s="36"/>
      <c r="N55" s="34"/>
    </row>
    <row r="56" spans="1:14" ht="15.75" customHeight="1" outlineLevel="1" thickBot="1">
      <c r="A56" s="58" t="s">
        <v>282</v>
      </c>
      <c r="B56" s="348" t="s">
        <v>3</v>
      </c>
      <c r="C56" s="50">
        <v>215.8</v>
      </c>
      <c r="D56" s="50">
        <v>318</v>
      </c>
      <c r="E56" s="90">
        <f t="shared" si="0"/>
        <v>0.16810610641294196</v>
      </c>
      <c r="F56" s="50">
        <v>18</v>
      </c>
      <c r="G56" s="50">
        <v>216</v>
      </c>
      <c r="H56" s="185">
        <f t="shared" si="1"/>
        <v>2.0154054313284933</v>
      </c>
      <c r="I56" s="112">
        <f>D56*10^(-3)/(F56)</f>
        <v>1.7666666666666667E-2</v>
      </c>
      <c r="J56" s="179">
        <f>C56*10^6*E56/(G56*10^6)</f>
        <v>0.16795045261070776</v>
      </c>
      <c r="K56" s="186">
        <f>D56*10^(-3)/(G56)</f>
        <v>1.4722222222222222E-3</v>
      </c>
      <c r="L56" s="52">
        <f>H56/J56</f>
        <v>12</v>
      </c>
      <c r="M56" s="36"/>
      <c r="N56" s="34"/>
    </row>
    <row r="57" spans="1:14" ht="35" customHeight="1" outlineLevel="1" thickBot="1">
      <c r="A57" s="278" t="s">
        <v>638</v>
      </c>
      <c r="B57" s="276"/>
      <c r="C57" s="276"/>
      <c r="D57" s="276"/>
      <c r="E57" s="276"/>
      <c r="F57" s="276"/>
      <c r="G57" s="276"/>
      <c r="H57" s="276"/>
      <c r="I57" s="276"/>
      <c r="J57" s="276"/>
      <c r="K57" s="276"/>
      <c r="L57" s="277"/>
      <c r="M57" s="34"/>
      <c r="N57" s="34"/>
    </row>
    <row r="58" spans="1:14" ht="15.75" customHeight="1" outlineLevel="1">
      <c r="M58" s="34"/>
      <c r="N58" s="34"/>
    </row>
    <row r="59" spans="1:14" ht="15.75" customHeight="1" outlineLevel="1">
      <c r="M59" s="34"/>
      <c r="N59" s="34"/>
    </row>
    <row r="60" spans="1:14" ht="15.75" customHeight="1" outlineLevel="1">
      <c r="M60" s="34"/>
      <c r="N60" s="34"/>
    </row>
    <row r="61" spans="1:14" ht="15.75" customHeight="1" outlineLevel="1">
      <c r="M61" s="34"/>
      <c r="N61" s="34"/>
    </row>
    <row r="62" spans="1:14" ht="15.75" customHeight="1" outlineLevel="1"/>
    <row r="63" spans="1:14" ht="13" outlineLevel="1"/>
    <row r="64" spans="1:14" ht="13" outlineLevel="1"/>
    <row r="65" spans="1:15" ht="13" outlineLevel="1"/>
    <row r="66" spans="1:15" ht="13" outlineLevel="1">
      <c r="A66" s="15"/>
      <c r="B66" s="15"/>
      <c r="C66" s="15"/>
      <c r="D66" s="15"/>
      <c r="E66" s="15"/>
      <c r="F66" s="15"/>
      <c r="G66" s="15"/>
      <c r="I66" s="15"/>
      <c r="J66" s="15"/>
      <c r="N66" s="16"/>
    </row>
    <row r="67" spans="1:15" ht="13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1:15" ht="13">
      <c r="A68" s="121"/>
      <c r="B68" s="38"/>
      <c r="C68" s="38"/>
      <c r="D68" s="36"/>
      <c r="E68" s="38"/>
      <c r="F68" s="38"/>
      <c r="G68" s="38"/>
      <c r="H68" s="36"/>
      <c r="I68" s="38"/>
      <c r="J68" s="38"/>
      <c r="K68" s="38"/>
      <c r="L68" s="38"/>
      <c r="M68" s="38"/>
      <c r="N68" s="39"/>
      <c r="O68" s="38"/>
    </row>
    <row r="69" spans="1:15" ht="13">
      <c r="A69" s="121"/>
      <c r="B69" s="38"/>
      <c r="C69" s="38"/>
      <c r="D69" s="36"/>
      <c r="E69" s="38"/>
      <c r="F69" s="38"/>
      <c r="G69" s="38"/>
      <c r="H69" s="36"/>
      <c r="I69" s="38"/>
      <c r="J69" s="38"/>
      <c r="K69" s="38"/>
      <c r="L69" s="38"/>
      <c r="M69" s="38"/>
      <c r="N69" s="39"/>
      <c r="O69" s="38"/>
    </row>
    <row r="70" spans="1:15" ht="13">
      <c r="A70" s="121"/>
      <c r="B70" s="38"/>
      <c r="C70" s="38"/>
      <c r="D70" s="36"/>
      <c r="E70" s="38"/>
      <c r="F70" s="38"/>
      <c r="G70" s="38"/>
      <c r="H70" s="36"/>
      <c r="I70" s="38"/>
      <c r="J70" s="38"/>
      <c r="K70" s="38"/>
      <c r="L70" s="38"/>
      <c r="M70" s="38"/>
      <c r="N70" s="39"/>
      <c r="O70" s="38"/>
    </row>
    <row r="71" spans="1:15" ht="13">
      <c r="A71" s="121"/>
      <c r="B71" s="38"/>
      <c r="C71" s="38"/>
      <c r="D71" s="36"/>
      <c r="E71" s="38"/>
      <c r="F71" s="38"/>
      <c r="G71" s="38"/>
      <c r="H71" s="36"/>
      <c r="I71" s="38"/>
      <c r="J71" s="38"/>
      <c r="K71" s="38"/>
      <c r="L71" s="38"/>
      <c r="M71" s="38"/>
      <c r="N71" s="39"/>
      <c r="O71" s="38"/>
    </row>
    <row r="72" spans="1:15" ht="13">
      <c r="A72" s="38"/>
      <c r="B72" s="38"/>
      <c r="C72" s="38"/>
      <c r="D72" s="38"/>
      <c r="E72" s="38"/>
      <c r="F72" s="38"/>
      <c r="G72" s="38"/>
      <c r="H72" s="37"/>
      <c r="I72" s="38"/>
      <c r="J72" s="38"/>
      <c r="K72" s="37"/>
      <c r="L72" s="37"/>
      <c r="M72" s="37"/>
      <c r="N72" s="39"/>
      <c r="O72" s="37"/>
    </row>
    <row r="73" spans="1:15" ht="13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55"/>
      <c r="O73" s="37"/>
    </row>
    <row r="74" spans="1:15" ht="13">
      <c r="A74" s="37"/>
      <c r="B74" s="37"/>
      <c r="C74" s="37"/>
      <c r="D74" s="37"/>
      <c r="E74" s="37"/>
      <c r="F74" s="37"/>
      <c r="G74" s="37"/>
      <c r="H74" s="37"/>
      <c r="I74" s="119"/>
      <c r="J74" s="119"/>
      <c r="K74" s="119"/>
      <c r="L74" s="119"/>
      <c r="M74" s="118"/>
      <c r="N74" s="118"/>
      <c r="O74" s="119"/>
    </row>
    <row r="75" spans="1:15" ht="13">
      <c r="A75" s="118"/>
      <c r="B75" s="37"/>
      <c r="C75" s="37"/>
      <c r="D75" s="37"/>
      <c r="E75" s="37"/>
      <c r="F75" s="37"/>
      <c r="G75" s="37"/>
      <c r="H75" s="37"/>
      <c r="I75" s="36"/>
      <c r="J75" s="36"/>
      <c r="K75" s="36"/>
      <c r="L75" s="36"/>
      <c r="M75" s="36"/>
      <c r="N75" s="36"/>
      <c r="O75" s="36"/>
    </row>
    <row r="76" spans="1:15" ht="13">
      <c r="A76" s="118"/>
      <c r="B76" s="37"/>
      <c r="C76" s="37"/>
      <c r="D76" s="37"/>
      <c r="E76" s="37"/>
      <c r="F76" s="37"/>
      <c r="G76" s="37"/>
      <c r="H76" s="37"/>
      <c r="I76" s="36"/>
      <c r="J76" s="36"/>
      <c r="K76" s="36"/>
      <c r="L76" s="36"/>
      <c r="M76" s="36"/>
      <c r="N76" s="36"/>
      <c r="O76" s="36"/>
    </row>
    <row r="77" spans="1:15" ht="13">
      <c r="A77" s="118"/>
      <c r="B77" s="37"/>
      <c r="C77" s="37"/>
      <c r="D77" s="37"/>
      <c r="E77" s="37"/>
      <c r="F77" s="37"/>
      <c r="G77" s="37"/>
      <c r="H77" s="37"/>
      <c r="I77" s="36"/>
      <c r="J77" s="36"/>
      <c r="K77" s="36"/>
      <c r="L77" s="36"/>
      <c r="M77" s="36"/>
      <c r="N77" s="36"/>
      <c r="O77" s="36"/>
    </row>
    <row r="78" spans="1:15" ht="13">
      <c r="A78" s="118"/>
      <c r="B78" s="37"/>
      <c r="C78" s="37"/>
      <c r="D78" s="37"/>
      <c r="E78" s="37"/>
      <c r="F78" s="37"/>
      <c r="G78" s="37"/>
      <c r="H78" s="37"/>
      <c r="I78" s="36"/>
      <c r="J78" s="36"/>
      <c r="K78" s="36"/>
      <c r="L78" s="36"/>
      <c r="M78" s="36"/>
      <c r="N78" s="36"/>
      <c r="O78" s="36"/>
    </row>
    <row r="79" spans="1:15" ht="13">
      <c r="N79" s="10"/>
    </row>
    <row r="80" spans="1:15" ht="13">
      <c r="N80" s="10"/>
    </row>
    <row r="81" spans="14:14" ht="13">
      <c r="N81" s="10"/>
    </row>
    <row r="82" spans="14:14" ht="13">
      <c r="N82" s="10"/>
    </row>
    <row r="83" spans="14:14" ht="13">
      <c r="N83" s="10"/>
    </row>
    <row r="84" spans="14:14" ht="13">
      <c r="N84" s="10"/>
    </row>
    <row r="85" spans="14:14" ht="13">
      <c r="N85" s="10"/>
    </row>
    <row r="86" spans="14:14" ht="13">
      <c r="N86" s="10"/>
    </row>
    <row r="87" spans="14:14" ht="13">
      <c r="N87" s="10"/>
    </row>
    <row r="88" spans="14:14" ht="13">
      <c r="N88" s="10"/>
    </row>
    <row r="89" spans="14:14" ht="13">
      <c r="N89" s="10"/>
    </row>
    <row r="90" spans="14:14" ht="13">
      <c r="N90" s="10"/>
    </row>
    <row r="91" spans="14:14" ht="13">
      <c r="N91" s="10"/>
    </row>
    <row r="92" spans="14:14" ht="13">
      <c r="N92" s="10"/>
    </row>
    <row r="93" spans="14:14" ht="13">
      <c r="N93" s="10"/>
    </row>
    <row r="94" spans="14:14" ht="13">
      <c r="N94" s="10"/>
    </row>
    <row r="95" spans="14:14" ht="13">
      <c r="N95" s="10"/>
    </row>
    <row r="96" spans="14:14" ht="13">
      <c r="N96" s="10"/>
    </row>
    <row r="97" spans="14:14" ht="13">
      <c r="N97" s="10"/>
    </row>
    <row r="98" spans="14:14" ht="13">
      <c r="N98" s="10"/>
    </row>
    <row r="99" spans="14:14" ht="13">
      <c r="N99" s="10"/>
    </row>
    <row r="100" spans="14:14" ht="13">
      <c r="N100" s="10"/>
    </row>
    <row r="101" spans="14:14" ht="13">
      <c r="N101" s="10"/>
    </row>
    <row r="102" spans="14:14" ht="13">
      <c r="N102" s="10"/>
    </row>
    <row r="103" spans="14:14" ht="13">
      <c r="N103" s="10"/>
    </row>
    <row r="104" spans="14:14" ht="13">
      <c r="N104" s="10"/>
    </row>
    <row r="105" spans="14:14" ht="13">
      <c r="N105" s="10"/>
    </row>
    <row r="106" spans="14:14" ht="13">
      <c r="N106" s="10"/>
    </row>
    <row r="107" spans="14:14" ht="13">
      <c r="N107" s="10"/>
    </row>
    <row r="108" spans="14:14" ht="13">
      <c r="N108" s="10"/>
    </row>
    <row r="109" spans="14:14" ht="13">
      <c r="N109" s="10"/>
    </row>
    <row r="110" spans="14:14" ht="13">
      <c r="N110" s="10"/>
    </row>
    <row r="111" spans="14:14" ht="13">
      <c r="N111" s="10"/>
    </row>
    <row r="112" spans="14:14" ht="13">
      <c r="N112" s="10"/>
    </row>
    <row r="113" spans="14:14" ht="13">
      <c r="N113" s="10"/>
    </row>
    <row r="114" spans="14:14" ht="13">
      <c r="N114" s="10"/>
    </row>
    <row r="115" spans="14:14" ht="13">
      <c r="N115" s="10"/>
    </row>
    <row r="116" spans="14:14" ht="13">
      <c r="N116" s="10"/>
    </row>
    <row r="117" spans="14:14" ht="13">
      <c r="N117" s="10"/>
    </row>
    <row r="118" spans="14:14" ht="13">
      <c r="N118" s="10"/>
    </row>
    <row r="119" spans="14:14" ht="13">
      <c r="N119" s="10"/>
    </row>
    <row r="120" spans="14:14" ht="13">
      <c r="N120" s="10"/>
    </row>
    <row r="121" spans="14:14" ht="13">
      <c r="N121" s="10"/>
    </row>
    <row r="122" spans="14:14" ht="13">
      <c r="N122" s="10"/>
    </row>
    <row r="123" spans="14:14" ht="13">
      <c r="N123" s="10"/>
    </row>
    <row r="124" spans="14:14" ht="13">
      <c r="N124" s="10"/>
    </row>
    <row r="125" spans="14:14" ht="13">
      <c r="N125" s="10"/>
    </row>
    <row r="126" spans="14:14" ht="13">
      <c r="N126" s="10"/>
    </row>
    <row r="127" spans="14:14" ht="13">
      <c r="N127" s="10"/>
    </row>
    <row r="128" spans="14:14" ht="13">
      <c r="N128" s="10"/>
    </row>
    <row r="129" spans="14:14" ht="13">
      <c r="N129" s="10"/>
    </row>
    <row r="130" spans="14:14" ht="13">
      <c r="N130" s="10"/>
    </row>
    <row r="131" spans="14:14" ht="13">
      <c r="N131" s="10"/>
    </row>
    <row r="132" spans="14:14" ht="13">
      <c r="N132" s="10"/>
    </row>
    <row r="133" spans="14:14" ht="13">
      <c r="N133" s="10"/>
    </row>
    <row r="134" spans="14:14" ht="13">
      <c r="N134" s="10"/>
    </row>
    <row r="135" spans="14:14" ht="13">
      <c r="N135" s="10"/>
    </row>
    <row r="136" spans="14:14" ht="13">
      <c r="N136" s="10"/>
    </row>
    <row r="137" spans="14:14" ht="13">
      <c r="N137" s="10"/>
    </row>
    <row r="138" spans="14:14" ht="13">
      <c r="N138" s="10"/>
    </row>
    <row r="139" spans="14:14" ht="13">
      <c r="N139" s="10"/>
    </row>
    <row r="140" spans="14:14" ht="13">
      <c r="N140" s="10"/>
    </row>
    <row r="141" spans="14:14" ht="13">
      <c r="N141" s="10"/>
    </row>
    <row r="142" spans="14:14" ht="13">
      <c r="N142" s="10"/>
    </row>
    <row r="143" spans="14:14" ht="13">
      <c r="N143" s="10"/>
    </row>
    <row r="144" spans="14:14" ht="13">
      <c r="N144" s="10"/>
    </row>
    <row r="145" spans="14:14" ht="13">
      <c r="N145" s="10"/>
    </row>
    <row r="146" spans="14:14" ht="13">
      <c r="N146" s="10"/>
    </row>
    <row r="147" spans="14:14" ht="13">
      <c r="N147" s="10"/>
    </row>
    <row r="148" spans="14:14" ht="13">
      <c r="N148" s="10"/>
    </row>
    <row r="149" spans="14:14" ht="13">
      <c r="N149" s="10"/>
    </row>
    <row r="150" spans="14:14" ht="13">
      <c r="N150" s="10"/>
    </row>
    <row r="151" spans="14:14" ht="13">
      <c r="N151" s="10"/>
    </row>
    <row r="152" spans="14:14" ht="13">
      <c r="N152" s="10"/>
    </row>
    <row r="153" spans="14:14" ht="13">
      <c r="N153" s="10"/>
    </row>
    <row r="154" spans="14:14" ht="13">
      <c r="N154" s="10"/>
    </row>
    <row r="155" spans="14:14" ht="13">
      <c r="N155" s="10"/>
    </row>
    <row r="156" spans="14:14" ht="13">
      <c r="N156" s="10"/>
    </row>
    <row r="157" spans="14:14" ht="13">
      <c r="N157" s="10"/>
    </row>
    <row r="158" spans="14:14" ht="13">
      <c r="N158" s="10"/>
    </row>
    <row r="159" spans="14:14" ht="13">
      <c r="N159" s="10"/>
    </row>
    <row r="160" spans="14:14" ht="13">
      <c r="N160" s="10"/>
    </row>
    <row r="161" spans="14:14" ht="13">
      <c r="N161" s="10"/>
    </row>
    <row r="162" spans="14:14" ht="13">
      <c r="N162" s="10"/>
    </row>
    <row r="163" spans="14:14" ht="13">
      <c r="N163" s="10"/>
    </row>
    <row r="164" spans="14:14" ht="13">
      <c r="N164" s="10"/>
    </row>
    <row r="165" spans="14:14" ht="13">
      <c r="N165" s="10"/>
    </row>
    <row r="166" spans="14:14" ht="13">
      <c r="N166" s="10"/>
    </row>
    <row r="167" spans="14:14" ht="13">
      <c r="N167" s="10"/>
    </row>
    <row r="168" spans="14:14" ht="13">
      <c r="N168" s="10"/>
    </row>
    <row r="169" spans="14:14" ht="13">
      <c r="N169" s="10"/>
    </row>
    <row r="170" spans="14:14" ht="13">
      <c r="N170" s="10"/>
    </row>
    <row r="171" spans="14:14" ht="13">
      <c r="N171" s="10"/>
    </row>
    <row r="172" spans="14:14" ht="13">
      <c r="N172" s="10"/>
    </row>
    <row r="173" spans="14:14" ht="13">
      <c r="N173" s="10"/>
    </row>
    <row r="174" spans="14:14" ht="13">
      <c r="N174" s="10"/>
    </row>
    <row r="175" spans="14:14" ht="13">
      <c r="N175" s="10"/>
    </row>
    <row r="176" spans="14:14" ht="13">
      <c r="N176" s="10"/>
    </row>
    <row r="177" spans="14:14" ht="13">
      <c r="N177" s="10"/>
    </row>
    <row r="178" spans="14:14" ht="13">
      <c r="N178" s="10"/>
    </row>
    <row r="179" spans="14:14" ht="13">
      <c r="N179" s="10"/>
    </row>
    <row r="180" spans="14:14" ht="13">
      <c r="N180" s="10"/>
    </row>
    <row r="181" spans="14:14" ht="13">
      <c r="N181" s="10"/>
    </row>
    <row r="182" spans="14:14" ht="13">
      <c r="N182" s="10"/>
    </row>
    <row r="183" spans="14:14" ht="13">
      <c r="N183" s="10"/>
    </row>
    <row r="184" spans="14:14" ht="13">
      <c r="N184" s="10"/>
    </row>
    <row r="185" spans="14:14" ht="13">
      <c r="N185" s="10"/>
    </row>
    <row r="186" spans="14:14" ht="13">
      <c r="N186" s="10"/>
    </row>
    <row r="187" spans="14:14" ht="13">
      <c r="N187" s="10"/>
    </row>
    <row r="188" spans="14:14" ht="13">
      <c r="N188" s="10"/>
    </row>
    <row r="189" spans="14:14" ht="13">
      <c r="N189" s="10"/>
    </row>
    <row r="190" spans="14:14" ht="13">
      <c r="N190" s="10"/>
    </row>
    <row r="191" spans="14:14" ht="13">
      <c r="N191" s="10"/>
    </row>
    <row r="192" spans="14:14" ht="13">
      <c r="N192" s="10"/>
    </row>
    <row r="193" spans="14:14" ht="13">
      <c r="N193" s="10"/>
    </row>
    <row r="194" spans="14:14" ht="13">
      <c r="N194" s="10"/>
    </row>
    <row r="195" spans="14:14" ht="13">
      <c r="N195" s="10"/>
    </row>
    <row r="196" spans="14:14" ht="13">
      <c r="N196" s="10"/>
    </row>
    <row r="197" spans="14:14" ht="13">
      <c r="N197" s="10"/>
    </row>
    <row r="198" spans="14:14" ht="13">
      <c r="N198" s="10"/>
    </row>
    <row r="199" spans="14:14" ht="13">
      <c r="N199" s="10"/>
    </row>
    <row r="200" spans="14:14" ht="13">
      <c r="N200" s="10"/>
    </row>
    <row r="201" spans="14:14" ht="13">
      <c r="N201" s="10"/>
    </row>
    <row r="202" spans="14:14" ht="13">
      <c r="N202" s="10"/>
    </row>
    <row r="203" spans="14:14" ht="13">
      <c r="N203" s="10"/>
    </row>
    <row r="204" spans="14:14" ht="13">
      <c r="N204" s="10"/>
    </row>
    <row r="205" spans="14:14" ht="13">
      <c r="N205" s="10"/>
    </row>
    <row r="206" spans="14:14" ht="13">
      <c r="N206" s="10"/>
    </row>
    <row r="207" spans="14:14" ht="13">
      <c r="N207" s="10"/>
    </row>
    <row r="208" spans="14:14" ht="13">
      <c r="N208" s="10"/>
    </row>
    <row r="209" spans="14:14" ht="13">
      <c r="N209" s="10"/>
    </row>
    <row r="210" spans="14:14" ht="13">
      <c r="N210" s="10"/>
    </row>
    <row r="211" spans="14:14" ht="13">
      <c r="N211" s="10"/>
    </row>
    <row r="212" spans="14:14" ht="13">
      <c r="N212" s="10"/>
    </row>
    <row r="213" spans="14:14" ht="13">
      <c r="N213" s="10"/>
    </row>
    <row r="214" spans="14:14" ht="13">
      <c r="N214" s="10"/>
    </row>
    <row r="215" spans="14:14" ht="13">
      <c r="N215" s="10"/>
    </row>
    <row r="216" spans="14:14" ht="13">
      <c r="N216" s="10"/>
    </row>
    <row r="217" spans="14:14" ht="13">
      <c r="N217" s="10"/>
    </row>
    <row r="218" spans="14:14" ht="13">
      <c r="N218" s="10"/>
    </row>
    <row r="219" spans="14:14" ht="13">
      <c r="N219" s="10"/>
    </row>
    <row r="220" spans="14:14" ht="13">
      <c r="N220" s="10"/>
    </row>
    <row r="221" spans="14:14" ht="13">
      <c r="N221" s="10"/>
    </row>
    <row r="222" spans="14:14" ht="13">
      <c r="N222" s="10"/>
    </row>
    <row r="223" spans="14:14" ht="13">
      <c r="N223" s="10"/>
    </row>
    <row r="224" spans="14:14" ht="13">
      <c r="N224" s="10"/>
    </row>
    <row r="225" spans="14:14" ht="13">
      <c r="N225" s="10"/>
    </row>
    <row r="226" spans="14:14" ht="13">
      <c r="N226" s="10"/>
    </row>
    <row r="227" spans="14:14" ht="13">
      <c r="N227" s="10"/>
    </row>
    <row r="228" spans="14:14" ht="13">
      <c r="N228" s="10"/>
    </row>
    <row r="229" spans="14:14" ht="13">
      <c r="N229" s="10"/>
    </row>
    <row r="230" spans="14:14" ht="13">
      <c r="N230" s="10"/>
    </row>
    <row r="231" spans="14:14" ht="13">
      <c r="N231" s="10"/>
    </row>
    <row r="232" spans="14:14" ht="13">
      <c r="N232" s="10"/>
    </row>
    <row r="233" spans="14:14" ht="13">
      <c r="N233" s="10"/>
    </row>
    <row r="234" spans="14:14" ht="13">
      <c r="N234" s="10"/>
    </row>
    <row r="235" spans="14:14" ht="13">
      <c r="N235" s="10"/>
    </row>
    <row r="236" spans="14:14" ht="13">
      <c r="N236" s="10"/>
    </row>
    <row r="237" spans="14:14" ht="13">
      <c r="N237" s="10"/>
    </row>
    <row r="238" spans="14:14" ht="13">
      <c r="N238" s="10"/>
    </row>
    <row r="239" spans="14:14" ht="13">
      <c r="N239" s="10"/>
    </row>
    <row r="240" spans="14:14" ht="13">
      <c r="N240" s="10"/>
    </row>
    <row r="241" spans="14:14" ht="13">
      <c r="N241" s="10"/>
    </row>
    <row r="242" spans="14:14" ht="13">
      <c r="N242" s="10"/>
    </row>
    <row r="243" spans="14:14" ht="13">
      <c r="N243" s="10"/>
    </row>
    <row r="244" spans="14:14" ht="13">
      <c r="N244" s="10"/>
    </row>
    <row r="245" spans="14:14" ht="13">
      <c r="N245" s="10"/>
    </row>
    <row r="246" spans="14:14" ht="13">
      <c r="N246" s="10"/>
    </row>
    <row r="247" spans="14:14" ht="13">
      <c r="N247" s="10"/>
    </row>
    <row r="248" spans="14:14" ht="13">
      <c r="N248" s="10"/>
    </row>
    <row r="249" spans="14:14" ht="13">
      <c r="N249" s="10"/>
    </row>
    <row r="250" spans="14:14" ht="13">
      <c r="N250" s="10"/>
    </row>
    <row r="251" spans="14:14" ht="13">
      <c r="N251" s="10"/>
    </row>
    <row r="252" spans="14:14" ht="13">
      <c r="N252" s="10"/>
    </row>
    <row r="253" spans="14:14" ht="13">
      <c r="N253" s="10"/>
    </row>
    <row r="254" spans="14:14" ht="13">
      <c r="N254" s="10"/>
    </row>
    <row r="255" spans="14:14" ht="13">
      <c r="N255" s="10"/>
    </row>
    <row r="256" spans="14:14" ht="13">
      <c r="N256" s="10"/>
    </row>
    <row r="257" spans="14:14" ht="13">
      <c r="N257" s="10"/>
    </row>
    <row r="258" spans="14:14" ht="13">
      <c r="N258" s="10"/>
    </row>
    <row r="259" spans="14:14" ht="13">
      <c r="N259" s="10"/>
    </row>
    <row r="260" spans="14:14" ht="13">
      <c r="N260" s="10"/>
    </row>
    <row r="261" spans="14:14" ht="13">
      <c r="N261" s="10"/>
    </row>
    <row r="262" spans="14:14" ht="13">
      <c r="N262" s="10"/>
    </row>
    <row r="263" spans="14:14" ht="13">
      <c r="N263" s="10"/>
    </row>
    <row r="264" spans="14:14" ht="13">
      <c r="N264" s="10"/>
    </row>
    <row r="265" spans="14:14" ht="13">
      <c r="N265" s="10"/>
    </row>
    <row r="266" spans="14:14" ht="13">
      <c r="N266" s="10"/>
    </row>
    <row r="267" spans="14:14" ht="13">
      <c r="N267" s="10"/>
    </row>
    <row r="268" spans="14:14" ht="13">
      <c r="N268" s="10"/>
    </row>
    <row r="269" spans="14:14" ht="13">
      <c r="N269" s="10"/>
    </row>
    <row r="270" spans="14:14" ht="13">
      <c r="N270" s="10"/>
    </row>
    <row r="271" spans="14:14" ht="13">
      <c r="N271" s="10"/>
    </row>
    <row r="272" spans="14:14" ht="13">
      <c r="N272" s="10"/>
    </row>
    <row r="273" spans="14:14" ht="13">
      <c r="N273" s="10"/>
    </row>
    <row r="274" spans="14:14" ht="13">
      <c r="N274" s="10"/>
    </row>
    <row r="275" spans="14:14" ht="13">
      <c r="N275" s="10"/>
    </row>
    <row r="276" spans="14:14" ht="13">
      <c r="N276" s="10"/>
    </row>
    <row r="277" spans="14:14" ht="13">
      <c r="N277" s="10"/>
    </row>
    <row r="278" spans="14:14" ht="13">
      <c r="N278" s="10"/>
    </row>
    <row r="279" spans="14:14" ht="13">
      <c r="N279" s="10"/>
    </row>
    <row r="280" spans="14:14" ht="13">
      <c r="N280" s="10"/>
    </row>
    <row r="281" spans="14:14" ht="13">
      <c r="N281" s="10"/>
    </row>
    <row r="282" spans="14:14" ht="13">
      <c r="N282" s="10"/>
    </row>
    <row r="283" spans="14:14" ht="13">
      <c r="N283" s="10"/>
    </row>
    <row r="284" spans="14:14" ht="13">
      <c r="N284" s="10"/>
    </row>
    <row r="285" spans="14:14" ht="13">
      <c r="N285" s="10"/>
    </row>
    <row r="286" spans="14:14" ht="13">
      <c r="N286" s="10"/>
    </row>
    <row r="287" spans="14:14" ht="13">
      <c r="N287" s="10"/>
    </row>
    <row r="288" spans="14:14" ht="13">
      <c r="N288" s="10"/>
    </row>
    <row r="289" spans="14:14" ht="13">
      <c r="N289" s="10"/>
    </row>
    <row r="290" spans="14:14" ht="13">
      <c r="N290" s="10"/>
    </row>
    <row r="291" spans="14:14" ht="13">
      <c r="N291" s="10"/>
    </row>
    <row r="292" spans="14:14" ht="13">
      <c r="N292" s="10"/>
    </row>
    <row r="293" spans="14:14" ht="13">
      <c r="N293" s="10"/>
    </row>
    <row r="294" spans="14:14" ht="13">
      <c r="N294" s="10"/>
    </row>
    <row r="295" spans="14:14" ht="13">
      <c r="N295" s="10"/>
    </row>
    <row r="296" spans="14:14" ht="13">
      <c r="N296" s="10"/>
    </row>
    <row r="297" spans="14:14" ht="13">
      <c r="N297" s="10"/>
    </row>
    <row r="298" spans="14:14" ht="13">
      <c r="N298" s="10"/>
    </row>
    <row r="299" spans="14:14" ht="13">
      <c r="N299" s="10"/>
    </row>
    <row r="300" spans="14:14" ht="13">
      <c r="N300" s="10"/>
    </row>
    <row r="301" spans="14:14" ht="13">
      <c r="N301" s="10"/>
    </row>
    <row r="302" spans="14:14" ht="13">
      <c r="N302" s="10"/>
    </row>
    <row r="303" spans="14:14" ht="13">
      <c r="N303" s="10"/>
    </row>
    <row r="304" spans="14:14" ht="13">
      <c r="N304" s="10"/>
    </row>
    <row r="305" spans="14:14" ht="13">
      <c r="N305" s="10"/>
    </row>
    <row r="306" spans="14:14" ht="13">
      <c r="N306" s="10"/>
    </row>
    <row r="307" spans="14:14" ht="13">
      <c r="N307" s="10"/>
    </row>
    <row r="308" spans="14:14" ht="13">
      <c r="N308" s="10"/>
    </row>
    <row r="309" spans="14:14" ht="13">
      <c r="N309" s="10"/>
    </row>
    <row r="310" spans="14:14" ht="13">
      <c r="N310" s="10"/>
    </row>
    <row r="311" spans="14:14" ht="13">
      <c r="N311" s="10"/>
    </row>
    <row r="312" spans="14:14" ht="13">
      <c r="N312" s="10"/>
    </row>
    <row r="313" spans="14:14" ht="13">
      <c r="N313" s="10"/>
    </row>
    <row r="314" spans="14:14" ht="13">
      <c r="N314" s="10"/>
    </row>
    <row r="315" spans="14:14" ht="13">
      <c r="N315" s="10"/>
    </row>
    <row r="316" spans="14:14" ht="13">
      <c r="N316" s="10"/>
    </row>
    <row r="317" spans="14:14" ht="13">
      <c r="N317" s="10"/>
    </row>
    <row r="318" spans="14:14" ht="13">
      <c r="N318" s="10"/>
    </row>
    <row r="319" spans="14:14" ht="13">
      <c r="N319" s="10"/>
    </row>
    <row r="320" spans="14:14" ht="13">
      <c r="N320" s="10"/>
    </row>
    <row r="321" spans="14:14" ht="13">
      <c r="N321" s="10"/>
    </row>
    <row r="322" spans="14:14" ht="13">
      <c r="N322" s="10"/>
    </row>
    <row r="323" spans="14:14" ht="13">
      <c r="N323" s="10"/>
    </row>
    <row r="324" spans="14:14" ht="13">
      <c r="N324" s="10"/>
    </row>
    <row r="325" spans="14:14" ht="13">
      <c r="N325" s="10"/>
    </row>
    <row r="326" spans="14:14" ht="13">
      <c r="N326" s="10"/>
    </row>
    <row r="327" spans="14:14" ht="13">
      <c r="N327" s="10"/>
    </row>
    <row r="328" spans="14:14" ht="13">
      <c r="N328" s="10"/>
    </row>
    <row r="329" spans="14:14" ht="13">
      <c r="N329" s="10"/>
    </row>
    <row r="330" spans="14:14" ht="13">
      <c r="N330" s="10"/>
    </row>
    <row r="331" spans="14:14" ht="13">
      <c r="N331" s="10"/>
    </row>
    <row r="332" spans="14:14" ht="13">
      <c r="N332" s="10"/>
    </row>
    <row r="333" spans="14:14" ht="13">
      <c r="N333" s="10"/>
    </row>
    <row r="334" spans="14:14" ht="13">
      <c r="N334" s="10"/>
    </row>
    <row r="335" spans="14:14" ht="13">
      <c r="N335" s="10"/>
    </row>
    <row r="336" spans="14:14" ht="13">
      <c r="N336" s="10"/>
    </row>
    <row r="337" spans="14:14" ht="13">
      <c r="N337" s="10"/>
    </row>
    <row r="338" spans="14:14" ht="13">
      <c r="N338" s="10"/>
    </row>
    <row r="339" spans="14:14" ht="13">
      <c r="N339" s="10"/>
    </row>
    <row r="340" spans="14:14" ht="13">
      <c r="N340" s="10"/>
    </row>
    <row r="341" spans="14:14" ht="13">
      <c r="N341" s="10"/>
    </row>
    <row r="342" spans="14:14" ht="13">
      <c r="N342" s="10"/>
    </row>
    <row r="343" spans="14:14" ht="13">
      <c r="N343" s="10"/>
    </row>
    <row r="344" spans="14:14" ht="13">
      <c r="N344" s="10"/>
    </row>
    <row r="345" spans="14:14" ht="13">
      <c r="N345" s="10"/>
    </row>
    <row r="346" spans="14:14" ht="13">
      <c r="N346" s="10"/>
    </row>
    <row r="347" spans="14:14" ht="13">
      <c r="N347" s="10"/>
    </row>
    <row r="348" spans="14:14" ht="13">
      <c r="N348" s="10"/>
    </row>
    <row r="349" spans="14:14" ht="13">
      <c r="N349" s="10"/>
    </row>
    <row r="350" spans="14:14" ht="13">
      <c r="N350" s="10"/>
    </row>
    <row r="351" spans="14:14" ht="13">
      <c r="N351" s="10"/>
    </row>
    <row r="352" spans="14:14" ht="13">
      <c r="N352" s="10"/>
    </row>
    <row r="353" spans="14:14" ht="13">
      <c r="N353" s="10"/>
    </row>
    <row r="354" spans="14:14" ht="13">
      <c r="N354" s="10"/>
    </row>
    <row r="355" spans="14:14" ht="13">
      <c r="N355" s="10"/>
    </row>
    <row r="356" spans="14:14" ht="13">
      <c r="N356" s="10"/>
    </row>
    <row r="357" spans="14:14" ht="13">
      <c r="N357" s="10"/>
    </row>
    <row r="358" spans="14:14" ht="13">
      <c r="N358" s="10"/>
    </row>
    <row r="359" spans="14:14" ht="13">
      <c r="N359" s="10"/>
    </row>
    <row r="360" spans="14:14" ht="13">
      <c r="N360" s="10"/>
    </row>
    <row r="361" spans="14:14" ht="13">
      <c r="N361" s="10"/>
    </row>
    <row r="362" spans="14:14" ht="13">
      <c r="N362" s="10"/>
    </row>
    <row r="363" spans="14:14" ht="13">
      <c r="N363" s="10"/>
    </row>
    <row r="364" spans="14:14" ht="13">
      <c r="N364" s="10"/>
    </row>
    <row r="365" spans="14:14" ht="13">
      <c r="N365" s="10"/>
    </row>
    <row r="366" spans="14:14" ht="13">
      <c r="N366" s="10"/>
    </row>
    <row r="367" spans="14:14" ht="13">
      <c r="N367" s="10"/>
    </row>
    <row r="368" spans="14:14" ht="13">
      <c r="N368" s="10"/>
    </row>
    <row r="369" spans="14:14" ht="13">
      <c r="N369" s="10"/>
    </row>
    <row r="370" spans="14:14" ht="13">
      <c r="N370" s="10"/>
    </row>
    <row r="371" spans="14:14" ht="13">
      <c r="N371" s="10"/>
    </row>
    <row r="372" spans="14:14" ht="13">
      <c r="N372" s="10"/>
    </row>
    <row r="373" spans="14:14" ht="13">
      <c r="N373" s="10"/>
    </row>
    <row r="374" spans="14:14" ht="13">
      <c r="N374" s="10"/>
    </row>
    <row r="375" spans="14:14" ht="13">
      <c r="N375" s="10"/>
    </row>
    <row r="376" spans="14:14" ht="13">
      <c r="N376" s="10"/>
    </row>
    <row r="377" spans="14:14" ht="13">
      <c r="N377" s="10"/>
    </row>
    <row r="378" spans="14:14" ht="13">
      <c r="N378" s="10"/>
    </row>
    <row r="379" spans="14:14" ht="13">
      <c r="N379" s="10"/>
    </row>
    <row r="380" spans="14:14" ht="13">
      <c r="N380" s="10"/>
    </row>
    <row r="381" spans="14:14" ht="13">
      <c r="N381" s="10"/>
    </row>
    <row r="382" spans="14:14" ht="13">
      <c r="N382" s="10"/>
    </row>
    <row r="383" spans="14:14" ht="13">
      <c r="N383" s="10"/>
    </row>
    <row r="384" spans="14:14" ht="13">
      <c r="N384" s="10"/>
    </row>
    <row r="385" spans="14:14" ht="13">
      <c r="N385" s="10"/>
    </row>
    <row r="386" spans="14:14" ht="13">
      <c r="N386" s="10"/>
    </row>
    <row r="387" spans="14:14" ht="13">
      <c r="N387" s="10"/>
    </row>
    <row r="388" spans="14:14" ht="13">
      <c r="N388" s="10"/>
    </row>
    <row r="389" spans="14:14" ht="13">
      <c r="N389" s="10"/>
    </row>
    <row r="390" spans="14:14" ht="13">
      <c r="N390" s="10"/>
    </row>
    <row r="391" spans="14:14" ht="13">
      <c r="N391" s="10"/>
    </row>
    <row r="392" spans="14:14" ht="13">
      <c r="N392" s="10"/>
    </row>
    <row r="393" spans="14:14" ht="13">
      <c r="N393" s="10"/>
    </row>
    <row r="394" spans="14:14" ht="13">
      <c r="N394" s="10"/>
    </row>
    <row r="395" spans="14:14" ht="13">
      <c r="N395" s="10"/>
    </row>
    <row r="396" spans="14:14" ht="13">
      <c r="N396" s="10"/>
    </row>
    <row r="397" spans="14:14" ht="13">
      <c r="N397" s="10"/>
    </row>
    <row r="398" spans="14:14" ht="13">
      <c r="N398" s="10"/>
    </row>
    <row r="399" spans="14:14" ht="13">
      <c r="N399" s="10"/>
    </row>
    <row r="400" spans="14:14" ht="13">
      <c r="N400" s="10"/>
    </row>
    <row r="401" spans="14:14" ht="13">
      <c r="N401" s="10"/>
    </row>
    <row r="402" spans="14:14" ht="13">
      <c r="N402" s="10"/>
    </row>
    <row r="403" spans="14:14" ht="13">
      <c r="N403" s="10"/>
    </row>
    <row r="404" spans="14:14" ht="13">
      <c r="N404" s="10"/>
    </row>
    <row r="405" spans="14:14" ht="13">
      <c r="N405" s="10"/>
    </row>
    <row r="406" spans="14:14" ht="13">
      <c r="N406" s="10"/>
    </row>
    <row r="407" spans="14:14" ht="13">
      <c r="N407" s="10"/>
    </row>
    <row r="408" spans="14:14" ht="13">
      <c r="N408" s="10"/>
    </row>
    <row r="409" spans="14:14" ht="13">
      <c r="N409" s="10"/>
    </row>
    <row r="410" spans="14:14" ht="13">
      <c r="N410" s="10"/>
    </row>
    <row r="411" spans="14:14" ht="13">
      <c r="N411" s="10"/>
    </row>
    <row r="412" spans="14:14" ht="13">
      <c r="N412" s="10"/>
    </row>
    <row r="413" spans="14:14" ht="13">
      <c r="N413" s="10"/>
    </row>
    <row r="414" spans="14:14" ht="13">
      <c r="N414" s="10"/>
    </row>
    <row r="415" spans="14:14" ht="13">
      <c r="N415" s="10"/>
    </row>
    <row r="416" spans="14:14" ht="13">
      <c r="N416" s="10"/>
    </row>
    <row r="417" spans="14:14" ht="13">
      <c r="N417" s="10"/>
    </row>
    <row r="418" spans="14:14" ht="13">
      <c r="N418" s="10"/>
    </row>
    <row r="419" spans="14:14" ht="13">
      <c r="N419" s="10"/>
    </row>
    <row r="420" spans="14:14" ht="13">
      <c r="N420" s="10"/>
    </row>
    <row r="421" spans="14:14" ht="13">
      <c r="N421" s="10"/>
    </row>
    <row r="422" spans="14:14" ht="13">
      <c r="N422" s="10"/>
    </row>
    <row r="423" spans="14:14" ht="13">
      <c r="N423" s="10"/>
    </row>
    <row r="424" spans="14:14" ht="13">
      <c r="N424" s="10"/>
    </row>
    <row r="425" spans="14:14" ht="13">
      <c r="N425" s="10"/>
    </row>
    <row r="426" spans="14:14" ht="13">
      <c r="N426" s="10"/>
    </row>
    <row r="427" spans="14:14" ht="13">
      <c r="N427" s="10"/>
    </row>
    <row r="428" spans="14:14" ht="13">
      <c r="N428" s="10"/>
    </row>
    <row r="429" spans="14:14" ht="13">
      <c r="N429" s="10"/>
    </row>
    <row r="430" spans="14:14" ht="13">
      <c r="N430" s="10"/>
    </row>
    <row r="431" spans="14:14" ht="13">
      <c r="N431" s="10"/>
    </row>
    <row r="432" spans="14:14" ht="13">
      <c r="N432" s="10"/>
    </row>
    <row r="433" spans="14:14" ht="13">
      <c r="N433" s="10"/>
    </row>
    <row r="434" spans="14:14" ht="13">
      <c r="N434" s="10"/>
    </row>
    <row r="435" spans="14:14" ht="13">
      <c r="N435" s="10"/>
    </row>
    <row r="436" spans="14:14" ht="13">
      <c r="N436" s="10"/>
    </row>
    <row r="437" spans="14:14" ht="13">
      <c r="N437" s="10"/>
    </row>
    <row r="438" spans="14:14" ht="13">
      <c r="N438" s="10"/>
    </row>
    <row r="439" spans="14:14" ht="13">
      <c r="N439" s="10"/>
    </row>
    <row r="440" spans="14:14" ht="13">
      <c r="N440" s="10"/>
    </row>
    <row r="441" spans="14:14" ht="13">
      <c r="N441" s="10"/>
    </row>
    <row r="442" spans="14:14" ht="13">
      <c r="N442" s="10"/>
    </row>
    <row r="443" spans="14:14" ht="13">
      <c r="N443" s="10"/>
    </row>
    <row r="444" spans="14:14" ht="13">
      <c r="N444" s="10"/>
    </row>
    <row r="445" spans="14:14" ht="13">
      <c r="N445" s="10"/>
    </row>
    <row r="446" spans="14:14" ht="13">
      <c r="N446" s="10"/>
    </row>
    <row r="447" spans="14:14" ht="13">
      <c r="N447" s="10"/>
    </row>
    <row r="448" spans="14:14" ht="13">
      <c r="N448" s="10"/>
    </row>
    <row r="449" spans="14:14" ht="13">
      <c r="N449" s="10"/>
    </row>
    <row r="450" spans="14:14" ht="13">
      <c r="N450" s="10"/>
    </row>
    <row r="451" spans="14:14" ht="13">
      <c r="N451" s="10"/>
    </row>
    <row r="452" spans="14:14" ht="13">
      <c r="N452" s="10"/>
    </row>
    <row r="453" spans="14:14" ht="13">
      <c r="N453" s="10"/>
    </row>
    <row r="454" spans="14:14" ht="13">
      <c r="N454" s="10"/>
    </row>
    <row r="455" spans="14:14" ht="13">
      <c r="N455" s="10"/>
    </row>
    <row r="456" spans="14:14" ht="13">
      <c r="N456" s="10"/>
    </row>
    <row r="457" spans="14:14" ht="13">
      <c r="N457" s="10"/>
    </row>
    <row r="458" spans="14:14" ht="13">
      <c r="N458" s="10"/>
    </row>
    <row r="459" spans="14:14" ht="13">
      <c r="N459" s="10"/>
    </row>
    <row r="460" spans="14:14" ht="13">
      <c r="N460" s="10"/>
    </row>
    <row r="461" spans="14:14" ht="13">
      <c r="N461" s="10"/>
    </row>
    <row r="462" spans="14:14" ht="13">
      <c r="N462" s="10"/>
    </row>
    <row r="463" spans="14:14" ht="13">
      <c r="N463" s="10"/>
    </row>
    <row r="464" spans="14:14" ht="13">
      <c r="N464" s="10"/>
    </row>
    <row r="465" spans="14:14" ht="13">
      <c r="N465" s="10"/>
    </row>
    <row r="466" spans="14:14" ht="13">
      <c r="N466" s="10"/>
    </row>
    <row r="467" spans="14:14" ht="13">
      <c r="N467" s="10"/>
    </row>
    <row r="468" spans="14:14" ht="13">
      <c r="N468" s="10"/>
    </row>
    <row r="469" spans="14:14" ht="13">
      <c r="N469" s="10"/>
    </row>
    <row r="470" spans="14:14" ht="13">
      <c r="N470" s="10"/>
    </row>
    <row r="471" spans="14:14" ht="13">
      <c r="N471" s="10"/>
    </row>
    <row r="472" spans="14:14" ht="13">
      <c r="N472" s="10"/>
    </row>
    <row r="473" spans="14:14" ht="13">
      <c r="N473" s="10"/>
    </row>
    <row r="474" spans="14:14" ht="13">
      <c r="N474" s="10"/>
    </row>
    <row r="475" spans="14:14" ht="13">
      <c r="N475" s="10"/>
    </row>
    <row r="476" spans="14:14" ht="13">
      <c r="N476" s="10"/>
    </row>
    <row r="477" spans="14:14" ht="13">
      <c r="N477" s="10"/>
    </row>
    <row r="478" spans="14:14" ht="13">
      <c r="N478" s="10"/>
    </row>
    <row r="479" spans="14:14" ht="13">
      <c r="N479" s="10"/>
    </row>
    <row r="480" spans="14:14" ht="13">
      <c r="N480" s="10"/>
    </row>
    <row r="481" spans="14:14" ht="13">
      <c r="N481" s="10"/>
    </row>
    <row r="482" spans="14:14" ht="13">
      <c r="N482" s="10"/>
    </row>
    <row r="483" spans="14:14" ht="13">
      <c r="N483" s="10"/>
    </row>
    <row r="484" spans="14:14" ht="13">
      <c r="N484" s="10"/>
    </row>
    <row r="485" spans="14:14" ht="13">
      <c r="N485" s="10"/>
    </row>
    <row r="486" spans="14:14" ht="13">
      <c r="N486" s="10"/>
    </row>
    <row r="487" spans="14:14" ht="13">
      <c r="N487" s="10"/>
    </row>
    <row r="488" spans="14:14" ht="13">
      <c r="N488" s="10"/>
    </row>
    <row r="489" spans="14:14" ht="13">
      <c r="N489" s="10"/>
    </row>
    <row r="490" spans="14:14" ht="13">
      <c r="N490" s="10"/>
    </row>
    <row r="491" spans="14:14" ht="13">
      <c r="N491" s="10"/>
    </row>
    <row r="492" spans="14:14" ht="13">
      <c r="N492" s="10"/>
    </row>
    <row r="493" spans="14:14" ht="13">
      <c r="N493" s="10"/>
    </row>
    <row r="494" spans="14:14" ht="13">
      <c r="N494" s="10"/>
    </row>
    <row r="495" spans="14:14" ht="13">
      <c r="N495" s="10"/>
    </row>
    <row r="496" spans="14:14" ht="13">
      <c r="N496" s="10"/>
    </row>
    <row r="497" spans="14:14" ht="13">
      <c r="N497" s="10"/>
    </row>
    <row r="498" spans="14:14" ht="13">
      <c r="N498" s="10"/>
    </row>
    <row r="499" spans="14:14" ht="13">
      <c r="N499" s="10"/>
    </row>
    <row r="500" spans="14:14" ht="13">
      <c r="N500" s="10"/>
    </row>
    <row r="501" spans="14:14" ht="13">
      <c r="N501" s="10"/>
    </row>
    <row r="502" spans="14:14" ht="13">
      <c r="N502" s="10"/>
    </row>
    <row r="503" spans="14:14" ht="13">
      <c r="N503" s="10"/>
    </row>
    <row r="504" spans="14:14" ht="13">
      <c r="N504" s="10"/>
    </row>
    <row r="505" spans="14:14" ht="13">
      <c r="N505" s="10"/>
    </row>
    <row r="506" spans="14:14" ht="13">
      <c r="N506" s="10"/>
    </row>
    <row r="507" spans="14:14" ht="13">
      <c r="N507" s="10"/>
    </row>
    <row r="508" spans="14:14" ht="13">
      <c r="N508" s="10"/>
    </row>
    <row r="509" spans="14:14" ht="13">
      <c r="N509" s="10"/>
    </row>
    <row r="510" spans="14:14" ht="13">
      <c r="N510" s="10"/>
    </row>
    <row r="511" spans="14:14" ht="13">
      <c r="N511" s="10"/>
    </row>
    <row r="512" spans="14:14" ht="13">
      <c r="N512" s="10"/>
    </row>
    <row r="513" spans="14:14" ht="13">
      <c r="N513" s="10"/>
    </row>
    <row r="514" spans="14:14" ht="13">
      <c r="N514" s="10"/>
    </row>
    <row r="515" spans="14:14" ht="13">
      <c r="N515" s="10"/>
    </row>
    <row r="516" spans="14:14" ht="13">
      <c r="N516" s="10"/>
    </row>
    <row r="517" spans="14:14" ht="13">
      <c r="N517" s="10"/>
    </row>
    <row r="518" spans="14:14" ht="13">
      <c r="N518" s="10"/>
    </row>
    <row r="519" spans="14:14" ht="13">
      <c r="N519" s="10"/>
    </row>
    <row r="520" spans="14:14" ht="13">
      <c r="N520" s="10"/>
    </row>
    <row r="521" spans="14:14" ht="13">
      <c r="N521" s="10"/>
    </row>
    <row r="522" spans="14:14" ht="13">
      <c r="N522" s="10"/>
    </row>
    <row r="523" spans="14:14" ht="13">
      <c r="N523" s="10"/>
    </row>
    <row r="524" spans="14:14" ht="13">
      <c r="N524" s="10"/>
    </row>
    <row r="525" spans="14:14" ht="13">
      <c r="N525" s="10"/>
    </row>
    <row r="526" spans="14:14" ht="13">
      <c r="N526" s="10"/>
    </row>
    <row r="527" spans="14:14" ht="13">
      <c r="N527" s="10"/>
    </row>
    <row r="528" spans="14:14" ht="13">
      <c r="N528" s="10"/>
    </row>
    <row r="529" spans="14:14" ht="13">
      <c r="N529" s="10"/>
    </row>
    <row r="530" spans="14:14" ht="13">
      <c r="N530" s="10"/>
    </row>
    <row r="531" spans="14:14" ht="13">
      <c r="N531" s="10"/>
    </row>
    <row r="532" spans="14:14" ht="13">
      <c r="N532" s="10"/>
    </row>
    <row r="533" spans="14:14" ht="13">
      <c r="N533" s="10"/>
    </row>
    <row r="534" spans="14:14" ht="13">
      <c r="N534" s="10"/>
    </row>
    <row r="535" spans="14:14" ht="13">
      <c r="N535" s="10"/>
    </row>
    <row r="536" spans="14:14" ht="13">
      <c r="N536" s="10"/>
    </row>
    <row r="537" spans="14:14" ht="13">
      <c r="N537" s="10"/>
    </row>
    <row r="538" spans="14:14" ht="13">
      <c r="N538" s="10"/>
    </row>
    <row r="539" spans="14:14" ht="13">
      <c r="N539" s="10"/>
    </row>
    <row r="540" spans="14:14" ht="13">
      <c r="N540" s="10"/>
    </row>
    <row r="541" spans="14:14" ht="13">
      <c r="N541" s="10"/>
    </row>
    <row r="542" spans="14:14" ht="13">
      <c r="N542" s="10"/>
    </row>
    <row r="543" spans="14:14" ht="13">
      <c r="N543" s="10"/>
    </row>
    <row r="544" spans="14:14" ht="13">
      <c r="N544" s="10"/>
    </row>
    <row r="545" spans="14:14" ht="13">
      <c r="N545" s="10"/>
    </row>
    <row r="546" spans="14:14" ht="13">
      <c r="N546" s="10"/>
    </row>
    <row r="547" spans="14:14" ht="13">
      <c r="N547" s="10"/>
    </row>
    <row r="548" spans="14:14" ht="13">
      <c r="N548" s="10"/>
    </row>
    <row r="549" spans="14:14" ht="13">
      <c r="N549" s="10"/>
    </row>
    <row r="550" spans="14:14" ht="13">
      <c r="N550" s="10"/>
    </row>
    <row r="551" spans="14:14" ht="13">
      <c r="N551" s="10"/>
    </row>
    <row r="552" spans="14:14" ht="13">
      <c r="N552" s="10"/>
    </row>
    <row r="553" spans="14:14" ht="13">
      <c r="N553" s="10"/>
    </row>
    <row r="554" spans="14:14" ht="13">
      <c r="N554" s="10"/>
    </row>
    <row r="555" spans="14:14" ht="13">
      <c r="N555" s="10"/>
    </row>
    <row r="556" spans="14:14" ht="13">
      <c r="N556" s="10"/>
    </row>
    <row r="557" spans="14:14" ht="13">
      <c r="N557" s="10"/>
    </row>
    <row r="558" spans="14:14" ht="13">
      <c r="N558" s="10"/>
    </row>
    <row r="559" spans="14:14" ht="13">
      <c r="N559" s="10"/>
    </row>
    <row r="560" spans="14:14" ht="13">
      <c r="N560" s="10"/>
    </row>
    <row r="561" spans="14:14" ht="13">
      <c r="N561" s="10"/>
    </row>
    <row r="562" spans="14:14" ht="13">
      <c r="N562" s="10"/>
    </row>
    <row r="563" spans="14:14" ht="13">
      <c r="N563" s="10"/>
    </row>
    <row r="564" spans="14:14" ht="13">
      <c r="N564" s="10"/>
    </row>
    <row r="565" spans="14:14" ht="13">
      <c r="N565" s="10"/>
    </row>
    <row r="566" spans="14:14" ht="13">
      <c r="N566" s="10"/>
    </row>
    <row r="567" spans="14:14" ht="13">
      <c r="N567" s="10"/>
    </row>
    <row r="568" spans="14:14" ht="13">
      <c r="N568" s="10"/>
    </row>
    <row r="569" spans="14:14" ht="13">
      <c r="N569" s="10"/>
    </row>
    <row r="570" spans="14:14" ht="13">
      <c r="N570" s="10"/>
    </row>
    <row r="571" spans="14:14" ht="13">
      <c r="N571" s="10"/>
    </row>
    <row r="572" spans="14:14" ht="13">
      <c r="N572" s="10"/>
    </row>
    <row r="573" spans="14:14" ht="13">
      <c r="N573" s="10"/>
    </row>
    <row r="574" spans="14:14" ht="13">
      <c r="N574" s="10"/>
    </row>
    <row r="575" spans="14:14" ht="13">
      <c r="N575" s="10"/>
    </row>
    <row r="576" spans="14:14" ht="13">
      <c r="N576" s="10"/>
    </row>
    <row r="577" spans="14:14" ht="13">
      <c r="N577" s="10"/>
    </row>
    <row r="578" spans="14:14" ht="13">
      <c r="N578" s="10"/>
    </row>
    <row r="579" spans="14:14" ht="13">
      <c r="N579" s="10"/>
    </row>
    <row r="580" spans="14:14" ht="13">
      <c r="N580" s="10"/>
    </row>
    <row r="581" spans="14:14" ht="13">
      <c r="N581" s="10"/>
    </row>
    <row r="582" spans="14:14" ht="13">
      <c r="N582" s="10"/>
    </row>
    <row r="583" spans="14:14" ht="13">
      <c r="N583" s="10"/>
    </row>
    <row r="584" spans="14:14" ht="13">
      <c r="N584" s="10"/>
    </row>
    <row r="585" spans="14:14" ht="13">
      <c r="N585" s="10"/>
    </row>
    <row r="586" spans="14:14" ht="13">
      <c r="N586" s="10"/>
    </row>
    <row r="587" spans="14:14" ht="13">
      <c r="N587" s="10"/>
    </row>
    <row r="588" spans="14:14" ht="13">
      <c r="N588" s="10"/>
    </row>
    <row r="589" spans="14:14" ht="13">
      <c r="N589" s="10"/>
    </row>
    <row r="590" spans="14:14" ht="13">
      <c r="N590" s="10"/>
    </row>
    <row r="591" spans="14:14" ht="13">
      <c r="N591" s="10"/>
    </row>
    <row r="592" spans="14:14" ht="13">
      <c r="N592" s="10"/>
    </row>
    <row r="593" spans="14:14" ht="13">
      <c r="N593" s="10"/>
    </row>
    <row r="594" spans="14:14" ht="13">
      <c r="N594" s="10"/>
    </row>
    <row r="595" spans="14:14" ht="13">
      <c r="N595" s="10"/>
    </row>
    <row r="596" spans="14:14" ht="13">
      <c r="N596" s="10"/>
    </row>
    <row r="597" spans="14:14" ht="13">
      <c r="N597" s="10"/>
    </row>
    <row r="598" spans="14:14" ht="13">
      <c r="N598" s="10"/>
    </row>
    <row r="599" spans="14:14" ht="13">
      <c r="N599" s="10"/>
    </row>
    <row r="600" spans="14:14" ht="13">
      <c r="N600" s="10"/>
    </row>
    <row r="601" spans="14:14" ht="13">
      <c r="N601" s="10"/>
    </row>
    <row r="602" spans="14:14" ht="13">
      <c r="N602" s="10"/>
    </row>
    <row r="603" spans="14:14" ht="13">
      <c r="N603" s="10"/>
    </row>
    <row r="604" spans="14:14" ht="13">
      <c r="N604" s="10"/>
    </row>
    <row r="605" spans="14:14" ht="13">
      <c r="N605" s="10"/>
    </row>
    <row r="606" spans="14:14" ht="13">
      <c r="N606" s="10"/>
    </row>
    <row r="607" spans="14:14" ht="13">
      <c r="N607" s="10"/>
    </row>
    <row r="608" spans="14:14" ht="13">
      <c r="N608" s="10"/>
    </row>
    <row r="609" spans="14:14" ht="13">
      <c r="N609" s="10"/>
    </row>
    <row r="610" spans="14:14" ht="13">
      <c r="N610" s="10"/>
    </row>
    <row r="611" spans="14:14" ht="13">
      <c r="N611" s="10"/>
    </row>
    <row r="612" spans="14:14" ht="13">
      <c r="N612" s="10"/>
    </row>
    <row r="613" spans="14:14" ht="13">
      <c r="N613" s="10"/>
    </row>
    <row r="614" spans="14:14" ht="13">
      <c r="N614" s="10"/>
    </row>
    <row r="615" spans="14:14" ht="13">
      <c r="N615" s="10"/>
    </row>
    <row r="616" spans="14:14" ht="13">
      <c r="N616" s="10"/>
    </row>
    <row r="617" spans="14:14" ht="13">
      <c r="N617" s="10"/>
    </row>
    <row r="618" spans="14:14" ht="13">
      <c r="N618" s="10"/>
    </row>
    <row r="619" spans="14:14" ht="13">
      <c r="N619" s="10"/>
    </row>
    <row r="620" spans="14:14" ht="13">
      <c r="N620" s="10"/>
    </row>
    <row r="621" spans="14:14" ht="13">
      <c r="N621" s="10"/>
    </row>
    <row r="622" spans="14:14" ht="13">
      <c r="N622" s="10"/>
    </row>
    <row r="623" spans="14:14" ht="13">
      <c r="N623" s="10"/>
    </row>
    <row r="624" spans="14:14" ht="13">
      <c r="N624" s="10"/>
    </row>
    <row r="625" spans="14:14" ht="13">
      <c r="N625" s="10"/>
    </row>
    <row r="626" spans="14:14" ht="13">
      <c r="N626" s="10"/>
    </row>
    <row r="627" spans="14:14" ht="13">
      <c r="N627" s="10"/>
    </row>
    <row r="628" spans="14:14" ht="13">
      <c r="N628" s="10"/>
    </row>
    <row r="629" spans="14:14" ht="13">
      <c r="N629" s="10"/>
    </row>
    <row r="630" spans="14:14" ht="13">
      <c r="N630" s="10"/>
    </row>
    <row r="631" spans="14:14" ht="13">
      <c r="N631" s="10"/>
    </row>
    <row r="632" spans="14:14" ht="13">
      <c r="N632" s="10"/>
    </row>
    <row r="633" spans="14:14" ht="13">
      <c r="N633" s="10"/>
    </row>
    <row r="634" spans="14:14" ht="13">
      <c r="N634" s="10"/>
    </row>
    <row r="635" spans="14:14" ht="13">
      <c r="N635" s="10"/>
    </row>
    <row r="636" spans="14:14" ht="13">
      <c r="N636" s="10"/>
    </row>
    <row r="637" spans="14:14" ht="13">
      <c r="N637" s="10"/>
    </row>
    <row r="638" spans="14:14" ht="13">
      <c r="N638" s="10"/>
    </row>
    <row r="639" spans="14:14" ht="13">
      <c r="N639" s="10"/>
    </row>
    <row r="640" spans="14:14" ht="13">
      <c r="N640" s="10"/>
    </row>
    <row r="641" spans="14:14" ht="13">
      <c r="N641" s="10"/>
    </row>
    <row r="642" spans="14:14" ht="13">
      <c r="N642" s="10"/>
    </row>
    <row r="643" spans="14:14" ht="13">
      <c r="N643" s="10"/>
    </row>
    <row r="644" spans="14:14" ht="13">
      <c r="N644" s="10"/>
    </row>
    <row r="645" spans="14:14" ht="13">
      <c r="N645" s="10"/>
    </row>
    <row r="646" spans="14:14" ht="13">
      <c r="N646" s="10"/>
    </row>
    <row r="647" spans="14:14" ht="13">
      <c r="N647" s="10"/>
    </row>
    <row r="648" spans="14:14" ht="13">
      <c r="N648" s="10"/>
    </row>
    <row r="649" spans="14:14" ht="13">
      <c r="N649" s="10"/>
    </row>
    <row r="650" spans="14:14" ht="13">
      <c r="N650" s="10"/>
    </row>
    <row r="651" spans="14:14" ht="13">
      <c r="N651" s="10"/>
    </row>
    <row r="652" spans="14:14" ht="13">
      <c r="N652" s="10"/>
    </row>
    <row r="653" spans="14:14" ht="13">
      <c r="N653" s="10"/>
    </row>
    <row r="654" spans="14:14" ht="13">
      <c r="N654" s="10"/>
    </row>
    <row r="655" spans="14:14" ht="13">
      <c r="N655" s="10"/>
    </row>
    <row r="656" spans="14:14" ht="13">
      <c r="N656" s="10"/>
    </row>
    <row r="657" spans="14:14" ht="13">
      <c r="N657" s="10"/>
    </row>
    <row r="658" spans="14:14" ht="13">
      <c r="N658" s="10"/>
    </row>
    <row r="659" spans="14:14" ht="13">
      <c r="N659" s="10"/>
    </row>
    <row r="660" spans="14:14" ht="13">
      <c r="N660" s="10"/>
    </row>
    <row r="661" spans="14:14" ht="13">
      <c r="N661" s="10"/>
    </row>
    <row r="662" spans="14:14" ht="13">
      <c r="N662" s="10"/>
    </row>
    <row r="663" spans="14:14" ht="13">
      <c r="N663" s="10"/>
    </row>
    <row r="664" spans="14:14" ht="13">
      <c r="N664" s="10"/>
    </row>
    <row r="665" spans="14:14" ht="13">
      <c r="N665" s="10"/>
    </row>
    <row r="666" spans="14:14" ht="13">
      <c r="N666" s="10"/>
    </row>
    <row r="667" spans="14:14" ht="13">
      <c r="N667" s="10"/>
    </row>
    <row r="668" spans="14:14" ht="13">
      <c r="N668" s="10"/>
    </row>
    <row r="669" spans="14:14" ht="13">
      <c r="N669" s="10"/>
    </row>
    <row r="670" spans="14:14" ht="13">
      <c r="N670" s="10"/>
    </row>
    <row r="671" spans="14:14" ht="13">
      <c r="N671" s="10"/>
    </row>
    <row r="672" spans="14:14" ht="13">
      <c r="N672" s="10"/>
    </row>
    <row r="673" spans="14:14" ht="13">
      <c r="N673" s="10"/>
    </row>
    <row r="674" spans="14:14" ht="13">
      <c r="N674" s="10"/>
    </row>
    <row r="675" spans="14:14" ht="13">
      <c r="N675" s="10"/>
    </row>
    <row r="676" spans="14:14" ht="13">
      <c r="N676" s="10"/>
    </row>
    <row r="677" spans="14:14" ht="13">
      <c r="N677" s="10"/>
    </row>
    <row r="678" spans="14:14" ht="13">
      <c r="N678" s="10"/>
    </row>
    <row r="679" spans="14:14" ht="13">
      <c r="N679" s="10"/>
    </row>
    <row r="680" spans="14:14" ht="13">
      <c r="N680" s="10"/>
    </row>
    <row r="681" spans="14:14" ht="13">
      <c r="N681" s="10"/>
    </row>
    <row r="682" spans="14:14" ht="13">
      <c r="N682" s="10"/>
    </row>
    <row r="683" spans="14:14" ht="13">
      <c r="N683" s="10"/>
    </row>
    <row r="684" spans="14:14" ht="13">
      <c r="N684" s="10"/>
    </row>
    <row r="685" spans="14:14" ht="13">
      <c r="N685" s="10"/>
    </row>
    <row r="686" spans="14:14" ht="13">
      <c r="N686" s="10"/>
    </row>
    <row r="687" spans="14:14" ht="13">
      <c r="N687" s="10"/>
    </row>
    <row r="688" spans="14:14" ht="13">
      <c r="N688" s="10"/>
    </row>
    <row r="689" spans="14:14" ht="13">
      <c r="N689" s="10"/>
    </row>
    <row r="690" spans="14:14" ht="13">
      <c r="N690" s="10"/>
    </row>
    <row r="691" spans="14:14" ht="13">
      <c r="N691" s="10"/>
    </row>
    <row r="692" spans="14:14" ht="13">
      <c r="N692" s="10"/>
    </row>
    <row r="693" spans="14:14" ht="13">
      <c r="N693" s="10"/>
    </row>
    <row r="694" spans="14:14" ht="13">
      <c r="N694" s="10"/>
    </row>
    <row r="695" spans="14:14" ht="13">
      <c r="N695" s="10"/>
    </row>
    <row r="696" spans="14:14" ht="13">
      <c r="N696" s="10"/>
    </row>
    <row r="697" spans="14:14" ht="13">
      <c r="N697" s="10"/>
    </row>
    <row r="698" spans="14:14" ht="13">
      <c r="N698" s="10"/>
    </row>
    <row r="699" spans="14:14" ht="13">
      <c r="N699" s="10"/>
    </row>
    <row r="700" spans="14:14" ht="13">
      <c r="N700" s="10"/>
    </row>
    <row r="701" spans="14:14" ht="13">
      <c r="N701" s="10"/>
    </row>
    <row r="702" spans="14:14" ht="13">
      <c r="N702" s="10"/>
    </row>
    <row r="703" spans="14:14" ht="13">
      <c r="N703" s="10"/>
    </row>
    <row r="704" spans="14:14" ht="13">
      <c r="N704" s="10"/>
    </row>
    <row r="705" spans="14:14" ht="13">
      <c r="N705" s="10"/>
    </row>
    <row r="706" spans="14:14" ht="13">
      <c r="N706" s="10"/>
    </row>
    <row r="707" spans="14:14" ht="13">
      <c r="N707" s="10"/>
    </row>
    <row r="708" spans="14:14" ht="13">
      <c r="N708" s="10"/>
    </row>
    <row r="709" spans="14:14" ht="13">
      <c r="N709" s="10"/>
    </row>
    <row r="710" spans="14:14" ht="13">
      <c r="N710" s="10"/>
    </row>
    <row r="711" spans="14:14" ht="13">
      <c r="N711" s="10"/>
    </row>
    <row r="712" spans="14:14" ht="13">
      <c r="N712" s="10"/>
    </row>
    <row r="713" spans="14:14" ht="13">
      <c r="N713" s="10"/>
    </row>
    <row r="714" spans="14:14" ht="13">
      <c r="N714" s="10"/>
    </row>
    <row r="715" spans="14:14" ht="13">
      <c r="N715" s="10"/>
    </row>
    <row r="716" spans="14:14" ht="13">
      <c r="N716" s="10"/>
    </row>
    <row r="717" spans="14:14" ht="13">
      <c r="N717" s="10"/>
    </row>
    <row r="718" spans="14:14" ht="13">
      <c r="N718" s="10"/>
    </row>
    <row r="719" spans="14:14" ht="13">
      <c r="N719" s="10"/>
    </row>
    <row r="720" spans="14:14" ht="13">
      <c r="N720" s="10"/>
    </row>
    <row r="721" spans="14:14" ht="13">
      <c r="N721" s="10"/>
    </row>
    <row r="722" spans="14:14" ht="13">
      <c r="N722" s="10"/>
    </row>
    <row r="723" spans="14:14" ht="13">
      <c r="N723" s="10"/>
    </row>
    <row r="724" spans="14:14" ht="13">
      <c r="N724" s="10"/>
    </row>
    <row r="725" spans="14:14" ht="13">
      <c r="N725" s="10"/>
    </row>
    <row r="726" spans="14:14" ht="13">
      <c r="N726" s="10"/>
    </row>
    <row r="727" spans="14:14" ht="13">
      <c r="N727" s="10"/>
    </row>
    <row r="728" spans="14:14" ht="13">
      <c r="N728" s="10"/>
    </row>
    <row r="729" spans="14:14" ht="13">
      <c r="N729" s="10"/>
    </row>
    <row r="730" spans="14:14" ht="13">
      <c r="N730" s="10"/>
    </row>
    <row r="731" spans="14:14" ht="13">
      <c r="N731" s="10"/>
    </row>
    <row r="732" spans="14:14" ht="13">
      <c r="N732" s="10"/>
    </row>
    <row r="733" spans="14:14" ht="13">
      <c r="N733" s="10"/>
    </row>
    <row r="734" spans="14:14" ht="13">
      <c r="N734" s="10"/>
    </row>
    <row r="735" spans="14:14" ht="13">
      <c r="N735" s="10"/>
    </row>
    <row r="736" spans="14:14" ht="13">
      <c r="N736" s="10"/>
    </row>
    <row r="737" spans="14:14" ht="13">
      <c r="N737" s="10"/>
    </row>
    <row r="738" spans="14:14" ht="13">
      <c r="N738" s="10"/>
    </row>
    <row r="739" spans="14:14" ht="13">
      <c r="N739" s="10"/>
    </row>
    <row r="740" spans="14:14" ht="13">
      <c r="N740" s="10"/>
    </row>
    <row r="741" spans="14:14" ht="13">
      <c r="N741" s="10"/>
    </row>
    <row r="742" spans="14:14" ht="13">
      <c r="N742" s="10"/>
    </row>
    <row r="743" spans="14:14" ht="13">
      <c r="N743" s="10"/>
    </row>
    <row r="744" spans="14:14" ht="13">
      <c r="N744" s="10"/>
    </row>
    <row r="745" spans="14:14" ht="13">
      <c r="N745" s="10"/>
    </row>
    <row r="746" spans="14:14" ht="13">
      <c r="N746" s="10"/>
    </row>
    <row r="747" spans="14:14" ht="13">
      <c r="N747" s="10"/>
    </row>
    <row r="748" spans="14:14" ht="13">
      <c r="N748" s="10"/>
    </row>
    <row r="749" spans="14:14" ht="13">
      <c r="N749" s="10"/>
    </row>
    <row r="750" spans="14:14" ht="13">
      <c r="N750" s="10"/>
    </row>
    <row r="751" spans="14:14" ht="13">
      <c r="N751" s="10"/>
    </row>
    <row r="752" spans="14:14" ht="13">
      <c r="N752" s="10"/>
    </row>
    <row r="753" spans="14:14" ht="13">
      <c r="N753" s="10"/>
    </row>
    <row r="754" spans="14:14" ht="13">
      <c r="N754" s="10"/>
    </row>
    <row r="755" spans="14:14" ht="13">
      <c r="N755" s="10"/>
    </row>
    <row r="756" spans="14:14" ht="13">
      <c r="N756" s="10"/>
    </row>
    <row r="757" spans="14:14" ht="13">
      <c r="N757" s="10"/>
    </row>
    <row r="758" spans="14:14" ht="13">
      <c r="N758" s="10"/>
    </row>
    <row r="759" spans="14:14" ht="13">
      <c r="N759" s="10"/>
    </row>
    <row r="760" spans="14:14" ht="13">
      <c r="N760" s="10"/>
    </row>
    <row r="761" spans="14:14" ht="13">
      <c r="N761" s="10"/>
    </row>
    <row r="762" spans="14:14" ht="13">
      <c r="N762" s="10"/>
    </row>
    <row r="763" spans="14:14" ht="13">
      <c r="N763" s="10"/>
    </row>
    <row r="764" spans="14:14" ht="13">
      <c r="N764" s="10"/>
    </row>
    <row r="765" spans="14:14" ht="13">
      <c r="N765" s="10"/>
    </row>
    <row r="766" spans="14:14" ht="13">
      <c r="N766" s="10"/>
    </row>
    <row r="767" spans="14:14" ht="13">
      <c r="N767" s="10"/>
    </row>
    <row r="768" spans="14:14" ht="13">
      <c r="N768" s="10"/>
    </row>
    <row r="769" spans="14:14" ht="13">
      <c r="N769" s="10"/>
    </row>
    <row r="770" spans="14:14" ht="13">
      <c r="N770" s="10"/>
    </row>
    <row r="771" spans="14:14" ht="13">
      <c r="N771" s="10"/>
    </row>
    <row r="772" spans="14:14" ht="13">
      <c r="N772" s="10"/>
    </row>
    <row r="773" spans="14:14" ht="13">
      <c r="N773" s="10"/>
    </row>
    <row r="774" spans="14:14" ht="13">
      <c r="N774" s="10"/>
    </row>
    <row r="775" spans="14:14" ht="13">
      <c r="N775" s="10"/>
    </row>
    <row r="776" spans="14:14" ht="13">
      <c r="N776" s="10"/>
    </row>
    <row r="777" spans="14:14" ht="13">
      <c r="N777" s="10"/>
    </row>
    <row r="778" spans="14:14" ht="13">
      <c r="N778" s="10"/>
    </row>
    <row r="779" spans="14:14" ht="13">
      <c r="N779" s="10"/>
    </row>
    <row r="780" spans="14:14" ht="13">
      <c r="N780" s="10"/>
    </row>
    <row r="781" spans="14:14" ht="13">
      <c r="N781" s="10"/>
    </row>
    <row r="782" spans="14:14" ht="13">
      <c r="N782" s="10"/>
    </row>
    <row r="783" spans="14:14" ht="13">
      <c r="N783" s="10"/>
    </row>
    <row r="784" spans="14:14" ht="13">
      <c r="N784" s="10"/>
    </row>
    <row r="785" spans="14:14" ht="13">
      <c r="N785" s="10"/>
    </row>
    <row r="786" spans="14:14" ht="13">
      <c r="N786" s="10"/>
    </row>
    <row r="787" spans="14:14" ht="13">
      <c r="N787" s="10"/>
    </row>
    <row r="788" spans="14:14" ht="13">
      <c r="N788" s="10"/>
    </row>
    <row r="789" spans="14:14" ht="13">
      <c r="N789" s="10"/>
    </row>
    <row r="790" spans="14:14" ht="13">
      <c r="N790" s="10"/>
    </row>
    <row r="791" spans="14:14" ht="13">
      <c r="N791" s="10"/>
    </row>
    <row r="792" spans="14:14" ht="13">
      <c r="N792" s="10"/>
    </row>
    <row r="793" spans="14:14" ht="13">
      <c r="N793" s="10"/>
    </row>
    <row r="794" spans="14:14" ht="13">
      <c r="N794" s="10"/>
    </row>
    <row r="795" spans="14:14" ht="13">
      <c r="N795" s="10"/>
    </row>
    <row r="796" spans="14:14" ht="13">
      <c r="N796" s="10"/>
    </row>
    <row r="797" spans="14:14" ht="13">
      <c r="N797" s="10"/>
    </row>
    <row r="798" spans="14:14" ht="13">
      <c r="N798" s="10"/>
    </row>
    <row r="799" spans="14:14" ht="13">
      <c r="N799" s="10"/>
    </row>
    <row r="800" spans="14:14" ht="13">
      <c r="N800" s="10"/>
    </row>
    <row r="801" spans="14:14" ht="13">
      <c r="N801" s="10"/>
    </row>
    <row r="802" spans="14:14" ht="13">
      <c r="N802" s="10"/>
    </row>
    <row r="803" spans="14:14" ht="13">
      <c r="N803" s="10"/>
    </row>
    <row r="804" spans="14:14" ht="13">
      <c r="N804" s="10"/>
    </row>
    <row r="805" spans="14:14" ht="13">
      <c r="N805" s="10"/>
    </row>
    <row r="806" spans="14:14" ht="13">
      <c r="N806" s="10"/>
    </row>
    <row r="807" spans="14:14" ht="13">
      <c r="N807" s="10"/>
    </row>
    <row r="808" spans="14:14" ht="13">
      <c r="N808" s="10"/>
    </row>
    <row r="809" spans="14:14" ht="13">
      <c r="N809" s="10"/>
    </row>
    <row r="810" spans="14:14" ht="13">
      <c r="N810" s="10"/>
    </row>
    <row r="811" spans="14:14" ht="13">
      <c r="N811" s="10"/>
    </row>
    <row r="812" spans="14:14" ht="13">
      <c r="N812" s="10"/>
    </row>
    <row r="813" spans="14:14" ht="13">
      <c r="N813" s="10"/>
    </row>
    <row r="814" spans="14:14" ht="13">
      <c r="N814" s="10"/>
    </row>
    <row r="815" spans="14:14" ht="13">
      <c r="N815" s="10"/>
    </row>
    <row r="816" spans="14:14" ht="13">
      <c r="N816" s="10"/>
    </row>
    <row r="817" spans="14:14" ht="13">
      <c r="N817" s="10"/>
    </row>
    <row r="818" spans="14:14" ht="13">
      <c r="N818" s="10"/>
    </row>
    <row r="819" spans="14:14" ht="13">
      <c r="N819" s="10"/>
    </row>
    <row r="820" spans="14:14" ht="13">
      <c r="N820" s="10"/>
    </row>
    <row r="821" spans="14:14" ht="13">
      <c r="N821" s="10"/>
    </row>
    <row r="822" spans="14:14" ht="13">
      <c r="N822" s="10"/>
    </row>
    <row r="823" spans="14:14" ht="13">
      <c r="N823" s="10"/>
    </row>
    <row r="824" spans="14:14" ht="13">
      <c r="N824" s="10"/>
    </row>
    <row r="825" spans="14:14" ht="13">
      <c r="N825" s="10"/>
    </row>
    <row r="826" spans="14:14" ht="13">
      <c r="N826" s="10"/>
    </row>
    <row r="827" spans="14:14" ht="13">
      <c r="N827" s="10"/>
    </row>
    <row r="828" spans="14:14" ht="13">
      <c r="N828" s="10"/>
    </row>
    <row r="829" spans="14:14" ht="13">
      <c r="N829" s="10"/>
    </row>
    <row r="830" spans="14:14" ht="13">
      <c r="N830" s="10"/>
    </row>
    <row r="831" spans="14:14" ht="13">
      <c r="N831" s="10"/>
    </row>
    <row r="832" spans="14:14" ht="13">
      <c r="N832" s="10"/>
    </row>
    <row r="833" spans="14:14" ht="13">
      <c r="N833" s="10"/>
    </row>
    <row r="834" spans="14:14" ht="13">
      <c r="N834" s="10"/>
    </row>
    <row r="835" spans="14:14" ht="13">
      <c r="N835" s="10"/>
    </row>
    <row r="836" spans="14:14" ht="13">
      <c r="N836" s="10"/>
    </row>
    <row r="837" spans="14:14" ht="13">
      <c r="N837" s="10"/>
    </row>
    <row r="838" spans="14:14" ht="13">
      <c r="N838" s="10"/>
    </row>
    <row r="839" spans="14:14" ht="13">
      <c r="N839" s="10"/>
    </row>
    <row r="840" spans="14:14" ht="13">
      <c r="N840" s="10"/>
    </row>
    <row r="841" spans="14:14" ht="13">
      <c r="N841" s="10"/>
    </row>
    <row r="842" spans="14:14" ht="13">
      <c r="N842" s="10"/>
    </row>
    <row r="843" spans="14:14" ht="13">
      <c r="N843" s="10"/>
    </row>
    <row r="844" spans="14:14" ht="13">
      <c r="N844" s="10"/>
    </row>
    <row r="845" spans="14:14" ht="13">
      <c r="N845" s="10"/>
    </row>
    <row r="846" spans="14:14" ht="13">
      <c r="N846" s="10"/>
    </row>
    <row r="847" spans="14:14" ht="13">
      <c r="N847" s="10"/>
    </row>
    <row r="848" spans="14:14" ht="13">
      <c r="N848" s="10"/>
    </row>
    <row r="849" spans="14:14" ht="13">
      <c r="N849" s="10"/>
    </row>
    <row r="850" spans="14:14" ht="13">
      <c r="N850" s="10"/>
    </row>
    <row r="851" spans="14:14" ht="13">
      <c r="N851" s="10"/>
    </row>
    <row r="852" spans="14:14" ht="13">
      <c r="N852" s="10"/>
    </row>
    <row r="853" spans="14:14" ht="13">
      <c r="N853" s="10"/>
    </row>
    <row r="854" spans="14:14" ht="13">
      <c r="N854" s="10"/>
    </row>
    <row r="855" spans="14:14" ht="13">
      <c r="N855" s="10"/>
    </row>
    <row r="856" spans="14:14" ht="13">
      <c r="N856" s="10"/>
    </row>
    <row r="857" spans="14:14" ht="13">
      <c r="N857" s="10"/>
    </row>
    <row r="858" spans="14:14" ht="13">
      <c r="N858" s="10"/>
    </row>
    <row r="859" spans="14:14" ht="13">
      <c r="N859" s="10"/>
    </row>
    <row r="860" spans="14:14" ht="13">
      <c r="N860" s="10"/>
    </row>
    <row r="861" spans="14:14" ht="13">
      <c r="N861" s="10"/>
    </row>
    <row r="862" spans="14:14" ht="13">
      <c r="N862" s="10"/>
    </row>
    <row r="863" spans="14:14" ht="13">
      <c r="N863" s="10"/>
    </row>
    <row r="864" spans="14:14" ht="13">
      <c r="N864" s="10"/>
    </row>
    <row r="865" spans="14:14" ht="13">
      <c r="N865" s="10"/>
    </row>
    <row r="866" spans="14:14" ht="13">
      <c r="N866" s="10"/>
    </row>
    <row r="867" spans="14:14" ht="13">
      <c r="N867" s="10"/>
    </row>
    <row r="868" spans="14:14" ht="13">
      <c r="N868" s="10"/>
    </row>
    <row r="869" spans="14:14" ht="13">
      <c r="N869" s="10"/>
    </row>
    <row r="870" spans="14:14" ht="13">
      <c r="N870" s="10"/>
    </row>
    <row r="871" spans="14:14" ht="13">
      <c r="N871" s="10"/>
    </row>
    <row r="872" spans="14:14" ht="13">
      <c r="N872" s="10"/>
    </row>
    <row r="873" spans="14:14" ht="13">
      <c r="N873" s="10"/>
    </row>
    <row r="874" spans="14:14" ht="13">
      <c r="N874" s="10"/>
    </row>
    <row r="875" spans="14:14" ht="13">
      <c r="N875" s="10"/>
    </row>
    <row r="876" spans="14:14" ht="13">
      <c r="N876" s="10"/>
    </row>
    <row r="877" spans="14:14" ht="13">
      <c r="N877" s="10"/>
    </row>
    <row r="878" spans="14:14" ht="13">
      <c r="N878" s="10"/>
    </row>
    <row r="879" spans="14:14" ht="13">
      <c r="N879" s="10"/>
    </row>
    <row r="880" spans="14:14" ht="13">
      <c r="N880" s="10"/>
    </row>
    <row r="881" spans="14:14" ht="13">
      <c r="N881" s="10"/>
    </row>
    <row r="882" spans="14:14" ht="13">
      <c r="N882" s="10"/>
    </row>
    <row r="883" spans="14:14" ht="13">
      <c r="N883" s="10"/>
    </row>
    <row r="884" spans="14:14" ht="13">
      <c r="N884" s="10"/>
    </row>
    <row r="885" spans="14:14" ht="13">
      <c r="N885" s="10"/>
    </row>
    <row r="886" spans="14:14" ht="13">
      <c r="N886" s="10"/>
    </row>
    <row r="887" spans="14:14" ht="13">
      <c r="N887" s="10"/>
    </row>
    <row r="888" spans="14:14" ht="13">
      <c r="N888" s="10"/>
    </row>
    <row r="889" spans="14:14" ht="13">
      <c r="N889" s="10"/>
    </row>
    <row r="890" spans="14:14" ht="13">
      <c r="N890" s="10"/>
    </row>
    <row r="891" spans="14:14" ht="13">
      <c r="N891" s="10"/>
    </row>
    <row r="892" spans="14:14" ht="13">
      <c r="N892" s="10"/>
    </row>
    <row r="893" spans="14:14" ht="13">
      <c r="N893" s="10"/>
    </row>
    <row r="894" spans="14:14" ht="13">
      <c r="N894" s="10"/>
    </row>
    <row r="895" spans="14:14" ht="13">
      <c r="N895" s="10"/>
    </row>
    <row r="896" spans="14:14" ht="13">
      <c r="N896" s="10"/>
    </row>
    <row r="897" spans="14:14" ht="13">
      <c r="N897" s="10"/>
    </row>
    <row r="898" spans="14:14" ht="13">
      <c r="N898" s="10"/>
    </row>
    <row r="899" spans="14:14" ht="13">
      <c r="N899" s="10"/>
    </row>
    <row r="900" spans="14:14" ht="13">
      <c r="N900" s="10"/>
    </row>
    <row r="901" spans="14:14" ht="13">
      <c r="N901" s="10"/>
    </row>
    <row r="902" spans="14:14" ht="13">
      <c r="N902" s="10"/>
    </row>
    <row r="903" spans="14:14" ht="13">
      <c r="N903" s="10"/>
    </row>
    <row r="904" spans="14:14" ht="13">
      <c r="N904" s="10"/>
    </row>
    <row r="905" spans="14:14" ht="13">
      <c r="N905" s="10"/>
    </row>
    <row r="906" spans="14:14" ht="13">
      <c r="N906" s="10"/>
    </row>
    <row r="907" spans="14:14" ht="13">
      <c r="N907" s="10"/>
    </row>
    <row r="908" spans="14:14" ht="13">
      <c r="N908" s="10"/>
    </row>
    <row r="909" spans="14:14" ht="13">
      <c r="N909" s="10"/>
    </row>
    <row r="910" spans="14:14" ht="13">
      <c r="N910" s="10"/>
    </row>
    <row r="911" spans="14:14" ht="13">
      <c r="N911" s="10"/>
    </row>
    <row r="912" spans="14:14" ht="13">
      <c r="N912" s="10"/>
    </row>
    <row r="913" spans="14:14" ht="13">
      <c r="N913" s="10"/>
    </row>
    <row r="914" spans="14:14" ht="13">
      <c r="N914" s="10"/>
    </row>
    <row r="915" spans="14:14" ht="13">
      <c r="N915" s="10"/>
    </row>
    <row r="916" spans="14:14" ht="13">
      <c r="N916" s="10"/>
    </row>
    <row r="917" spans="14:14" ht="13">
      <c r="N917" s="10"/>
    </row>
    <row r="918" spans="14:14" ht="13">
      <c r="N918" s="10"/>
    </row>
    <row r="919" spans="14:14" ht="13">
      <c r="N919" s="10"/>
    </row>
    <row r="920" spans="14:14" ht="13">
      <c r="N920" s="10"/>
    </row>
    <row r="921" spans="14:14" ht="13">
      <c r="N921" s="10"/>
    </row>
    <row r="922" spans="14:14" ht="13">
      <c r="N922" s="10"/>
    </row>
    <row r="923" spans="14:14" ht="13">
      <c r="N923" s="10"/>
    </row>
    <row r="924" spans="14:14" ht="13">
      <c r="N924" s="10"/>
    </row>
    <row r="925" spans="14:14" ht="13">
      <c r="N925" s="10"/>
    </row>
    <row r="926" spans="14:14" ht="13">
      <c r="N926" s="10"/>
    </row>
    <row r="927" spans="14:14" ht="13">
      <c r="N927" s="10"/>
    </row>
    <row r="928" spans="14:14" ht="13">
      <c r="N928" s="10"/>
    </row>
    <row r="929" spans="14:14" ht="13">
      <c r="N929" s="10"/>
    </row>
    <row r="930" spans="14:14" ht="13">
      <c r="N930" s="10"/>
    </row>
    <row r="931" spans="14:14" ht="13">
      <c r="N931" s="10"/>
    </row>
    <row r="932" spans="14:14" ht="13">
      <c r="N932" s="10"/>
    </row>
    <row r="933" spans="14:14" ht="13">
      <c r="N933" s="10"/>
    </row>
    <row r="934" spans="14:14" ht="13">
      <c r="N934" s="10"/>
    </row>
    <row r="935" spans="14:14" ht="13">
      <c r="N935" s="10"/>
    </row>
    <row r="936" spans="14:14" ht="13">
      <c r="N936" s="10"/>
    </row>
    <row r="937" spans="14:14" ht="13">
      <c r="N937" s="10"/>
    </row>
    <row r="938" spans="14:14" ht="13">
      <c r="N938" s="10"/>
    </row>
    <row r="939" spans="14:14" ht="13">
      <c r="N939" s="10"/>
    </row>
    <row r="940" spans="14:14" ht="13">
      <c r="N940" s="10"/>
    </row>
    <row r="941" spans="14:14" ht="13">
      <c r="N941" s="10"/>
    </row>
    <row r="942" spans="14:14" ht="13">
      <c r="N942" s="10"/>
    </row>
    <row r="943" spans="14:14" ht="13">
      <c r="N943" s="10"/>
    </row>
    <row r="944" spans="14:14" ht="13">
      <c r="N944" s="10"/>
    </row>
    <row r="945" spans="14:14" ht="13">
      <c r="N945" s="10"/>
    </row>
    <row r="946" spans="14:14" ht="13">
      <c r="N946" s="10"/>
    </row>
    <row r="947" spans="14:14" ht="13">
      <c r="N947" s="10"/>
    </row>
    <row r="948" spans="14:14" ht="13">
      <c r="N948" s="10"/>
    </row>
    <row r="949" spans="14:14" ht="13">
      <c r="N949" s="10"/>
    </row>
    <row r="950" spans="14:14" ht="13">
      <c r="N950" s="10"/>
    </row>
    <row r="951" spans="14:14" ht="13">
      <c r="N951" s="10"/>
    </row>
    <row r="952" spans="14:14" ht="13">
      <c r="N952" s="10"/>
    </row>
    <row r="953" spans="14:14" ht="13">
      <c r="N953" s="10"/>
    </row>
    <row r="954" spans="14:14" ht="13">
      <c r="N954" s="10"/>
    </row>
    <row r="955" spans="14:14" ht="13">
      <c r="N955" s="10"/>
    </row>
    <row r="956" spans="14:14" ht="13">
      <c r="N956" s="10"/>
    </row>
    <row r="957" spans="14:14" ht="13">
      <c r="N957" s="10"/>
    </row>
    <row r="958" spans="14:14" ht="13">
      <c r="N958" s="10"/>
    </row>
    <row r="959" spans="14:14" ht="13">
      <c r="N959" s="10"/>
    </row>
    <row r="960" spans="14:14" ht="13">
      <c r="N960" s="10"/>
    </row>
    <row r="961" spans="14:14" ht="13">
      <c r="N961" s="10"/>
    </row>
    <row r="962" spans="14:14" ht="13">
      <c r="N962" s="10"/>
    </row>
    <row r="963" spans="14:14" ht="13">
      <c r="N963" s="10"/>
    </row>
    <row r="964" spans="14:14" ht="13">
      <c r="N964" s="10"/>
    </row>
    <row r="965" spans="14:14" ht="13">
      <c r="N965" s="10"/>
    </row>
    <row r="966" spans="14:14" ht="13">
      <c r="N966" s="10"/>
    </row>
    <row r="967" spans="14:14" ht="13">
      <c r="N967" s="10"/>
    </row>
    <row r="968" spans="14:14" ht="13">
      <c r="N968" s="10"/>
    </row>
    <row r="969" spans="14:14" ht="13">
      <c r="N969" s="10"/>
    </row>
    <row r="970" spans="14:14" ht="13">
      <c r="N970" s="10"/>
    </row>
    <row r="971" spans="14:14" ht="13">
      <c r="N971" s="10"/>
    </row>
    <row r="972" spans="14:14" ht="13">
      <c r="N972" s="10"/>
    </row>
    <row r="973" spans="14:14" ht="13">
      <c r="N973" s="10"/>
    </row>
    <row r="974" spans="14:14" ht="13">
      <c r="N974" s="10"/>
    </row>
    <row r="975" spans="14:14" ht="13">
      <c r="N975" s="10"/>
    </row>
  </sheetData>
  <mergeCells count="3">
    <mergeCell ref="A57:L57"/>
    <mergeCell ref="A3:L3"/>
    <mergeCell ref="A4:L4"/>
  </mergeCells>
  <conditionalFormatting sqref="C5">
    <cfRule type="notContainsBlanks" dxfId="27" priority="7">
      <formula>LEN(TRIM(C5))&gt;0</formula>
    </cfRule>
  </conditionalFormatting>
  <conditionalFormatting sqref="D5">
    <cfRule type="notContainsBlanks" dxfId="26" priority="6">
      <formula>LEN(TRIM(D5))&gt;0</formula>
    </cfRule>
  </conditionalFormatting>
  <conditionalFormatting sqref="E5">
    <cfRule type="notContainsBlanks" dxfId="25" priority="5">
      <formula>LEN(TRIM(E5))&gt;0</formula>
    </cfRule>
  </conditionalFormatting>
  <conditionalFormatting sqref="F5">
    <cfRule type="notContainsBlanks" dxfId="24" priority="4">
      <formula>LEN(TRIM(F5))&gt;0</formula>
    </cfRule>
  </conditionalFormatting>
  <conditionalFormatting sqref="G5">
    <cfRule type="notContainsBlanks" dxfId="23" priority="3">
      <formula>LEN(TRIM(G5))&gt;0</formula>
    </cfRule>
  </conditionalFormatting>
  <conditionalFormatting sqref="I5">
    <cfRule type="notContainsBlanks" dxfId="22" priority="2">
      <formula>LEN(TRIM(I5))&gt;0</formula>
    </cfRule>
  </conditionalFormatting>
  <conditionalFormatting sqref="K5">
    <cfRule type="notContainsBlanks" dxfId="21" priority="1">
      <formula>LEN(TRIM(K5))&gt;0</formula>
    </cfRule>
  </conditionalFormatting>
  <hyperlinks>
    <hyperlink ref="A6" r:id="rId1" xr:uid="{00000000-0004-0000-0800-000000000000}"/>
    <hyperlink ref="A7" r:id="rId2" xr:uid="{00000000-0004-0000-0800-000001000000}"/>
    <hyperlink ref="A8" r:id="rId3" xr:uid="{00000000-0004-0000-0800-000002000000}"/>
    <hyperlink ref="A9" r:id="rId4" xr:uid="{00000000-0004-0000-0800-000003000000}"/>
    <hyperlink ref="A10" r:id="rId5" xr:uid="{00000000-0004-0000-0800-000004000000}"/>
    <hyperlink ref="A11" r:id="rId6" xr:uid="{00000000-0004-0000-0800-000005000000}"/>
    <hyperlink ref="A12" r:id="rId7" xr:uid="{00000000-0004-0000-0800-000006000000}"/>
    <hyperlink ref="A13" r:id="rId8" xr:uid="{00000000-0004-0000-0800-000007000000}"/>
    <hyperlink ref="A14" r:id="rId9" xr:uid="{00000000-0004-0000-0800-000008000000}"/>
    <hyperlink ref="A15" r:id="rId10" xr:uid="{00000000-0004-0000-0800-000009000000}"/>
    <hyperlink ref="A16" r:id="rId11" xr:uid="{00000000-0004-0000-0800-00000A000000}"/>
    <hyperlink ref="A17" r:id="rId12" xr:uid="{00000000-0004-0000-0800-00000B000000}"/>
    <hyperlink ref="A18" r:id="rId13" xr:uid="{00000000-0004-0000-0800-00000C000000}"/>
    <hyperlink ref="A19" r:id="rId14" xr:uid="{00000000-0004-0000-0800-00000D000000}"/>
    <hyperlink ref="A20" r:id="rId15" xr:uid="{00000000-0004-0000-0800-00000E000000}"/>
    <hyperlink ref="A21" r:id="rId16" xr:uid="{00000000-0004-0000-0800-00000F000000}"/>
    <hyperlink ref="A22" r:id="rId17" xr:uid="{00000000-0004-0000-0800-000010000000}"/>
    <hyperlink ref="A23" r:id="rId18" xr:uid="{00000000-0004-0000-0800-000011000000}"/>
    <hyperlink ref="A24" r:id="rId19" xr:uid="{00000000-0004-0000-0800-000012000000}"/>
    <hyperlink ref="A25" r:id="rId20" xr:uid="{00000000-0004-0000-0800-000013000000}"/>
    <hyperlink ref="A26" r:id="rId21" xr:uid="{00000000-0004-0000-0800-000014000000}"/>
    <hyperlink ref="A27" r:id="rId22" xr:uid="{00000000-0004-0000-0800-000015000000}"/>
    <hyperlink ref="A28" r:id="rId23" xr:uid="{00000000-0004-0000-0800-000016000000}"/>
    <hyperlink ref="A29" r:id="rId24" xr:uid="{00000000-0004-0000-0800-000017000000}"/>
    <hyperlink ref="A30" r:id="rId25" xr:uid="{00000000-0004-0000-0800-000018000000}"/>
    <hyperlink ref="A31" r:id="rId26" xr:uid="{00000000-0004-0000-0800-000019000000}"/>
    <hyperlink ref="A32" r:id="rId27" xr:uid="{00000000-0004-0000-0800-00001A000000}"/>
    <hyperlink ref="A33" r:id="rId28" xr:uid="{00000000-0004-0000-0800-00001B000000}"/>
    <hyperlink ref="A34" r:id="rId29" xr:uid="{00000000-0004-0000-0800-00001C000000}"/>
    <hyperlink ref="A35" r:id="rId30" xr:uid="{00000000-0004-0000-0800-00001D000000}"/>
    <hyperlink ref="A36" r:id="rId31" xr:uid="{00000000-0004-0000-0800-00001E000000}"/>
    <hyperlink ref="A37" r:id="rId32" xr:uid="{00000000-0004-0000-0800-00001F000000}"/>
    <hyperlink ref="A38" r:id="rId33" xr:uid="{00000000-0004-0000-0800-000020000000}"/>
    <hyperlink ref="A39" r:id="rId34" xr:uid="{00000000-0004-0000-0800-000021000000}"/>
    <hyperlink ref="A40" r:id="rId35" xr:uid="{00000000-0004-0000-0800-000022000000}"/>
    <hyperlink ref="A41" r:id="rId36" xr:uid="{00000000-0004-0000-0800-000023000000}"/>
    <hyperlink ref="A42" r:id="rId37" xr:uid="{00000000-0004-0000-0800-000024000000}"/>
    <hyperlink ref="A43" r:id="rId38" xr:uid="{00000000-0004-0000-0800-000025000000}"/>
    <hyperlink ref="A44" r:id="rId39" xr:uid="{00000000-0004-0000-0800-000026000000}"/>
    <hyperlink ref="A45" r:id="rId40" xr:uid="{00000000-0004-0000-0800-000027000000}"/>
    <hyperlink ref="A46" r:id="rId41" xr:uid="{00000000-0004-0000-0800-000028000000}"/>
    <hyperlink ref="A47" r:id="rId42" xr:uid="{00000000-0004-0000-0800-000029000000}"/>
    <hyperlink ref="A48" r:id="rId43" xr:uid="{00000000-0004-0000-0800-00002A000000}"/>
    <hyperlink ref="A49" r:id="rId44" xr:uid="{00000000-0004-0000-0800-00002B000000}"/>
    <hyperlink ref="A50" r:id="rId45" xr:uid="{00000000-0004-0000-0800-00002C000000}"/>
    <hyperlink ref="A51" r:id="rId46" xr:uid="{00000000-0004-0000-0800-00002D000000}"/>
    <hyperlink ref="A52" r:id="rId47" xr:uid="{00000000-0004-0000-0800-00002E000000}"/>
    <hyperlink ref="A53" r:id="rId48" xr:uid="{00000000-0004-0000-0800-00002F000000}"/>
    <hyperlink ref="A54" r:id="rId49" xr:uid="{00000000-0004-0000-0800-000030000000}"/>
    <hyperlink ref="A55" r:id="rId50" xr:uid="{00000000-0004-0000-0800-000031000000}"/>
    <hyperlink ref="A56" r:id="rId51" xr:uid="{00000000-0004-0000-0800-000032000000}"/>
  </hyperlink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O935"/>
  <sheetViews>
    <sheetView workbookViewId="0">
      <selection activeCell="F26" sqref="F26"/>
    </sheetView>
  </sheetViews>
  <sheetFormatPr baseColWidth="10" defaultColWidth="12.6640625" defaultRowHeight="15.75" customHeight="1" outlineLevelRow="1"/>
  <cols>
    <col min="1" max="1" width="32.1640625" customWidth="1"/>
    <col min="3" max="3" width="13" customWidth="1"/>
    <col min="4" max="7" width="14.1640625" customWidth="1"/>
    <col min="8" max="8" width="18" customWidth="1"/>
    <col min="9" max="9" width="19.1640625" customWidth="1"/>
    <col min="10" max="10" width="22.1640625" customWidth="1"/>
    <col min="11" max="11" width="24.33203125" customWidth="1"/>
    <col min="12" max="12" width="19" customWidth="1"/>
  </cols>
  <sheetData>
    <row r="1" spans="1:15" ht="13"/>
    <row r="2" spans="1:15" ht="19" outlineLevel="1" thickBot="1">
      <c r="D2" s="120"/>
      <c r="E2" s="37"/>
      <c r="F2" s="37"/>
      <c r="G2" s="31"/>
    </row>
    <row r="3" spans="1:15" ht="18" customHeight="1" outlineLevel="1" thickBot="1">
      <c r="A3" s="294" t="s">
        <v>668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01"/>
      <c r="N3" s="37"/>
      <c r="O3" s="37"/>
    </row>
    <row r="4" spans="1:15" ht="35" customHeight="1" outlineLevel="1" thickBot="1">
      <c r="A4" s="213" t="s">
        <v>696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4"/>
      <c r="M4" s="280"/>
      <c r="N4" s="281"/>
      <c r="O4" s="281"/>
    </row>
    <row r="5" spans="1:15" ht="35" customHeight="1" outlineLevel="1" thickBot="1">
      <c r="A5" s="44" t="s">
        <v>616</v>
      </c>
      <c r="B5" s="44" t="s">
        <v>0</v>
      </c>
      <c r="C5" s="215" t="s">
        <v>631</v>
      </c>
      <c r="D5" s="215" t="s">
        <v>632</v>
      </c>
      <c r="E5" s="274" t="s">
        <v>633</v>
      </c>
      <c r="F5" s="215" t="s">
        <v>634</v>
      </c>
      <c r="G5" s="215" t="s">
        <v>641</v>
      </c>
      <c r="H5" s="275" t="s">
        <v>636</v>
      </c>
      <c r="I5" s="275" t="s">
        <v>637</v>
      </c>
      <c r="J5" s="275" t="s">
        <v>642</v>
      </c>
      <c r="K5" s="275" t="s">
        <v>643</v>
      </c>
      <c r="L5" s="216" t="s">
        <v>666</v>
      </c>
      <c r="M5" s="202"/>
      <c r="N5" s="37"/>
      <c r="O5" s="37"/>
    </row>
    <row r="6" spans="1:15" ht="13" outlineLevel="1">
      <c r="A6" s="56" t="s">
        <v>283</v>
      </c>
      <c r="B6" s="343" t="s">
        <v>2</v>
      </c>
      <c r="C6" s="47">
        <v>1396.2</v>
      </c>
      <c r="D6" s="47">
        <v>5318.23</v>
      </c>
      <c r="E6" s="176">
        <f>D6/(C6*8765.81277)*1000</f>
        <v>0.43453753018519808</v>
      </c>
      <c r="F6" s="47">
        <v>647</v>
      </c>
      <c r="G6" s="47"/>
      <c r="H6" s="184">
        <f>C6*E6/F6</f>
        <v>0.93771452804416322</v>
      </c>
      <c r="I6" s="111">
        <f>D6*10^(-3)/(F6)</f>
        <v>8.2198299845440484E-3</v>
      </c>
      <c r="J6" s="191"/>
      <c r="K6" s="286"/>
      <c r="L6" s="49"/>
      <c r="M6" s="36"/>
      <c r="N6" s="37"/>
      <c r="O6" s="37"/>
    </row>
    <row r="7" spans="1:15" ht="13" outlineLevel="1">
      <c r="A7" s="57" t="s">
        <v>284</v>
      </c>
      <c r="B7" s="340" t="s">
        <v>2</v>
      </c>
      <c r="C7" s="36">
        <v>250</v>
      </c>
      <c r="D7" s="36">
        <v>951.32</v>
      </c>
      <c r="E7" s="177">
        <f t="shared" ref="E7:E70" si="0">D7/(C7*8765.81277)*1000</f>
        <v>0.43410464036183155</v>
      </c>
      <c r="F7" s="36">
        <v>2360</v>
      </c>
      <c r="G7" s="36">
        <v>16502</v>
      </c>
      <c r="H7" s="93">
        <f t="shared" ref="H7:H15" si="1">C7*E7/F7</f>
        <v>4.5985661055278765E-2</v>
      </c>
      <c r="I7" s="91">
        <f>D7*10^(-3)/(F7)</f>
        <v>4.0310169491525425E-4</v>
      </c>
      <c r="J7" s="192">
        <f>C7*10^6*E7/(G7*10^6)</f>
        <v>6.576545878709119E-3</v>
      </c>
      <c r="K7" s="287">
        <f>D7*10^(-3)/(G7)</f>
        <v>5.7648769846079267E-5</v>
      </c>
      <c r="L7" s="97">
        <f>H7/J7</f>
        <v>6.9923728813559327</v>
      </c>
      <c r="M7" s="36"/>
      <c r="N7" s="37"/>
      <c r="O7" s="37"/>
    </row>
    <row r="8" spans="1:15" ht="13" outlineLevel="1">
      <c r="A8" s="57" t="s">
        <v>285</v>
      </c>
      <c r="B8" s="340" t="s">
        <v>2</v>
      </c>
      <c r="C8" s="36">
        <v>698.25</v>
      </c>
      <c r="D8" s="36">
        <v>2659.68</v>
      </c>
      <c r="E8" s="177">
        <f t="shared" si="0"/>
        <v>0.4345364908980619</v>
      </c>
      <c r="F8" s="36">
        <v>94</v>
      </c>
      <c r="G8" s="36"/>
      <c r="H8" s="93">
        <f t="shared" si="1"/>
        <v>3.2278202635060822</v>
      </c>
      <c r="I8" s="91">
        <f>D8*10^(-3)/(F8)</f>
        <v>2.829446808510638E-2</v>
      </c>
      <c r="J8" s="192"/>
      <c r="K8" s="287"/>
      <c r="L8" s="97"/>
      <c r="M8" s="36"/>
      <c r="N8" s="37"/>
      <c r="O8" s="37"/>
    </row>
    <row r="9" spans="1:15" ht="13" outlineLevel="1">
      <c r="A9" s="57" t="s">
        <v>286</v>
      </c>
      <c r="B9" s="340" t="s">
        <v>2</v>
      </c>
      <c r="C9" s="36">
        <v>11233</v>
      </c>
      <c r="D9" s="36">
        <v>39500</v>
      </c>
      <c r="E9" s="177">
        <f t="shared" si="0"/>
        <v>0.40115217059645097</v>
      </c>
      <c r="F9" s="36">
        <f>108+333</f>
        <v>441</v>
      </c>
      <c r="G9" s="36">
        <v>447.71899999999999</v>
      </c>
      <c r="H9" s="93">
        <f t="shared" si="1"/>
        <v>10.218009823832048</v>
      </c>
      <c r="I9" s="91">
        <f>D9*10^(-3)/(F9)</f>
        <v>8.9569160997732433E-2</v>
      </c>
      <c r="J9" s="192">
        <f>C9*10^6*E9/(G9*10^6)</f>
        <v>10.064666302546762</v>
      </c>
      <c r="K9" s="287">
        <f>D9*10^(-3)/(G9)</f>
        <v>8.8224980400653089E-2</v>
      </c>
      <c r="L9" s="97">
        <f>H9/J9</f>
        <v>1.0152358276643989</v>
      </c>
      <c r="M9" s="36"/>
      <c r="N9" s="37"/>
      <c r="O9" s="37"/>
    </row>
    <row r="10" spans="1:15" ht="13" outlineLevel="1">
      <c r="A10" s="57" t="s">
        <v>287</v>
      </c>
      <c r="B10" s="340" t="s">
        <v>2</v>
      </c>
      <c r="C10" s="36">
        <v>1676</v>
      </c>
      <c r="D10" s="36">
        <v>4002</v>
      </c>
      <c r="E10" s="177">
        <f t="shared" si="0"/>
        <v>0.27240236871853346</v>
      </c>
      <c r="F10" s="36">
        <v>167</v>
      </c>
      <c r="G10" s="36"/>
      <c r="H10" s="93">
        <f t="shared" si="1"/>
        <v>2.7338105986362997</v>
      </c>
      <c r="I10" s="91">
        <f>D10*10^(-3)/(F10)</f>
        <v>2.3964071856287423E-2</v>
      </c>
      <c r="J10" s="192"/>
      <c r="K10" s="287"/>
      <c r="L10" s="97"/>
      <c r="M10" s="36"/>
      <c r="N10" s="34"/>
    </row>
    <row r="11" spans="1:15" ht="13" outlineLevel="1">
      <c r="A11" s="57" t="s">
        <v>288</v>
      </c>
      <c r="B11" s="340" t="s">
        <v>2</v>
      </c>
      <c r="C11" s="36">
        <v>396</v>
      </c>
      <c r="D11" s="36">
        <v>1508.39</v>
      </c>
      <c r="E11" s="177">
        <f t="shared" si="0"/>
        <v>0.43453650636958069</v>
      </c>
      <c r="F11" s="36">
        <v>387.6</v>
      </c>
      <c r="G11" s="36">
        <v>50000</v>
      </c>
      <c r="H11" s="93">
        <f t="shared" si="1"/>
        <v>0.4439537061980236</v>
      </c>
      <c r="I11" s="91">
        <f>D11*10^(-3)/(F11)</f>
        <v>3.8916150670794633E-3</v>
      </c>
      <c r="J11" s="192">
        <f>C11*10^6*E11/(G11*10^6)</f>
        <v>3.4415291304470789E-3</v>
      </c>
      <c r="K11" s="287">
        <f>D11*10^(-3)/(G11)</f>
        <v>3.0167800000000003E-5</v>
      </c>
      <c r="L11" s="97">
        <f>H11/J11</f>
        <v>128.99896800825593</v>
      </c>
      <c r="M11" s="36"/>
      <c r="N11" s="34"/>
    </row>
    <row r="12" spans="1:15" ht="13" outlineLevel="1">
      <c r="A12" s="57" t="s">
        <v>289</v>
      </c>
      <c r="B12" s="340" t="s">
        <v>2</v>
      </c>
      <c r="C12" s="36">
        <v>619</v>
      </c>
      <c r="D12" s="36">
        <v>2357.8200000000002</v>
      </c>
      <c r="E12" s="177">
        <f t="shared" si="0"/>
        <v>0.43453804682795888</v>
      </c>
      <c r="F12" s="36">
        <v>515</v>
      </c>
      <c r="G12" s="36">
        <v>80000</v>
      </c>
      <c r="H12" s="93">
        <f t="shared" si="1"/>
        <v>0.52228941939127482</v>
      </c>
      <c r="I12" s="91">
        <f>D12*10^(-3)/(F12)</f>
        <v>4.5782912621359232E-3</v>
      </c>
      <c r="J12" s="192">
        <f>C12*10^6*E12/(G12*10^6)</f>
        <v>3.3622381373313317E-3</v>
      </c>
      <c r="K12" s="287">
        <f>D12*10^(-3)/(G12)</f>
        <v>2.9472750000000003E-5</v>
      </c>
      <c r="L12" s="97">
        <f>H12/J12</f>
        <v>155.33980582524271</v>
      </c>
      <c r="M12" s="36"/>
      <c r="N12" s="34"/>
    </row>
    <row r="13" spans="1:15" ht="13" outlineLevel="1">
      <c r="A13" s="57" t="s">
        <v>290</v>
      </c>
      <c r="B13" s="340" t="s">
        <v>2</v>
      </c>
      <c r="C13" s="36">
        <v>3336</v>
      </c>
      <c r="D13" s="36"/>
      <c r="E13" s="177">
        <f t="shared" si="0"/>
        <v>0</v>
      </c>
      <c r="F13" s="36">
        <v>616</v>
      </c>
      <c r="G13" s="36"/>
      <c r="H13" s="36"/>
      <c r="I13" s="36"/>
      <c r="J13" s="192"/>
      <c r="K13" s="287"/>
      <c r="L13" s="97"/>
      <c r="M13" s="36"/>
      <c r="N13" s="34"/>
    </row>
    <row r="14" spans="1:15" ht="13" outlineLevel="1">
      <c r="A14" s="57" t="s">
        <v>291</v>
      </c>
      <c r="B14" s="340" t="s">
        <v>2</v>
      </c>
      <c r="C14" s="36">
        <v>306.89999999999998</v>
      </c>
      <c r="D14" s="36"/>
      <c r="E14" s="177">
        <f t="shared" si="0"/>
        <v>0</v>
      </c>
      <c r="F14" s="36">
        <v>182.8</v>
      </c>
      <c r="G14" s="36"/>
      <c r="H14" s="36"/>
      <c r="I14" s="36"/>
      <c r="J14" s="192"/>
      <c r="K14" s="287"/>
      <c r="L14" s="97"/>
      <c r="M14" s="36"/>
      <c r="N14" s="34"/>
    </row>
    <row r="15" spans="1:15" ht="13" outlineLevel="1">
      <c r="A15" s="57" t="s">
        <v>292</v>
      </c>
      <c r="B15" s="340" t="s">
        <v>2</v>
      </c>
      <c r="C15" s="36">
        <v>125</v>
      </c>
      <c r="D15" s="36">
        <v>679</v>
      </c>
      <c r="E15" s="177">
        <f t="shared" si="0"/>
        <v>0.61968013035715341</v>
      </c>
      <c r="F15" s="36">
        <v>20.98</v>
      </c>
      <c r="G15" s="36"/>
      <c r="H15" s="93">
        <f>C15*E15/F15</f>
        <v>3.6920884792490076</v>
      </c>
      <c r="I15" s="91">
        <f>D15*10^(-3)/(F15)</f>
        <v>3.2364156339370828E-2</v>
      </c>
      <c r="J15" s="192"/>
      <c r="K15" s="287"/>
      <c r="L15" s="97"/>
      <c r="M15" s="36"/>
      <c r="N15" s="34"/>
    </row>
    <row r="16" spans="1:15" ht="13" outlineLevel="1">
      <c r="A16" s="57" t="s">
        <v>293</v>
      </c>
      <c r="B16" s="340" t="s">
        <v>2</v>
      </c>
      <c r="C16" s="36">
        <v>1192</v>
      </c>
      <c r="D16" s="36">
        <v>4540.41</v>
      </c>
      <c r="E16" s="177">
        <f t="shared" si="0"/>
        <v>0.43453686405240299</v>
      </c>
      <c r="F16" s="36">
        <v>703</v>
      </c>
      <c r="G16" s="36"/>
      <c r="H16" s="93">
        <f t="shared" ref="H16:H79" si="2">C16*E16/F16</f>
        <v>0.73679650348572456</v>
      </c>
      <c r="I16" s="91">
        <f>D16*10^(-3)/(F16)</f>
        <v>6.4586201991465144E-3</v>
      </c>
      <c r="J16" s="192"/>
      <c r="K16" s="287"/>
      <c r="L16" s="97"/>
      <c r="M16" s="36"/>
      <c r="N16" s="34"/>
    </row>
    <row r="17" spans="1:14" ht="13" outlineLevel="1">
      <c r="A17" s="57" t="s">
        <v>294</v>
      </c>
      <c r="B17" s="340" t="s">
        <v>2</v>
      </c>
      <c r="C17" s="36">
        <v>1551.2</v>
      </c>
      <c r="D17" s="36">
        <v>5908.63</v>
      </c>
      <c r="E17" s="177">
        <f t="shared" si="0"/>
        <v>0.43453704716897723</v>
      </c>
      <c r="F17" s="36">
        <v>330</v>
      </c>
      <c r="G17" s="36">
        <v>470000</v>
      </c>
      <c r="H17" s="93">
        <f t="shared" si="2"/>
        <v>2.0425874774803559</v>
      </c>
      <c r="I17" s="91">
        <f>D17*10^(-3)/(F17)</f>
        <v>1.7904939393939397E-2</v>
      </c>
      <c r="J17" s="192">
        <f>C17*10^6*E17/(G17*10^6)</f>
        <v>1.4341571650393987E-3</v>
      </c>
      <c r="K17" s="287">
        <f>D17*10^(-3)/(G17)</f>
        <v>1.2571553191489363E-5</v>
      </c>
      <c r="L17" s="97">
        <f>H17/J17</f>
        <v>1424.2424242424242</v>
      </c>
      <c r="M17" s="36"/>
      <c r="N17" s="34"/>
    </row>
    <row r="18" spans="1:14" ht="13" outlineLevel="1">
      <c r="A18" s="57" t="s">
        <v>295</v>
      </c>
      <c r="B18" s="340" t="s">
        <v>2</v>
      </c>
      <c r="C18" s="36">
        <v>1216</v>
      </c>
      <c r="D18" s="36">
        <v>4631.83</v>
      </c>
      <c r="E18" s="177">
        <f t="shared" si="0"/>
        <v>0.43453708442419886</v>
      </c>
      <c r="F18" s="36">
        <v>1473</v>
      </c>
      <c r="G18" s="36">
        <v>51900</v>
      </c>
      <c r="H18" s="93">
        <f t="shared" si="2"/>
        <v>0.35872172074665704</v>
      </c>
      <c r="I18" s="91">
        <f>D18*10^(-3)/(F18)</f>
        <v>3.1444874405974202E-3</v>
      </c>
      <c r="J18" s="192">
        <f>C18*10^6*E18/(G18*10^6)</f>
        <v>1.0181061554139226E-2</v>
      </c>
      <c r="K18" s="287">
        <f>D18*10^(-3)/(G18)</f>
        <v>8.924527938342967E-5</v>
      </c>
      <c r="L18" s="97">
        <f>H18/J18</f>
        <v>35.234215885947044</v>
      </c>
      <c r="M18" s="36"/>
      <c r="N18" s="34"/>
    </row>
    <row r="19" spans="1:14" ht="13" outlineLevel="1">
      <c r="A19" s="57" t="s">
        <v>296</v>
      </c>
      <c r="B19" s="340" t="s">
        <v>2</v>
      </c>
      <c r="C19" s="36">
        <v>1240</v>
      </c>
      <c r="D19" s="36">
        <v>5431</v>
      </c>
      <c r="E19" s="177">
        <f t="shared" si="0"/>
        <v>0.49965004097131988</v>
      </c>
      <c r="F19" s="36">
        <v>180</v>
      </c>
      <c r="G19" s="36"/>
      <c r="H19" s="93">
        <f t="shared" si="2"/>
        <v>3.4420336155802032</v>
      </c>
      <c r="I19" s="91">
        <f>D19*10^(-3)/(F19)</f>
        <v>3.0172222222222222E-2</v>
      </c>
      <c r="J19" s="192"/>
      <c r="K19" s="287"/>
      <c r="L19" s="97"/>
      <c r="M19" s="36"/>
      <c r="N19" s="34"/>
    </row>
    <row r="20" spans="1:14" ht="13" outlineLevel="1">
      <c r="A20" s="57" t="s">
        <v>297</v>
      </c>
      <c r="B20" s="340" t="s">
        <v>2</v>
      </c>
      <c r="C20" s="36">
        <v>1450</v>
      </c>
      <c r="D20" s="36">
        <v>5523.15</v>
      </c>
      <c r="E20" s="177">
        <f t="shared" si="0"/>
        <v>0.43453688385329742</v>
      </c>
      <c r="F20" s="36">
        <v>141</v>
      </c>
      <c r="G20" s="36">
        <v>45800</v>
      </c>
      <c r="H20" s="93">
        <f t="shared" si="2"/>
        <v>4.4686417133849732</v>
      </c>
      <c r="I20" s="91">
        <f>D20*10^(-3)/(F20)</f>
        <v>3.9171276595744674E-2</v>
      </c>
      <c r="J20" s="192">
        <f>C20*10^6*E20/(G20*10^6)</f>
        <v>1.3757172087058542E-2</v>
      </c>
      <c r="K20" s="287">
        <f>D20*10^(-3)/(G20)</f>
        <v>1.2059279475982531E-4</v>
      </c>
      <c r="L20" s="97">
        <f>H20/J20</f>
        <v>324.82269503546098</v>
      </c>
      <c r="M20" s="36"/>
      <c r="N20" s="34"/>
    </row>
    <row r="21" spans="1:14" ht="13" outlineLevel="1">
      <c r="A21" s="57" t="s">
        <v>618</v>
      </c>
      <c r="B21" s="340" t="s">
        <v>2</v>
      </c>
      <c r="C21" s="71">
        <v>14000</v>
      </c>
      <c r="D21" s="36">
        <v>96568</v>
      </c>
      <c r="E21" s="177">
        <f t="shared" si="0"/>
        <v>0.786888160481927</v>
      </c>
      <c r="F21" s="36">
        <v>1350</v>
      </c>
      <c r="G21" s="36">
        <v>1350000</v>
      </c>
      <c r="H21" s="93">
        <f t="shared" si="2"/>
        <v>8.1603216642570207</v>
      </c>
      <c r="I21" s="91">
        <f>D21*10^(-3)/(F21)</f>
        <v>7.1531851851851846E-2</v>
      </c>
      <c r="J21" s="192">
        <f>C21*10^6*E21/(G21*10^6)</f>
        <v>8.1603216642570208E-3</v>
      </c>
      <c r="K21" s="287">
        <f>D21*10^(-3)/(G21)</f>
        <v>7.1531851851851851E-5</v>
      </c>
      <c r="L21" s="97">
        <f>H21/J21</f>
        <v>1000</v>
      </c>
      <c r="M21" s="36"/>
      <c r="N21" s="34"/>
    </row>
    <row r="22" spans="1:14" ht="13" outlineLevel="1">
      <c r="A22" s="57" t="s">
        <v>298</v>
      </c>
      <c r="B22" s="340" t="s">
        <v>2</v>
      </c>
      <c r="C22" s="36">
        <v>2080.5</v>
      </c>
      <c r="D22" s="36">
        <v>7924.77</v>
      </c>
      <c r="E22" s="177">
        <f t="shared" si="0"/>
        <v>0.43453699446420552</v>
      </c>
      <c r="F22" s="36">
        <v>778</v>
      </c>
      <c r="G22" s="36"/>
      <c r="H22" s="93">
        <f t="shared" si="2"/>
        <v>1.1620234151449609</v>
      </c>
      <c r="I22" s="91">
        <f>D22*10^(-3)/(F22)</f>
        <v>1.0186079691516711E-2</v>
      </c>
      <c r="J22" s="192"/>
      <c r="K22" s="287"/>
      <c r="L22" s="97"/>
      <c r="M22" s="36"/>
      <c r="N22" s="34"/>
    </row>
    <row r="23" spans="1:14" ht="13" outlineLevel="1">
      <c r="A23" s="57" t="s">
        <v>299</v>
      </c>
      <c r="B23" s="340" t="s">
        <v>2</v>
      </c>
      <c r="C23" s="36">
        <v>3444</v>
      </c>
      <c r="D23" s="36">
        <v>17900</v>
      </c>
      <c r="E23" s="177">
        <f t="shared" si="0"/>
        <v>0.5929221816576824</v>
      </c>
      <c r="F23" s="36">
        <v>1195</v>
      </c>
      <c r="G23" s="36">
        <v>375460</v>
      </c>
      <c r="H23" s="93">
        <f t="shared" si="2"/>
        <v>1.7088066892293374</v>
      </c>
      <c r="I23" s="91">
        <f>D23*10^(-3)/(F23)</f>
        <v>1.4979079497907952E-2</v>
      </c>
      <c r="J23" s="192">
        <f>C23*10^6*E23/(G23*10^6)</f>
        <v>5.4387258126806001E-3</v>
      </c>
      <c r="K23" s="287">
        <f>D23*10^(-3)/(G23)</f>
        <v>4.767485218132425E-5</v>
      </c>
      <c r="L23" s="97">
        <f>H23/J23</f>
        <v>314.19246861924688</v>
      </c>
      <c r="M23" s="36"/>
      <c r="N23" s="34"/>
    </row>
    <row r="24" spans="1:14" ht="13" outlineLevel="1">
      <c r="A24" s="57" t="s">
        <v>300</v>
      </c>
      <c r="B24" s="340" t="s">
        <v>2</v>
      </c>
      <c r="C24" s="36">
        <v>2338</v>
      </c>
      <c r="D24" s="36">
        <v>11264</v>
      </c>
      <c r="E24" s="177">
        <f t="shared" si="0"/>
        <v>0.54961166886269874</v>
      </c>
      <c r="F24" s="36">
        <v>646</v>
      </c>
      <c r="G24" s="36"/>
      <c r="H24" s="93">
        <f t="shared" si="2"/>
        <v>1.9891518294132966</v>
      </c>
      <c r="I24" s="91">
        <f>D24*10^(-3)/(F24)</f>
        <v>1.7436532507739938E-2</v>
      </c>
      <c r="J24" s="192"/>
      <c r="K24" s="287"/>
      <c r="L24" s="97"/>
      <c r="M24" s="36"/>
      <c r="N24" s="34"/>
    </row>
    <row r="25" spans="1:14" ht="13" outlineLevel="1">
      <c r="A25" s="57" t="s">
        <v>301</v>
      </c>
      <c r="B25" s="340" t="s">
        <v>2</v>
      </c>
      <c r="C25" s="36">
        <v>3750</v>
      </c>
      <c r="D25" s="36">
        <v>19100</v>
      </c>
      <c r="E25" s="177">
        <f t="shared" si="0"/>
        <v>0.58104518850376186</v>
      </c>
      <c r="F25" s="36">
        <v>258</v>
      </c>
      <c r="G25" s="36">
        <v>972710</v>
      </c>
      <c r="H25" s="93">
        <f t="shared" si="2"/>
        <v>8.4454242515081663</v>
      </c>
      <c r="I25" s="91">
        <f>D25*10^(-3)/(F25)</f>
        <v>7.4031007751937994E-2</v>
      </c>
      <c r="J25" s="192">
        <f>C25*10^6*E25/(G25*10^6)</f>
        <v>2.2400504332114471E-3</v>
      </c>
      <c r="K25" s="287">
        <f>D25*10^(-3)/(G25)</f>
        <v>1.9635862692888942E-5</v>
      </c>
      <c r="L25" s="97">
        <f>H25/J25</f>
        <v>3770.1937984496126</v>
      </c>
      <c r="M25" s="36"/>
      <c r="N25" s="34"/>
    </row>
    <row r="26" spans="1:14" ht="13" outlineLevel="1">
      <c r="A26" s="57" t="s">
        <v>302</v>
      </c>
      <c r="B26" s="340" t="s">
        <v>2</v>
      </c>
      <c r="C26" s="36">
        <v>399</v>
      </c>
      <c r="D26" s="36">
        <v>1519.82</v>
      </c>
      <c r="E26" s="177">
        <f t="shared" si="0"/>
        <v>0.43453730779425037</v>
      </c>
      <c r="F26" s="36">
        <v>137</v>
      </c>
      <c r="G26" s="36"/>
      <c r="H26" s="93">
        <f t="shared" si="2"/>
        <v>1.2655502613861744</v>
      </c>
      <c r="I26" s="91">
        <f>D26*10^(-3)/(F26)</f>
        <v>1.1093576642335765E-2</v>
      </c>
      <c r="J26" s="192"/>
      <c r="K26" s="287"/>
      <c r="L26" s="97"/>
      <c r="M26" s="36"/>
      <c r="N26" s="34"/>
    </row>
    <row r="27" spans="1:14" ht="13" outlineLevel="1">
      <c r="A27" s="57" t="s">
        <v>303</v>
      </c>
      <c r="B27" s="340" t="s">
        <v>2</v>
      </c>
      <c r="C27" s="36">
        <v>1048</v>
      </c>
      <c r="D27" s="36">
        <v>3991.91</v>
      </c>
      <c r="E27" s="177">
        <f t="shared" si="0"/>
        <v>0.43453750695167032</v>
      </c>
      <c r="F27" s="36">
        <v>46.7</v>
      </c>
      <c r="G27" s="36"/>
      <c r="H27" s="93">
        <f t="shared" si="2"/>
        <v>9.7515055093222802</v>
      </c>
      <c r="I27" s="91">
        <f>D27*10^(-3)/(F27)</f>
        <v>8.5479871520342601E-2</v>
      </c>
      <c r="J27" s="192"/>
      <c r="K27" s="287"/>
      <c r="L27" s="97"/>
      <c r="M27" s="36"/>
      <c r="N27" s="34"/>
    </row>
    <row r="28" spans="1:14" ht="13" outlineLevel="1">
      <c r="A28" s="57" t="s">
        <v>304</v>
      </c>
      <c r="B28" s="340" t="s">
        <v>2</v>
      </c>
      <c r="C28" s="36">
        <v>1479.6</v>
      </c>
      <c r="D28" s="36">
        <v>5635.9</v>
      </c>
      <c r="E28" s="177">
        <f t="shared" si="0"/>
        <v>0.43453700402547307</v>
      </c>
      <c r="F28" s="36">
        <v>830</v>
      </c>
      <c r="G28" s="36">
        <v>630000</v>
      </c>
      <c r="H28" s="93">
        <f t="shared" si="2"/>
        <v>0.77462765199528905</v>
      </c>
      <c r="I28" s="91">
        <f>D28*10^(-3)/(F28)</f>
        <v>6.7902409638554212E-3</v>
      </c>
      <c r="J28" s="192">
        <f>C28*10^6*E28/(G28*10^6)</f>
        <v>1.0205411923112538E-3</v>
      </c>
      <c r="K28" s="287">
        <f>D28*10^(-3)/(G28)</f>
        <v>8.9458730158730142E-6</v>
      </c>
      <c r="L28" s="97">
        <f>H28/J28</f>
        <v>759.03614457831327</v>
      </c>
      <c r="M28" s="36"/>
      <c r="N28" s="34"/>
    </row>
    <row r="29" spans="1:14" ht="13" outlineLevel="1">
      <c r="A29" s="57" t="s">
        <v>305</v>
      </c>
      <c r="B29" s="340" t="s">
        <v>2</v>
      </c>
      <c r="C29" s="36">
        <v>1140</v>
      </c>
      <c r="D29" s="36">
        <v>4342.34</v>
      </c>
      <c r="E29" s="177">
        <f t="shared" si="0"/>
        <v>0.43453702188058446</v>
      </c>
      <c r="F29" s="36">
        <v>79</v>
      </c>
      <c r="G29" s="36">
        <v>32500</v>
      </c>
      <c r="H29" s="93">
        <f t="shared" si="2"/>
        <v>6.2705342397957757</v>
      </c>
      <c r="I29" s="91">
        <f>D29*10^(-3)/(F29)</f>
        <v>5.4966329113924052E-2</v>
      </c>
      <c r="J29" s="192">
        <f>C29*10^6*E29/(G29*10^6)</f>
        <v>1.5242221690580503E-2</v>
      </c>
      <c r="K29" s="287">
        <f>D29*10^(-3)/(G29)</f>
        <v>1.3361046153846155E-4</v>
      </c>
      <c r="L29" s="97">
        <f>H29/J29</f>
        <v>411.39240506329111</v>
      </c>
      <c r="M29" s="36"/>
      <c r="N29" s="34"/>
    </row>
    <row r="30" spans="1:14" ht="13" outlineLevel="1">
      <c r="A30" s="57" t="s">
        <v>306</v>
      </c>
      <c r="B30" s="340" t="s">
        <v>2</v>
      </c>
      <c r="C30" s="36">
        <v>1440</v>
      </c>
      <c r="D30" s="36">
        <v>5485.06</v>
      </c>
      <c r="E30" s="177">
        <f t="shared" si="0"/>
        <v>0.43453693848909852</v>
      </c>
      <c r="F30" s="36">
        <v>438</v>
      </c>
      <c r="G30" s="36"/>
      <c r="H30" s="93">
        <f t="shared" si="2"/>
        <v>1.4286145922929265</v>
      </c>
      <c r="I30" s="91">
        <f>D30*10^(-3)/(F30)</f>
        <v>1.2522968036529683E-2</v>
      </c>
      <c r="J30" s="192"/>
      <c r="K30" s="287"/>
      <c r="L30" s="97"/>
      <c r="M30" s="36"/>
      <c r="N30" s="34"/>
    </row>
    <row r="31" spans="1:14" ht="13" outlineLevel="1">
      <c r="A31" s="57" t="s">
        <v>307</v>
      </c>
      <c r="B31" s="340" t="s">
        <v>2</v>
      </c>
      <c r="C31" s="36">
        <f>180+189</f>
        <v>369</v>
      </c>
      <c r="D31" s="36">
        <v>897.8</v>
      </c>
      <c r="E31" s="177">
        <f t="shared" si="0"/>
        <v>0.27756266240937588</v>
      </c>
      <c r="F31" s="36">
        <v>1.22</v>
      </c>
      <c r="G31" s="36"/>
      <c r="H31" s="93">
        <f t="shared" si="2"/>
        <v>83.951329859885007</v>
      </c>
      <c r="I31" s="91">
        <f>D31*10^(-3)/(F31)</f>
        <v>0.73590163934426223</v>
      </c>
      <c r="J31" s="192"/>
      <c r="K31" s="287"/>
      <c r="L31" s="97"/>
      <c r="M31" s="36"/>
      <c r="N31" s="34"/>
    </row>
    <row r="32" spans="1:14" ht="13" outlineLevel="1">
      <c r="A32" s="57" t="s">
        <v>308</v>
      </c>
      <c r="B32" s="340" t="s">
        <v>2</v>
      </c>
      <c r="C32" s="36">
        <v>347.4</v>
      </c>
      <c r="D32" s="36">
        <v>1323.27</v>
      </c>
      <c r="E32" s="177">
        <f>D32/(C32*8765.81277)*1000</f>
        <v>0.4345367004128875</v>
      </c>
      <c r="F32" s="36">
        <v>210</v>
      </c>
      <c r="G32" s="36"/>
      <c r="H32" s="93">
        <f t="shared" si="2"/>
        <v>0.71884785582589106</v>
      </c>
      <c r="I32" s="91">
        <f>D32*10^(-3)/(F32)</f>
        <v>6.3012857142857141E-3</v>
      </c>
      <c r="J32" s="192"/>
      <c r="K32" s="287"/>
      <c r="L32" s="97"/>
      <c r="M32" s="36"/>
      <c r="N32" s="34"/>
    </row>
    <row r="33" spans="1:14" ht="13" outlineLevel="1">
      <c r="A33" s="57" t="s">
        <v>309</v>
      </c>
      <c r="B33" s="340" t="s">
        <v>2</v>
      </c>
      <c r="C33" s="36">
        <v>492.1</v>
      </c>
      <c r="D33" s="36">
        <v>1874.44</v>
      </c>
      <c r="E33" s="177">
        <f t="shared" si="0"/>
        <v>0.43453622595875752</v>
      </c>
      <c r="F33" s="36">
        <v>250</v>
      </c>
      <c r="G33" s="36"/>
      <c r="H33" s="93">
        <f t="shared" si="2"/>
        <v>0.85534110717721834</v>
      </c>
      <c r="I33" s="91">
        <f>D33*10^(-3)/(F33)</f>
        <v>7.49776E-3</v>
      </c>
      <c r="J33" s="192"/>
      <c r="K33" s="287"/>
      <c r="L33" s="97"/>
      <c r="M33" s="36"/>
      <c r="N33" s="34"/>
    </row>
    <row r="34" spans="1:14" ht="13" outlineLevel="1">
      <c r="A34" s="57" t="s">
        <v>310</v>
      </c>
      <c r="B34" s="340" t="s">
        <v>2</v>
      </c>
      <c r="C34" s="36">
        <v>1540</v>
      </c>
      <c r="D34" s="36">
        <v>10500</v>
      </c>
      <c r="E34" s="177">
        <f t="shared" si="0"/>
        <v>0.77781513215936704</v>
      </c>
      <c r="F34" s="36">
        <v>2250</v>
      </c>
      <c r="G34" s="36"/>
      <c r="H34" s="93">
        <f t="shared" si="2"/>
        <v>0.53237124601130004</v>
      </c>
      <c r="I34" s="91">
        <f>D34*10^(-3)/(F34)</f>
        <v>4.6666666666666671E-3</v>
      </c>
      <c r="J34" s="192"/>
      <c r="K34" s="287"/>
      <c r="L34" s="97"/>
      <c r="M34" s="36"/>
      <c r="N34" s="34"/>
    </row>
    <row r="35" spans="1:14" ht="13" outlineLevel="1">
      <c r="A35" s="57" t="s">
        <v>311</v>
      </c>
      <c r="B35" s="340" t="s">
        <v>2</v>
      </c>
      <c r="C35" s="36">
        <v>1420</v>
      </c>
      <c r="D35" s="36">
        <v>2137.46</v>
      </c>
      <c r="E35" s="177">
        <f t="shared" si="0"/>
        <v>0.17171864841538936</v>
      </c>
      <c r="F35" s="36">
        <v>208</v>
      </c>
      <c r="G35" s="36">
        <v>43330</v>
      </c>
      <c r="H35" s="93">
        <f t="shared" si="2"/>
        <v>1.172310003605062</v>
      </c>
      <c r="I35" s="91">
        <f>D35*10^(-3)/(F35)</f>
        <v>1.0276249999999999E-2</v>
      </c>
      <c r="J35" s="192">
        <f>C35*10^6*E35/(G35*10^6)</f>
        <v>5.6275209035276455E-3</v>
      </c>
      <c r="K35" s="287">
        <f>D35*10^(-3)/(G35)</f>
        <v>4.9329794599584584E-5</v>
      </c>
      <c r="L35" s="97">
        <f>H35/J35</f>
        <v>208.31730769230771</v>
      </c>
      <c r="M35" s="36"/>
      <c r="N35" s="34"/>
    </row>
    <row r="36" spans="1:14" ht="13" outlineLevel="1">
      <c r="A36" s="57" t="s">
        <v>312</v>
      </c>
      <c r="B36" s="340" t="s">
        <v>2</v>
      </c>
      <c r="C36" s="36">
        <v>1078</v>
      </c>
      <c r="D36" s="36">
        <v>4106.18</v>
      </c>
      <c r="E36" s="177">
        <f t="shared" si="0"/>
        <v>0.4345372706626055</v>
      </c>
      <c r="F36" s="36">
        <v>51</v>
      </c>
      <c r="G36" s="36">
        <v>45800</v>
      </c>
      <c r="H36" s="93">
        <f t="shared" si="2"/>
        <v>9.1849250543978194</v>
      </c>
      <c r="I36" s="91">
        <f>D36*10^(-3)/(F36)</f>
        <v>8.051333333333334E-2</v>
      </c>
      <c r="J36" s="192">
        <f>C36*10^6*E36/(G36*10^6)</f>
        <v>1.0227754973237744E-2</v>
      </c>
      <c r="K36" s="287">
        <f>D36*10^(-3)/(G36)</f>
        <v>8.9654585152838435E-5</v>
      </c>
      <c r="L36" s="97">
        <f>H36/J36</f>
        <v>898.0392156862747</v>
      </c>
      <c r="M36" s="36"/>
      <c r="N36" s="34"/>
    </row>
    <row r="37" spans="1:14" ht="13" outlineLevel="1">
      <c r="A37" s="57" t="s">
        <v>313</v>
      </c>
      <c r="B37" s="340" t="s">
        <v>2</v>
      </c>
      <c r="C37" s="36">
        <v>3568</v>
      </c>
      <c r="D37" s="36">
        <v>13590.76</v>
      </c>
      <c r="E37" s="177">
        <f t="shared" si="0"/>
        <v>0.43453694559420275</v>
      </c>
      <c r="F37" s="36">
        <v>271</v>
      </c>
      <c r="G37" s="36"/>
      <c r="H37" s="93">
        <f t="shared" si="2"/>
        <v>5.7211358740963671</v>
      </c>
      <c r="I37" s="91">
        <f>D37*10^(-3)/(F37)</f>
        <v>5.0150405904059045E-2</v>
      </c>
      <c r="J37" s="192"/>
      <c r="K37" s="287"/>
      <c r="L37" s="97"/>
      <c r="M37" s="36"/>
      <c r="N37" s="34"/>
    </row>
    <row r="38" spans="1:14" ht="13" outlineLevel="1">
      <c r="A38" s="57" t="s">
        <v>314</v>
      </c>
      <c r="B38" s="340" t="s">
        <v>2</v>
      </c>
      <c r="C38" s="36">
        <v>1710</v>
      </c>
      <c r="D38" s="36">
        <v>12500</v>
      </c>
      <c r="E38" s="177">
        <f t="shared" si="0"/>
        <v>0.83391485904025719</v>
      </c>
      <c r="F38" s="36">
        <v>703</v>
      </c>
      <c r="G38" s="36">
        <v>722</v>
      </c>
      <c r="H38" s="93">
        <f t="shared" si="2"/>
        <v>2.0284415490168417</v>
      </c>
      <c r="I38" s="91">
        <f>D38*10^(-3)/(F38)</f>
        <v>1.7780938833570414E-2</v>
      </c>
      <c r="J38" s="192">
        <f>C38*10^6*E38/(G38*10^6)</f>
        <v>1.9750615082532408</v>
      </c>
      <c r="K38" s="287">
        <f>D38*10^(-3)/(G38)</f>
        <v>1.7313019390581719E-2</v>
      </c>
      <c r="L38" s="97">
        <f>H38/J38</f>
        <v>1.027027027027027</v>
      </c>
      <c r="M38" s="36"/>
      <c r="N38" s="34"/>
    </row>
    <row r="39" spans="1:14" ht="13" outlineLevel="1">
      <c r="A39" s="57" t="s">
        <v>315</v>
      </c>
      <c r="B39" s="340" t="s">
        <v>2</v>
      </c>
      <c r="C39" s="36">
        <v>1275</v>
      </c>
      <c r="D39" s="36">
        <v>6300</v>
      </c>
      <c r="E39" s="177">
        <f t="shared" si="0"/>
        <v>0.56368720165902364</v>
      </c>
      <c r="F39" s="36">
        <v>1784</v>
      </c>
      <c r="G39" s="36"/>
      <c r="H39" s="93">
        <f t="shared" si="2"/>
        <v>0.40285940701527756</v>
      </c>
      <c r="I39" s="91">
        <f>D39*10^(-3)/(F39)</f>
        <v>3.5313901345291479E-3</v>
      </c>
      <c r="J39" s="192"/>
      <c r="K39" s="287"/>
      <c r="L39" s="97"/>
      <c r="M39" s="36"/>
      <c r="N39" s="34"/>
    </row>
    <row r="40" spans="1:14" ht="13" outlineLevel="1">
      <c r="A40" s="57" t="s">
        <v>316</v>
      </c>
      <c r="B40" s="340" t="s">
        <v>2</v>
      </c>
      <c r="C40" s="36">
        <v>1050</v>
      </c>
      <c r="D40" s="36">
        <v>4000.67</v>
      </c>
      <c r="E40" s="177">
        <f t="shared" si="0"/>
        <v>0.4346615658734751</v>
      </c>
      <c r="F40" s="36">
        <v>4220</v>
      </c>
      <c r="G40" s="36">
        <v>498425</v>
      </c>
      <c r="H40" s="93">
        <f t="shared" si="2"/>
        <v>0.10815038961306844</v>
      </c>
      <c r="I40" s="91">
        <f>D40*10^(-3)/(F40)</f>
        <v>9.4802606635071098E-4</v>
      </c>
      <c r="J40" s="192">
        <f>C40*10^6*E40/(G40*10^6)</f>
        <v>9.1567366036444562E-4</v>
      </c>
      <c r="K40" s="287">
        <f>D40*10^(-3)/(G40)</f>
        <v>8.0266238651753036E-6</v>
      </c>
      <c r="L40" s="97">
        <f>H40/J40</f>
        <v>118.11018957345972</v>
      </c>
      <c r="M40" s="36"/>
      <c r="N40" s="34"/>
    </row>
    <row r="41" spans="1:14" ht="13" outlineLevel="1">
      <c r="A41" s="57" t="s">
        <v>317</v>
      </c>
      <c r="B41" s="340" t="s">
        <v>2</v>
      </c>
      <c r="C41" s="36">
        <v>1820</v>
      </c>
      <c r="D41" s="36">
        <v>6931.75</v>
      </c>
      <c r="E41" s="177">
        <f t="shared" si="0"/>
        <v>0.43448952722199724</v>
      </c>
      <c r="F41" s="36">
        <v>151</v>
      </c>
      <c r="G41" s="36"/>
      <c r="H41" s="93">
        <f t="shared" si="2"/>
        <v>5.2368936393644701</v>
      </c>
      <c r="I41" s="91">
        <f>D41*10^(-3)/(F41)</f>
        <v>4.5905629139072847E-2</v>
      </c>
      <c r="J41" s="192"/>
      <c r="K41" s="287"/>
      <c r="L41" s="97"/>
      <c r="M41" s="36"/>
      <c r="N41" s="34"/>
    </row>
    <row r="42" spans="1:14" ht="13" outlineLevel="1">
      <c r="A42" s="57" t="s">
        <v>318</v>
      </c>
      <c r="B42" s="340" t="s">
        <v>2</v>
      </c>
      <c r="C42" s="36">
        <v>811.45</v>
      </c>
      <c r="D42" s="36">
        <v>3090.87</v>
      </c>
      <c r="E42" s="177">
        <f t="shared" si="0"/>
        <v>0.43453702274383965</v>
      </c>
      <c r="F42" s="36">
        <v>785</v>
      </c>
      <c r="G42" s="36">
        <v>699000</v>
      </c>
      <c r="H42" s="93">
        <f t="shared" si="2"/>
        <v>0.44917842943374359</v>
      </c>
      <c r="I42" s="91">
        <f>D42*10^(-3)/(F42)</f>
        <v>3.9374140127388536E-3</v>
      </c>
      <c r="J42" s="192">
        <f>C42*10^6*E42/(G42*10^6)</f>
        <v>5.0444215608796657E-4</v>
      </c>
      <c r="K42" s="287">
        <f>D42*10^(-3)/(G42)</f>
        <v>4.4218454935622312E-6</v>
      </c>
      <c r="L42" s="97">
        <f>H42/J42</f>
        <v>890.44585987261166</v>
      </c>
      <c r="M42" s="36"/>
      <c r="N42" s="34"/>
    </row>
    <row r="43" spans="1:14" ht="13" outlineLevel="1">
      <c r="A43" s="57" t="s">
        <v>319</v>
      </c>
      <c r="B43" s="340" t="s">
        <v>2</v>
      </c>
      <c r="C43" s="36">
        <v>8370</v>
      </c>
      <c r="D43" s="36">
        <v>21400</v>
      </c>
      <c r="E43" s="177">
        <f t="shared" si="0"/>
        <v>0.29167293048238158</v>
      </c>
      <c r="F43" s="36">
        <v>2850</v>
      </c>
      <c r="G43" s="36">
        <v>758000</v>
      </c>
      <c r="H43" s="93">
        <f t="shared" si="2"/>
        <v>0.85659734320615222</v>
      </c>
      <c r="I43" s="91">
        <f>D43*10^(-3)/(F43)</f>
        <v>7.508771929824562E-3</v>
      </c>
      <c r="J43" s="192">
        <f>C43*10^6*E43/(G43*10^6)</f>
        <v>3.2207156044030787E-3</v>
      </c>
      <c r="K43" s="287">
        <f>D43*10^(-3)/(G43)</f>
        <v>2.8232189973614778E-5</v>
      </c>
      <c r="L43" s="97">
        <f>H43/J43</f>
        <v>265.96491228070175</v>
      </c>
      <c r="M43" s="36"/>
      <c r="N43" s="34"/>
    </row>
    <row r="44" spans="1:14" ht="14" outlineLevel="1" thickBot="1">
      <c r="A44" s="58" t="s">
        <v>320</v>
      </c>
      <c r="B44" s="344" t="s">
        <v>2</v>
      </c>
      <c r="C44" s="50">
        <v>3162</v>
      </c>
      <c r="D44" s="50">
        <v>12044.28</v>
      </c>
      <c r="E44" s="178">
        <f t="shared" si="0"/>
        <v>0.43453702567829916</v>
      </c>
      <c r="F44" s="50">
        <v>60</v>
      </c>
      <c r="G44" s="50">
        <v>630000</v>
      </c>
      <c r="H44" s="185">
        <f t="shared" si="2"/>
        <v>22.900101253246365</v>
      </c>
      <c r="I44" s="112">
        <f>D44*10^(-3)/(F44)</f>
        <v>0.200738</v>
      </c>
      <c r="J44" s="190">
        <f>C44*10^6*E44/(G44*10^6)</f>
        <v>2.1809620241187017E-3</v>
      </c>
      <c r="K44" s="289">
        <f>D44*10^(-3)/(G44)</f>
        <v>1.9117904761904763E-5</v>
      </c>
      <c r="L44" s="194">
        <f>H44/J44</f>
        <v>10500</v>
      </c>
      <c r="M44" s="36"/>
      <c r="N44" s="34"/>
    </row>
    <row r="45" spans="1:14" ht="13" outlineLevel="1">
      <c r="A45" s="56" t="s">
        <v>321</v>
      </c>
      <c r="B45" s="343" t="s">
        <v>18</v>
      </c>
      <c r="C45" s="47">
        <v>2160</v>
      </c>
      <c r="D45" s="47">
        <v>12000</v>
      </c>
      <c r="E45" s="176">
        <f t="shared" si="0"/>
        <v>0.63377529287059542</v>
      </c>
      <c r="F45" s="47">
        <v>238</v>
      </c>
      <c r="G45" s="47">
        <v>95000</v>
      </c>
      <c r="H45" s="184">
        <f t="shared" si="2"/>
        <v>5.751910221010446</v>
      </c>
      <c r="I45" s="111">
        <f>D45*10^(-3)/(F45)</f>
        <v>5.0420168067226892E-2</v>
      </c>
      <c r="J45" s="191">
        <f>C45*E45/G45</f>
        <v>1.4410048764215644E-2</v>
      </c>
      <c r="K45" s="188">
        <f>D45*10^(-3)/(G45)</f>
        <v>1.2631578947368421E-4</v>
      </c>
      <c r="L45" s="290">
        <f>G45/F45</f>
        <v>399.15966386554624</v>
      </c>
      <c r="M45" s="279"/>
      <c r="N45" s="34"/>
    </row>
    <row r="46" spans="1:14" ht="13" outlineLevel="1">
      <c r="A46" s="57" t="s">
        <v>322</v>
      </c>
      <c r="B46" s="340" t="s">
        <v>18</v>
      </c>
      <c r="C46" s="36">
        <v>10235</v>
      </c>
      <c r="D46" s="36">
        <v>47000</v>
      </c>
      <c r="E46" s="177">
        <f t="shared" si="0"/>
        <v>0.523863114575988</v>
      </c>
      <c r="F46" s="36">
        <v>4250</v>
      </c>
      <c r="G46" s="36">
        <v>92170</v>
      </c>
      <c r="H46" s="93">
        <f t="shared" si="2"/>
        <v>1.2615856418082911</v>
      </c>
      <c r="I46" s="91">
        <f>D46*10^(-3)/(F46)</f>
        <v>1.1058823529411765E-2</v>
      </c>
      <c r="J46" s="192">
        <f>C46*E46/G46</f>
        <v>5.8172279241458576E-2</v>
      </c>
      <c r="K46" s="189">
        <f>D46*10^(-3)/(G46)</f>
        <v>5.0992730823478359E-4</v>
      </c>
      <c r="L46" s="291">
        <f>G46/F46</f>
        <v>21.687058823529412</v>
      </c>
      <c r="M46" s="279"/>
      <c r="N46" s="34"/>
    </row>
    <row r="47" spans="1:14" ht="13">
      <c r="A47" s="57" t="s">
        <v>323</v>
      </c>
      <c r="B47" s="340" t="s">
        <v>18</v>
      </c>
      <c r="C47" s="36">
        <v>3167.5</v>
      </c>
      <c r="D47" s="36">
        <v>15200</v>
      </c>
      <c r="E47" s="177">
        <f t="shared" si="0"/>
        <v>0.54743779046375662</v>
      </c>
      <c r="F47" s="36">
        <v>47.4</v>
      </c>
      <c r="G47" s="36">
        <v>100000</v>
      </c>
      <c r="H47" s="93">
        <f t="shared" si="2"/>
        <v>36.582472601138171</v>
      </c>
      <c r="I47" s="91">
        <f>D47*10^(-3)/(F47)</f>
        <v>0.32067510548523209</v>
      </c>
      <c r="J47" s="192">
        <f>C47*E47/G47</f>
        <v>1.7340092012939491E-2</v>
      </c>
      <c r="K47" s="189">
        <f>D47*10^(-3)/(G47)</f>
        <v>1.5200000000000001E-4</v>
      </c>
      <c r="L47" s="291">
        <f>G47/F47</f>
        <v>2109.7046413502112</v>
      </c>
      <c r="M47" s="279"/>
      <c r="N47" s="34"/>
    </row>
    <row r="48" spans="1:14" ht="14" thickBot="1">
      <c r="A48" s="58" t="s">
        <v>324</v>
      </c>
      <c r="B48" s="344" t="s">
        <v>18</v>
      </c>
      <c r="C48" s="50">
        <v>2320</v>
      </c>
      <c r="D48" s="50">
        <v>12100</v>
      </c>
      <c r="E48" s="178">
        <f t="shared" si="0"/>
        <v>0.59498387408282616</v>
      </c>
      <c r="F48" s="50">
        <v>87</v>
      </c>
      <c r="G48" s="50"/>
      <c r="H48" s="185">
        <f t="shared" si="2"/>
        <v>15.866236642208696</v>
      </c>
      <c r="I48" s="112">
        <f>D48*10^(-3)/(F48)</f>
        <v>0.13908045977011493</v>
      </c>
      <c r="J48" s="190"/>
      <c r="K48" s="186"/>
      <c r="L48" s="292"/>
      <c r="M48" s="279"/>
      <c r="N48" s="34"/>
    </row>
    <row r="49" spans="1:14" ht="13" outlineLevel="1">
      <c r="A49" s="65" t="s">
        <v>325</v>
      </c>
      <c r="B49" s="343" t="s">
        <v>10</v>
      </c>
      <c r="C49" s="47">
        <v>1890</v>
      </c>
      <c r="D49" s="47">
        <v>7812</v>
      </c>
      <c r="E49" s="176">
        <f>D49/(C49*8765.81277)*1000</f>
        <v>0.47152881789572298</v>
      </c>
      <c r="F49" s="47">
        <v>783</v>
      </c>
      <c r="G49" s="47">
        <v>224000</v>
      </c>
      <c r="H49" s="184">
        <f t="shared" si="2"/>
        <v>1.138173008713814</v>
      </c>
      <c r="I49" s="111">
        <f>D49*10^(-3)/(F49)</f>
        <v>9.9770114942528739E-3</v>
      </c>
      <c r="J49" s="191">
        <f>C49*E49/G49</f>
        <v>3.9785244009951622E-3</v>
      </c>
      <c r="K49" s="188">
        <f>D49*10^(-3)/G49</f>
        <v>3.4875000000000001E-5</v>
      </c>
      <c r="L49" s="96">
        <f>G49/F49</f>
        <v>286.07918263090676</v>
      </c>
      <c r="M49" s="36"/>
      <c r="N49" s="34"/>
    </row>
    <row r="50" spans="1:14" ht="13" outlineLevel="1">
      <c r="A50" s="66" t="s">
        <v>326</v>
      </c>
      <c r="B50" s="340" t="s">
        <v>10</v>
      </c>
      <c r="C50" s="36">
        <v>1400</v>
      </c>
      <c r="D50" s="36">
        <v>5788.89</v>
      </c>
      <c r="E50" s="177">
        <f t="shared" si="0"/>
        <v>0.47170998709015649</v>
      </c>
      <c r="F50" s="36">
        <v>292</v>
      </c>
      <c r="G50" s="36"/>
      <c r="H50" s="93">
        <f t="shared" si="2"/>
        <v>2.2616232257747231</v>
      </c>
      <c r="I50" s="91">
        <f>D50*10^(-3)/(F50)</f>
        <v>1.9824965753424659E-2</v>
      </c>
      <c r="J50" s="192"/>
      <c r="K50" s="189"/>
      <c r="L50" s="97"/>
      <c r="M50" s="36"/>
      <c r="N50" s="34"/>
    </row>
    <row r="51" spans="1:14" ht="13" outlineLevel="1">
      <c r="A51" s="66" t="s">
        <v>327</v>
      </c>
      <c r="B51" s="340" t="s">
        <v>10</v>
      </c>
      <c r="C51" s="36">
        <v>1260</v>
      </c>
      <c r="D51" s="36">
        <v>2700</v>
      </c>
      <c r="E51" s="177">
        <f t="shared" si="0"/>
        <v>0.24445618439294395</v>
      </c>
      <c r="F51" s="36">
        <v>816</v>
      </c>
      <c r="G51" s="36"/>
      <c r="H51" s="93">
        <f t="shared" si="2"/>
        <v>0.37746910825381047</v>
      </c>
      <c r="I51" s="91">
        <f>D51*10^(-3)/(F51)</f>
        <v>3.3088235294117651E-3</v>
      </c>
      <c r="J51" s="192"/>
      <c r="K51" s="189"/>
      <c r="L51" s="97"/>
      <c r="M51" s="36"/>
      <c r="N51" s="34"/>
    </row>
    <row r="52" spans="1:14" ht="13" outlineLevel="1">
      <c r="A52" s="66" t="s">
        <v>328</v>
      </c>
      <c r="B52" s="340" t="s">
        <v>10</v>
      </c>
      <c r="C52" s="36">
        <v>1140</v>
      </c>
      <c r="D52" s="36">
        <v>3380</v>
      </c>
      <c r="E52" s="177">
        <f t="shared" si="0"/>
        <v>0.33823586682672829</v>
      </c>
      <c r="F52" s="36">
        <v>275</v>
      </c>
      <c r="G52" s="36"/>
      <c r="H52" s="93">
        <f t="shared" si="2"/>
        <v>1.4021414115726192</v>
      </c>
      <c r="I52" s="91">
        <f>D52*10^(-3)/(F52)</f>
        <v>1.229090909090909E-2</v>
      </c>
      <c r="J52" s="192"/>
      <c r="K52" s="189"/>
      <c r="L52" s="97"/>
      <c r="M52" s="36"/>
      <c r="N52" s="34"/>
    </row>
    <row r="53" spans="1:14" ht="13" outlineLevel="1">
      <c r="A53" s="66" t="s">
        <v>329</v>
      </c>
      <c r="B53" s="340" t="s">
        <v>10</v>
      </c>
      <c r="C53" s="36">
        <v>1050</v>
      </c>
      <c r="D53" s="36">
        <v>4341.67</v>
      </c>
      <c r="E53" s="177">
        <f t="shared" si="0"/>
        <v>0.4717102587081391</v>
      </c>
      <c r="F53" s="36">
        <v>67.5</v>
      </c>
      <c r="G53" s="36">
        <v>6980</v>
      </c>
      <c r="H53" s="93">
        <f t="shared" si="2"/>
        <v>7.3377151354599413</v>
      </c>
      <c r="I53" s="91">
        <f>D53*10^(-3)/(F53)</f>
        <v>6.4321037037037052E-2</v>
      </c>
      <c r="J53" s="192">
        <f>C53*E53/G53</f>
        <v>7.0959279605092559E-2</v>
      </c>
      <c r="K53" s="189">
        <f>D53*10^(-3)/G53</f>
        <v>6.2201575931232099E-4</v>
      </c>
      <c r="L53" s="97">
        <f>G53/F53</f>
        <v>103.4074074074074</v>
      </c>
      <c r="M53" s="36"/>
      <c r="N53" s="34"/>
    </row>
    <row r="54" spans="1:14" ht="13" outlineLevel="1">
      <c r="A54" s="66" t="s">
        <v>330</v>
      </c>
      <c r="B54" s="340" t="s">
        <v>10</v>
      </c>
      <c r="C54" s="36">
        <v>600</v>
      </c>
      <c r="D54" s="36">
        <v>1866</v>
      </c>
      <c r="E54" s="177">
        <f t="shared" si="0"/>
        <v>0.35478740894895927</v>
      </c>
      <c r="F54" s="36">
        <v>198</v>
      </c>
      <c r="G54" s="36"/>
      <c r="H54" s="93">
        <f t="shared" si="2"/>
        <v>1.0751133604513916</v>
      </c>
      <c r="I54" s="91">
        <f>D54*10^(-3)/(F54)</f>
        <v>9.4242424242424253E-3</v>
      </c>
      <c r="J54" s="192"/>
      <c r="K54" s="189"/>
      <c r="L54" s="97"/>
      <c r="M54" s="36"/>
      <c r="N54" s="34"/>
    </row>
    <row r="55" spans="1:14" ht="13" outlineLevel="1">
      <c r="A55" s="66" t="s">
        <v>331</v>
      </c>
      <c r="B55" s="340" t="s">
        <v>10</v>
      </c>
      <c r="C55" s="36">
        <v>261</v>
      </c>
      <c r="D55" s="36">
        <v>1178.45</v>
      </c>
      <c r="E55" s="177">
        <f t="shared" si="0"/>
        <v>0.51508447854024353</v>
      </c>
      <c r="F55" s="36">
        <v>19</v>
      </c>
      <c r="G55" s="36"/>
      <c r="H55" s="93">
        <f t="shared" si="2"/>
        <v>7.0756341525791351</v>
      </c>
      <c r="I55" s="91">
        <f>D55*10^(-3)/(F55)</f>
        <v>6.2023684210526314E-2</v>
      </c>
      <c r="J55" s="192"/>
      <c r="K55" s="189"/>
      <c r="L55" s="97"/>
      <c r="M55" s="36"/>
      <c r="N55" s="34"/>
    </row>
    <row r="56" spans="1:14" ht="13" outlineLevel="1">
      <c r="A56" s="66" t="s">
        <v>332</v>
      </c>
      <c r="B56" s="340" t="s">
        <v>10</v>
      </c>
      <c r="C56" s="36">
        <v>224</v>
      </c>
      <c r="D56" s="36">
        <v>926.22</v>
      </c>
      <c r="E56" s="177">
        <f t="shared" si="0"/>
        <v>0.47170876480923452</v>
      </c>
      <c r="F56" s="36">
        <v>7.34</v>
      </c>
      <c r="G56" s="36"/>
      <c r="H56" s="93">
        <f t="shared" si="2"/>
        <v>14.395471841589718</v>
      </c>
      <c r="I56" s="91">
        <f>D56*10^(-3)/(F56)</f>
        <v>0.12618801089918258</v>
      </c>
      <c r="J56" s="192"/>
      <c r="K56" s="189"/>
      <c r="L56" s="97"/>
      <c r="M56" s="36"/>
      <c r="N56" s="34"/>
    </row>
    <row r="57" spans="1:14" ht="13" outlineLevel="1">
      <c r="A57" s="66" t="s">
        <v>333</v>
      </c>
      <c r="B57" s="340" t="s">
        <v>10</v>
      </c>
      <c r="C57" s="36">
        <v>150</v>
      </c>
      <c r="D57" s="36">
        <v>537.54</v>
      </c>
      <c r="E57" s="177">
        <f t="shared" si="0"/>
        <v>0.40881548511559179</v>
      </c>
      <c r="F57" s="36">
        <v>10.8</v>
      </c>
      <c r="G57" s="36">
        <v>3790</v>
      </c>
      <c r="H57" s="93">
        <f t="shared" si="2"/>
        <v>5.677992848827663</v>
      </c>
      <c r="I57" s="91">
        <f>D57*10^(-3)/(F57)</f>
        <v>4.9772222222222218E-2</v>
      </c>
      <c r="J57" s="192">
        <f>C57*E57/G57</f>
        <v>1.618003239243767E-2</v>
      </c>
      <c r="K57" s="189">
        <f>D57*10^(-3)/G57</f>
        <v>1.418311345646438E-4</v>
      </c>
      <c r="L57" s="97">
        <f>G57/F57</f>
        <v>350.92592592592592</v>
      </c>
      <c r="M57" s="36"/>
      <c r="N57" s="34"/>
    </row>
    <row r="58" spans="1:14" ht="13" outlineLevel="1">
      <c r="A58" s="66" t="s">
        <v>334</v>
      </c>
      <c r="B58" s="340" t="s">
        <v>10</v>
      </c>
      <c r="C58" s="36">
        <v>127.8</v>
      </c>
      <c r="D58" s="36">
        <v>529.27</v>
      </c>
      <c r="E58" s="177">
        <f t="shared" si="0"/>
        <v>0.47244823839101413</v>
      </c>
      <c r="F58" s="36">
        <v>38.6</v>
      </c>
      <c r="G58" s="36">
        <v>20000</v>
      </c>
      <c r="H58" s="93">
        <f>C58*E58/F58</f>
        <v>1.5642198151909743</v>
      </c>
      <c r="I58" s="91">
        <f>D58*10^(-3)/(F58)</f>
        <v>1.3711658031088083E-2</v>
      </c>
      <c r="J58" s="192">
        <f>C58*E58/G58</f>
        <v>3.0189442433185805E-3</v>
      </c>
      <c r="K58" s="189">
        <f>D58*10^(-3)/G58</f>
        <v>2.6463500000000002E-5</v>
      </c>
      <c r="L58" s="97">
        <f>G58/F58</f>
        <v>518.13471502590676</v>
      </c>
      <c r="M58" s="36"/>
      <c r="N58" s="34"/>
    </row>
    <row r="59" spans="1:14" ht="13">
      <c r="A59" s="66" t="s">
        <v>335</v>
      </c>
      <c r="B59" s="340" t="s">
        <v>10</v>
      </c>
      <c r="C59" s="36">
        <v>126</v>
      </c>
      <c r="D59" s="36">
        <v>501.98</v>
      </c>
      <c r="E59" s="177">
        <f t="shared" si="0"/>
        <v>0.45448931645025925</v>
      </c>
      <c r="F59" s="36">
        <v>13</v>
      </c>
      <c r="G59" s="36"/>
      <c r="H59" s="93">
        <f t="shared" si="2"/>
        <v>4.4050502979025126</v>
      </c>
      <c r="I59" s="91">
        <f>D59*10^(-3)/(F59)</f>
        <v>3.8613846153846151E-2</v>
      </c>
      <c r="J59" s="192"/>
      <c r="K59" s="189"/>
      <c r="L59" s="97"/>
      <c r="M59" s="36"/>
      <c r="N59" s="34"/>
    </row>
    <row r="60" spans="1:14" ht="13">
      <c r="A60" s="66" t="s">
        <v>336</v>
      </c>
      <c r="B60" s="340" t="s">
        <v>10</v>
      </c>
      <c r="C60" s="36">
        <v>181</v>
      </c>
      <c r="D60" s="36">
        <v>850</v>
      </c>
      <c r="E60" s="177">
        <f t="shared" si="0"/>
        <v>0.53573270612818291</v>
      </c>
      <c r="F60" s="36">
        <v>13</v>
      </c>
      <c r="G60" s="36"/>
      <c r="H60" s="93">
        <f t="shared" si="2"/>
        <v>7.4590476776308545</v>
      </c>
      <c r="I60" s="91">
        <f>D60*10^(-3)/(F60)</f>
        <v>6.5384615384615388E-2</v>
      </c>
      <c r="J60" s="192"/>
      <c r="K60" s="189"/>
      <c r="L60" s="97"/>
      <c r="M60" s="36"/>
      <c r="N60" s="34"/>
    </row>
    <row r="61" spans="1:14" ht="13" outlineLevel="1">
      <c r="A61" s="66" t="s">
        <v>337</v>
      </c>
      <c r="B61" s="340" t="s">
        <v>10</v>
      </c>
      <c r="C61" s="36">
        <v>62</v>
      </c>
      <c r="D61" s="36"/>
      <c r="E61" s="177">
        <f t="shared" si="0"/>
        <v>0</v>
      </c>
      <c r="F61" s="36">
        <v>12.5</v>
      </c>
      <c r="G61" s="36"/>
      <c r="H61" s="93"/>
      <c r="I61" s="91"/>
      <c r="J61" s="192"/>
      <c r="K61" s="189"/>
      <c r="L61" s="97"/>
      <c r="M61" s="36"/>
      <c r="N61" s="34"/>
    </row>
    <row r="62" spans="1:14" ht="13" outlineLevel="1">
      <c r="A62" s="66" t="s">
        <v>338</v>
      </c>
      <c r="B62" s="340" t="s">
        <v>10</v>
      </c>
      <c r="C62" s="36">
        <v>52</v>
      </c>
      <c r="D62" s="36">
        <v>244.13</v>
      </c>
      <c r="E62" s="177">
        <f t="shared" si="0"/>
        <v>0.53558156162941772</v>
      </c>
      <c r="F62" s="36">
        <v>24.5</v>
      </c>
      <c r="G62" s="36">
        <v>980</v>
      </c>
      <c r="H62" s="93">
        <f t="shared" si="2"/>
        <v>1.13674453896856</v>
      </c>
      <c r="I62" s="91">
        <f>D62*10^(-3)/(F62)</f>
        <v>9.9644897959183677E-3</v>
      </c>
      <c r="J62" s="192">
        <f>C62*E62/G62</f>
        <v>2.8418613474214E-2</v>
      </c>
      <c r="K62" s="189">
        <f>D62*10^(-3)/G62</f>
        <v>2.4911224489795918E-4</v>
      </c>
      <c r="L62" s="97">
        <f>G62/F62</f>
        <v>40</v>
      </c>
      <c r="M62" s="36"/>
      <c r="N62" s="34"/>
    </row>
    <row r="63" spans="1:14" ht="13" outlineLevel="1">
      <c r="A63" s="66" t="s">
        <v>339</v>
      </c>
      <c r="B63" s="340" t="s">
        <v>10</v>
      </c>
      <c r="C63" s="36">
        <v>45</v>
      </c>
      <c r="D63" s="36">
        <v>186.07</v>
      </c>
      <c r="E63" s="177">
        <f t="shared" si="0"/>
        <v>0.47170627497772677</v>
      </c>
      <c r="F63" s="36">
        <v>32</v>
      </c>
      <c r="G63" s="36"/>
      <c r="H63" s="93">
        <f t="shared" si="2"/>
        <v>0.66333694918742825</v>
      </c>
      <c r="I63" s="91">
        <f>D63*10^(-3)/(F63)</f>
        <v>5.8146874999999995E-3</v>
      </c>
      <c r="J63" s="192"/>
      <c r="K63" s="189"/>
      <c r="L63" s="97"/>
      <c r="M63" s="36"/>
      <c r="N63" s="34"/>
    </row>
    <row r="64" spans="1:14" ht="13" outlineLevel="1">
      <c r="A64" s="66" t="s">
        <v>340</v>
      </c>
      <c r="B64" s="340" t="s">
        <v>10</v>
      </c>
      <c r="C64" s="36">
        <v>24</v>
      </c>
      <c r="D64" s="36">
        <v>107.51</v>
      </c>
      <c r="E64" s="177">
        <f t="shared" si="0"/>
        <v>0.51102886302388284</v>
      </c>
      <c r="F64" s="36">
        <v>16</v>
      </c>
      <c r="G64" s="36">
        <v>1750</v>
      </c>
      <c r="H64" s="93">
        <f t="shared" si="2"/>
        <v>0.76654329453582426</v>
      </c>
      <c r="I64" s="91">
        <f>D64*10^(-3)/(F64)</f>
        <v>6.7193750000000005E-3</v>
      </c>
      <c r="J64" s="192">
        <f>C64*E64/G64</f>
        <v>7.0083958357561073E-3</v>
      </c>
      <c r="K64" s="189">
        <f>D64*10^(-3)/G64</f>
        <v>6.1434285714285721E-5</v>
      </c>
      <c r="L64" s="97">
        <f>G64/F64</f>
        <v>109.375</v>
      </c>
      <c r="M64" s="36"/>
      <c r="N64" s="34"/>
    </row>
    <row r="65" spans="1:14" ht="14" outlineLevel="1" thickBot="1">
      <c r="A65" s="67" t="s">
        <v>341</v>
      </c>
      <c r="B65" s="344" t="s">
        <v>10</v>
      </c>
      <c r="C65" s="50">
        <v>17</v>
      </c>
      <c r="D65" s="50">
        <v>83</v>
      </c>
      <c r="E65" s="178">
        <f t="shared" si="0"/>
        <v>0.5569766397345115</v>
      </c>
      <c r="F65" s="50">
        <v>34.799999999999997</v>
      </c>
      <c r="G65" s="50"/>
      <c r="H65" s="185">
        <f t="shared" si="2"/>
        <v>0.27208628952547975</v>
      </c>
      <c r="I65" s="112">
        <f>D65*10^(-3)/(F65)</f>
        <v>2.3850574712643681E-3</v>
      </c>
      <c r="J65" s="190"/>
      <c r="K65" s="186"/>
      <c r="L65" s="194"/>
      <c r="M65" s="36"/>
      <c r="N65" s="34"/>
    </row>
    <row r="66" spans="1:14" ht="13" outlineLevel="1">
      <c r="A66" s="56" t="s">
        <v>342</v>
      </c>
      <c r="B66" s="343" t="s">
        <v>9</v>
      </c>
      <c r="C66" s="47">
        <v>1246</v>
      </c>
      <c r="D66" s="47">
        <v>9253.42</v>
      </c>
      <c r="E66" s="176">
        <f t="shared" si="0"/>
        <v>0.84721188980724915</v>
      </c>
      <c r="F66" s="47">
        <v>3.4</v>
      </c>
      <c r="G66" s="47"/>
      <c r="H66" s="184">
        <f t="shared" si="2"/>
        <v>310.47823961759781</v>
      </c>
      <c r="I66" s="111">
        <f>D66*10^(-3)/(F66)</f>
        <v>2.7215941176470588</v>
      </c>
      <c r="J66" s="191"/>
      <c r="K66" s="188"/>
      <c r="L66" s="290"/>
      <c r="M66" s="279"/>
      <c r="N66" s="34"/>
    </row>
    <row r="67" spans="1:14" ht="13" outlineLevel="1">
      <c r="A67" s="57" t="s">
        <v>343</v>
      </c>
      <c r="B67" s="340" t="s">
        <v>9</v>
      </c>
      <c r="C67" s="36">
        <v>1000</v>
      </c>
      <c r="D67" s="36">
        <v>4620</v>
      </c>
      <c r="E67" s="177">
        <f t="shared" si="0"/>
        <v>0.52704753355118716</v>
      </c>
      <c r="F67" s="36">
        <v>12.6</v>
      </c>
      <c r="G67" s="36">
        <v>2420</v>
      </c>
      <c r="H67" s="93">
        <f t="shared" si="2"/>
        <v>41.829169329459297</v>
      </c>
      <c r="I67" s="91">
        <f>D67*10^(-3)/(F67)</f>
        <v>0.3666666666666667</v>
      </c>
      <c r="J67" s="192">
        <f>C67*E67/G67</f>
        <v>0.2177882370046228</v>
      </c>
      <c r="K67" s="189">
        <f>D67*10^(-3)/G67</f>
        <v>1.9090909090909091E-3</v>
      </c>
      <c r="L67" s="291">
        <f>G67/F67</f>
        <v>192.06349206349208</v>
      </c>
      <c r="M67" s="279"/>
      <c r="N67" s="34"/>
    </row>
    <row r="68" spans="1:14" ht="13" outlineLevel="1">
      <c r="A68" s="57" t="s">
        <v>344</v>
      </c>
      <c r="B68" s="340" t="s">
        <v>9</v>
      </c>
      <c r="C68" s="36">
        <v>820</v>
      </c>
      <c r="D68" s="36">
        <v>5056</v>
      </c>
      <c r="E68" s="177">
        <f t="shared" si="0"/>
        <v>0.70339782748252622</v>
      </c>
      <c r="F68" s="36">
        <v>70</v>
      </c>
      <c r="G68" s="36"/>
      <c r="H68" s="93">
        <f t="shared" si="2"/>
        <v>8.2398031219381647</v>
      </c>
      <c r="I68" s="91">
        <f>D68*10^(-3)/(F68)</f>
        <v>7.2228571428571434E-2</v>
      </c>
      <c r="J68" s="192"/>
      <c r="K68" s="189"/>
      <c r="L68" s="291"/>
      <c r="M68" s="279"/>
      <c r="N68" s="34"/>
    </row>
    <row r="69" spans="1:14" ht="13" outlineLevel="1">
      <c r="A69" s="57" t="s">
        <v>345</v>
      </c>
      <c r="B69" s="340" t="s">
        <v>9</v>
      </c>
      <c r="C69" s="36">
        <v>660</v>
      </c>
      <c r="D69" s="36">
        <v>3106</v>
      </c>
      <c r="E69" s="177">
        <f t="shared" si="0"/>
        <v>0.53686528899710984</v>
      </c>
      <c r="F69" s="36">
        <v>4.5999999999999996</v>
      </c>
      <c r="G69" s="36">
        <v>3756</v>
      </c>
      <c r="H69" s="93">
        <f t="shared" si="2"/>
        <v>77.028497986541851</v>
      </c>
      <c r="I69" s="91">
        <f>D69*10^(-3)/(F69)</f>
        <v>0.67521739130434788</v>
      </c>
      <c r="J69" s="192">
        <f>C69*E69/G69</f>
        <v>9.433735110172857E-2</v>
      </c>
      <c r="K69" s="189">
        <f>D69*10^(-3)/G69</f>
        <v>8.2694355697550577E-4</v>
      </c>
      <c r="L69" s="291">
        <f>G69/F69</f>
        <v>816.52173913043487</v>
      </c>
      <c r="M69" s="279"/>
      <c r="N69" s="34"/>
    </row>
    <row r="70" spans="1:14" ht="13" outlineLevel="1">
      <c r="A70" s="57" t="s">
        <v>346</v>
      </c>
      <c r="B70" s="340" t="s">
        <v>9</v>
      </c>
      <c r="C70" s="36">
        <v>396</v>
      </c>
      <c r="D70" s="36">
        <v>1146</v>
      </c>
      <c r="E70" s="177">
        <f t="shared" si="0"/>
        <v>0.33013931164986465</v>
      </c>
      <c r="F70" s="36">
        <v>12.2</v>
      </c>
      <c r="G70" s="36">
        <v>770</v>
      </c>
      <c r="H70" s="93">
        <f t="shared" si="2"/>
        <v>10.715997328962821</v>
      </c>
      <c r="I70" s="91">
        <f>D70*10^(-3)/(F70)</f>
        <v>9.3934426229508219E-2</v>
      </c>
      <c r="J70" s="192">
        <f>C70*E70/G70</f>
        <v>0.16978593170564468</v>
      </c>
      <c r="K70" s="189">
        <f>D70*10^(-3)/G70</f>
        <v>1.4883116883116884E-3</v>
      </c>
      <c r="L70" s="291">
        <f>G70/F70</f>
        <v>63.114754098360656</v>
      </c>
      <c r="M70" s="279"/>
      <c r="N70" s="34"/>
    </row>
    <row r="71" spans="1:14" ht="14" outlineLevel="1" thickBot="1">
      <c r="A71" s="67" t="s">
        <v>347</v>
      </c>
      <c r="B71" s="344" t="s">
        <v>9</v>
      </c>
      <c r="C71" s="50">
        <v>400</v>
      </c>
      <c r="D71" s="50">
        <v>2216</v>
      </c>
      <c r="E71" s="178">
        <f t="shared" ref="E71" si="3">D71/(C71*8765.81277)*1000</f>
        <v>0.63200072205055779</v>
      </c>
      <c r="F71" s="50">
        <v>82.5</v>
      </c>
      <c r="G71" s="50"/>
      <c r="H71" s="185">
        <f t="shared" si="2"/>
        <v>3.0642459250936138</v>
      </c>
      <c r="I71" s="112">
        <f>D71*10^(-3)/(F71)</f>
        <v>2.6860606060606064E-2</v>
      </c>
      <c r="J71" s="190"/>
      <c r="K71" s="186"/>
      <c r="L71" s="292"/>
      <c r="M71" s="279"/>
      <c r="N71" s="34"/>
    </row>
    <row r="72" spans="1:14" ht="13" outlineLevel="1">
      <c r="A72" s="56" t="s">
        <v>348</v>
      </c>
      <c r="B72" s="343" t="s">
        <v>15</v>
      </c>
      <c r="C72" s="47">
        <v>960</v>
      </c>
      <c r="D72" s="47">
        <v>2131</v>
      </c>
      <c r="E72" s="176">
        <f>D72/(C72*8765.81277)*1000</f>
        <v>0.25323284045760724</v>
      </c>
      <c r="F72" s="47">
        <v>127</v>
      </c>
      <c r="G72" s="47">
        <v>73800</v>
      </c>
      <c r="H72" s="184">
        <f t="shared" si="2"/>
        <v>1.9142009987346689</v>
      </c>
      <c r="I72" s="111">
        <f>D72*10^(-3)/(F72)</f>
        <v>1.6779527559055121E-2</v>
      </c>
      <c r="J72" s="191">
        <f>C72*10^6*E72/(G72*10^6)</f>
        <v>3.2940857295298506E-3</v>
      </c>
      <c r="K72" s="188">
        <f>D72*10^(-3)/(G72)</f>
        <v>2.8875338753387538E-5</v>
      </c>
      <c r="L72" s="290">
        <f>H72/J72</f>
        <v>581.10236220472439</v>
      </c>
      <c r="M72" s="279"/>
      <c r="N72" s="34"/>
    </row>
    <row r="73" spans="1:14" ht="13" outlineLevel="1">
      <c r="A73" s="57" t="s">
        <v>349</v>
      </c>
      <c r="B73" s="340" t="s">
        <v>15</v>
      </c>
      <c r="C73" s="36">
        <v>19</v>
      </c>
      <c r="D73" s="36"/>
      <c r="E73" s="177">
        <f t="shared" ref="E73:E81" si="4">D73/(C73*8765.81277)*1000</f>
        <v>0</v>
      </c>
      <c r="F73" s="36">
        <v>208</v>
      </c>
      <c r="G73" s="36"/>
      <c r="H73" s="93"/>
      <c r="I73" s="91"/>
      <c r="J73" s="192"/>
      <c r="K73" s="189"/>
      <c r="L73" s="291"/>
      <c r="M73" s="279"/>
      <c r="N73" s="34"/>
    </row>
    <row r="74" spans="1:14" ht="13" outlineLevel="1">
      <c r="A74" s="57" t="s">
        <v>350</v>
      </c>
      <c r="B74" s="340" t="s">
        <v>15</v>
      </c>
      <c r="C74" s="36">
        <v>132</v>
      </c>
      <c r="D74" s="36">
        <v>161</v>
      </c>
      <c r="E74" s="177">
        <f t="shared" si="4"/>
        <v>0.13914248475295343</v>
      </c>
      <c r="F74" s="36">
        <v>263</v>
      </c>
      <c r="G74" s="36"/>
      <c r="H74" s="93">
        <f t="shared" si="2"/>
        <v>6.9835771815170547E-2</v>
      </c>
      <c r="I74" s="91">
        <f>D74*10^(-3)/(F74)</f>
        <v>6.1216730038022812E-4</v>
      </c>
      <c r="J74" s="192"/>
      <c r="K74" s="189"/>
      <c r="L74" s="291"/>
      <c r="M74" s="279"/>
      <c r="N74" s="34"/>
    </row>
    <row r="75" spans="1:14" ht="13" outlineLevel="1">
      <c r="A75" s="57" t="s">
        <v>351</v>
      </c>
      <c r="B75" s="340" t="s">
        <v>15</v>
      </c>
      <c r="C75" s="36">
        <v>900</v>
      </c>
      <c r="D75" s="36">
        <v>2813.15</v>
      </c>
      <c r="E75" s="177">
        <f t="shared" si="4"/>
        <v>0.35658099302778312</v>
      </c>
      <c r="F75" s="36">
        <v>760</v>
      </c>
      <c r="G75" s="36"/>
      <c r="H75" s="93">
        <f t="shared" si="2"/>
        <v>0.42226696542763792</v>
      </c>
      <c r="I75" s="91">
        <f>D75*10^(-3)/(F75)</f>
        <v>3.7015131578947372E-3</v>
      </c>
      <c r="J75" s="192"/>
      <c r="K75" s="189"/>
      <c r="L75" s="291"/>
      <c r="M75" s="279"/>
      <c r="N75" s="34"/>
    </row>
    <row r="76" spans="1:14" ht="13" outlineLevel="1">
      <c r="A76" s="57" t="s">
        <v>352</v>
      </c>
      <c r="B76" s="340" t="s">
        <v>15</v>
      </c>
      <c r="C76" s="36">
        <v>31.5</v>
      </c>
      <c r="D76" s="36">
        <v>98.46</v>
      </c>
      <c r="E76" s="177">
        <f t="shared" si="4"/>
        <v>0.35658008763450749</v>
      </c>
      <c r="F76" s="36">
        <v>354</v>
      </c>
      <c r="G76" s="36"/>
      <c r="H76" s="93">
        <f>C76*E76/F76</f>
        <v>3.1729584069172277E-2</v>
      </c>
      <c r="I76" s="91">
        <f>D76*10^(-3)/(F76)</f>
        <v>2.7813559322033895E-4</v>
      </c>
      <c r="J76" s="192"/>
      <c r="K76" s="189"/>
      <c r="L76" s="291"/>
      <c r="M76" s="279"/>
      <c r="N76" s="34"/>
    </row>
    <row r="77" spans="1:14" ht="13" outlineLevel="1">
      <c r="A77" s="57" t="s">
        <v>353</v>
      </c>
      <c r="B77" s="340" t="s">
        <v>15</v>
      </c>
      <c r="C77" s="36">
        <v>422</v>
      </c>
      <c r="D77" s="36">
        <v>875</v>
      </c>
      <c r="E77" s="177">
        <f t="shared" si="4"/>
        <v>0.23653935693630043</v>
      </c>
      <c r="F77" s="36">
        <v>93</v>
      </c>
      <c r="G77" s="36"/>
      <c r="H77" s="93">
        <f t="shared" si="2"/>
        <v>1.0733291250227825</v>
      </c>
      <c r="I77" s="91">
        <f>D77*10^(-3)/(F77)</f>
        <v>9.4086021505376347E-3</v>
      </c>
      <c r="J77" s="192"/>
      <c r="K77" s="189"/>
      <c r="L77" s="291"/>
      <c r="M77" s="279"/>
      <c r="N77" s="34"/>
    </row>
    <row r="78" spans="1:14" ht="13" outlineLevel="1">
      <c r="A78" s="57" t="s">
        <v>354</v>
      </c>
      <c r="B78" s="340" t="s">
        <v>15</v>
      </c>
      <c r="C78" s="36">
        <v>750</v>
      </c>
      <c r="D78" s="36">
        <v>1210</v>
      </c>
      <c r="E78" s="177">
        <f t="shared" si="4"/>
        <v>0.18404834504962089</v>
      </c>
      <c r="F78" s="36">
        <v>33.4</v>
      </c>
      <c r="G78" s="36">
        <v>51590</v>
      </c>
      <c r="H78" s="93">
        <f t="shared" si="2"/>
        <v>4.1328221193777148</v>
      </c>
      <c r="I78" s="91">
        <f>D78*10^(-3)/(F78)</f>
        <v>3.622754491017964E-2</v>
      </c>
      <c r="J78" s="192">
        <f>C78*10^6*E78/(G78*10^6)</f>
        <v>2.675639829176501E-3</v>
      </c>
      <c r="K78" s="189">
        <f>D78*10^(-3)/(G78)</f>
        <v>2.3454157782515992E-5</v>
      </c>
      <c r="L78" s="291">
        <f>H78/J78</f>
        <v>1544.6107784431138</v>
      </c>
      <c r="M78" s="279"/>
      <c r="N78" s="34"/>
    </row>
    <row r="79" spans="1:14" ht="13" outlineLevel="1">
      <c r="A79" s="57" t="s">
        <v>355</v>
      </c>
      <c r="B79" s="340" t="s">
        <v>15</v>
      </c>
      <c r="C79" s="36">
        <v>1080</v>
      </c>
      <c r="D79" s="36">
        <v>3375.78</v>
      </c>
      <c r="E79" s="177">
        <f t="shared" si="4"/>
        <v>0.35658099302778312</v>
      </c>
      <c r="F79" s="36">
        <v>381</v>
      </c>
      <c r="G79" s="36"/>
      <c r="H79" s="93">
        <f t="shared" si="2"/>
        <v>1.0107807676378104</v>
      </c>
      <c r="I79" s="91">
        <f>D79*10^(-3)/(F79)</f>
        <v>8.8603149606299222E-3</v>
      </c>
      <c r="J79" s="192"/>
      <c r="K79" s="189"/>
      <c r="L79" s="291"/>
      <c r="M79" s="279"/>
      <c r="N79" s="34"/>
    </row>
    <row r="80" spans="1:14" ht="14" outlineLevel="1" thickBot="1">
      <c r="A80" s="58" t="s">
        <v>356</v>
      </c>
      <c r="B80" s="344" t="s">
        <v>15</v>
      </c>
      <c r="C80" s="50">
        <v>292</v>
      </c>
      <c r="D80" s="50">
        <v>1064</v>
      </c>
      <c r="E80" s="178">
        <f t="shared" si="4"/>
        <v>0.41568713729649465</v>
      </c>
      <c r="F80" s="50">
        <v>22.9</v>
      </c>
      <c r="G80" s="50"/>
      <c r="H80" s="185">
        <f t="shared" ref="H80:H81" si="5">C80*E80/F80</f>
        <v>5.300464807448753</v>
      </c>
      <c r="I80" s="112">
        <f>D80*10^(-3)/(F80)</f>
        <v>4.6462882096069871E-2</v>
      </c>
      <c r="J80" s="190"/>
      <c r="K80" s="186"/>
      <c r="L80" s="292"/>
      <c r="M80" s="279"/>
      <c r="N80" s="34"/>
    </row>
    <row r="81" spans="1:14" ht="14" outlineLevel="1" thickBot="1">
      <c r="A81" s="72" t="s">
        <v>357</v>
      </c>
      <c r="B81" s="345" t="s">
        <v>32</v>
      </c>
      <c r="C81" s="54">
        <v>1890</v>
      </c>
      <c r="D81" s="54">
        <v>7812</v>
      </c>
      <c r="E81" s="175">
        <f t="shared" si="4"/>
        <v>0.47152881789572298</v>
      </c>
      <c r="F81" s="54">
        <v>783</v>
      </c>
      <c r="G81" s="54">
        <v>224000</v>
      </c>
      <c r="H81" s="183">
        <f t="shared" si="5"/>
        <v>1.138173008713814</v>
      </c>
      <c r="I81" s="182">
        <f>D81*10^(-3)/(F81)</f>
        <v>9.9770114942528739E-3</v>
      </c>
      <c r="J81" s="285">
        <f>C81*10^6*E81/(G81*10^6)</f>
        <v>3.9785244009951622E-3</v>
      </c>
      <c r="K81" s="288">
        <f>D81*10^(-3)/(G81)</f>
        <v>3.4875000000000001E-5</v>
      </c>
      <c r="L81" s="293">
        <f>H81/J81</f>
        <v>286.07918263090676</v>
      </c>
      <c r="M81" s="279"/>
      <c r="N81" s="34"/>
    </row>
    <row r="82" spans="1:14" ht="35" customHeight="1" outlineLevel="1" thickBot="1">
      <c r="A82" s="211" t="s">
        <v>638</v>
      </c>
      <c r="B82" s="208"/>
      <c r="C82" s="208"/>
      <c r="D82" s="208"/>
      <c r="E82" s="208"/>
      <c r="F82" s="208"/>
      <c r="G82" s="208"/>
      <c r="H82" s="208"/>
      <c r="I82" s="208"/>
      <c r="J82" s="208"/>
      <c r="K82" s="208"/>
      <c r="L82" s="209"/>
      <c r="N82" s="34"/>
    </row>
    <row r="83" spans="1:14" ht="13" outlineLevel="1">
      <c r="N83" s="34"/>
    </row>
    <row r="84" spans="1:14" ht="13">
      <c r="N84" s="34"/>
    </row>
    <row r="85" spans="1:14" ht="13">
      <c r="N85" s="34"/>
    </row>
    <row r="86" spans="1:14" ht="13" outlineLevel="1"/>
    <row r="87" spans="1:14" ht="13" outlineLevel="1"/>
    <row r="88" spans="1:14" ht="13" outlineLevel="1"/>
    <row r="89" spans="1:14" ht="13" outlineLevel="1"/>
    <row r="90" spans="1:14" ht="13" outlineLevel="1"/>
    <row r="91" spans="1:14" ht="13" outlineLevel="1"/>
    <row r="92" spans="1:14" ht="13" outlineLevel="1"/>
    <row r="93" spans="1:14" ht="13" outlineLevel="1"/>
    <row r="94" spans="1:14" ht="13" outlineLevel="1"/>
    <row r="95" spans="1:14" ht="13" outlineLevel="1"/>
    <row r="96" spans="1:14" ht="13" outlineLevel="1"/>
    <row r="97" spans="1:15" ht="13" outlineLevel="1"/>
    <row r="98" spans="1:15" ht="13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1:15" ht="13">
      <c r="A99" s="37"/>
      <c r="B99" s="37"/>
      <c r="C99" s="37"/>
      <c r="D99" s="37"/>
      <c r="E99" s="37"/>
      <c r="F99" s="37"/>
      <c r="G99" s="37"/>
      <c r="H99" s="37"/>
      <c r="I99" s="55"/>
      <c r="J99" s="37"/>
      <c r="K99" s="37"/>
      <c r="L99" s="37"/>
      <c r="M99" s="37"/>
      <c r="N99" s="37"/>
      <c r="O99" s="37"/>
    </row>
    <row r="100" spans="1:15" ht="13" outlineLevel="1">
      <c r="A100" s="137"/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</row>
    <row r="101" spans="1:15" ht="13" outlineLevel="1">
      <c r="A101" s="171"/>
      <c r="B101" s="171"/>
      <c r="C101" s="171"/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2"/>
      <c r="O101" s="173"/>
    </row>
    <row r="102" spans="1:15" ht="13" outlineLevel="1">
      <c r="A102" s="137"/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</row>
    <row r="103" spans="1:15" ht="13" outlineLevel="1">
      <c r="A103" s="171"/>
      <c r="B103" s="171"/>
      <c r="C103" s="171"/>
      <c r="D103" s="171"/>
      <c r="E103" s="171"/>
      <c r="F103" s="171"/>
      <c r="G103" s="171"/>
      <c r="H103" s="171"/>
      <c r="I103" s="171"/>
      <c r="J103" s="171"/>
      <c r="K103" s="171"/>
      <c r="L103" s="171"/>
      <c r="M103" s="171"/>
      <c r="N103" s="172"/>
      <c r="O103" s="173"/>
    </row>
    <row r="104" spans="1:15" ht="13" outlineLevel="1">
      <c r="A104" s="137"/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</row>
    <row r="105" spans="1:15" ht="13" outlineLevel="1">
      <c r="A105" s="171"/>
      <c r="B105" s="171"/>
      <c r="C105" s="171"/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2"/>
      <c r="O105" s="173"/>
    </row>
    <row r="106" spans="1:15" ht="13" outlineLevel="1">
      <c r="A106" s="253"/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</row>
    <row r="107" spans="1:15" ht="13" outlineLevel="1">
      <c r="A107" s="296"/>
      <c r="B107" s="296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7"/>
      <c r="O107" s="298"/>
    </row>
    <row r="108" spans="1:15" ht="13" outlineLevel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1:15" ht="13" outlineLevel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1:15" ht="13" outlineLevel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1:15" ht="13" outlineLevel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1:15" ht="13" outlineLevel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1:15" ht="13" outlineLevel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1:15" ht="13" outlineLevel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1:15" ht="13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1:15" ht="13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1:15" ht="13" outlineLevel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55"/>
      <c r="O117" s="37"/>
    </row>
    <row r="118" spans="1:15" ht="13" outlineLevel="1">
      <c r="A118" s="123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1:15" ht="13">
      <c r="A119" s="124"/>
      <c r="B119" s="36"/>
      <c r="C119" s="36"/>
      <c r="D119" s="36"/>
      <c r="E119" s="38"/>
      <c r="F119" s="38"/>
      <c r="G119" s="38"/>
      <c r="H119" s="36"/>
      <c r="I119" s="38"/>
      <c r="J119" s="38"/>
      <c r="K119" s="36"/>
      <c r="L119" s="36"/>
      <c r="M119" s="36"/>
      <c r="N119" s="39"/>
      <c r="O119" s="36"/>
    </row>
    <row r="120" spans="1:15" ht="13">
      <c r="A120" s="124"/>
      <c r="B120" s="36"/>
      <c r="C120" s="36"/>
      <c r="D120" s="36"/>
      <c r="E120" s="38"/>
      <c r="F120" s="38"/>
      <c r="G120" s="38"/>
      <c r="H120" s="36"/>
      <c r="I120" s="38"/>
      <c r="J120" s="41"/>
      <c r="K120" s="36"/>
      <c r="L120" s="36"/>
      <c r="M120" s="36"/>
      <c r="N120" s="40"/>
      <c r="O120" s="36"/>
    </row>
    <row r="121" spans="1:15" ht="13">
      <c r="A121" s="124"/>
      <c r="B121" s="36"/>
      <c r="C121" s="36"/>
      <c r="D121" s="36"/>
      <c r="E121" s="38"/>
      <c r="F121" s="38"/>
      <c r="G121" s="38"/>
      <c r="H121" s="36"/>
      <c r="I121" s="38"/>
      <c r="J121" s="41"/>
      <c r="K121" s="36"/>
      <c r="L121" s="36"/>
      <c r="M121" s="36"/>
      <c r="N121" s="40"/>
      <c r="O121" s="36"/>
    </row>
    <row r="122" spans="1:15" ht="13">
      <c r="A122" s="124"/>
      <c r="B122" s="36"/>
      <c r="C122" s="36"/>
      <c r="D122" s="36"/>
      <c r="E122" s="38"/>
      <c r="F122" s="38"/>
      <c r="G122" s="38"/>
      <c r="H122" s="36"/>
      <c r="I122" s="38"/>
      <c r="J122" s="41"/>
      <c r="K122" s="36"/>
      <c r="L122" s="36"/>
      <c r="M122" s="36"/>
      <c r="N122" s="40"/>
      <c r="O122" s="36"/>
    </row>
    <row r="123" spans="1:15" ht="13">
      <c r="A123" s="37"/>
      <c r="B123" s="37"/>
      <c r="C123" s="37"/>
      <c r="D123" s="37"/>
      <c r="E123" s="37"/>
      <c r="F123" s="37"/>
      <c r="G123" s="37"/>
      <c r="H123" s="37"/>
      <c r="I123" s="55"/>
      <c r="J123" s="37"/>
      <c r="K123" s="37"/>
      <c r="L123" s="37"/>
      <c r="M123" s="37"/>
      <c r="N123" s="37"/>
      <c r="O123" s="37"/>
    </row>
    <row r="124" spans="1:15" ht="13">
      <c r="A124" s="137"/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</row>
    <row r="125" spans="1:15" ht="13">
      <c r="A125" s="171"/>
      <c r="B125" s="171"/>
      <c r="C125" s="171"/>
      <c r="D125" s="171"/>
      <c r="E125" s="171"/>
      <c r="F125" s="171"/>
      <c r="G125" s="171"/>
      <c r="H125" s="171"/>
      <c r="I125" s="171"/>
      <c r="J125" s="171"/>
      <c r="K125" s="171"/>
      <c r="L125" s="171"/>
      <c r="M125" s="171"/>
      <c r="N125" s="172"/>
      <c r="O125" s="173"/>
    </row>
    <row r="126" spans="1:15" ht="13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</row>
    <row r="127" spans="1:15" ht="13">
      <c r="A127" s="64"/>
      <c r="I127" s="10"/>
    </row>
    <row r="128" spans="1:15" ht="15.75" customHeight="1">
      <c r="I128" s="10"/>
    </row>
    <row r="129" spans="1:15" ht="13">
      <c r="I129" s="10"/>
    </row>
    <row r="130" spans="1:15" ht="13">
      <c r="A130" s="37"/>
      <c r="B130" s="37"/>
      <c r="C130" s="37"/>
      <c r="D130" s="37"/>
      <c r="E130" s="37"/>
      <c r="F130" s="37"/>
      <c r="G130" s="37"/>
      <c r="H130" s="37"/>
      <c r="I130" s="125"/>
      <c r="J130" s="125"/>
      <c r="K130" s="125"/>
      <c r="L130" s="125"/>
      <c r="M130" s="126"/>
      <c r="N130" s="126"/>
      <c r="O130" s="125"/>
    </row>
    <row r="131" spans="1:15" ht="13">
      <c r="A131" s="118"/>
      <c r="B131" s="37"/>
      <c r="C131" s="37"/>
      <c r="D131" s="37"/>
      <c r="E131" s="37"/>
      <c r="F131" s="37"/>
      <c r="G131" s="37"/>
      <c r="H131" s="37"/>
      <c r="I131" s="36"/>
      <c r="J131" s="36"/>
      <c r="K131" s="36"/>
      <c r="L131" s="36"/>
      <c r="M131" s="37"/>
      <c r="N131" s="36"/>
      <c r="O131" s="36"/>
    </row>
    <row r="132" spans="1:15" ht="13">
      <c r="A132" s="118"/>
      <c r="B132" s="37"/>
      <c r="C132" s="37"/>
      <c r="D132" s="37"/>
      <c r="E132" s="37"/>
      <c r="F132" s="37"/>
      <c r="G132" s="37"/>
      <c r="H132" s="37"/>
      <c r="I132" s="36"/>
      <c r="J132" s="36"/>
      <c r="K132" s="36"/>
      <c r="L132" s="36"/>
      <c r="M132" s="37"/>
      <c r="N132" s="36"/>
      <c r="O132" s="36"/>
    </row>
    <row r="133" spans="1:15" ht="13">
      <c r="A133" s="118"/>
      <c r="B133" s="37"/>
      <c r="C133" s="37"/>
      <c r="D133" s="37"/>
      <c r="E133" s="37"/>
      <c r="F133" s="37"/>
      <c r="G133" s="37"/>
      <c r="H133" s="37"/>
      <c r="I133" s="36"/>
      <c r="J133" s="36"/>
      <c r="K133" s="36"/>
      <c r="L133" s="36"/>
      <c r="M133" s="37"/>
      <c r="N133" s="36"/>
      <c r="O133" s="36"/>
    </row>
    <row r="134" spans="1:15" ht="13">
      <c r="A134" s="118"/>
      <c r="B134" s="37"/>
      <c r="C134" s="37"/>
      <c r="D134" s="37"/>
      <c r="E134" s="37"/>
      <c r="F134" s="37"/>
      <c r="G134" s="37"/>
      <c r="H134" s="37"/>
      <c r="I134" s="36"/>
      <c r="J134" s="36"/>
      <c r="K134" s="36"/>
      <c r="L134" s="36"/>
      <c r="M134" s="37"/>
      <c r="N134" s="36"/>
      <c r="O134" s="36"/>
    </row>
    <row r="135" spans="1:15" ht="13"/>
    <row r="136" spans="1:15" ht="13">
      <c r="I136" s="10"/>
    </row>
    <row r="137" spans="1:15" ht="13">
      <c r="I137" s="10"/>
    </row>
    <row r="138" spans="1:15" ht="13">
      <c r="I138" s="10"/>
    </row>
    <row r="139" spans="1:15" ht="13">
      <c r="I139" s="10"/>
    </row>
    <row r="140" spans="1:15" ht="13">
      <c r="I140" s="10"/>
    </row>
    <row r="141" spans="1:15" ht="13">
      <c r="I141" s="10"/>
    </row>
    <row r="142" spans="1:15" ht="13">
      <c r="I142" s="10"/>
    </row>
    <row r="143" spans="1:15" ht="13">
      <c r="I143" s="10"/>
    </row>
    <row r="144" spans="1:15" ht="13">
      <c r="I144" s="10"/>
    </row>
    <row r="145" spans="9:9" ht="13">
      <c r="I145" s="10"/>
    </row>
    <row r="146" spans="9:9" ht="13">
      <c r="I146" s="10"/>
    </row>
    <row r="147" spans="9:9" ht="13">
      <c r="I147" s="10"/>
    </row>
    <row r="148" spans="9:9" ht="13">
      <c r="I148" s="10"/>
    </row>
    <row r="149" spans="9:9" ht="13">
      <c r="I149" s="10"/>
    </row>
    <row r="150" spans="9:9" ht="13">
      <c r="I150" s="10"/>
    </row>
    <row r="151" spans="9:9" ht="13">
      <c r="I151" s="10"/>
    </row>
    <row r="152" spans="9:9" ht="13">
      <c r="I152" s="10"/>
    </row>
    <row r="153" spans="9:9" ht="13">
      <c r="I153" s="10"/>
    </row>
    <row r="154" spans="9:9" ht="13">
      <c r="I154" s="10"/>
    </row>
    <row r="155" spans="9:9" ht="13">
      <c r="I155" s="10"/>
    </row>
    <row r="156" spans="9:9" ht="13">
      <c r="I156" s="10"/>
    </row>
    <row r="157" spans="9:9" ht="13">
      <c r="I157" s="10"/>
    </row>
    <row r="158" spans="9:9" ht="13">
      <c r="I158" s="10"/>
    </row>
    <row r="159" spans="9:9" ht="13">
      <c r="I159" s="10"/>
    </row>
    <row r="160" spans="9:9" ht="13">
      <c r="I160" s="10"/>
    </row>
    <row r="161" spans="9:9" ht="13">
      <c r="I161" s="10"/>
    </row>
    <row r="162" spans="9:9" ht="13">
      <c r="I162" s="10"/>
    </row>
    <row r="163" spans="9:9" ht="13">
      <c r="I163" s="10"/>
    </row>
    <row r="164" spans="9:9" ht="13">
      <c r="I164" s="10"/>
    </row>
    <row r="165" spans="9:9" ht="13">
      <c r="I165" s="10"/>
    </row>
    <row r="166" spans="9:9" ht="13">
      <c r="I166" s="10"/>
    </row>
    <row r="167" spans="9:9" ht="13">
      <c r="I167" s="10"/>
    </row>
    <row r="168" spans="9:9" ht="13">
      <c r="I168" s="10"/>
    </row>
    <row r="169" spans="9:9" ht="13">
      <c r="I169" s="10"/>
    </row>
    <row r="170" spans="9:9" ht="13">
      <c r="I170" s="10"/>
    </row>
    <row r="171" spans="9:9" ht="13">
      <c r="I171" s="10"/>
    </row>
    <row r="172" spans="9:9" ht="13">
      <c r="I172" s="10"/>
    </row>
    <row r="173" spans="9:9" ht="13">
      <c r="I173" s="10"/>
    </row>
    <row r="174" spans="9:9" ht="13">
      <c r="I174" s="10"/>
    </row>
    <row r="175" spans="9:9" ht="13">
      <c r="I175" s="10"/>
    </row>
    <row r="176" spans="9:9" ht="13">
      <c r="I176" s="10"/>
    </row>
    <row r="177" spans="9:9" ht="13">
      <c r="I177" s="10"/>
    </row>
    <row r="178" spans="9:9" ht="13">
      <c r="I178" s="10"/>
    </row>
    <row r="179" spans="9:9" ht="13">
      <c r="I179" s="10"/>
    </row>
    <row r="180" spans="9:9" ht="13">
      <c r="I180" s="10"/>
    </row>
    <row r="181" spans="9:9" ht="13">
      <c r="I181" s="10"/>
    </row>
    <row r="182" spans="9:9" ht="13">
      <c r="I182" s="10"/>
    </row>
    <row r="183" spans="9:9" ht="13">
      <c r="I183" s="10"/>
    </row>
    <row r="184" spans="9:9" ht="13">
      <c r="I184" s="10"/>
    </row>
    <row r="185" spans="9:9" ht="13">
      <c r="I185" s="10"/>
    </row>
    <row r="186" spans="9:9" ht="13">
      <c r="I186" s="10"/>
    </row>
    <row r="187" spans="9:9" ht="13">
      <c r="I187" s="10"/>
    </row>
    <row r="188" spans="9:9" ht="13">
      <c r="I188" s="10"/>
    </row>
    <row r="189" spans="9:9" ht="13">
      <c r="I189" s="10"/>
    </row>
    <row r="190" spans="9:9" ht="13">
      <c r="I190" s="10"/>
    </row>
    <row r="191" spans="9:9" ht="13">
      <c r="I191" s="10"/>
    </row>
    <row r="192" spans="9:9" ht="13">
      <c r="I192" s="10"/>
    </row>
    <row r="193" spans="9:9" ht="13">
      <c r="I193" s="10"/>
    </row>
    <row r="194" spans="9:9" ht="13">
      <c r="I194" s="10"/>
    </row>
    <row r="195" spans="9:9" ht="13">
      <c r="I195" s="10"/>
    </row>
    <row r="196" spans="9:9" ht="13">
      <c r="I196" s="10"/>
    </row>
    <row r="197" spans="9:9" ht="13">
      <c r="I197" s="10"/>
    </row>
    <row r="198" spans="9:9" ht="13">
      <c r="I198" s="10"/>
    </row>
    <row r="199" spans="9:9" ht="13">
      <c r="I199" s="10"/>
    </row>
    <row r="200" spans="9:9" ht="13">
      <c r="I200" s="10"/>
    </row>
    <row r="201" spans="9:9" ht="13">
      <c r="I201" s="10"/>
    </row>
    <row r="202" spans="9:9" ht="13">
      <c r="I202" s="10"/>
    </row>
    <row r="203" spans="9:9" ht="13">
      <c r="I203" s="10"/>
    </row>
    <row r="204" spans="9:9" ht="13">
      <c r="I204" s="10"/>
    </row>
    <row r="205" spans="9:9" ht="13">
      <c r="I205" s="10"/>
    </row>
    <row r="206" spans="9:9" ht="13">
      <c r="I206" s="10"/>
    </row>
    <row r="207" spans="9:9" ht="13">
      <c r="I207" s="10"/>
    </row>
    <row r="208" spans="9:9" ht="13">
      <c r="I208" s="10"/>
    </row>
    <row r="209" spans="9:9" ht="13">
      <c r="I209" s="10"/>
    </row>
    <row r="210" spans="9:9" ht="13">
      <c r="I210" s="10"/>
    </row>
    <row r="211" spans="9:9" ht="13">
      <c r="I211" s="10"/>
    </row>
    <row r="212" spans="9:9" ht="13">
      <c r="I212" s="10"/>
    </row>
    <row r="213" spans="9:9" ht="13">
      <c r="I213" s="10"/>
    </row>
    <row r="214" spans="9:9" ht="13">
      <c r="I214" s="10"/>
    </row>
    <row r="215" spans="9:9" ht="13">
      <c r="I215" s="10"/>
    </row>
    <row r="216" spans="9:9" ht="13">
      <c r="I216" s="10"/>
    </row>
    <row r="217" spans="9:9" ht="13">
      <c r="I217" s="10"/>
    </row>
    <row r="218" spans="9:9" ht="13">
      <c r="I218" s="10"/>
    </row>
    <row r="219" spans="9:9" ht="13">
      <c r="I219" s="10"/>
    </row>
    <row r="220" spans="9:9" ht="13">
      <c r="I220" s="10"/>
    </row>
    <row r="221" spans="9:9" ht="13">
      <c r="I221" s="10"/>
    </row>
    <row r="222" spans="9:9" ht="13">
      <c r="I222" s="10"/>
    </row>
    <row r="223" spans="9:9" ht="13">
      <c r="I223" s="10"/>
    </row>
    <row r="224" spans="9:9" ht="13">
      <c r="I224" s="10"/>
    </row>
    <row r="225" spans="9:9" ht="13">
      <c r="I225" s="10"/>
    </row>
    <row r="226" spans="9:9" ht="13">
      <c r="I226" s="10"/>
    </row>
    <row r="227" spans="9:9" ht="13">
      <c r="I227" s="10"/>
    </row>
    <row r="228" spans="9:9" ht="13">
      <c r="I228" s="10"/>
    </row>
    <row r="229" spans="9:9" ht="13">
      <c r="I229" s="10"/>
    </row>
    <row r="230" spans="9:9" ht="13">
      <c r="I230" s="10"/>
    </row>
    <row r="231" spans="9:9" ht="13">
      <c r="I231" s="10"/>
    </row>
    <row r="232" spans="9:9" ht="13">
      <c r="I232" s="10"/>
    </row>
    <row r="233" spans="9:9" ht="13">
      <c r="I233" s="10"/>
    </row>
    <row r="234" spans="9:9" ht="13">
      <c r="I234" s="10"/>
    </row>
    <row r="235" spans="9:9" ht="13">
      <c r="I235" s="10"/>
    </row>
    <row r="236" spans="9:9" ht="13">
      <c r="I236" s="10"/>
    </row>
    <row r="237" spans="9:9" ht="13">
      <c r="I237" s="10"/>
    </row>
    <row r="238" spans="9:9" ht="13">
      <c r="I238" s="10"/>
    </row>
    <row r="239" spans="9:9" ht="13">
      <c r="I239" s="10"/>
    </row>
    <row r="240" spans="9:9" ht="13">
      <c r="I240" s="10"/>
    </row>
    <row r="241" spans="9:9" ht="13">
      <c r="I241" s="10"/>
    </row>
    <row r="242" spans="9:9" ht="13">
      <c r="I242" s="10"/>
    </row>
    <row r="243" spans="9:9" ht="13">
      <c r="I243" s="10"/>
    </row>
    <row r="244" spans="9:9" ht="13">
      <c r="I244" s="10"/>
    </row>
    <row r="245" spans="9:9" ht="13">
      <c r="I245" s="10"/>
    </row>
    <row r="246" spans="9:9" ht="13">
      <c r="I246" s="10"/>
    </row>
    <row r="247" spans="9:9" ht="13">
      <c r="I247" s="10"/>
    </row>
    <row r="248" spans="9:9" ht="13">
      <c r="I248" s="10"/>
    </row>
    <row r="249" spans="9:9" ht="13">
      <c r="I249" s="10"/>
    </row>
    <row r="250" spans="9:9" ht="13">
      <c r="I250" s="10"/>
    </row>
    <row r="251" spans="9:9" ht="13">
      <c r="I251" s="10"/>
    </row>
    <row r="252" spans="9:9" ht="13">
      <c r="I252" s="10"/>
    </row>
    <row r="253" spans="9:9" ht="13">
      <c r="I253" s="10"/>
    </row>
    <row r="254" spans="9:9" ht="13">
      <c r="I254" s="10"/>
    </row>
    <row r="255" spans="9:9" ht="13">
      <c r="I255" s="10"/>
    </row>
    <row r="256" spans="9:9" ht="13">
      <c r="I256" s="10"/>
    </row>
    <row r="257" spans="9:9" ht="13">
      <c r="I257" s="10"/>
    </row>
    <row r="258" spans="9:9" ht="13">
      <c r="I258" s="10"/>
    </row>
    <row r="259" spans="9:9" ht="13">
      <c r="I259" s="10"/>
    </row>
    <row r="260" spans="9:9" ht="13">
      <c r="I260" s="10"/>
    </row>
    <row r="261" spans="9:9" ht="13">
      <c r="I261" s="10"/>
    </row>
    <row r="262" spans="9:9" ht="13">
      <c r="I262" s="10"/>
    </row>
    <row r="263" spans="9:9" ht="13">
      <c r="I263" s="10"/>
    </row>
    <row r="264" spans="9:9" ht="13">
      <c r="I264" s="10"/>
    </row>
    <row r="265" spans="9:9" ht="13">
      <c r="I265" s="10"/>
    </row>
    <row r="266" spans="9:9" ht="13">
      <c r="I266" s="10"/>
    </row>
    <row r="267" spans="9:9" ht="13">
      <c r="I267" s="10"/>
    </row>
    <row r="268" spans="9:9" ht="13">
      <c r="I268" s="10"/>
    </row>
    <row r="269" spans="9:9" ht="13">
      <c r="I269" s="10"/>
    </row>
    <row r="270" spans="9:9" ht="13">
      <c r="I270" s="10"/>
    </row>
    <row r="271" spans="9:9" ht="13">
      <c r="I271" s="10"/>
    </row>
    <row r="272" spans="9:9" ht="13">
      <c r="I272" s="10"/>
    </row>
    <row r="273" spans="9:9" ht="13">
      <c r="I273" s="10"/>
    </row>
    <row r="274" spans="9:9" ht="13">
      <c r="I274" s="10"/>
    </row>
    <row r="275" spans="9:9" ht="13">
      <c r="I275" s="10"/>
    </row>
    <row r="276" spans="9:9" ht="13">
      <c r="I276" s="10"/>
    </row>
    <row r="277" spans="9:9" ht="13">
      <c r="I277" s="10"/>
    </row>
    <row r="278" spans="9:9" ht="13">
      <c r="I278" s="10"/>
    </row>
    <row r="279" spans="9:9" ht="13">
      <c r="I279" s="10"/>
    </row>
    <row r="280" spans="9:9" ht="13">
      <c r="I280" s="10"/>
    </row>
    <row r="281" spans="9:9" ht="13">
      <c r="I281" s="10"/>
    </row>
    <row r="282" spans="9:9" ht="13">
      <c r="I282" s="10"/>
    </row>
    <row r="283" spans="9:9" ht="13">
      <c r="I283" s="10"/>
    </row>
    <row r="284" spans="9:9" ht="13">
      <c r="I284" s="10"/>
    </row>
    <row r="285" spans="9:9" ht="13">
      <c r="I285" s="10"/>
    </row>
    <row r="286" spans="9:9" ht="13">
      <c r="I286" s="10"/>
    </row>
    <row r="287" spans="9:9" ht="13">
      <c r="I287" s="10"/>
    </row>
    <row r="288" spans="9:9" ht="13">
      <c r="I288" s="10"/>
    </row>
    <row r="289" spans="9:9" ht="13">
      <c r="I289" s="10"/>
    </row>
    <row r="290" spans="9:9" ht="13">
      <c r="I290" s="10"/>
    </row>
    <row r="291" spans="9:9" ht="13">
      <c r="I291" s="10"/>
    </row>
    <row r="292" spans="9:9" ht="13">
      <c r="I292" s="10"/>
    </row>
    <row r="293" spans="9:9" ht="13">
      <c r="I293" s="10"/>
    </row>
    <row r="294" spans="9:9" ht="13">
      <c r="I294" s="10"/>
    </row>
    <row r="295" spans="9:9" ht="13">
      <c r="I295" s="10"/>
    </row>
    <row r="296" spans="9:9" ht="13">
      <c r="I296" s="10"/>
    </row>
    <row r="297" spans="9:9" ht="13">
      <c r="I297" s="10"/>
    </row>
    <row r="298" spans="9:9" ht="13">
      <c r="I298" s="10"/>
    </row>
    <row r="299" spans="9:9" ht="13">
      <c r="I299" s="10"/>
    </row>
    <row r="300" spans="9:9" ht="13">
      <c r="I300" s="10"/>
    </row>
    <row r="301" spans="9:9" ht="13">
      <c r="I301" s="10"/>
    </row>
    <row r="302" spans="9:9" ht="13">
      <c r="I302" s="10"/>
    </row>
    <row r="303" spans="9:9" ht="13">
      <c r="I303" s="10"/>
    </row>
    <row r="304" spans="9:9" ht="13">
      <c r="I304" s="10"/>
    </row>
    <row r="305" spans="9:9" ht="13">
      <c r="I305" s="10"/>
    </row>
    <row r="306" spans="9:9" ht="13">
      <c r="I306" s="10"/>
    </row>
    <row r="307" spans="9:9" ht="13">
      <c r="I307" s="10"/>
    </row>
    <row r="308" spans="9:9" ht="13">
      <c r="I308" s="10"/>
    </row>
    <row r="309" spans="9:9" ht="13">
      <c r="I309" s="10"/>
    </row>
    <row r="310" spans="9:9" ht="13">
      <c r="I310" s="10"/>
    </row>
    <row r="311" spans="9:9" ht="13">
      <c r="I311" s="10"/>
    </row>
    <row r="312" spans="9:9" ht="13">
      <c r="I312" s="10"/>
    </row>
    <row r="313" spans="9:9" ht="13">
      <c r="I313" s="10"/>
    </row>
    <row r="314" spans="9:9" ht="13">
      <c r="I314" s="10"/>
    </row>
    <row r="315" spans="9:9" ht="13">
      <c r="I315" s="10"/>
    </row>
    <row r="316" spans="9:9" ht="13">
      <c r="I316" s="10"/>
    </row>
    <row r="317" spans="9:9" ht="13">
      <c r="I317" s="10"/>
    </row>
    <row r="318" spans="9:9" ht="13">
      <c r="I318" s="10"/>
    </row>
    <row r="319" spans="9:9" ht="13">
      <c r="I319" s="10"/>
    </row>
    <row r="320" spans="9:9" ht="13">
      <c r="I320" s="10"/>
    </row>
    <row r="321" spans="9:9" ht="13">
      <c r="I321" s="10"/>
    </row>
    <row r="322" spans="9:9" ht="13">
      <c r="I322" s="10"/>
    </row>
    <row r="323" spans="9:9" ht="13">
      <c r="I323" s="10"/>
    </row>
    <row r="324" spans="9:9" ht="13">
      <c r="I324" s="10"/>
    </row>
    <row r="325" spans="9:9" ht="13">
      <c r="I325" s="10"/>
    </row>
    <row r="326" spans="9:9" ht="13">
      <c r="I326" s="10"/>
    </row>
    <row r="327" spans="9:9" ht="13">
      <c r="I327" s="10"/>
    </row>
    <row r="328" spans="9:9" ht="13">
      <c r="I328" s="10"/>
    </row>
    <row r="329" spans="9:9" ht="13">
      <c r="I329" s="10"/>
    </row>
    <row r="330" spans="9:9" ht="13">
      <c r="I330" s="10"/>
    </row>
    <row r="331" spans="9:9" ht="13">
      <c r="I331" s="10"/>
    </row>
    <row r="332" spans="9:9" ht="13">
      <c r="I332" s="10"/>
    </row>
    <row r="333" spans="9:9" ht="13">
      <c r="I333" s="10"/>
    </row>
    <row r="334" spans="9:9" ht="13">
      <c r="I334" s="10"/>
    </row>
    <row r="335" spans="9:9" ht="13">
      <c r="I335" s="10"/>
    </row>
    <row r="336" spans="9:9" ht="13">
      <c r="I336" s="10"/>
    </row>
    <row r="337" spans="9:9" ht="13">
      <c r="I337" s="10"/>
    </row>
    <row r="338" spans="9:9" ht="13">
      <c r="I338" s="10"/>
    </row>
    <row r="339" spans="9:9" ht="13">
      <c r="I339" s="10"/>
    </row>
    <row r="340" spans="9:9" ht="13">
      <c r="I340" s="10"/>
    </row>
    <row r="341" spans="9:9" ht="13">
      <c r="I341" s="10"/>
    </row>
    <row r="342" spans="9:9" ht="13">
      <c r="I342" s="10"/>
    </row>
    <row r="343" spans="9:9" ht="13">
      <c r="I343" s="10"/>
    </row>
    <row r="344" spans="9:9" ht="13">
      <c r="I344" s="10"/>
    </row>
    <row r="345" spans="9:9" ht="13">
      <c r="I345" s="10"/>
    </row>
    <row r="346" spans="9:9" ht="13">
      <c r="I346" s="10"/>
    </row>
    <row r="347" spans="9:9" ht="13">
      <c r="I347" s="10"/>
    </row>
    <row r="348" spans="9:9" ht="13">
      <c r="I348" s="10"/>
    </row>
    <row r="349" spans="9:9" ht="13">
      <c r="I349" s="10"/>
    </row>
    <row r="350" spans="9:9" ht="13">
      <c r="I350" s="10"/>
    </row>
    <row r="351" spans="9:9" ht="13">
      <c r="I351" s="10"/>
    </row>
    <row r="352" spans="9:9" ht="13">
      <c r="I352" s="10"/>
    </row>
    <row r="353" spans="9:9" ht="13">
      <c r="I353" s="10"/>
    </row>
    <row r="354" spans="9:9" ht="13">
      <c r="I354" s="10"/>
    </row>
    <row r="355" spans="9:9" ht="13">
      <c r="I355" s="10"/>
    </row>
    <row r="356" spans="9:9" ht="13">
      <c r="I356" s="10"/>
    </row>
    <row r="357" spans="9:9" ht="13">
      <c r="I357" s="10"/>
    </row>
    <row r="358" spans="9:9" ht="13">
      <c r="I358" s="10"/>
    </row>
    <row r="359" spans="9:9" ht="13">
      <c r="I359" s="10"/>
    </row>
    <row r="360" spans="9:9" ht="13">
      <c r="I360" s="10"/>
    </row>
    <row r="361" spans="9:9" ht="13">
      <c r="I361" s="10"/>
    </row>
    <row r="362" spans="9:9" ht="13">
      <c r="I362" s="10"/>
    </row>
    <row r="363" spans="9:9" ht="13">
      <c r="I363" s="10"/>
    </row>
    <row r="364" spans="9:9" ht="13">
      <c r="I364" s="10"/>
    </row>
    <row r="365" spans="9:9" ht="13">
      <c r="I365" s="10"/>
    </row>
    <row r="366" spans="9:9" ht="13">
      <c r="I366" s="10"/>
    </row>
    <row r="367" spans="9:9" ht="13">
      <c r="I367" s="10"/>
    </row>
    <row r="368" spans="9:9" ht="13">
      <c r="I368" s="10"/>
    </row>
    <row r="369" spans="9:9" ht="13">
      <c r="I369" s="10"/>
    </row>
    <row r="370" spans="9:9" ht="13">
      <c r="I370" s="10"/>
    </row>
    <row r="371" spans="9:9" ht="13">
      <c r="I371" s="10"/>
    </row>
    <row r="372" spans="9:9" ht="13">
      <c r="I372" s="10"/>
    </row>
    <row r="373" spans="9:9" ht="13">
      <c r="I373" s="10"/>
    </row>
    <row r="374" spans="9:9" ht="13">
      <c r="I374" s="10"/>
    </row>
    <row r="375" spans="9:9" ht="13">
      <c r="I375" s="10"/>
    </row>
    <row r="376" spans="9:9" ht="13">
      <c r="I376" s="10"/>
    </row>
    <row r="377" spans="9:9" ht="13">
      <c r="I377" s="10"/>
    </row>
    <row r="378" spans="9:9" ht="13">
      <c r="I378" s="10"/>
    </row>
    <row r="379" spans="9:9" ht="13">
      <c r="I379" s="10"/>
    </row>
    <row r="380" spans="9:9" ht="13">
      <c r="I380" s="10"/>
    </row>
    <row r="381" spans="9:9" ht="13">
      <c r="I381" s="10"/>
    </row>
    <row r="382" spans="9:9" ht="13">
      <c r="I382" s="10"/>
    </row>
    <row r="383" spans="9:9" ht="13">
      <c r="I383" s="10"/>
    </row>
    <row r="384" spans="9:9" ht="13">
      <c r="I384" s="10"/>
    </row>
    <row r="385" spans="9:9" ht="13">
      <c r="I385" s="10"/>
    </row>
    <row r="386" spans="9:9" ht="13">
      <c r="I386" s="10"/>
    </row>
    <row r="387" spans="9:9" ht="13">
      <c r="I387" s="10"/>
    </row>
    <row r="388" spans="9:9" ht="13">
      <c r="I388" s="10"/>
    </row>
    <row r="389" spans="9:9" ht="13">
      <c r="I389" s="10"/>
    </row>
    <row r="390" spans="9:9" ht="13">
      <c r="I390" s="10"/>
    </row>
    <row r="391" spans="9:9" ht="13">
      <c r="I391" s="10"/>
    </row>
    <row r="392" spans="9:9" ht="13">
      <c r="I392" s="10"/>
    </row>
    <row r="393" spans="9:9" ht="13">
      <c r="I393" s="10"/>
    </row>
    <row r="394" spans="9:9" ht="13">
      <c r="I394" s="10"/>
    </row>
    <row r="395" spans="9:9" ht="13">
      <c r="I395" s="10"/>
    </row>
    <row r="396" spans="9:9" ht="13">
      <c r="I396" s="10"/>
    </row>
    <row r="397" spans="9:9" ht="13">
      <c r="I397" s="10"/>
    </row>
    <row r="398" spans="9:9" ht="13">
      <c r="I398" s="10"/>
    </row>
    <row r="399" spans="9:9" ht="13">
      <c r="I399" s="10"/>
    </row>
    <row r="400" spans="9:9" ht="13">
      <c r="I400" s="10"/>
    </row>
    <row r="401" spans="9:9" ht="13">
      <c r="I401" s="10"/>
    </row>
    <row r="402" spans="9:9" ht="13">
      <c r="I402" s="10"/>
    </row>
    <row r="403" spans="9:9" ht="13">
      <c r="I403" s="10"/>
    </row>
    <row r="404" spans="9:9" ht="13">
      <c r="I404" s="10"/>
    </row>
    <row r="405" spans="9:9" ht="13">
      <c r="I405" s="10"/>
    </row>
    <row r="406" spans="9:9" ht="13">
      <c r="I406" s="10"/>
    </row>
    <row r="407" spans="9:9" ht="13">
      <c r="I407" s="10"/>
    </row>
    <row r="408" spans="9:9" ht="13">
      <c r="I408" s="10"/>
    </row>
    <row r="409" spans="9:9" ht="13">
      <c r="I409" s="10"/>
    </row>
    <row r="410" spans="9:9" ht="13">
      <c r="I410" s="10"/>
    </row>
    <row r="411" spans="9:9" ht="13">
      <c r="I411" s="10"/>
    </row>
    <row r="412" spans="9:9" ht="13">
      <c r="I412" s="10"/>
    </row>
    <row r="413" spans="9:9" ht="13">
      <c r="I413" s="10"/>
    </row>
    <row r="414" spans="9:9" ht="13">
      <c r="I414" s="10"/>
    </row>
    <row r="415" spans="9:9" ht="13">
      <c r="I415" s="10"/>
    </row>
    <row r="416" spans="9:9" ht="13">
      <c r="I416" s="10"/>
    </row>
    <row r="417" spans="9:9" ht="13">
      <c r="I417" s="10"/>
    </row>
    <row r="418" spans="9:9" ht="13">
      <c r="I418" s="10"/>
    </row>
    <row r="419" spans="9:9" ht="13">
      <c r="I419" s="10"/>
    </row>
    <row r="420" spans="9:9" ht="13">
      <c r="I420" s="10"/>
    </row>
    <row r="421" spans="9:9" ht="13">
      <c r="I421" s="10"/>
    </row>
    <row r="422" spans="9:9" ht="13">
      <c r="I422" s="10"/>
    </row>
    <row r="423" spans="9:9" ht="13">
      <c r="I423" s="10"/>
    </row>
    <row r="424" spans="9:9" ht="13">
      <c r="I424" s="10"/>
    </row>
    <row r="425" spans="9:9" ht="13">
      <c r="I425" s="10"/>
    </row>
    <row r="426" spans="9:9" ht="13">
      <c r="I426" s="10"/>
    </row>
    <row r="427" spans="9:9" ht="13">
      <c r="I427" s="10"/>
    </row>
    <row r="428" spans="9:9" ht="13">
      <c r="I428" s="10"/>
    </row>
    <row r="429" spans="9:9" ht="13">
      <c r="I429" s="10"/>
    </row>
    <row r="430" spans="9:9" ht="13">
      <c r="I430" s="10"/>
    </row>
    <row r="431" spans="9:9" ht="13">
      <c r="I431" s="10"/>
    </row>
    <row r="432" spans="9:9" ht="13">
      <c r="I432" s="10"/>
    </row>
    <row r="433" spans="9:9" ht="13">
      <c r="I433" s="10"/>
    </row>
    <row r="434" spans="9:9" ht="13">
      <c r="I434" s="10"/>
    </row>
    <row r="435" spans="9:9" ht="13">
      <c r="I435" s="10"/>
    </row>
    <row r="436" spans="9:9" ht="13">
      <c r="I436" s="10"/>
    </row>
    <row r="437" spans="9:9" ht="13">
      <c r="I437" s="10"/>
    </row>
    <row r="438" spans="9:9" ht="13">
      <c r="I438" s="10"/>
    </row>
    <row r="439" spans="9:9" ht="13">
      <c r="I439" s="10"/>
    </row>
    <row r="440" spans="9:9" ht="13">
      <c r="I440" s="10"/>
    </row>
    <row r="441" spans="9:9" ht="13">
      <c r="I441" s="10"/>
    </row>
    <row r="442" spans="9:9" ht="13">
      <c r="I442" s="10"/>
    </row>
    <row r="443" spans="9:9" ht="13">
      <c r="I443" s="10"/>
    </row>
    <row r="444" spans="9:9" ht="13">
      <c r="I444" s="10"/>
    </row>
    <row r="445" spans="9:9" ht="13">
      <c r="I445" s="10"/>
    </row>
    <row r="446" spans="9:9" ht="13">
      <c r="I446" s="10"/>
    </row>
    <row r="447" spans="9:9" ht="13">
      <c r="I447" s="10"/>
    </row>
    <row r="448" spans="9:9" ht="13">
      <c r="I448" s="10"/>
    </row>
    <row r="449" spans="9:9" ht="13">
      <c r="I449" s="10"/>
    </row>
    <row r="450" spans="9:9" ht="13">
      <c r="I450" s="10"/>
    </row>
    <row r="451" spans="9:9" ht="13">
      <c r="I451" s="10"/>
    </row>
    <row r="452" spans="9:9" ht="13">
      <c r="I452" s="10"/>
    </row>
    <row r="453" spans="9:9" ht="13">
      <c r="I453" s="10"/>
    </row>
    <row r="454" spans="9:9" ht="13">
      <c r="I454" s="10"/>
    </row>
    <row r="455" spans="9:9" ht="13">
      <c r="I455" s="10"/>
    </row>
    <row r="456" spans="9:9" ht="13">
      <c r="I456" s="10"/>
    </row>
    <row r="457" spans="9:9" ht="13">
      <c r="I457" s="10"/>
    </row>
    <row r="458" spans="9:9" ht="13">
      <c r="I458" s="10"/>
    </row>
    <row r="459" spans="9:9" ht="13">
      <c r="I459" s="10"/>
    </row>
    <row r="460" spans="9:9" ht="13">
      <c r="I460" s="10"/>
    </row>
    <row r="461" spans="9:9" ht="13">
      <c r="I461" s="10"/>
    </row>
    <row r="462" spans="9:9" ht="13">
      <c r="I462" s="10"/>
    </row>
    <row r="463" spans="9:9" ht="13">
      <c r="I463" s="10"/>
    </row>
    <row r="464" spans="9:9" ht="13">
      <c r="I464" s="10"/>
    </row>
    <row r="465" spans="9:9" ht="13">
      <c r="I465" s="10"/>
    </row>
    <row r="466" spans="9:9" ht="13">
      <c r="I466" s="10"/>
    </row>
    <row r="467" spans="9:9" ht="13">
      <c r="I467" s="10"/>
    </row>
    <row r="468" spans="9:9" ht="13">
      <c r="I468" s="10"/>
    </row>
    <row r="469" spans="9:9" ht="13">
      <c r="I469" s="10"/>
    </row>
    <row r="470" spans="9:9" ht="13">
      <c r="I470" s="10"/>
    </row>
    <row r="471" spans="9:9" ht="13">
      <c r="I471" s="10"/>
    </row>
    <row r="472" spans="9:9" ht="13">
      <c r="I472" s="10"/>
    </row>
    <row r="473" spans="9:9" ht="13">
      <c r="I473" s="10"/>
    </row>
    <row r="474" spans="9:9" ht="13">
      <c r="I474" s="10"/>
    </row>
    <row r="475" spans="9:9" ht="13">
      <c r="I475" s="10"/>
    </row>
    <row r="476" spans="9:9" ht="13">
      <c r="I476" s="10"/>
    </row>
    <row r="477" spans="9:9" ht="13">
      <c r="I477" s="10"/>
    </row>
    <row r="478" spans="9:9" ht="13">
      <c r="I478" s="10"/>
    </row>
    <row r="479" spans="9:9" ht="13">
      <c r="I479" s="10"/>
    </row>
    <row r="480" spans="9:9" ht="13">
      <c r="I480" s="10"/>
    </row>
    <row r="481" spans="9:9" ht="13">
      <c r="I481" s="10"/>
    </row>
    <row r="482" spans="9:9" ht="13">
      <c r="I482" s="10"/>
    </row>
    <row r="483" spans="9:9" ht="13">
      <c r="I483" s="10"/>
    </row>
    <row r="484" spans="9:9" ht="13">
      <c r="I484" s="10"/>
    </row>
    <row r="485" spans="9:9" ht="13">
      <c r="I485" s="10"/>
    </row>
    <row r="486" spans="9:9" ht="13">
      <c r="I486" s="10"/>
    </row>
    <row r="487" spans="9:9" ht="13">
      <c r="I487" s="10"/>
    </row>
    <row r="488" spans="9:9" ht="13">
      <c r="I488" s="10"/>
    </row>
    <row r="489" spans="9:9" ht="13">
      <c r="I489" s="10"/>
    </row>
    <row r="490" spans="9:9" ht="13">
      <c r="I490" s="10"/>
    </row>
    <row r="491" spans="9:9" ht="13">
      <c r="I491" s="10"/>
    </row>
    <row r="492" spans="9:9" ht="13">
      <c r="I492" s="10"/>
    </row>
    <row r="493" spans="9:9" ht="13">
      <c r="I493" s="10"/>
    </row>
    <row r="494" spans="9:9" ht="13">
      <c r="I494" s="10"/>
    </row>
    <row r="495" spans="9:9" ht="13">
      <c r="I495" s="10"/>
    </row>
    <row r="496" spans="9:9" ht="13">
      <c r="I496" s="10"/>
    </row>
    <row r="497" spans="9:9" ht="13">
      <c r="I497" s="10"/>
    </row>
    <row r="498" spans="9:9" ht="13">
      <c r="I498" s="10"/>
    </row>
    <row r="499" spans="9:9" ht="13">
      <c r="I499" s="10"/>
    </row>
    <row r="500" spans="9:9" ht="13">
      <c r="I500" s="10"/>
    </row>
    <row r="501" spans="9:9" ht="13">
      <c r="I501" s="10"/>
    </row>
    <row r="502" spans="9:9" ht="13">
      <c r="I502" s="10"/>
    </row>
    <row r="503" spans="9:9" ht="13">
      <c r="I503" s="10"/>
    </row>
    <row r="504" spans="9:9" ht="13">
      <c r="I504" s="10"/>
    </row>
    <row r="505" spans="9:9" ht="13">
      <c r="I505" s="10"/>
    </row>
    <row r="506" spans="9:9" ht="13">
      <c r="I506" s="10"/>
    </row>
    <row r="507" spans="9:9" ht="13">
      <c r="I507" s="10"/>
    </row>
    <row r="508" spans="9:9" ht="13">
      <c r="I508" s="10"/>
    </row>
    <row r="509" spans="9:9" ht="13">
      <c r="I509" s="10"/>
    </row>
    <row r="510" spans="9:9" ht="13">
      <c r="I510" s="10"/>
    </row>
    <row r="511" spans="9:9" ht="13">
      <c r="I511" s="10"/>
    </row>
    <row r="512" spans="9:9" ht="13">
      <c r="I512" s="10"/>
    </row>
    <row r="513" spans="9:9" ht="13">
      <c r="I513" s="10"/>
    </row>
    <row r="514" spans="9:9" ht="13">
      <c r="I514" s="10"/>
    </row>
    <row r="515" spans="9:9" ht="13">
      <c r="I515" s="10"/>
    </row>
    <row r="516" spans="9:9" ht="13">
      <c r="I516" s="10"/>
    </row>
    <row r="517" spans="9:9" ht="13">
      <c r="I517" s="10"/>
    </row>
    <row r="518" spans="9:9" ht="13">
      <c r="I518" s="10"/>
    </row>
    <row r="519" spans="9:9" ht="13">
      <c r="I519" s="10"/>
    </row>
    <row r="520" spans="9:9" ht="13">
      <c r="I520" s="10"/>
    </row>
    <row r="521" spans="9:9" ht="13">
      <c r="I521" s="10"/>
    </row>
    <row r="522" spans="9:9" ht="13">
      <c r="I522" s="10"/>
    </row>
    <row r="523" spans="9:9" ht="13">
      <c r="I523" s="10"/>
    </row>
    <row r="524" spans="9:9" ht="13">
      <c r="I524" s="10"/>
    </row>
    <row r="525" spans="9:9" ht="13">
      <c r="I525" s="10"/>
    </row>
    <row r="526" spans="9:9" ht="13">
      <c r="I526" s="10"/>
    </row>
    <row r="527" spans="9:9" ht="13">
      <c r="I527" s="10"/>
    </row>
    <row r="528" spans="9:9" ht="13">
      <c r="I528" s="10"/>
    </row>
    <row r="529" spans="9:9" ht="13">
      <c r="I529" s="10"/>
    </row>
    <row r="530" spans="9:9" ht="13">
      <c r="I530" s="10"/>
    </row>
    <row r="531" spans="9:9" ht="13">
      <c r="I531" s="10"/>
    </row>
    <row r="532" spans="9:9" ht="13">
      <c r="I532" s="10"/>
    </row>
    <row r="533" spans="9:9" ht="13">
      <c r="I533" s="10"/>
    </row>
    <row r="534" spans="9:9" ht="13">
      <c r="I534" s="10"/>
    </row>
    <row r="535" spans="9:9" ht="13">
      <c r="I535" s="10"/>
    </row>
    <row r="536" spans="9:9" ht="13">
      <c r="I536" s="10"/>
    </row>
    <row r="537" spans="9:9" ht="13">
      <c r="I537" s="10"/>
    </row>
    <row r="538" spans="9:9" ht="13">
      <c r="I538" s="10"/>
    </row>
    <row r="539" spans="9:9" ht="13">
      <c r="I539" s="10"/>
    </row>
    <row r="540" spans="9:9" ht="13">
      <c r="I540" s="10"/>
    </row>
    <row r="541" spans="9:9" ht="13">
      <c r="I541" s="10"/>
    </row>
    <row r="542" spans="9:9" ht="13">
      <c r="I542" s="10"/>
    </row>
    <row r="543" spans="9:9" ht="13">
      <c r="I543" s="10"/>
    </row>
    <row r="544" spans="9:9" ht="13">
      <c r="I544" s="10"/>
    </row>
    <row r="545" spans="9:9" ht="13">
      <c r="I545" s="10"/>
    </row>
    <row r="546" spans="9:9" ht="13">
      <c r="I546" s="10"/>
    </row>
    <row r="547" spans="9:9" ht="13">
      <c r="I547" s="10"/>
    </row>
    <row r="548" spans="9:9" ht="13">
      <c r="I548" s="10"/>
    </row>
    <row r="549" spans="9:9" ht="13">
      <c r="I549" s="10"/>
    </row>
    <row r="550" spans="9:9" ht="13">
      <c r="I550" s="10"/>
    </row>
    <row r="551" spans="9:9" ht="13">
      <c r="I551" s="10"/>
    </row>
    <row r="552" spans="9:9" ht="13">
      <c r="I552" s="10"/>
    </row>
    <row r="553" spans="9:9" ht="13">
      <c r="I553" s="10"/>
    </row>
    <row r="554" spans="9:9" ht="13">
      <c r="I554" s="10"/>
    </row>
    <row r="555" spans="9:9" ht="13">
      <c r="I555" s="10"/>
    </row>
    <row r="556" spans="9:9" ht="13">
      <c r="I556" s="10"/>
    </row>
    <row r="557" spans="9:9" ht="13">
      <c r="I557" s="10"/>
    </row>
    <row r="558" spans="9:9" ht="13">
      <c r="I558" s="10"/>
    </row>
    <row r="559" spans="9:9" ht="13">
      <c r="I559" s="10"/>
    </row>
    <row r="560" spans="9:9" ht="13">
      <c r="I560" s="10"/>
    </row>
    <row r="561" spans="9:9" ht="13">
      <c r="I561" s="10"/>
    </row>
    <row r="562" spans="9:9" ht="13">
      <c r="I562" s="10"/>
    </row>
    <row r="563" spans="9:9" ht="13">
      <c r="I563" s="10"/>
    </row>
    <row r="564" spans="9:9" ht="13">
      <c r="I564" s="10"/>
    </row>
    <row r="565" spans="9:9" ht="13">
      <c r="I565" s="10"/>
    </row>
    <row r="566" spans="9:9" ht="13">
      <c r="I566" s="10"/>
    </row>
    <row r="567" spans="9:9" ht="13">
      <c r="I567" s="10"/>
    </row>
    <row r="568" spans="9:9" ht="13">
      <c r="I568" s="10"/>
    </row>
    <row r="569" spans="9:9" ht="13">
      <c r="I569" s="10"/>
    </row>
    <row r="570" spans="9:9" ht="13">
      <c r="I570" s="10"/>
    </row>
    <row r="571" spans="9:9" ht="13">
      <c r="I571" s="10"/>
    </row>
    <row r="572" spans="9:9" ht="13">
      <c r="I572" s="10"/>
    </row>
    <row r="573" spans="9:9" ht="13">
      <c r="I573" s="10"/>
    </row>
    <row r="574" spans="9:9" ht="13">
      <c r="I574" s="10"/>
    </row>
    <row r="575" spans="9:9" ht="13">
      <c r="I575" s="10"/>
    </row>
    <row r="576" spans="9:9" ht="13">
      <c r="I576" s="10"/>
    </row>
    <row r="577" spans="9:9" ht="13">
      <c r="I577" s="10"/>
    </row>
    <row r="578" spans="9:9" ht="13">
      <c r="I578" s="10"/>
    </row>
    <row r="579" spans="9:9" ht="13">
      <c r="I579" s="10"/>
    </row>
    <row r="580" spans="9:9" ht="13">
      <c r="I580" s="10"/>
    </row>
    <row r="581" spans="9:9" ht="13">
      <c r="I581" s="10"/>
    </row>
    <row r="582" spans="9:9" ht="13">
      <c r="I582" s="10"/>
    </row>
    <row r="583" spans="9:9" ht="13">
      <c r="I583" s="10"/>
    </row>
    <row r="584" spans="9:9" ht="13">
      <c r="I584" s="10"/>
    </row>
    <row r="585" spans="9:9" ht="13">
      <c r="I585" s="10"/>
    </row>
    <row r="586" spans="9:9" ht="13">
      <c r="I586" s="10"/>
    </row>
    <row r="587" spans="9:9" ht="13">
      <c r="I587" s="10"/>
    </row>
    <row r="588" spans="9:9" ht="13">
      <c r="I588" s="10"/>
    </row>
    <row r="589" spans="9:9" ht="13">
      <c r="I589" s="10"/>
    </row>
    <row r="590" spans="9:9" ht="13">
      <c r="I590" s="10"/>
    </row>
    <row r="591" spans="9:9" ht="13">
      <c r="I591" s="10"/>
    </row>
    <row r="592" spans="9:9" ht="13">
      <c r="I592" s="10"/>
    </row>
    <row r="593" spans="9:9" ht="13">
      <c r="I593" s="10"/>
    </row>
    <row r="594" spans="9:9" ht="13">
      <c r="I594" s="10"/>
    </row>
    <row r="595" spans="9:9" ht="13">
      <c r="I595" s="10"/>
    </row>
    <row r="596" spans="9:9" ht="13">
      <c r="I596" s="10"/>
    </row>
    <row r="597" spans="9:9" ht="13">
      <c r="I597" s="10"/>
    </row>
    <row r="598" spans="9:9" ht="13">
      <c r="I598" s="10"/>
    </row>
    <row r="599" spans="9:9" ht="13">
      <c r="I599" s="10"/>
    </row>
    <row r="600" spans="9:9" ht="13">
      <c r="I600" s="10"/>
    </row>
    <row r="601" spans="9:9" ht="13">
      <c r="I601" s="10"/>
    </row>
    <row r="602" spans="9:9" ht="13">
      <c r="I602" s="10"/>
    </row>
    <row r="603" spans="9:9" ht="13">
      <c r="I603" s="10"/>
    </row>
    <row r="604" spans="9:9" ht="13">
      <c r="I604" s="10"/>
    </row>
    <row r="605" spans="9:9" ht="13">
      <c r="I605" s="10"/>
    </row>
    <row r="606" spans="9:9" ht="13">
      <c r="I606" s="10"/>
    </row>
    <row r="607" spans="9:9" ht="13">
      <c r="I607" s="10"/>
    </row>
    <row r="608" spans="9:9" ht="13">
      <c r="I608" s="10"/>
    </row>
    <row r="609" spans="9:9" ht="13">
      <c r="I609" s="10"/>
    </row>
    <row r="610" spans="9:9" ht="13">
      <c r="I610" s="10"/>
    </row>
    <row r="611" spans="9:9" ht="13">
      <c r="I611" s="10"/>
    </row>
    <row r="612" spans="9:9" ht="13">
      <c r="I612" s="10"/>
    </row>
    <row r="613" spans="9:9" ht="13">
      <c r="I613" s="10"/>
    </row>
    <row r="614" spans="9:9" ht="13">
      <c r="I614" s="10"/>
    </row>
    <row r="615" spans="9:9" ht="13">
      <c r="I615" s="10"/>
    </row>
    <row r="616" spans="9:9" ht="13">
      <c r="I616" s="10"/>
    </row>
    <row r="617" spans="9:9" ht="13">
      <c r="I617" s="10"/>
    </row>
    <row r="618" spans="9:9" ht="13">
      <c r="I618" s="10"/>
    </row>
    <row r="619" spans="9:9" ht="13">
      <c r="I619" s="10"/>
    </row>
    <row r="620" spans="9:9" ht="13">
      <c r="I620" s="10"/>
    </row>
    <row r="621" spans="9:9" ht="13">
      <c r="I621" s="10"/>
    </row>
    <row r="622" spans="9:9" ht="13">
      <c r="I622" s="10"/>
    </row>
    <row r="623" spans="9:9" ht="13">
      <c r="I623" s="10"/>
    </row>
    <row r="624" spans="9:9" ht="13">
      <c r="I624" s="10"/>
    </row>
    <row r="625" spans="9:9" ht="13">
      <c r="I625" s="10"/>
    </row>
    <row r="626" spans="9:9" ht="13">
      <c r="I626" s="10"/>
    </row>
    <row r="627" spans="9:9" ht="13">
      <c r="I627" s="10"/>
    </row>
    <row r="628" spans="9:9" ht="13">
      <c r="I628" s="10"/>
    </row>
    <row r="629" spans="9:9" ht="13">
      <c r="I629" s="10"/>
    </row>
    <row r="630" spans="9:9" ht="13">
      <c r="I630" s="10"/>
    </row>
    <row r="631" spans="9:9" ht="13">
      <c r="I631" s="10"/>
    </row>
    <row r="632" spans="9:9" ht="13">
      <c r="I632" s="10"/>
    </row>
    <row r="633" spans="9:9" ht="13">
      <c r="I633" s="10"/>
    </row>
    <row r="634" spans="9:9" ht="13">
      <c r="I634" s="10"/>
    </row>
    <row r="635" spans="9:9" ht="13">
      <c r="I635" s="10"/>
    </row>
    <row r="636" spans="9:9" ht="13">
      <c r="I636" s="10"/>
    </row>
    <row r="637" spans="9:9" ht="13">
      <c r="I637" s="10"/>
    </row>
    <row r="638" spans="9:9" ht="13">
      <c r="I638" s="10"/>
    </row>
    <row r="639" spans="9:9" ht="13">
      <c r="I639" s="10"/>
    </row>
    <row r="640" spans="9:9" ht="13">
      <c r="I640" s="10"/>
    </row>
    <row r="641" spans="9:9" ht="13">
      <c r="I641" s="10"/>
    </row>
    <row r="642" spans="9:9" ht="13">
      <c r="I642" s="10"/>
    </row>
    <row r="643" spans="9:9" ht="13">
      <c r="I643" s="10"/>
    </row>
    <row r="644" spans="9:9" ht="13">
      <c r="I644" s="10"/>
    </row>
    <row r="645" spans="9:9" ht="13">
      <c r="I645" s="10"/>
    </row>
    <row r="646" spans="9:9" ht="13">
      <c r="I646" s="10"/>
    </row>
    <row r="647" spans="9:9" ht="13">
      <c r="I647" s="10"/>
    </row>
    <row r="648" spans="9:9" ht="13">
      <c r="I648" s="10"/>
    </row>
    <row r="649" spans="9:9" ht="13">
      <c r="I649" s="10"/>
    </row>
    <row r="650" spans="9:9" ht="13">
      <c r="I650" s="10"/>
    </row>
    <row r="651" spans="9:9" ht="13">
      <c r="I651" s="10"/>
    </row>
    <row r="652" spans="9:9" ht="13">
      <c r="I652" s="10"/>
    </row>
    <row r="653" spans="9:9" ht="13">
      <c r="I653" s="10"/>
    </row>
    <row r="654" spans="9:9" ht="13">
      <c r="I654" s="10"/>
    </row>
    <row r="655" spans="9:9" ht="13">
      <c r="I655" s="10"/>
    </row>
    <row r="656" spans="9:9" ht="13">
      <c r="I656" s="10"/>
    </row>
    <row r="657" spans="9:9" ht="13">
      <c r="I657" s="10"/>
    </row>
    <row r="658" spans="9:9" ht="13">
      <c r="I658" s="10"/>
    </row>
    <row r="659" spans="9:9" ht="13">
      <c r="I659" s="10"/>
    </row>
    <row r="660" spans="9:9" ht="13">
      <c r="I660" s="10"/>
    </row>
    <row r="661" spans="9:9" ht="13">
      <c r="I661" s="10"/>
    </row>
    <row r="662" spans="9:9" ht="13">
      <c r="I662" s="10"/>
    </row>
    <row r="663" spans="9:9" ht="13">
      <c r="I663" s="10"/>
    </row>
    <row r="664" spans="9:9" ht="13">
      <c r="I664" s="10"/>
    </row>
    <row r="665" spans="9:9" ht="13">
      <c r="I665" s="10"/>
    </row>
    <row r="666" spans="9:9" ht="13">
      <c r="I666" s="10"/>
    </row>
    <row r="667" spans="9:9" ht="13">
      <c r="I667" s="10"/>
    </row>
    <row r="668" spans="9:9" ht="13">
      <c r="I668" s="10"/>
    </row>
    <row r="669" spans="9:9" ht="13">
      <c r="I669" s="10"/>
    </row>
    <row r="670" spans="9:9" ht="13">
      <c r="I670" s="10"/>
    </row>
    <row r="671" spans="9:9" ht="13">
      <c r="I671" s="10"/>
    </row>
    <row r="672" spans="9:9" ht="13">
      <c r="I672" s="10"/>
    </row>
    <row r="673" spans="9:9" ht="13">
      <c r="I673" s="10"/>
    </row>
    <row r="674" spans="9:9" ht="13">
      <c r="I674" s="10"/>
    </row>
    <row r="675" spans="9:9" ht="13">
      <c r="I675" s="10"/>
    </row>
    <row r="676" spans="9:9" ht="13">
      <c r="I676" s="10"/>
    </row>
    <row r="677" spans="9:9" ht="13">
      <c r="I677" s="10"/>
    </row>
    <row r="678" spans="9:9" ht="13">
      <c r="I678" s="10"/>
    </row>
    <row r="679" spans="9:9" ht="13">
      <c r="I679" s="10"/>
    </row>
    <row r="680" spans="9:9" ht="13">
      <c r="I680" s="10"/>
    </row>
    <row r="681" spans="9:9" ht="13">
      <c r="I681" s="10"/>
    </row>
    <row r="682" spans="9:9" ht="13">
      <c r="I682" s="10"/>
    </row>
    <row r="683" spans="9:9" ht="13">
      <c r="I683" s="10"/>
    </row>
    <row r="684" spans="9:9" ht="13">
      <c r="I684" s="10"/>
    </row>
    <row r="685" spans="9:9" ht="13">
      <c r="I685" s="10"/>
    </row>
    <row r="686" spans="9:9" ht="13">
      <c r="I686" s="10"/>
    </row>
    <row r="687" spans="9:9" ht="13">
      <c r="I687" s="10"/>
    </row>
    <row r="688" spans="9:9" ht="13">
      <c r="I688" s="10"/>
    </row>
    <row r="689" spans="9:9" ht="13">
      <c r="I689" s="10"/>
    </row>
    <row r="690" spans="9:9" ht="13">
      <c r="I690" s="10"/>
    </row>
    <row r="691" spans="9:9" ht="13">
      <c r="I691" s="10"/>
    </row>
    <row r="692" spans="9:9" ht="13">
      <c r="I692" s="10"/>
    </row>
    <row r="693" spans="9:9" ht="13">
      <c r="I693" s="10"/>
    </row>
    <row r="694" spans="9:9" ht="13">
      <c r="I694" s="10"/>
    </row>
    <row r="695" spans="9:9" ht="13">
      <c r="I695" s="10"/>
    </row>
    <row r="696" spans="9:9" ht="13">
      <c r="I696" s="10"/>
    </row>
    <row r="697" spans="9:9" ht="13">
      <c r="I697" s="10"/>
    </row>
    <row r="698" spans="9:9" ht="13">
      <c r="I698" s="10"/>
    </row>
    <row r="699" spans="9:9" ht="13">
      <c r="I699" s="10"/>
    </row>
    <row r="700" spans="9:9" ht="13">
      <c r="I700" s="10"/>
    </row>
    <row r="701" spans="9:9" ht="13">
      <c r="I701" s="10"/>
    </row>
    <row r="702" spans="9:9" ht="13">
      <c r="I702" s="10"/>
    </row>
    <row r="703" spans="9:9" ht="13">
      <c r="I703" s="10"/>
    </row>
    <row r="704" spans="9:9" ht="13">
      <c r="I704" s="10"/>
    </row>
    <row r="705" spans="9:9" ht="13">
      <c r="I705" s="10"/>
    </row>
    <row r="706" spans="9:9" ht="13">
      <c r="I706" s="10"/>
    </row>
    <row r="707" spans="9:9" ht="13">
      <c r="I707" s="10"/>
    </row>
    <row r="708" spans="9:9" ht="13">
      <c r="I708" s="10"/>
    </row>
    <row r="709" spans="9:9" ht="13">
      <c r="I709" s="10"/>
    </row>
    <row r="710" spans="9:9" ht="13">
      <c r="I710" s="10"/>
    </row>
    <row r="711" spans="9:9" ht="13">
      <c r="I711" s="10"/>
    </row>
    <row r="712" spans="9:9" ht="13">
      <c r="I712" s="10"/>
    </row>
    <row r="713" spans="9:9" ht="13">
      <c r="I713" s="10"/>
    </row>
    <row r="714" spans="9:9" ht="13">
      <c r="I714" s="10"/>
    </row>
    <row r="715" spans="9:9" ht="13">
      <c r="I715" s="10"/>
    </row>
    <row r="716" spans="9:9" ht="13">
      <c r="I716" s="10"/>
    </row>
    <row r="717" spans="9:9" ht="13">
      <c r="I717" s="10"/>
    </row>
    <row r="718" spans="9:9" ht="13">
      <c r="I718" s="10"/>
    </row>
    <row r="719" spans="9:9" ht="13">
      <c r="I719" s="10"/>
    </row>
    <row r="720" spans="9:9" ht="13">
      <c r="I720" s="10"/>
    </row>
    <row r="721" spans="9:9" ht="13">
      <c r="I721" s="10"/>
    </row>
    <row r="722" spans="9:9" ht="13">
      <c r="I722" s="10"/>
    </row>
    <row r="723" spans="9:9" ht="13">
      <c r="I723" s="10"/>
    </row>
    <row r="724" spans="9:9" ht="13">
      <c r="I724" s="10"/>
    </row>
    <row r="725" spans="9:9" ht="13">
      <c r="I725" s="10"/>
    </row>
    <row r="726" spans="9:9" ht="13">
      <c r="I726" s="10"/>
    </row>
    <row r="727" spans="9:9" ht="13">
      <c r="I727" s="10"/>
    </row>
    <row r="728" spans="9:9" ht="13">
      <c r="I728" s="10"/>
    </row>
    <row r="729" spans="9:9" ht="13">
      <c r="I729" s="10"/>
    </row>
    <row r="730" spans="9:9" ht="13">
      <c r="I730" s="10"/>
    </row>
    <row r="731" spans="9:9" ht="13">
      <c r="I731" s="10"/>
    </row>
    <row r="732" spans="9:9" ht="13">
      <c r="I732" s="10"/>
    </row>
    <row r="733" spans="9:9" ht="13">
      <c r="I733" s="10"/>
    </row>
    <row r="734" spans="9:9" ht="13">
      <c r="I734" s="10"/>
    </row>
    <row r="735" spans="9:9" ht="13">
      <c r="I735" s="10"/>
    </row>
    <row r="736" spans="9:9" ht="13">
      <c r="I736" s="10"/>
    </row>
    <row r="737" spans="9:9" ht="13">
      <c r="I737" s="10"/>
    </row>
    <row r="738" spans="9:9" ht="13">
      <c r="I738" s="10"/>
    </row>
    <row r="739" spans="9:9" ht="13">
      <c r="I739" s="10"/>
    </row>
    <row r="740" spans="9:9" ht="13">
      <c r="I740" s="10"/>
    </row>
    <row r="741" spans="9:9" ht="13">
      <c r="I741" s="10"/>
    </row>
    <row r="742" spans="9:9" ht="13">
      <c r="I742" s="10"/>
    </row>
    <row r="743" spans="9:9" ht="13">
      <c r="I743" s="10"/>
    </row>
    <row r="744" spans="9:9" ht="13">
      <c r="I744" s="10"/>
    </row>
    <row r="745" spans="9:9" ht="13">
      <c r="I745" s="10"/>
    </row>
    <row r="746" spans="9:9" ht="13">
      <c r="I746" s="10"/>
    </row>
    <row r="747" spans="9:9" ht="13">
      <c r="I747" s="10"/>
    </row>
    <row r="748" spans="9:9" ht="13">
      <c r="I748" s="10"/>
    </row>
    <row r="749" spans="9:9" ht="13">
      <c r="I749" s="10"/>
    </row>
    <row r="750" spans="9:9" ht="13">
      <c r="I750" s="10"/>
    </row>
    <row r="751" spans="9:9" ht="13">
      <c r="I751" s="10"/>
    </row>
    <row r="752" spans="9:9" ht="13">
      <c r="I752" s="10"/>
    </row>
    <row r="753" spans="9:9" ht="13">
      <c r="I753" s="10"/>
    </row>
    <row r="754" spans="9:9" ht="13">
      <c r="I754" s="10"/>
    </row>
    <row r="755" spans="9:9" ht="13">
      <c r="I755" s="10"/>
    </row>
    <row r="756" spans="9:9" ht="13">
      <c r="I756" s="10"/>
    </row>
    <row r="757" spans="9:9" ht="13">
      <c r="I757" s="10"/>
    </row>
    <row r="758" spans="9:9" ht="13">
      <c r="I758" s="10"/>
    </row>
    <row r="759" spans="9:9" ht="13">
      <c r="I759" s="10"/>
    </row>
    <row r="760" spans="9:9" ht="13">
      <c r="I760" s="10"/>
    </row>
    <row r="761" spans="9:9" ht="13">
      <c r="I761" s="10"/>
    </row>
    <row r="762" spans="9:9" ht="13">
      <c r="I762" s="10"/>
    </row>
    <row r="763" spans="9:9" ht="13">
      <c r="I763" s="10"/>
    </row>
    <row r="764" spans="9:9" ht="13">
      <c r="I764" s="10"/>
    </row>
    <row r="765" spans="9:9" ht="13">
      <c r="I765" s="10"/>
    </row>
    <row r="766" spans="9:9" ht="13">
      <c r="I766" s="10"/>
    </row>
    <row r="767" spans="9:9" ht="13">
      <c r="I767" s="10"/>
    </row>
    <row r="768" spans="9:9" ht="13">
      <c r="I768" s="10"/>
    </row>
    <row r="769" spans="9:9" ht="13">
      <c r="I769" s="10"/>
    </row>
    <row r="770" spans="9:9" ht="13">
      <c r="I770" s="10"/>
    </row>
    <row r="771" spans="9:9" ht="13">
      <c r="I771" s="10"/>
    </row>
    <row r="772" spans="9:9" ht="13">
      <c r="I772" s="10"/>
    </row>
    <row r="773" spans="9:9" ht="13">
      <c r="I773" s="10"/>
    </row>
    <row r="774" spans="9:9" ht="13">
      <c r="I774" s="10"/>
    </row>
    <row r="775" spans="9:9" ht="13">
      <c r="I775" s="10"/>
    </row>
    <row r="776" spans="9:9" ht="13">
      <c r="I776" s="10"/>
    </row>
    <row r="777" spans="9:9" ht="13">
      <c r="I777" s="10"/>
    </row>
    <row r="778" spans="9:9" ht="13">
      <c r="I778" s="10"/>
    </row>
    <row r="779" spans="9:9" ht="13">
      <c r="I779" s="10"/>
    </row>
    <row r="780" spans="9:9" ht="13">
      <c r="I780" s="10"/>
    </row>
    <row r="781" spans="9:9" ht="13">
      <c r="I781" s="10"/>
    </row>
    <row r="782" spans="9:9" ht="13">
      <c r="I782" s="10"/>
    </row>
    <row r="783" spans="9:9" ht="13">
      <c r="I783" s="10"/>
    </row>
    <row r="784" spans="9:9" ht="13">
      <c r="I784" s="10"/>
    </row>
    <row r="785" spans="9:9" ht="13">
      <c r="I785" s="10"/>
    </row>
    <row r="786" spans="9:9" ht="13">
      <c r="I786" s="10"/>
    </row>
    <row r="787" spans="9:9" ht="13">
      <c r="I787" s="10"/>
    </row>
    <row r="788" spans="9:9" ht="13">
      <c r="I788" s="10"/>
    </row>
    <row r="789" spans="9:9" ht="13">
      <c r="I789" s="10"/>
    </row>
    <row r="790" spans="9:9" ht="13">
      <c r="I790" s="10"/>
    </row>
    <row r="791" spans="9:9" ht="13">
      <c r="I791" s="10"/>
    </row>
    <row r="792" spans="9:9" ht="13">
      <c r="I792" s="10"/>
    </row>
    <row r="793" spans="9:9" ht="13">
      <c r="I793" s="10"/>
    </row>
    <row r="794" spans="9:9" ht="13">
      <c r="I794" s="10"/>
    </row>
    <row r="795" spans="9:9" ht="13">
      <c r="I795" s="10"/>
    </row>
    <row r="796" spans="9:9" ht="13">
      <c r="I796" s="10"/>
    </row>
    <row r="797" spans="9:9" ht="13">
      <c r="I797" s="10"/>
    </row>
    <row r="798" spans="9:9" ht="13">
      <c r="I798" s="10"/>
    </row>
    <row r="799" spans="9:9" ht="13">
      <c r="I799" s="10"/>
    </row>
    <row r="800" spans="9:9" ht="13">
      <c r="I800" s="10"/>
    </row>
    <row r="801" spans="9:9" ht="13">
      <c r="I801" s="10"/>
    </row>
    <row r="802" spans="9:9" ht="13">
      <c r="I802" s="10"/>
    </row>
    <row r="803" spans="9:9" ht="13">
      <c r="I803" s="10"/>
    </row>
    <row r="804" spans="9:9" ht="13">
      <c r="I804" s="10"/>
    </row>
    <row r="805" spans="9:9" ht="13">
      <c r="I805" s="10"/>
    </row>
    <row r="806" spans="9:9" ht="13">
      <c r="I806" s="10"/>
    </row>
    <row r="807" spans="9:9" ht="13">
      <c r="I807" s="10"/>
    </row>
    <row r="808" spans="9:9" ht="13">
      <c r="I808" s="10"/>
    </row>
    <row r="809" spans="9:9" ht="13">
      <c r="I809" s="10"/>
    </row>
    <row r="810" spans="9:9" ht="13">
      <c r="I810" s="10"/>
    </row>
    <row r="811" spans="9:9" ht="13">
      <c r="I811" s="10"/>
    </row>
    <row r="812" spans="9:9" ht="13">
      <c r="I812" s="10"/>
    </row>
    <row r="813" spans="9:9" ht="13">
      <c r="I813" s="10"/>
    </row>
    <row r="814" spans="9:9" ht="13">
      <c r="I814" s="10"/>
    </row>
    <row r="815" spans="9:9" ht="13">
      <c r="I815" s="10"/>
    </row>
    <row r="816" spans="9:9" ht="13">
      <c r="I816" s="10"/>
    </row>
    <row r="817" spans="9:9" ht="13">
      <c r="I817" s="10"/>
    </row>
    <row r="818" spans="9:9" ht="13">
      <c r="I818" s="10"/>
    </row>
    <row r="819" spans="9:9" ht="13">
      <c r="I819" s="10"/>
    </row>
    <row r="820" spans="9:9" ht="13">
      <c r="I820" s="10"/>
    </row>
    <row r="821" spans="9:9" ht="13">
      <c r="I821" s="10"/>
    </row>
    <row r="822" spans="9:9" ht="13">
      <c r="I822" s="10"/>
    </row>
    <row r="823" spans="9:9" ht="13">
      <c r="I823" s="10"/>
    </row>
    <row r="824" spans="9:9" ht="13">
      <c r="I824" s="10"/>
    </row>
    <row r="825" spans="9:9" ht="13">
      <c r="I825" s="10"/>
    </row>
    <row r="826" spans="9:9" ht="13">
      <c r="I826" s="10"/>
    </row>
    <row r="827" spans="9:9" ht="13">
      <c r="I827" s="10"/>
    </row>
    <row r="828" spans="9:9" ht="13">
      <c r="I828" s="10"/>
    </row>
    <row r="829" spans="9:9" ht="13">
      <c r="I829" s="10"/>
    </row>
    <row r="830" spans="9:9" ht="13">
      <c r="I830" s="10"/>
    </row>
    <row r="831" spans="9:9" ht="13">
      <c r="I831" s="10"/>
    </row>
    <row r="832" spans="9:9" ht="13">
      <c r="I832" s="10"/>
    </row>
    <row r="833" spans="9:9" ht="13">
      <c r="I833" s="10"/>
    </row>
    <row r="834" spans="9:9" ht="13">
      <c r="I834" s="10"/>
    </row>
    <row r="835" spans="9:9" ht="13">
      <c r="I835" s="10"/>
    </row>
    <row r="836" spans="9:9" ht="13">
      <c r="I836" s="10"/>
    </row>
    <row r="837" spans="9:9" ht="13">
      <c r="I837" s="10"/>
    </row>
    <row r="838" spans="9:9" ht="13">
      <c r="I838" s="10"/>
    </row>
    <row r="839" spans="9:9" ht="13">
      <c r="I839" s="10"/>
    </row>
    <row r="840" spans="9:9" ht="13">
      <c r="I840" s="10"/>
    </row>
    <row r="841" spans="9:9" ht="13">
      <c r="I841" s="10"/>
    </row>
    <row r="842" spans="9:9" ht="13">
      <c r="I842" s="10"/>
    </row>
    <row r="843" spans="9:9" ht="13">
      <c r="I843" s="10"/>
    </row>
    <row r="844" spans="9:9" ht="13">
      <c r="I844" s="10"/>
    </row>
    <row r="845" spans="9:9" ht="13">
      <c r="I845" s="10"/>
    </row>
    <row r="846" spans="9:9" ht="13">
      <c r="I846" s="10"/>
    </row>
    <row r="847" spans="9:9" ht="13">
      <c r="I847" s="10"/>
    </row>
    <row r="848" spans="9:9" ht="13">
      <c r="I848" s="10"/>
    </row>
    <row r="849" spans="9:9" ht="13">
      <c r="I849" s="10"/>
    </row>
    <row r="850" spans="9:9" ht="13">
      <c r="I850" s="10"/>
    </row>
    <row r="851" spans="9:9" ht="13">
      <c r="I851" s="10"/>
    </row>
    <row r="852" spans="9:9" ht="13">
      <c r="I852" s="10"/>
    </row>
    <row r="853" spans="9:9" ht="13">
      <c r="I853" s="10"/>
    </row>
    <row r="854" spans="9:9" ht="13">
      <c r="I854" s="10"/>
    </row>
    <row r="855" spans="9:9" ht="13">
      <c r="I855" s="10"/>
    </row>
    <row r="856" spans="9:9" ht="13">
      <c r="I856" s="10"/>
    </row>
    <row r="857" spans="9:9" ht="13">
      <c r="I857" s="10"/>
    </row>
    <row r="858" spans="9:9" ht="13">
      <c r="I858" s="10"/>
    </row>
    <row r="859" spans="9:9" ht="13">
      <c r="I859" s="10"/>
    </row>
    <row r="860" spans="9:9" ht="13">
      <c r="I860" s="10"/>
    </row>
    <row r="861" spans="9:9" ht="13">
      <c r="I861" s="10"/>
    </row>
    <row r="862" spans="9:9" ht="13">
      <c r="I862" s="10"/>
    </row>
    <row r="863" spans="9:9" ht="13">
      <c r="I863" s="10"/>
    </row>
    <row r="864" spans="9:9" ht="13">
      <c r="I864" s="10"/>
    </row>
    <row r="865" spans="9:9" ht="13">
      <c r="I865" s="10"/>
    </row>
    <row r="866" spans="9:9" ht="13">
      <c r="I866" s="10"/>
    </row>
    <row r="867" spans="9:9" ht="13">
      <c r="I867" s="10"/>
    </row>
    <row r="868" spans="9:9" ht="13">
      <c r="I868" s="10"/>
    </row>
    <row r="869" spans="9:9" ht="13">
      <c r="I869" s="10"/>
    </row>
    <row r="870" spans="9:9" ht="13">
      <c r="I870" s="10"/>
    </row>
    <row r="871" spans="9:9" ht="13">
      <c r="I871" s="10"/>
    </row>
    <row r="872" spans="9:9" ht="13">
      <c r="I872" s="10"/>
    </row>
    <row r="873" spans="9:9" ht="13">
      <c r="I873" s="10"/>
    </row>
    <row r="874" spans="9:9" ht="13">
      <c r="I874" s="10"/>
    </row>
    <row r="875" spans="9:9" ht="13">
      <c r="I875" s="10"/>
    </row>
    <row r="876" spans="9:9" ht="13">
      <c r="I876" s="10"/>
    </row>
    <row r="877" spans="9:9" ht="13">
      <c r="I877" s="10"/>
    </row>
    <row r="878" spans="9:9" ht="13">
      <c r="I878" s="10"/>
    </row>
    <row r="879" spans="9:9" ht="13">
      <c r="I879" s="10"/>
    </row>
    <row r="880" spans="9:9" ht="13">
      <c r="I880" s="10"/>
    </row>
    <row r="881" spans="9:9" ht="13">
      <c r="I881" s="10"/>
    </row>
    <row r="882" spans="9:9" ht="13">
      <c r="I882" s="10"/>
    </row>
    <row r="883" spans="9:9" ht="13">
      <c r="I883" s="10"/>
    </row>
    <row r="884" spans="9:9" ht="13">
      <c r="I884" s="10"/>
    </row>
    <row r="885" spans="9:9" ht="13">
      <c r="I885" s="10"/>
    </row>
    <row r="886" spans="9:9" ht="13">
      <c r="I886" s="10"/>
    </row>
    <row r="887" spans="9:9" ht="13">
      <c r="I887" s="10"/>
    </row>
    <row r="888" spans="9:9" ht="13">
      <c r="I888" s="10"/>
    </row>
    <row r="889" spans="9:9" ht="13">
      <c r="I889" s="10"/>
    </row>
    <row r="890" spans="9:9" ht="13">
      <c r="I890" s="10"/>
    </row>
    <row r="891" spans="9:9" ht="13">
      <c r="I891" s="10"/>
    </row>
    <row r="892" spans="9:9" ht="13">
      <c r="I892" s="10"/>
    </row>
    <row r="893" spans="9:9" ht="13">
      <c r="I893" s="10"/>
    </row>
    <row r="894" spans="9:9" ht="13">
      <c r="I894" s="10"/>
    </row>
    <row r="895" spans="9:9" ht="13">
      <c r="I895" s="10"/>
    </row>
    <row r="896" spans="9:9" ht="13">
      <c r="I896" s="10"/>
    </row>
    <row r="897" spans="9:9" ht="13">
      <c r="I897" s="10"/>
    </row>
    <row r="898" spans="9:9" ht="13">
      <c r="I898" s="10"/>
    </row>
    <row r="899" spans="9:9" ht="13">
      <c r="I899" s="10"/>
    </row>
    <row r="900" spans="9:9" ht="13">
      <c r="I900" s="10"/>
    </row>
    <row r="901" spans="9:9" ht="13">
      <c r="I901" s="10"/>
    </row>
    <row r="902" spans="9:9" ht="13">
      <c r="I902" s="10"/>
    </row>
    <row r="903" spans="9:9" ht="13">
      <c r="I903" s="10"/>
    </row>
    <row r="904" spans="9:9" ht="13">
      <c r="I904" s="10"/>
    </row>
    <row r="905" spans="9:9" ht="13">
      <c r="I905" s="10"/>
    </row>
    <row r="906" spans="9:9" ht="13">
      <c r="I906" s="10"/>
    </row>
    <row r="907" spans="9:9" ht="13">
      <c r="I907" s="10"/>
    </row>
    <row r="908" spans="9:9" ht="13">
      <c r="I908" s="10"/>
    </row>
    <row r="909" spans="9:9" ht="13">
      <c r="I909" s="10"/>
    </row>
    <row r="910" spans="9:9" ht="13">
      <c r="I910" s="10"/>
    </row>
    <row r="911" spans="9:9" ht="13">
      <c r="I911" s="10"/>
    </row>
    <row r="912" spans="9:9" ht="13">
      <c r="I912" s="10"/>
    </row>
    <row r="913" spans="9:9" ht="13">
      <c r="I913" s="10"/>
    </row>
    <row r="914" spans="9:9" ht="13">
      <c r="I914" s="10"/>
    </row>
    <row r="915" spans="9:9" ht="13">
      <c r="I915" s="10"/>
    </row>
    <row r="916" spans="9:9" ht="13">
      <c r="I916" s="10"/>
    </row>
    <row r="917" spans="9:9" ht="13">
      <c r="I917" s="10"/>
    </row>
    <row r="918" spans="9:9" ht="13">
      <c r="I918" s="10"/>
    </row>
    <row r="919" spans="9:9" ht="13">
      <c r="I919" s="10"/>
    </row>
    <row r="920" spans="9:9" ht="13">
      <c r="I920" s="10"/>
    </row>
    <row r="921" spans="9:9" ht="13">
      <c r="I921" s="10"/>
    </row>
    <row r="922" spans="9:9" ht="13">
      <c r="I922" s="10"/>
    </row>
    <row r="923" spans="9:9" ht="13">
      <c r="I923" s="10"/>
    </row>
    <row r="924" spans="9:9" ht="13">
      <c r="I924" s="10"/>
    </row>
    <row r="925" spans="9:9" ht="13">
      <c r="I925" s="10"/>
    </row>
    <row r="926" spans="9:9" ht="13">
      <c r="I926" s="10"/>
    </row>
    <row r="927" spans="9:9" ht="13">
      <c r="I927" s="10"/>
    </row>
    <row r="928" spans="9:9" ht="13">
      <c r="I928" s="10"/>
    </row>
    <row r="929" spans="9:9" ht="13">
      <c r="I929" s="10"/>
    </row>
    <row r="930" spans="9:9" ht="13">
      <c r="I930" s="10"/>
    </row>
    <row r="931" spans="9:9" ht="13">
      <c r="I931" s="10"/>
    </row>
    <row r="932" spans="9:9" ht="13">
      <c r="I932" s="10"/>
    </row>
    <row r="933" spans="9:9" ht="13">
      <c r="I933" s="10"/>
    </row>
    <row r="934" spans="9:9" ht="13">
      <c r="I934" s="10"/>
    </row>
    <row r="935" spans="9:9" ht="13">
      <c r="I935" s="10"/>
    </row>
  </sheetData>
  <mergeCells count="3">
    <mergeCell ref="A3:L3"/>
    <mergeCell ref="A4:L4"/>
    <mergeCell ref="A82:L82"/>
  </mergeCells>
  <conditionalFormatting sqref="C5">
    <cfRule type="notContainsBlanks" dxfId="20" priority="7">
      <formula>LEN(TRIM(C5))&gt;0</formula>
    </cfRule>
  </conditionalFormatting>
  <conditionalFormatting sqref="D5">
    <cfRule type="notContainsBlanks" dxfId="19" priority="6">
      <formula>LEN(TRIM(D5))&gt;0</formula>
    </cfRule>
  </conditionalFormatting>
  <conditionalFormatting sqref="E5">
    <cfRule type="notContainsBlanks" dxfId="18" priority="5">
      <formula>LEN(TRIM(E5))&gt;0</formula>
    </cfRule>
  </conditionalFormatting>
  <conditionalFormatting sqref="F5">
    <cfRule type="notContainsBlanks" dxfId="17" priority="4">
      <formula>LEN(TRIM(F5))&gt;0</formula>
    </cfRule>
  </conditionalFormatting>
  <conditionalFormatting sqref="G5">
    <cfRule type="notContainsBlanks" dxfId="16" priority="3">
      <formula>LEN(TRIM(G5))&gt;0</formula>
    </cfRule>
  </conditionalFormatting>
  <conditionalFormatting sqref="I5">
    <cfRule type="notContainsBlanks" dxfId="15" priority="2">
      <formula>LEN(TRIM(I5))&gt;0</formula>
    </cfRule>
  </conditionalFormatting>
  <conditionalFormatting sqref="K5">
    <cfRule type="notContainsBlanks" dxfId="14" priority="1">
      <formula>LEN(TRIM(K5))&gt;0</formula>
    </cfRule>
  </conditionalFormatting>
  <hyperlinks>
    <hyperlink ref="A6" r:id="rId1" xr:uid="{00000000-0004-0000-0900-000000000000}"/>
    <hyperlink ref="A7" r:id="rId2" xr:uid="{00000000-0004-0000-0900-000001000000}"/>
    <hyperlink ref="A8" r:id="rId3" xr:uid="{00000000-0004-0000-0900-000002000000}"/>
    <hyperlink ref="A9" r:id="rId4" xr:uid="{00000000-0004-0000-0900-000003000000}"/>
    <hyperlink ref="A10" r:id="rId5" xr:uid="{00000000-0004-0000-0900-000004000000}"/>
    <hyperlink ref="A11" r:id="rId6" location="Bernard_Mascarenhas_Power_Plant" xr:uid="{00000000-0004-0000-0900-000005000000}"/>
    <hyperlink ref="A12" r:id="rId7" xr:uid="{00000000-0004-0000-0900-000006000000}"/>
    <hyperlink ref="A13" r:id="rId8" xr:uid="{00000000-0004-0000-0900-000007000000}"/>
    <hyperlink ref="A14" r:id="rId9" xr:uid="{00000000-0004-0000-0900-000008000000}"/>
    <hyperlink ref="A15" r:id="rId10" xr:uid="{00000000-0004-0000-0900-000009000000}"/>
    <hyperlink ref="A16" r:id="rId11" location="Emborca%C3%A7%C3%A3o_Hydroelectric_Power_Plant" xr:uid="{00000000-0004-0000-0900-00000A000000}"/>
    <hyperlink ref="A17" r:id="rId12" location="Power_station" xr:uid="{00000000-0004-0000-0900-00000B000000}"/>
    <hyperlink ref="A18" r:id="rId13" xr:uid="{00000000-0004-0000-0900-00000C000000}"/>
    <hyperlink ref="A19" r:id="rId14" xr:uid="{00000000-0004-0000-0900-00000D000000}"/>
    <hyperlink ref="A20" r:id="rId15" xr:uid="{00000000-0004-0000-0900-00000E000000}"/>
    <hyperlink ref="A21" r:id="rId16" xr:uid="{00000000-0004-0000-0900-00000F000000}"/>
    <hyperlink ref="A22" r:id="rId17" location="Itumbiara_Hydroelectric_Power_Plant" xr:uid="{00000000-0004-0000-0900-000010000000}"/>
    <hyperlink ref="A23" r:id="rId18" xr:uid="{00000000-0004-0000-0900-000011000000}"/>
    <hyperlink ref="A24" r:id="rId19" xr:uid="{00000000-0004-0000-0900-000012000000}"/>
    <hyperlink ref="A25" r:id="rId20" xr:uid="{00000000-0004-0000-0900-000013000000}"/>
    <hyperlink ref="A26" r:id="rId21" location="Juscelino_Kubitschek_Power_Plant" xr:uid="{00000000-0004-0000-0900-000014000000}"/>
    <hyperlink ref="A27" r:id="rId22" xr:uid="{00000000-0004-0000-0900-000015000000}"/>
    <hyperlink ref="A28" r:id="rId23" location="Power_plant" xr:uid="{00000000-0004-0000-0900-000016000000}"/>
    <hyperlink ref="A29" r:id="rId24" xr:uid="{00000000-0004-0000-0900-000017000000}"/>
    <hyperlink ref="A30" r:id="rId25" location="Marimbondo_Hydroelectric_Power_Plant" xr:uid="{00000000-0004-0000-0900-000018000000}"/>
    <hyperlink ref="A31" r:id="rId26" xr:uid="{00000000-0004-0000-0900-000019000000}"/>
    <hyperlink ref="A32" r:id="rId27" xr:uid="{00000000-0004-0000-0900-00001A000000}"/>
    <hyperlink ref="A33" r:id="rId28" xr:uid="{00000000-0004-0000-0900-00001B000000}"/>
    <hyperlink ref="A34" r:id="rId29" xr:uid="{00000000-0004-0000-0900-00001C000000}"/>
    <hyperlink ref="A35" r:id="rId30" xr:uid="{00000000-0004-0000-0900-00001D000000}"/>
    <hyperlink ref="A36" r:id="rId31" xr:uid="{00000000-0004-0000-0900-00001E000000}"/>
    <hyperlink ref="A37" r:id="rId32" xr:uid="{00000000-0004-0000-0900-00001F000000}"/>
    <hyperlink ref="A38" r:id="rId33" xr:uid="{00000000-0004-0000-0900-000020000000}"/>
    <hyperlink ref="A39" r:id="rId34" location="Serra_da_Mesa_Hydroelectric_Power_Station" xr:uid="{00000000-0004-0000-0900-000021000000}"/>
    <hyperlink ref="A40" r:id="rId35" xr:uid="{00000000-0004-0000-0900-000022000000}"/>
    <hyperlink ref="A41" r:id="rId36" xr:uid="{00000000-0004-0000-0900-000023000000}"/>
    <hyperlink ref="A42" r:id="rId37" xr:uid="{00000000-0004-0000-0900-000024000000}"/>
    <hyperlink ref="A43" r:id="rId38" xr:uid="{00000000-0004-0000-0900-000025000000}"/>
    <hyperlink ref="A44" r:id="rId39" location="Power_plant" xr:uid="{00000000-0004-0000-0900-000026000000}"/>
    <hyperlink ref="A45" r:id="rId40" xr:uid="{00000000-0004-0000-0900-000027000000}"/>
    <hyperlink ref="A46" r:id="rId41" xr:uid="{00000000-0004-0000-0900-000028000000}"/>
    <hyperlink ref="A47" r:id="rId42" xr:uid="{00000000-0004-0000-0900-000029000000}"/>
    <hyperlink ref="A48" r:id="rId43" xr:uid="{00000000-0004-0000-0900-00002A000000}"/>
    <hyperlink ref="A49" r:id="rId44" xr:uid="{00000000-0004-0000-0900-00002B000000}"/>
    <hyperlink ref="A50" r:id="rId45" xr:uid="{00000000-0004-0000-0900-00002C000000}"/>
    <hyperlink ref="A51" r:id="rId46" xr:uid="{00000000-0004-0000-0900-00002D000000}"/>
    <hyperlink ref="A52" r:id="rId47" xr:uid="{00000000-0004-0000-0900-00002E000000}"/>
    <hyperlink ref="A53" r:id="rId48" xr:uid="{00000000-0004-0000-0900-00002F000000}"/>
    <hyperlink ref="A54" r:id="rId49" xr:uid="{00000000-0004-0000-0900-000030000000}"/>
    <hyperlink ref="A55" r:id="rId50" xr:uid="{00000000-0004-0000-0900-000031000000}"/>
    <hyperlink ref="A56" r:id="rId51" xr:uid="{00000000-0004-0000-0900-000032000000}"/>
    <hyperlink ref="A57" r:id="rId52" xr:uid="{00000000-0004-0000-0900-000033000000}"/>
    <hyperlink ref="A58" r:id="rId53" xr:uid="{00000000-0004-0000-0900-000034000000}"/>
    <hyperlink ref="A59" r:id="rId54" xr:uid="{00000000-0004-0000-0900-000035000000}"/>
    <hyperlink ref="A60" r:id="rId55" xr:uid="{00000000-0004-0000-0900-000036000000}"/>
    <hyperlink ref="A61" r:id="rId56" xr:uid="{00000000-0004-0000-0900-000037000000}"/>
    <hyperlink ref="A62" r:id="rId57" xr:uid="{00000000-0004-0000-0900-000038000000}"/>
    <hyperlink ref="A63" r:id="rId58" xr:uid="{00000000-0004-0000-0900-000039000000}"/>
    <hyperlink ref="A64" r:id="rId59" xr:uid="{00000000-0004-0000-0900-00003A000000}"/>
    <hyperlink ref="A65" r:id="rId60" xr:uid="{00000000-0004-0000-0900-00003B000000}"/>
    <hyperlink ref="A66" r:id="rId61" xr:uid="{00000000-0004-0000-0900-00003C000000}"/>
    <hyperlink ref="A67" r:id="rId62" xr:uid="{00000000-0004-0000-0900-00003D000000}"/>
    <hyperlink ref="A68" r:id="rId63" xr:uid="{00000000-0004-0000-0900-00003E000000}"/>
    <hyperlink ref="A69" r:id="rId64" xr:uid="{00000000-0004-0000-0900-00003F000000}"/>
    <hyperlink ref="A70" r:id="rId65" xr:uid="{00000000-0004-0000-0900-000040000000}"/>
    <hyperlink ref="A71" r:id="rId66" xr:uid="{00000000-0004-0000-0900-000041000000}"/>
    <hyperlink ref="A72" r:id="rId67" xr:uid="{00000000-0004-0000-0900-000042000000}"/>
    <hyperlink ref="A73" r:id="rId68" xr:uid="{00000000-0004-0000-0900-000043000000}"/>
    <hyperlink ref="A74" r:id="rId69" xr:uid="{00000000-0004-0000-0900-000044000000}"/>
    <hyperlink ref="A75" r:id="rId70" xr:uid="{00000000-0004-0000-0900-000045000000}"/>
    <hyperlink ref="A76" r:id="rId71" xr:uid="{00000000-0004-0000-0900-000046000000}"/>
    <hyperlink ref="A77" r:id="rId72" xr:uid="{00000000-0004-0000-0900-000047000000}"/>
    <hyperlink ref="A78" r:id="rId73" xr:uid="{00000000-0004-0000-0900-000048000000}"/>
    <hyperlink ref="A79" r:id="rId74" xr:uid="{00000000-0004-0000-0900-000049000000}"/>
    <hyperlink ref="A80" r:id="rId75" xr:uid="{00000000-0004-0000-0900-00004A000000}"/>
    <hyperlink ref="A81" r:id="rId76" xr:uid="{00000000-0004-0000-0900-00004B000000}"/>
  </hyperlink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P831"/>
  <sheetViews>
    <sheetView workbookViewId="0">
      <selection activeCell="A112" sqref="A112:M112"/>
    </sheetView>
  </sheetViews>
  <sheetFormatPr baseColWidth="10" defaultColWidth="12.6640625" defaultRowHeight="15.75" customHeight="1" outlineLevelRow="1"/>
  <cols>
    <col min="1" max="1" width="44.83203125" customWidth="1"/>
    <col min="4" max="4" width="13.33203125" customWidth="1"/>
    <col min="5" max="5" width="14.1640625" customWidth="1"/>
    <col min="6" max="6" width="14.5" customWidth="1"/>
    <col min="7" max="7" width="13.33203125" customWidth="1"/>
    <col min="8" max="8" width="10.83203125" customWidth="1"/>
    <col min="9" max="9" width="18.1640625" customWidth="1"/>
    <col min="10" max="10" width="20.1640625" customWidth="1"/>
    <col min="11" max="11" width="23.33203125" customWidth="1"/>
    <col min="12" max="12" width="24.83203125" customWidth="1"/>
    <col min="13" max="13" width="18.6640625" customWidth="1"/>
    <col min="14" max="14" width="21.6640625" customWidth="1"/>
    <col min="15" max="15" width="17.5" customWidth="1"/>
  </cols>
  <sheetData>
    <row r="1" spans="1:15" ht="13"/>
    <row r="2" spans="1:15" ht="19" outlineLevel="1" thickBot="1">
      <c r="D2" s="120"/>
      <c r="E2" s="37"/>
      <c r="F2" s="37"/>
      <c r="G2" s="31"/>
    </row>
    <row r="3" spans="1:15" ht="19" customHeight="1" outlineLevel="1" thickBot="1">
      <c r="A3" s="312" t="s">
        <v>682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4"/>
    </row>
    <row r="4" spans="1:15" ht="34" customHeight="1" outlineLevel="1" thickBot="1">
      <c r="A4" s="212" t="s">
        <v>683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23"/>
      <c r="N4" s="217"/>
      <c r="O4" s="137"/>
    </row>
    <row r="5" spans="1:15" ht="40" customHeight="1" outlineLevel="1" thickBot="1">
      <c r="A5" s="42" t="s">
        <v>616</v>
      </c>
      <c r="B5" s="42" t="s">
        <v>0</v>
      </c>
      <c r="C5" s="316" t="s">
        <v>631</v>
      </c>
      <c r="D5" s="316" t="s">
        <v>632</v>
      </c>
      <c r="E5" s="317" t="s">
        <v>633</v>
      </c>
      <c r="F5" s="316" t="s">
        <v>634</v>
      </c>
      <c r="G5" s="316" t="s">
        <v>641</v>
      </c>
      <c r="H5" s="318" t="s">
        <v>40</v>
      </c>
      <c r="I5" s="318" t="s">
        <v>636</v>
      </c>
      <c r="J5" s="318" t="s">
        <v>637</v>
      </c>
      <c r="K5" s="318" t="s">
        <v>642</v>
      </c>
      <c r="L5" s="318" t="s">
        <v>643</v>
      </c>
      <c r="M5" s="269" t="s">
        <v>666</v>
      </c>
    </row>
    <row r="6" spans="1:15" ht="13" outlineLevel="1">
      <c r="A6" s="56" t="s">
        <v>358</v>
      </c>
      <c r="B6" s="343" t="s">
        <v>7</v>
      </c>
      <c r="C6" s="184">
        <v>301.8</v>
      </c>
      <c r="D6" s="184">
        <v>440.2</v>
      </c>
      <c r="E6" s="88">
        <f>D6/(C6*8765.81277)*1000</f>
        <v>0.16639436416797382</v>
      </c>
      <c r="F6" s="184">
        <v>1160</v>
      </c>
      <c r="G6" s="184">
        <v>2540</v>
      </c>
      <c r="H6" s="184"/>
      <c r="I6" s="184">
        <f>C6*E6/F6</f>
        <v>4.3291223367150432E-2</v>
      </c>
      <c r="J6" s="309">
        <f>D6*10^(-3)/(F6)</f>
        <v>3.7948275862068965E-4</v>
      </c>
      <c r="K6" s="284">
        <f>C6*E6/G6</f>
        <v>1.9770794923580512E-2</v>
      </c>
      <c r="L6" s="108">
        <f>D6*10^(-3)/(G6)</f>
        <v>1.7330708661417323E-4</v>
      </c>
      <c r="M6" s="96">
        <f>I6/K6</f>
        <v>2.1896551724137931</v>
      </c>
    </row>
    <row r="7" spans="1:15" ht="13" outlineLevel="1">
      <c r="A7" s="57" t="s">
        <v>359</v>
      </c>
      <c r="B7" s="340" t="s">
        <v>7</v>
      </c>
      <c r="C7" s="93">
        <v>158</v>
      </c>
      <c r="D7" s="93">
        <v>201</v>
      </c>
      <c r="E7" s="55">
        <f>D7/(C7*8765.81277)*1000</f>
        <v>0.1451265195953047</v>
      </c>
      <c r="F7" s="93">
        <v>22</v>
      </c>
      <c r="G7" s="93">
        <v>1591</v>
      </c>
      <c r="H7" s="93"/>
      <c r="I7" s="93">
        <f t="shared" ref="I7:I70" si="0">C7*E7/F7</f>
        <v>1.042272277093552</v>
      </c>
      <c r="J7" s="91">
        <f>D7*10^(-3)/(F7)</f>
        <v>9.1363636363636369E-3</v>
      </c>
      <c r="K7" s="105">
        <f t="shared" ref="K7:K70" si="1">C7*E7/G7</f>
        <v>1.4412313071061059E-2</v>
      </c>
      <c r="L7" s="106">
        <f>D7*10^(-3)/(G7)</f>
        <v>1.2633563796354494E-4</v>
      </c>
      <c r="M7" s="97">
        <f>I7/K7</f>
        <v>72.318181818181813</v>
      </c>
    </row>
    <row r="8" spans="1:15" ht="13" outlineLevel="1">
      <c r="A8" s="57" t="s">
        <v>360</v>
      </c>
      <c r="B8" s="340" t="s">
        <v>7</v>
      </c>
      <c r="C8" s="93">
        <v>37</v>
      </c>
      <c r="D8" s="93">
        <v>106</v>
      </c>
      <c r="E8" s="55">
        <f>D8/(C8*8765.81277)*1000</f>
        <v>0.32682250237759358</v>
      </c>
      <c r="F8" s="93">
        <v>3.65</v>
      </c>
      <c r="G8" s="93">
        <v>3850</v>
      </c>
      <c r="H8" s="93"/>
      <c r="I8" s="93">
        <f t="shared" si="0"/>
        <v>3.3129952295810861</v>
      </c>
      <c r="J8" s="91">
        <f>D8*10^(-3)/(F8)</f>
        <v>2.904109589041096E-2</v>
      </c>
      <c r="K8" s="105">
        <f t="shared" si="1"/>
        <v>3.1408915812911591E-3</v>
      </c>
      <c r="L8" s="106">
        <f>D8*10^(-3)/(G8)</f>
        <v>2.7532467532467531E-5</v>
      </c>
      <c r="M8" s="97">
        <f>I8/K8</f>
        <v>1054.7945205479452</v>
      </c>
    </row>
    <row r="9" spans="1:15" ht="13" outlineLevel="1">
      <c r="A9" s="57" t="s">
        <v>361</v>
      </c>
      <c r="B9" s="340" t="s">
        <v>7</v>
      </c>
      <c r="C9" s="93">
        <v>19</v>
      </c>
      <c r="D9" s="93">
        <v>64</v>
      </c>
      <c r="E9" s="55">
        <f t="shared" ref="E9:E50" si="2">D9/(C9*8765.81277)*1000</f>
        <v>0.3842679670457505</v>
      </c>
      <c r="F9" s="93">
        <v>1.83</v>
      </c>
      <c r="G9" s="93">
        <v>205</v>
      </c>
      <c r="H9" s="93"/>
      <c r="I9" s="93">
        <f t="shared" si="0"/>
        <v>3.9896674174148958</v>
      </c>
      <c r="J9" s="91">
        <f>D9*10^(-3)/(F9)</f>
        <v>3.4972677595628415E-2</v>
      </c>
      <c r="K9" s="105">
        <f t="shared" si="1"/>
        <v>3.561507987253297E-2</v>
      </c>
      <c r="L9" s="106">
        <f>D9*10^(-3)/(G9)</f>
        <v>3.121951219512195E-4</v>
      </c>
      <c r="M9" s="97">
        <f>I9/K9</f>
        <v>112.02185792349728</v>
      </c>
    </row>
    <row r="10" spans="1:15" ht="13" outlineLevel="1">
      <c r="A10" s="57" t="s">
        <v>362</v>
      </c>
      <c r="B10" s="340" t="s">
        <v>7</v>
      </c>
      <c r="C10" s="93">
        <v>360</v>
      </c>
      <c r="D10" s="93">
        <v>700</v>
      </c>
      <c r="E10" s="55">
        <f t="shared" si="2"/>
        <v>0.22182135250470839</v>
      </c>
      <c r="F10" s="93">
        <v>28</v>
      </c>
      <c r="G10" s="93">
        <v>3600</v>
      </c>
      <c r="H10" s="93"/>
      <c r="I10" s="93">
        <f t="shared" si="0"/>
        <v>2.8519888179176793</v>
      </c>
      <c r="J10" s="91">
        <f>D10*10^(-3)/(F10)</f>
        <v>2.5000000000000001E-2</v>
      </c>
      <c r="K10" s="105">
        <f t="shared" si="1"/>
        <v>2.2182135250470841E-2</v>
      </c>
      <c r="L10" s="106">
        <f>D10*10^(-3)/(G10)</f>
        <v>1.9444444444444446E-4</v>
      </c>
      <c r="M10" s="97">
        <f>I10/K10</f>
        <v>128.57142857142856</v>
      </c>
    </row>
    <row r="11" spans="1:15" ht="13" outlineLevel="1">
      <c r="A11" s="57" t="s">
        <v>363</v>
      </c>
      <c r="B11" s="340" t="s">
        <v>7</v>
      </c>
      <c r="C11" s="93">
        <v>68</v>
      </c>
      <c r="D11" s="93">
        <v>77</v>
      </c>
      <c r="E11" s="55">
        <f t="shared" si="2"/>
        <v>0.12917831704685961</v>
      </c>
      <c r="F11" s="93">
        <v>5</v>
      </c>
      <c r="G11" s="93">
        <v>655</v>
      </c>
      <c r="H11" s="93"/>
      <c r="I11" s="93">
        <f t="shared" si="0"/>
        <v>1.7568251118372906</v>
      </c>
      <c r="J11" s="91">
        <f>D11*10^(-3)/(F11)</f>
        <v>1.54E-2</v>
      </c>
      <c r="K11" s="105">
        <f t="shared" si="1"/>
        <v>1.3410878716315196E-2</v>
      </c>
      <c r="L11" s="106">
        <f>D11*10^(-3)/(G11)</f>
        <v>1.1755725190839695E-4</v>
      </c>
      <c r="M11" s="97">
        <f>I11/K11</f>
        <v>131</v>
      </c>
    </row>
    <row r="12" spans="1:15" ht="13" outlineLevel="1">
      <c r="A12" s="57" t="s">
        <v>364</v>
      </c>
      <c r="B12" s="340" t="s">
        <v>7</v>
      </c>
      <c r="C12" s="93">
        <v>42</v>
      </c>
      <c r="D12" s="93">
        <v>84</v>
      </c>
      <c r="E12" s="55">
        <f t="shared" si="2"/>
        <v>0.22815910543341436</v>
      </c>
      <c r="F12" s="93">
        <v>2.1800000000000002</v>
      </c>
      <c r="G12" s="93">
        <v>1593</v>
      </c>
      <c r="H12" s="93"/>
      <c r="I12" s="93">
        <f t="shared" si="0"/>
        <v>4.395725884496974</v>
      </c>
      <c r="J12" s="91">
        <f>D12*10^(-3)/(F12)</f>
        <v>3.8532110091743121E-2</v>
      </c>
      <c r="K12" s="105">
        <f t="shared" si="1"/>
        <v>6.0154943052124314E-3</v>
      </c>
      <c r="L12" s="106">
        <f>D12*10^(-3)/(G12)</f>
        <v>5.2730696798493415E-5</v>
      </c>
      <c r="M12" s="97">
        <f>I12/K12</f>
        <v>730.73394495412845</v>
      </c>
    </row>
    <row r="13" spans="1:15" ht="13" outlineLevel="1">
      <c r="A13" s="57" t="s">
        <v>365</v>
      </c>
      <c r="B13" s="340" t="s">
        <v>7</v>
      </c>
      <c r="C13" s="93">
        <v>41</v>
      </c>
      <c r="D13" s="93">
        <v>100</v>
      </c>
      <c r="E13" s="55">
        <f t="shared" si="2"/>
        <v>0.27824281150416386</v>
      </c>
      <c r="F13" s="93">
        <v>1.91</v>
      </c>
      <c r="G13" s="93">
        <v>1661</v>
      </c>
      <c r="H13" s="93"/>
      <c r="I13" s="93">
        <f t="shared" si="0"/>
        <v>5.9727514511365012</v>
      </c>
      <c r="J13" s="91">
        <f>D13*10^(-3)/(F13)</f>
        <v>5.2356020942408384E-2</v>
      </c>
      <c r="K13" s="105">
        <f t="shared" si="1"/>
        <v>6.86812478727918E-3</v>
      </c>
      <c r="L13" s="106">
        <f>D13*10^(-3)/(G13)</f>
        <v>6.0204695966285377E-5</v>
      </c>
      <c r="M13" s="97">
        <f>I13/K13</f>
        <v>869.6335078534031</v>
      </c>
    </row>
    <row r="14" spans="1:15" ht="13" outlineLevel="1">
      <c r="A14" s="57" t="s">
        <v>363</v>
      </c>
      <c r="B14" s="340" t="s">
        <v>7</v>
      </c>
      <c r="C14" s="93">
        <v>24.3</v>
      </c>
      <c r="D14" s="93">
        <v>67</v>
      </c>
      <c r="E14" s="55">
        <f t="shared" si="2"/>
        <v>0.31454033053577701</v>
      </c>
      <c r="F14" s="93">
        <v>0.65</v>
      </c>
      <c r="G14" s="93">
        <v>685</v>
      </c>
      <c r="H14" s="93"/>
      <c r="I14" s="93">
        <f t="shared" si="0"/>
        <v>11.758969280029817</v>
      </c>
      <c r="J14" s="91">
        <f>D14*10^(-3)/(F14)</f>
        <v>0.10307692307692308</v>
      </c>
      <c r="K14" s="105">
        <f t="shared" si="1"/>
        <v>1.1158146032145082E-2</v>
      </c>
      <c r="L14" s="106">
        <f>D14*10^(-3)/(G14)</f>
        <v>9.7810218978102199E-5</v>
      </c>
      <c r="M14" s="97">
        <f>I14/K14</f>
        <v>1053.8461538461538</v>
      </c>
    </row>
    <row r="15" spans="1:15" ht="13" outlineLevel="1">
      <c r="A15" s="57" t="s">
        <v>366</v>
      </c>
      <c r="B15" s="340" t="s">
        <v>7</v>
      </c>
      <c r="C15" s="93">
        <v>300</v>
      </c>
      <c r="D15" s="93">
        <v>540</v>
      </c>
      <c r="E15" s="55">
        <f t="shared" si="2"/>
        <v>0.20534319489007291</v>
      </c>
      <c r="F15" s="93">
        <v>7.06</v>
      </c>
      <c r="G15" s="93">
        <v>4127</v>
      </c>
      <c r="H15" s="93"/>
      <c r="I15" s="93">
        <f t="shared" si="0"/>
        <v>8.7256315109096132</v>
      </c>
      <c r="J15" s="91">
        <f>D15*10^(-3)/(F15)</f>
        <v>7.6487252124645896E-2</v>
      </c>
      <c r="K15" s="105">
        <f t="shared" si="1"/>
        <v>1.492681329465032E-2</v>
      </c>
      <c r="L15" s="106">
        <f>D15*10^(-3)/(G15)</f>
        <v>1.3084565059365158E-4</v>
      </c>
      <c r="M15" s="97">
        <f>I15/K15</f>
        <v>584.56090651558065</v>
      </c>
    </row>
    <row r="16" spans="1:15" ht="13" outlineLevel="1">
      <c r="A16" s="57" t="s">
        <v>367</v>
      </c>
      <c r="B16" s="340" t="s">
        <v>7</v>
      </c>
      <c r="C16" s="93">
        <v>360</v>
      </c>
      <c r="D16" s="93">
        <v>495</v>
      </c>
      <c r="E16" s="55">
        <f t="shared" si="2"/>
        <v>0.15685938498547236</v>
      </c>
      <c r="F16" s="93">
        <v>6.57</v>
      </c>
      <c r="G16" s="93">
        <v>2050</v>
      </c>
      <c r="H16" s="93"/>
      <c r="I16" s="93">
        <f t="shared" si="0"/>
        <v>8.595034793724512</v>
      </c>
      <c r="J16" s="91">
        <f>D16*10^(-3)/(F16)</f>
        <v>7.5342465753424653E-2</v>
      </c>
      <c r="K16" s="105">
        <f t="shared" si="1"/>
        <v>2.754603833891222E-2</v>
      </c>
      <c r="L16" s="106">
        <f>D16*10^(-3)/(G16)</f>
        <v>2.4146341463414633E-4</v>
      </c>
      <c r="M16" s="97">
        <f>I16/K16</f>
        <v>312.02435312024352</v>
      </c>
    </row>
    <row r="17" spans="1:13" ht="13" outlineLevel="1">
      <c r="A17" s="57" t="s">
        <v>368</v>
      </c>
      <c r="B17" s="340" t="s">
        <v>7</v>
      </c>
      <c r="C17" s="93">
        <v>30</v>
      </c>
      <c r="D17" s="93">
        <v>62</v>
      </c>
      <c r="E17" s="55">
        <f t="shared" si="2"/>
        <v>0.23576440894786149</v>
      </c>
      <c r="F17" s="93">
        <v>0.42199999999999999</v>
      </c>
      <c r="G17" s="93">
        <v>17.5</v>
      </c>
      <c r="H17" s="93"/>
      <c r="I17" s="93">
        <f t="shared" si="0"/>
        <v>16.760503005772144</v>
      </c>
      <c r="J17" s="91">
        <f>D17*10^(-3)/(F17)</f>
        <v>0.14691943127962084</v>
      </c>
      <c r="K17" s="105">
        <f t="shared" si="1"/>
        <v>0.40416755819633399</v>
      </c>
      <c r="L17" s="106">
        <f>D17*10^(-3)/(G17)</f>
        <v>3.5428571428571427E-3</v>
      </c>
      <c r="M17" s="97">
        <f>I17/K17</f>
        <v>41.469194312796205</v>
      </c>
    </row>
    <row r="18" spans="1:13" ht="13" outlineLevel="1">
      <c r="A18" s="57" t="s">
        <v>369</v>
      </c>
      <c r="B18" s="340" t="s">
        <v>7</v>
      </c>
      <c r="C18" s="93">
        <v>420</v>
      </c>
      <c r="D18" s="93">
        <v>1612</v>
      </c>
      <c r="E18" s="55">
        <f t="shared" si="2"/>
        <v>0.43784818804602854</v>
      </c>
      <c r="F18" s="93">
        <v>3.8</v>
      </c>
      <c r="G18" s="93">
        <v>10910</v>
      </c>
      <c r="H18" s="93"/>
      <c r="I18" s="93">
        <f t="shared" si="0"/>
        <v>48.393747099824211</v>
      </c>
      <c r="J18" s="91">
        <f>D18*10^(-3)/(F18)</f>
        <v>0.42421052631578954</v>
      </c>
      <c r="K18" s="105">
        <f t="shared" si="1"/>
        <v>1.6855750593889277E-2</v>
      </c>
      <c r="L18" s="106">
        <f>D18*10^(-3)/(G18)</f>
        <v>1.4775435380384968E-4</v>
      </c>
      <c r="M18" s="97">
        <f>I18/K18</f>
        <v>2871.0526315789471</v>
      </c>
    </row>
    <row r="19" spans="1:13" ht="13" outlineLevel="1">
      <c r="A19" s="57" t="s">
        <v>370</v>
      </c>
      <c r="B19" s="340" t="s">
        <v>7</v>
      </c>
      <c r="C19" s="93">
        <v>510</v>
      </c>
      <c r="D19" s="93">
        <v>1090</v>
      </c>
      <c r="E19" s="55">
        <f t="shared" si="2"/>
        <v>0.24381708325727613</v>
      </c>
      <c r="F19" s="93">
        <v>3.2</v>
      </c>
      <c r="G19" s="93">
        <v>44</v>
      </c>
      <c r="H19" s="93"/>
      <c r="I19" s="93">
        <f t="shared" si="0"/>
        <v>38.858347644128379</v>
      </c>
      <c r="J19" s="91">
        <f>D19*10^(-3)/(F19)</f>
        <v>0.34062500000000001</v>
      </c>
      <c r="K19" s="105">
        <f t="shared" si="1"/>
        <v>2.8260616468457007</v>
      </c>
      <c r="L19" s="106">
        <f>D19*10^(-3)/(G19)</f>
        <v>2.4772727272727276E-2</v>
      </c>
      <c r="M19" s="97">
        <f>I19/K19</f>
        <v>13.749999999999998</v>
      </c>
    </row>
    <row r="20" spans="1:13" ht="13" outlineLevel="1">
      <c r="A20" s="57" t="s">
        <v>371</v>
      </c>
      <c r="B20" s="340" t="s">
        <v>7</v>
      </c>
      <c r="C20" s="93">
        <v>910</v>
      </c>
      <c r="D20" s="93">
        <v>1087.0899999999999</v>
      </c>
      <c r="E20" s="55">
        <f t="shared" si="2"/>
        <v>0.13627993512396175</v>
      </c>
      <c r="F20" s="93">
        <v>2.3199999999999998</v>
      </c>
      <c r="G20" s="93">
        <v>16.8</v>
      </c>
      <c r="H20" s="93"/>
      <c r="I20" s="93">
        <f t="shared" si="0"/>
        <v>53.454629725347068</v>
      </c>
      <c r="J20" s="91">
        <f>D20*10^(-3)/(F20)</f>
        <v>0.46857327586206893</v>
      </c>
      <c r="K20" s="105">
        <f t="shared" si="1"/>
        <v>7.3818298192145946</v>
      </c>
      <c r="L20" s="106">
        <f>D20*10^(-3)/(G20)</f>
        <v>6.4707738095238082E-2</v>
      </c>
      <c r="M20" s="97">
        <f>I20/K20</f>
        <v>7.2413793103448283</v>
      </c>
    </row>
    <row r="21" spans="1:13" ht="13" outlineLevel="1">
      <c r="A21" s="57" t="s">
        <v>372</v>
      </c>
      <c r="B21" s="340" t="s">
        <v>7</v>
      </c>
      <c r="C21" s="93">
        <v>25</v>
      </c>
      <c r="D21" s="93">
        <v>63</v>
      </c>
      <c r="E21" s="55">
        <f t="shared" si="2"/>
        <v>0.28748047284610212</v>
      </c>
      <c r="F21" s="93">
        <v>3.5000000000000003E-2</v>
      </c>
      <c r="G21" s="93">
        <v>580</v>
      </c>
      <c r="H21" s="93"/>
      <c r="I21" s="93">
        <f t="shared" si="0"/>
        <v>205.34319489007294</v>
      </c>
      <c r="J21" s="91">
        <f>D21*10^(-3)/(F21)</f>
        <v>1.7999999999999998</v>
      </c>
      <c r="K21" s="105">
        <f t="shared" si="1"/>
        <v>1.2391399691642333E-2</v>
      </c>
      <c r="L21" s="106">
        <f>D21*10^(-3)/(G21)</f>
        <v>1.0862068965517242E-4</v>
      </c>
      <c r="M21" s="97">
        <f>I21/K21</f>
        <v>16571.428571428572</v>
      </c>
    </row>
    <row r="22" spans="1:13" ht="13" outlineLevel="1">
      <c r="A22" s="57" t="s">
        <v>373</v>
      </c>
      <c r="B22" s="340" t="s">
        <v>7</v>
      </c>
      <c r="C22" s="93">
        <v>883</v>
      </c>
      <c r="D22" s="93">
        <f>1650</f>
        <v>1650</v>
      </c>
      <c r="E22" s="55">
        <f t="shared" si="2"/>
        <v>0.21317243712634976</v>
      </c>
      <c r="F22" s="93">
        <v>1.1599999999999999</v>
      </c>
      <c r="G22" s="93">
        <v>23.7</v>
      </c>
      <c r="H22" s="93"/>
      <c r="I22" s="93">
        <f t="shared" si="0"/>
        <v>162.26832929531625</v>
      </c>
      <c r="J22" s="91">
        <f>D22*10^(-3)/(F22)</f>
        <v>1.4224137931034484</v>
      </c>
      <c r="K22" s="105">
        <f t="shared" si="1"/>
        <v>7.942247341036575</v>
      </c>
      <c r="L22" s="106">
        <f>D22*10^(-3)/(G22)</f>
        <v>6.9620253164556972E-2</v>
      </c>
      <c r="M22" s="97">
        <f>I22/K22</f>
        <v>20.431034482758623</v>
      </c>
    </row>
    <row r="23" spans="1:13" ht="14" outlineLevel="1" thickBot="1">
      <c r="A23" s="58" t="s">
        <v>374</v>
      </c>
      <c r="B23" s="344" t="s">
        <v>7</v>
      </c>
      <c r="C23" s="185">
        <v>1800</v>
      </c>
      <c r="D23" s="185">
        <v>3140</v>
      </c>
      <c r="E23" s="90">
        <f t="shared" si="2"/>
        <v>0.19900544196136696</v>
      </c>
      <c r="F23" s="185">
        <v>2.2000000000000002</v>
      </c>
      <c r="G23" s="185">
        <v>50</v>
      </c>
      <c r="H23" s="185"/>
      <c r="I23" s="185">
        <f t="shared" si="0"/>
        <v>162.82263433202752</v>
      </c>
      <c r="J23" s="112">
        <f>D23*10^(-3)/(F23)</f>
        <v>1.4272727272727272</v>
      </c>
      <c r="K23" s="303">
        <f t="shared" si="1"/>
        <v>7.1641959106092115</v>
      </c>
      <c r="L23" s="110">
        <f>D23*10^(-3)/(G23)</f>
        <v>6.2800000000000009E-2</v>
      </c>
      <c r="M23" s="194">
        <f>I23/K23</f>
        <v>22.727272727272727</v>
      </c>
    </row>
    <row r="24" spans="1:13" ht="13" outlineLevel="1">
      <c r="A24" s="56" t="s">
        <v>375</v>
      </c>
      <c r="B24" s="343" t="s">
        <v>8</v>
      </c>
      <c r="C24" s="47">
        <v>340</v>
      </c>
      <c r="D24" s="47">
        <v>1026</v>
      </c>
      <c r="E24" s="88">
        <f t="shared" si="2"/>
        <v>0.34425182672747517</v>
      </c>
      <c r="F24" s="47">
        <v>4.0999999999999996</v>
      </c>
      <c r="G24" s="47">
        <v>15540</v>
      </c>
      <c r="H24" s="47"/>
      <c r="I24" s="184">
        <f t="shared" si="0"/>
        <v>28.547712460327212</v>
      </c>
      <c r="J24" s="111">
        <f>D24*10^(-3)/(F24)</f>
        <v>0.25024390243902439</v>
      </c>
      <c r="K24" s="284">
        <f t="shared" si="1"/>
        <v>7.5318932488636784E-3</v>
      </c>
      <c r="L24" s="108">
        <f>D24*10^(-3)/(G24)</f>
        <v>6.6023166023166028E-5</v>
      </c>
      <c r="M24" s="94">
        <f>I24/K24</f>
        <v>3790.2439024390246</v>
      </c>
    </row>
    <row r="25" spans="1:13" ht="13" outlineLevel="1">
      <c r="A25" s="57" t="s">
        <v>376</v>
      </c>
      <c r="B25" s="340" t="s">
        <v>8</v>
      </c>
      <c r="C25" s="36">
        <v>138</v>
      </c>
      <c r="D25" s="36">
        <v>569</v>
      </c>
      <c r="E25" s="55">
        <f t="shared" si="2"/>
        <v>0.47037148910004623</v>
      </c>
      <c r="F25" s="36">
        <v>49</v>
      </c>
      <c r="G25" s="36"/>
      <c r="H25" s="36"/>
      <c r="I25" s="93">
        <f t="shared" si="0"/>
        <v>1.3247197039960485</v>
      </c>
      <c r="J25" s="91">
        <f>D25*10^(-3)/(F25)</f>
        <v>1.1612244897959185E-2</v>
      </c>
      <c r="K25" s="105"/>
      <c r="L25" s="106"/>
      <c r="M25" s="95"/>
    </row>
    <row r="26" spans="1:13" ht="13">
      <c r="A26" s="57" t="s">
        <v>377</v>
      </c>
      <c r="B26" s="340" t="s">
        <v>8</v>
      </c>
      <c r="C26" s="36">
        <v>2400</v>
      </c>
      <c r="D26" s="36">
        <v>8900</v>
      </c>
      <c r="E26" s="55">
        <f t="shared" si="2"/>
        <v>0.42304500799112238</v>
      </c>
      <c r="F26" s="36">
        <v>817</v>
      </c>
      <c r="G26" s="36"/>
      <c r="H26" s="36"/>
      <c r="I26" s="93">
        <f t="shared" si="0"/>
        <v>1.2427270736581317</v>
      </c>
      <c r="J26" s="91">
        <f>D26*10^(-3)/(F26)</f>
        <v>1.0893512851897186E-2</v>
      </c>
      <c r="K26" s="105"/>
      <c r="L26" s="106"/>
      <c r="M26" s="95"/>
    </row>
    <row r="27" spans="1:13" ht="13">
      <c r="A27" s="57" t="s">
        <v>378</v>
      </c>
      <c r="B27" s="340" t="s">
        <v>8</v>
      </c>
      <c r="C27" s="36">
        <v>160</v>
      </c>
      <c r="D27" s="36">
        <v>483</v>
      </c>
      <c r="E27" s="55">
        <f t="shared" si="2"/>
        <v>0.34437764976355978</v>
      </c>
      <c r="F27" s="36">
        <v>49</v>
      </c>
      <c r="G27" s="36">
        <v>4105</v>
      </c>
      <c r="H27" s="36"/>
      <c r="I27" s="93">
        <f t="shared" si="0"/>
        <v>1.1244984482075422</v>
      </c>
      <c r="J27" s="91">
        <f>D27*10^(-3)/(F27)</f>
        <v>9.857142857142856E-3</v>
      </c>
      <c r="K27" s="192">
        <f t="shared" si="1"/>
        <v>1.342275857787322E-2</v>
      </c>
      <c r="L27" s="189">
        <f>D27*10^(-3)/(G27)</f>
        <v>1.1766138855054811E-4</v>
      </c>
      <c r="M27" s="95">
        <f>I27/K27</f>
        <v>83.775510204081627</v>
      </c>
    </row>
    <row r="28" spans="1:13" ht="13" outlineLevel="1">
      <c r="A28" s="57" t="s">
        <v>379</v>
      </c>
      <c r="B28" s="340" t="s">
        <v>8</v>
      </c>
      <c r="C28" s="36">
        <v>300</v>
      </c>
      <c r="D28" s="36">
        <v>1039</v>
      </c>
      <c r="E28" s="55">
        <f t="shared" si="2"/>
        <v>0.39509551757552919</v>
      </c>
      <c r="F28" s="36">
        <v>11</v>
      </c>
      <c r="G28" s="36"/>
      <c r="H28" s="36"/>
      <c r="I28" s="93">
        <f t="shared" si="0"/>
        <v>10.775332297514431</v>
      </c>
      <c r="J28" s="91">
        <f>D28*10^(-3)/(F28)</f>
        <v>9.4454545454545444E-2</v>
      </c>
      <c r="K28" s="192"/>
      <c r="L28" s="189"/>
      <c r="M28" s="95"/>
    </row>
    <row r="29" spans="1:13" ht="13" outlineLevel="1">
      <c r="A29" s="57" t="s">
        <v>380</v>
      </c>
      <c r="B29" s="340" t="s">
        <v>8</v>
      </c>
      <c r="C29" s="36">
        <v>513</v>
      </c>
      <c r="D29" s="36">
        <v>1500</v>
      </c>
      <c r="E29" s="55">
        <f t="shared" si="2"/>
        <v>0.33356594361610287</v>
      </c>
      <c r="F29" s="36">
        <v>65.400000000000006</v>
      </c>
      <c r="G29" s="36">
        <v>64724</v>
      </c>
      <c r="H29" s="36"/>
      <c r="I29" s="93">
        <f t="shared" si="0"/>
        <v>2.6165035026767698</v>
      </c>
      <c r="J29" s="91">
        <f>D29*10^(-3)/(F29)</f>
        <v>2.2935779816513759E-2</v>
      </c>
      <c r="K29" s="192">
        <f t="shared" si="1"/>
        <v>2.6438311766123967E-3</v>
      </c>
      <c r="L29" s="189">
        <f>D29*10^(-3)/(G29)</f>
        <v>2.3175329089673072E-5</v>
      </c>
      <c r="M29" s="95">
        <f>I29/K29</f>
        <v>989.66360856269102</v>
      </c>
    </row>
    <row r="30" spans="1:13" ht="13" outlineLevel="1">
      <c r="A30" s="57" t="s">
        <v>381</v>
      </c>
      <c r="B30" s="340" t="s">
        <v>8</v>
      </c>
      <c r="C30" s="36">
        <v>169</v>
      </c>
      <c r="D30" s="36">
        <v>596</v>
      </c>
      <c r="E30" s="55">
        <f t="shared" si="2"/>
        <v>0.40231605573465962</v>
      </c>
      <c r="F30" s="36">
        <v>82</v>
      </c>
      <c r="G30" s="36"/>
      <c r="H30" s="36"/>
      <c r="I30" s="93">
        <f t="shared" si="0"/>
        <v>0.82916357828240828</v>
      </c>
      <c r="J30" s="91">
        <f>D30*10^(-3)/(F30)</f>
        <v>7.2682926829268288E-3</v>
      </c>
      <c r="K30" s="192"/>
      <c r="L30" s="189"/>
      <c r="M30" s="95"/>
    </row>
    <row r="31" spans="1:13" ht="13" outlineLevel="1">
      <c r="A31" s="57" t="s">
        <v>382</v>
      </c>
      <c r="B31" s="340" t="s">
        <v>8</v>
      </c>
      <c r="C31" s="36">
        <v>100</v>
      </c>
      <c r="D31" s="36">
        <v>548</v>
      </c>
      <c r="E31" s="55">
        <f t="shared" si="2"/>
        <v>0.62515594888755543</v>
      </c>
      <c r="F31" s="36">
        <v>10</v>
      </c>
      <c r="G31" s="36"/>
      <c r="H31" s="36"/>
      <c r="I31" s="93">
        <f t="shared" si="0"/>
        <v>6.2515594888755546</v>
      </c>
      <c r="J31" s="91">
        <f>D31*10^(-3)/(F31)</f>
        <v>5.4800000000000001E-2</v>
      </c>
      <c r="K31" s="192"/>
      <c r="L31" s="189"/>
      <c r="M31" s="95"/>
    </row>
    <row r="32" spans="1:13" ht="13" outlineLevel="1">
      <c r="A32" s="57" t="s">
        <v>383</v>
      </c>
      <c r="B32" s="340" t="s">
        <v>8</v>
      </c>
      <c r="C32" s="36">
        <v>670</v>
      </c>
      <c r="D32" s="36">
        <v>2118</v>
      </c>
      <c r="E32" s="55">
        <f t="shared" si="2"/>
        <v>0.36062760097609825</v>
      </c>
      <c r="F32" s="36">
        <v>26.4</v>
      </c>
      <c r="G32" s="36">
        <v>18389</v>
      </c>
      <c r="H32" s="36"/>
      <c r="I32" s="93">
        <f t="shared" si="0"/>
        <v>9.1522913884085551</v>
      </c>
      <c r="J32" s="91">
        <f>D32*10^(-3)/(F32)</f>
        <v>8.022727272727273E-2</v>
      </c>
      <c r="K32" s="192">
        <f t="shared" si="1"/>
        <v>1.3139403592037947E-2</v>
      </c>
      <c r="L32" s="189">
        <f>D32*10^(-3)/(G32)</f>
        <v>1.1517755179727011E-4</v>
      </c>
      <c r="M32" s="95">
        <f>I32/K32</f>
        <v>696.55303030303037</v>
      </c>
    </row>
    <row r="33" spans="1:13" ht="13" outlineLevel="1">
      <c r="A33" s="57" t="s">
        <v>384</v>
      </c>
      <c r="B33" s="340" t="s">
        <v>8</v>
      </c>
      <c r="C33" s="36">
        <v>110</v>
      </c>
      <c r="D33" s="36">
        <v>298</v>
      </c>
      <c r="E33" s="55">
        <f t="shared" si="2"/>
        <v>0.30905187917798849</v>
      </c>
      <c r="F33" s="36">
        <v>24</v>
      </c>
      <c r="G33" s="36">
        <v>3216</v>
      </c>
      <c r="H33" s="36"/>
      <c r="I33" s="93">
        <f t="shared" si="0"/>
        <v>1.4164877795657806</v>
      </c>
      <c r="J33" s="91">
        <f>D33*10^(-3)/(F33)</f>
        <v>1.2416666666666666E-2</v>
      </c>
      <c r="K33" s="192">
        <f t="shared" si="1"/>
        <v>1.0570804325117766E-2</v>
      </c>
      <c r="L33" s="189">
        <f>D33*10^(-3)/(G33)</f>
        <v>9.2661691542288548E-5</v>
      </c>
      <c r="M33" s="95">
        <f>I33/K33</f>
        <v>134</v>
      </c>
    </row>
    <row r="34" spans="1:13" ht="13" outlineLevel="1">
      <c r="A34" s="57" t="s">
        <v>385</v>
      </c>
      <c r="B34" s="340" t="s">
        <v>8</v>
      </c>
      <c r="C34" s="36">
        <v>300</v>
      </c>
      <c r="D34" s="36">
        <v>1048</v>
      </c>
      <c r="E34" s="55">
        <f t="shared" si="2"/>
        <v>0.39851790415703037</v>
      </c>
      <c r="F34" s="36">
        <v>59</v>
      </c>
      <c r="G34" s="36"/>
      <c r="H34" s="36"/>
      <c r="I34" s="93">
        <f t="shared" si="0"/>
        <v>2.026362224527273</v>
      </c>
      <c r="J34" s="91">
        <f>D34*10^(-3)/(F34)</f>
        <v>1.7762711864406779E-2</v>
      </c>
      <c r="K34" s="192"/>
      <c r="L34" s="189"/>
      <c r="M34" s="95"/>
    </row>
    <row r="35" spans="1:13" ht="13" outlineLevel="1">
      <c r="A35" s="57" t="s">
        <v>386</v>
      </c>
      <c r="B35" s="340" t="s">
        <v>8</v>
      </c>
      <c r="C35" s="36">
        <v>278</v>
      </c>
      <c r="D35" s="36">
        <v>562</v>
      </c>
      <c r="E35" s="55">
        <f t="shared" si="2"/>
        <v>0.23062125405319941</v>
      </c>
      <c r="F35" s="36">
        <v>20</v>
      </c>
      <c r="G35" s="36"/>
      <c r="H35" s="36"/>
      <c r="I35" s="93">
        <f t="shared" si="0"/>
        <v>3.2056354313394722</v>
      </c>
      <c r="J35" s="91">
        <f>D35*10^(-3)/(F35)</f>
        <v>2.8100000000000003E-2</v>
      </c>
      <c r="K35" s="192"/>
      <c r="L35" s="189"/>
      <c r="M35" s="95"/>
    </row>
    <row r="36" spans="1:13" ht="13" outlineLevel="1">
      <c r="A36" s="57" t="s">
        <v>387</v>
      </c>
      <c r="B36" s="340" t="s">
        <v>8</v>
      </c>
      <c r="C36" s="36">
        <v>1200</v>
      </c>
      <c r="D36" s="36">
        <v>3833</v>
      </c>
      <c r="E36" s="55">
        <f t="shared" si="2"/>
        <v>0.36438910463594887</v>
      </c>
      <c r="F36" s="36">
        <v>313</v>
      </c>
      <c r="G36" s="36">
        <v>35517</v>
      </c>
      <c r="H36" s="36"/>
      <c r="I36" s="93">
        <f t="shared" si="0"/>
        <v>1.397018931511625</v>
      </c>
      <c r="J36" s="91">
        <f>D36*10^(-3)/(F36)</f>
        <v>1.2246006389776359E-2</v>
      </c>
      <c r="K36" s="192">
        <f t="shared" si="1"/>
        <v>1.2311482545348387E-2</v>
      </c>
      <c r="L36" s="189">
        <f>D36*10^(-3)/(G36)</f>
        <v>1.0792015091364699E-4</v>
      </c>
      <c r="M36" s="95">
        <f>I36/K36</f>
        <v>113.47284345047923</v>
      </c>
    </row>
    <row r="37" spans="1:13" ht="13" outlineLevel="1">
      <c r="A37" s="57" t="s">
        <v>388</v>
      </c>
      <c r="B37" s="340" t="s">
        <v>8</v>
      </c>
      <c r="C37" s="36">
        <v>189</v>
      </c>
      <c r="D37" s="36">
        <v>625.5</v>
      </c>
      <c r="E37" s="55">
        <f t="shared" si="2"/>
        <v>0.37754899589576901</v>
      </c>
      <c r="F37" s="36">
        <v>28.4</v>
      </c>
      <c r="G37" s="36"/>
      <c r="H37" s="36"/>
      <c r="I37" s="93">
        <f t="shared" si="0"/>
        <v>2.5125619797288854</v>
      </c>
      <c r="J37" s="91">
        <f>D37*10^(-3)/(F37)</f>
        <v>2.2024647887323948E-2</v>
      </c>
      <c r="K37" s="192"/>
      <c r="L37" s="189"/>
      <c r="M37" s="95"/>
    </row>
    <row r="38" spans="1:13" ht="13" outlineLevel="1">
      <c r="A38" s="57" t="s">
        <v>389</v>
      </c>
      <c r="B38" s="340" t="s">
        <v>8</v>
      </c>
      <c r="C38" s="36">
        <v>1330</v>
      </c>
      <c r="D38" s="36">
        <v>6000</v>
      </c>
      <c r="E38" s="55">
        <f t="shared" si="2"/>
        <v>0.5146445987219872</v>
      </c>
      <c r="F38" s="36">
        <v>675</v>
      </c>
      <c r="G38" s="36">
        <v>64100</v>
      </c>
      <c r="H38" s="36"/>
      <c r="I38" s="93">
        <f t="shared" si="0"/>
        <v>1.0140404685929525</v>
      </c>
      <c r="J38" s="91">
        <f>D38*10^(-3)/(F38)</f>
        <v>8.8888888888888889E-3</v>
      </c>
      <c r="K38" s="192">
        <f t="shared" si="1"/>
        <v>1.0678273265214398E-2</v>
      </c>
      <c r="L38" s="189">
        <f>D38*10^(-3)/(G38)</f>
        <v>9.3603744149765996E-5</v>
      </c>
      <c r="M38" s="95">
        <f>I38/K38</f>
        <v>94.962962962962976</v>
      </c>
    </row>
    <row r="39" spans="1:13" ht="13" outlineLevel="1">
      <c r="A39" s="57" t="s">
        <v>390</v>
      </c>
      <c r="B39" s="340" t="s">
        <v>8</v>
      </c>
      <c r="C39" s="36">
        <v>180</v>
      </c>
      <c r="D39" s="36">
        <v>450</v>
      </c>
      <c r="E39" s="55">
        <f t="shared" si="2"/>
        <v>0.28519888179176794</v>
      </c>
      <c r="F39" s="36">
        <v>8.35</v>
      </c>
      <c r="G39" s="36"/>
      <c r="H39" s="36"/>
      <c r="I39" s="93">
        <f t="shared" si="0"/>
        <v>6.1479998470081716</v>
      </c>
      <c r="J39" s="91">
        <f>D39*10^(-3)/(F39)</f>
        <v>5.3892215568862277E-2</v>
      </c>
      <c r="K39" s="192"/>
      <c r="L39" s="189"/>
      <c r="M39" s="95"/>
    </row>
    <row r="40" spans="1:13" ht="13" outlineLevel="1">
      <c r="A40" s="57" t="s">
        <v>391</v>
      </c>
      <c r="B40" s="340" t="s">
        <v>8</v>
      </c>
      <c r="C40" s="36">
        <v>124</v>
      </c>
      <c r="D40" s="36">
        <v>332</v>
      </c>
      <c r="E40" s="55">
        <f t="shared" si="2"/>
        <v>0.30543880243505472</v>
      </c>
      <c r="F40" s="36">
        <v>64</v>
      </c>
      <c r="G40" s="36"/>
      <c r="H40" s="36"/>
      <c r="I40" s="93">
        <f t="shared" si="0"/>
        <v>0.59178767971791857</v>
      </c>
      <c r="J40" s="91">
        <f>D40*10^(-3)/(F40)</f>
        <v>5.1875000000000003E-3</v>
      </c>
      <c r="K40" s="192"/>
      <c r="L40" s="189"/>
      <c r="M40" s="95"/>
    </row>
    <row r="41" spans="1:13" ht="13" outlineLevel="1">
      <c r="A41" s="57" t="s">
        <v>392</v>
      </c>
      <c r="B41" s="340" t="s">
        <v>8</v>
      </c>
      <c r="C41" s="36">
        <v>148</v>
      </c>
      <c r="D41" s="36">
        <v>380</v>
      </c>
      <c r="E41" s="55">
        <f t="shared" si="2"/>
        <v>0.29290695967803199</v>
      </c>
      <c r="F41" s="36">
        <v>2.93</v>
      </c>
      <c r="G41" s="36">
        <v>4300</v>
      </c>
      <c r="H41" s="36"/>
      <c r="I41" s="93">
        <f t="shared" si="0"/>
        <v>14.795300352337451</v>
      </c>
      <c r="J41" s="91">
        <f>D41*10^(-3)/(F41)</f>
        <v>0.12969283276450511</v>
      </c>
      <c r="K41" s="192">
        <f t="shared" si="1"/>
        <v>1.0081448844732263E-2</v>
      </c>
      <c r="L41" s="189">
        <f>D41*10^(-3)/(G41)</f>
        <v>8.8372093023255819E-5</v>
      </c>
      <c r="M41" s="95">
        <f>I41/K41</f>
        <v>1467.5767918088736</v>
      </c>
    </row>
    <row r="42" spans="1:13" ht="13" outlineLevel="1">
      <c r="A42" s="57" t="s">
        <v>393</v>
      </c>
      <c r="B42" s="340" t="s">
        <v>8</v>
      </c>
      <c r="C42" s="36">
        <v>124</v>
      </c>
      <c r="D42" s="36">
        <v>515</v>
      </c>
      <c r="E42" s="55">
        <f t="shared" si="2"/>
        <v>0.47379814233148548</v>
      </c>
      <c r="F42" s="36">
        <v>42</v>
      </c>
      <c r="G42" s="36"/>
      <c r="H42" s="36"/>
      <c r="I42" s="93">
        <f t="shared" si="0"/>
        <v>1.3988326106929572</v>
      </c>
      <c r="J42" s="91">
        <f>D42*10^(-3)/(F42)</f>
        <v>1.2261904761904762E-2</v>
      </c>
      <c r="K42" s="93"/>
      <c r="L42" s="106"/>
      <c r="M42" s="53"/>
    </row>
    <row r="43" spans="1:13" ht="13" outlineLevel="1">
      <c r="A43" s="57" t="s">
        <v>394</v>
      </c>
      <c r="B43" s="340" t="s">
        <v>8</v>
      </c>
      <c r="C43" s="36">
        <v>115</v>
      </c>
      <c r="D43" s="36">
        <v>444</v>
      </c>
      <c r="E43" s="55">
        <f t="shared" si="2"/>
        <v>0.44044627309754764</v>
      </c>
      <c r="F43" s="36">
        <v>4</v>
      </c>
      <c r="G43" s="36"/>
      <c r="H43" s="36"/>
      <c r="I43" s="93">
        <f t="shared" si="0"/>
        <v>12.662830351554495</v>
      </c>
      <c r="J43" s="91">
        <f>D43*10^(-3)/(F43)</f>
        <v>0.111</v>
      </c>
      <c r="K43" s="93"/>
      <c r="L43" s="106"/>
      <c r="M43" s="53"/>
    </row>
    <row r="44" spans="1:13" ht="13" outlineLevel="1">
      <c r="A44" s="57" t="s">
        <v>395</v>
      </c>
      <c r="B44" s="340" t="s">
        <v>8</v>
      </c>
      <c r="C44" s="36">
        <v>540</v>
      </c>
      <c r="D44" s="36">
        <v>1620</v>
      </c>
      <c r="E44" s="55">
        <f t="shared" si="2"/>
        <v>0.34223865815012156</v>
      </c>
      <c r="F44" s="36">
        <v>4.7</v>
      </c>
      <c r="G44" s="36"/>
      <c r="H44" s="36"/>
      <c r="I44" s="93">
        <f t="shared" si="0"/>
        <v>39.321037319375669</v>
      </c>
      <c r="J44" s="91">
        <f>D44*10^(-3)/(F44)</f>
        <v>0.34468085106382979</v>
      </c>
      <c r="K44" s="93"/>
      <c r="L44" s="106"/>
      <c r="M44" s="53"/>
    </row>
    <row r="45" spans="1:13" ht="13" outlineLevel="1">
      <c r="A45" s="57" t="s">
        <v>396</v>
      </c>
      <c r="B45" s="340" t="s">
        <v>8</v>
      </c>
      <c r="C45" s="36">
        <v>200</v>
      </c>
      <c r="D45" s="36">
        <v>413</v>
      </c>
      <c r="E45" s="55">
        <f t="shared" si="2"/>
        <v>0.23557427636000031</v>
      </c>
      <c r="F45" s="36">
        <v>26</v>
      </c>
      <c r="G45" s="36"/>
      <c r="H45" s="36"/>
      <c r="I45" s="93">
        <f t="shared" si="0"/>
        <v>1.8121098181538486</v>
      </c>
      <c r="J45" s="91">
        <f>D45*10^(-3)/(F45)</f>
        <v>1.5884615384615386E-2</v>
      </c>
      <c r="K45" s="93"/>
      <c r="L45" s="106"/>
      <c r="M45" s="53"/>
    </row>
    <row r="46" spans="1:13" ht="13" outlineLevel="1">
      <c r="A46" s="57" t="s">
        <v>397</v>
      </c>
      <c r="B46" s="340" t="s">
        <v>8</v>
      </c>
      <c r="C46" s="36">
        <v>160</v>
      </c>
      <c r="D46" s="36">
        <v>400</v>
      </c>
      <c r="E46" s="55">
        <f t="shared" si="2"/>
        <v>0.28519888179176794</v>
      </c>
      <c r="F46" s="36">
        <v>84</v>
      </c>
      <c r="G46" s="36"/>
      <c r="H46" s="36"/>
      <c r="I46" s="93">
        <f t="shared" si="0"/>
        <v>0.54323596531765317</v>
      </c>
      <c r="J46" s="91">
        <f>D46*10^(-3)/(F46)</f>
        <v>4.7619047619047623E-3</v>
      </c>
      <c r="K46" s="93"/>
      <c r="L46" s="106"/>
      <c r="M46" s="53"/>
    </row>
    <row r="47" spans="1:13" ht="13" outlineLevel="1">
      <c r="A47" s="57" t="s">
        <v>398</v>
      </c>
      <c r="B47" s="340" t="s">
        <v>8</v>
      </c>
      <c r="C47" s="36">
        <v>285</v>
      </c>
      <c r="D47" s="36">
        <v>725</v>
      </c>
      <c r="E47" s="55">
        <f t="shared" si="2"/>
        <v>0.29020237094600948</v>
      </c>
      <c r="F47" s="36">
        <v>48</v>
      </c>
      <c r="G47" s="36"/>
      <c r="H47" s="36"/>
      <c r="I47" s="93">
        <f t="shared" si="0"/>
        <v>1.7230765774919312</v>
      </c>
      <c r="J47" s="91">
        <f>D47*10^(-3)/(F47)</f>
        <v>1.5104166666666667E-2</v>
      </c>
      <c r="K47" s="93"/>
      <c r="L47" s="106"/>
      <c r="M47" s="53"/>
    </row>
    <row r="48" spans="1:13" ht="13" outlineLevel="1">
      <c r="A48" s="57" t="s">
        <v>399</v>
      </c>
      <c r="B48" s="340" t="s">
        <v>8</v>
      </c>
      <c r="C48" s="36">
        <v>121.5</v>
      </c>
      <c r="D48" s="36">
        <v>322.27999999999997</v>
      </c>
      <c r="E48" s="55">
        <f t="shared" si="2"/>
        <v>0.30259718723901557</v>
      </c>
      <c r="F48" s="36">
        <v>3.62</v>
      </c>
      <c r="G48" s="36"/>
      <c r="H48" s="36"/>
      <c r="I48" s="93">
        <f t="shared" si="0"/>
        <v>10.156231560646516</v>
      </c>
      <c r="J48" s="91">
        <f>D48*10^(-3)/(F48)</f>
        <v>8.9027624309392248E-2</v>
      </c>
      <c r="K48" s="93"/>
      <c r="L48" s="106"/>
      <c r="M48" s="53"/>
    </row>
    <row r="49" spans="1:16" ht="13" outlineLevel="1">
      <c r="A49" s="57" t="s">
        <v>400</v>
      </c>
      <c r="B49" s="340" t="s">
        <v>8</v>
      </c>
      <c r="C49" s="36">
        <v>320</v>
      </c>
      <c r="D49" s="36">
        <v>1000</v>
      </c>
      <c r="E49" s="55">
        <f t="shared" si="2"/>
        <v>0.35649860223970986</v>
      </c>
      <c r="F49" s="36">
        <v>14.9</v>
      </c>
      <c r="G49" s="36"/>
      <c r="H49" s="36"/>
      <c r="I49" s="93">
        <f t="shared" si="0"/>
        <v>7.6563458199132315</v>
      </c>
      <c r="J49" s="91">
        <f>D49*10^(-3)/(F49)</f>
        <v>6.7114093959731544E-2</v>
      </c>
      <c r="K49" s="93"/>
      <c r="L49" s="106"/>
      <c r="M49" s="53"/>
      <c r="O49" s="34"/>
      <c r="P49" s="34"/>
    </row>
    <row r="50" spans="1:16" ht="14" outlineLevel="1" thickBot="1">
      <c r="A50" s="58" t="s">
        <v>401</v>
      </c>
      <c r="B50" s="344" t="s">
        <v>8</v>
      </c>
      <c r="C50" s="50">
        <v>540</v>
      </c>
      <c r="D50" s="50">
        <v>1705</v>
      </c>
      <c r="E50" s="90">
        <f t="shared" si="2"/>
        <v>0.36019562478145511</v>
      </c>
      <c r="F50" s="50">
        <v>33</v>
      </c>
      <c r="G50" s="50"/>
      <c r="H50" s="50"/>
      <c r="I50" s="185">
        <f t="shared" si="0"/>
        <v>5.8941102236965381</v>
      </c>
      <c r="J50" s="112">
        <f>D50*10^(-3)/(F50)</f>
        <v>5.1666666666666666E-2</v>
      </c>
      <c r="K50" s="185"/>
      <c r="L50" s="110"/>
      <c r="M50" s="52"/>
      <c r="O50" s="34"/>
      <c r="P50" s="34"/>
    </row>
    <row r="51" spans="1:16" ht="13" outlineLevel="1">
      <c r="A51" s="56" t="s">
        <v>691</v>
      </c>
      <c r="B51" s="343" t="s">
        <v>12</v>
      </c>
      <c r="C51" s="47">
        <v>348</v>
      </c>
      <c r="D51" s="47">
        <v>600</v>
      </c>
      <c r="E51" s="88">
        <f>D51/(C51*8765.81277)*1000</f>
        <v>0.19668888399432272</v>
      </c>
      <c r="F51" s="47">
        <v>1.47</v>
      </c>
      <c r="G51" s="47">
        <v>19.399999999999999</v>
      </c>
      <c r="H51" s="47"/>
      <c r="I51" s="184">
        <f>C51*E51/F51</f>
        <v>46.563082741513135</v>
      </c>
      <c r="J51" s="111">
        <f>D51*10^(-3)/(F51)</f>
        <v>0.40816326530612246</v>
      </c>
      <c r="K51" s="284">
        <f t="shared" si="1"/>
        <v>3.5282335891765109</v>
      </c>
      <c r="L51" s="108">
        <f>D51*10^(-3)/(G51)</f>
        <v>3.0927835051546393E-2</v>
      </c>
      <c r="M51" s="49">
        <f>I51/K51</f>
        <v>13.197278911564625</v>
      </c>
      <c r="O51" s="98"/>
      <c r="P51" s="34"/>
    </row>
    <row r="52" spans="1:16" ht="13" outlineLevel="1">
      <c r="A52" s="57" t="s">
        <v>690</v>
      </c>
      <c r="B52" s="340" t="s">
        <v>12</v>
      </c>
      <c r="C52" s="36">
        <v>479</v>
      </c>
      <c r="D52" s="36">
        <v>460</v>
      </c>
      <c r="E52" s="55">
        <f>D52/(C52*8765.81277)*1000</f>
        <v>0.10955447651291295</v>
      </c>
      <c r="F52" s="36">
        <v>1.3</v>
      </c>
      <c r="G52" s="36"/>
      <c r="H52" s="36"/>
      <c r="I52" s="93">
        <f t="shared" si="0"/>
        <v>40.366610961296381</v>
      </c>
      <c r="J52" s="91">
        <f>D52*10^(-3)/(F52)</f>
        <v>0.35384615384615387</v>
      </c>
      <c r="K52" s="93"/>
      <c r="L52" s="106"/>
      <c r="M52" s="53"/>
      <c r="O52" s="98"/>
      <c r="P52" s="34"/>
    </row>
    <row r="53" spans="1:16" ht="13" outlineLevel="1">
      <c r="A53" s="57" t="s">
        <v>689</v>
      </c>
      <c r="B53" s="340" t="s">
        <v>12</v>
      </c>
      <c r="C53" s="36">
        <v>105</v>
      </c>
      <c r="D53" s="36">
        <v>234</v>
      </c>
      <c r="E53" s="55">
        <f>D53/(C53*8765.81277)*1000</f>
        <v>0.25423443176866173</v>
      </c>
      <c r="F53" s="36">
        <v>1.6</v>
      </c>
      <c r="G53" s="36">
        <v>230</v>
      </c>
      <c r="H53" s="36"/>
      <c r="I53" s="93">
        <f t="shared" si="0"/>
        <v>16.684134584818427</v>
      </c>
      <c r="J53" s="91">
        <f>D53*10^(-3)/(F53)</f>
        <v>0.14624999999999999</v>
      </c>
      <c r="K53" s="105">
        <f t="shared" si="1"/>
        <v>0.11606354493786732</v>
      </c>
      <c r="L53" s="106">
        <f>D53*10^(-3)/(G53)</f>
        <v>1.0173913043478261E-3</v>
      </c>
      <c r="M53" s="53">
        <f>I53/K53</f>
        <v>143.75</v>
      </c>
      <c r="O53" s="98"/>
      <c r="P53" s="34"/>
    </row>
    <row r="54" spans="1:16" ht="13" outlineLevel="1">
      <c r="A54" s="57" t="s">
        <v>688</v>
      </c>
      <c r="B54" s="340" t="s">
        <v>12</v>
      </c>
      <c r="C54" s="36">
        <v>2069</v>
      </c>
      <c r="D54" s="36">
        <v>2000</v>
      </c>
      <c r="E54" s="55">
        <f t="shared" ref="E54:E80" si="3">D54/(C54*8765.81277)*1000</f>
        <v>0.11027506304176624</v>
      </c>
      <c r="F54" s="36">
        <v>4.04</v>
      </c>
      <c r="G54" s="36">
        <v>46.3</v>
      </c>
      <c r="H54" s="36"/>
      <c r="I54" s="93">
        <f t="shared" si="0"/>
        <v>56.475026097379789</v>
      </c>
      <c r="J54" s="91">
        <f>D54*10^(-3)/(F54)</f>
        <v>0.49504950495049505</v>
      </c>
      <c r="K54" s="105">
        <f t="shared" si="1"/>
        <v>4.9278424499657527</v>
      </c>
      <c r="L54" s="106">
        <f>D54*10^(-3)/(G54)</f>
        <v>4.3196544276457888E-2</v>
      </c>
      <c r="M54" s="53">
        <f>I54/K54</f>
        <v>11.46039603960396</v>
      </c>
      <c r="O54" s="98"/>
      <c r="P54" s="34"/>
    </row>
    <row r="55" spans="1:16" ht="13" outlineLevel="1">
      <c r="A55" s="57" t="s">
        <v>687</v>
      </c>
      <c r="B55" s="340" t="s">
        <v>12</v>
      </c>
      <c r="C55" s="36">
        <v>388</v>
      </c>
      <c r="D55" s="36">
        <v>965</v>
      </c>
      <c r="E55" s="55">
        <f t="shared" si="3"/>
        <v>0.28372878446294436</v>
      </c>
      <c r="F55" s="36">
        <v>2.08</v>
      </c>
      <c r="G55" s="36">
        <v>167</v>
      </c>
      <c r="H55" s="36"/>
      <c r="I55" s="93">
        <f t="shared" si="0"/>
        <v>52.926330947895387</v>
      </c>
      <c r="J55" s="91">
        <f>D55*10^(-3)/(F55)</f>
        <v>0.46394230769230765</v>
      </c>
      <c r="K55" s="105">
        <f t="shared" si="1"/>
        <v>0.6592022058180983</v>
      </c>
      <c r="L55" s="106">
        <f>D55*10^(-3)/(G55)</f>
        <v>5.7784431137724553E-3</v>
      </c>
      <c r="M55" s="53">
        <f>I55/K55</f>
        <v>80.288461538461533</v>
      </c>
      <c r="O55" s="98"/>
      <c r="P55" s="34"/>
    </row>
    <row r="56" spans="1:16" ht="13" outlineLevel="1">
      <c r="A56" s="57" t="s">
        <v>686</v>
      </c>
      <c r="B56" s="340" t="s">
        <v>12</v>
      </c>
      <c r="C56" s="36">
        <v>162</v>
      </c>
      <c r="D56" s="36">
        <v>835</v>
      </c>
      <c r="E56" s="55">
        <f t="shared" si="3"/>
        <v>0.58800263282994125</v>
      </c>
      <c r="F56" s="36">
        <v>3.27</v>
      </c>
      <c r="G56" s="36">
        <v>34.909999999999997</v>
      </c>
      <c r="H56" s="36"/>
      <c r="I56" s="93">
        <f t="shared" si="0"/>
        <v>29.130405663134702</v>
      </c>
      <c r="J56" s="91">
        <f>D56*10^(-3)/(F56)</f>
        <v>0.25535168195718655</v>
      </c>
      <c r="K56" s="105">
        <f t="shared" si="1"/>
        <v>2.7286286599384271</v>
      </c>
      <c r="L56" s="106">
        <f>D56*10^(-3)/(G56)</f>
        <v>2.3918647951876256E-2</v>
      </c>
      <c r="M56" s="53">
        <f>I56/K56</f>
        <v>10.675840978593271</v>
      </c>
      <c r="O56" s="98"/>
      <c r="P56" s="34"/>
    </row>
    <row r="57" spans="1:16" ht="13" outlineLevel="1">
      <c r="A57" s="315" t="s">
        <v>685</v>
      </c>
      <c r="B57" s="340" t="s">
        <v>12</v>
      </c>
      <c r="C57" s="36">
        <v>185</v>
      </c>
      <c r="D57" s="36">
        <v>515.29999999999995</v>
      </c>
      <c r="E57" s="55">
        <f t="shared" si="3"/>
        <v>0.31775780278334703</v>
      </c>
      <c r="F57" s="36">
        <v>1.76</v>
      </c>
      <c r="G57" s="36">
        <v>37.1</v>
      </c>
      <c r="H57" s="36"/>
      <c r="I57" s="93">
        <f t="shared" si="0"/>
        <v>33.400678133476816</v>
      </c>
      <c r="J57" s="91">
        <f>D57*10^(-3)/(F57)</f>
        <v>0.29278409090909091</v>
      </c>
      <c r="K57" s="105">
        <f t="shared" si="1"/>
        <v>1.5845065637444529</v>
      </c>
      <c r="L57" s="106">
        <f>D57*10^(-3)/(G57)</f>
        <v>1.3889487870619945E-2</v>
      </c>
      <c r="M57" s="53">
        <f>I57/K57</f>
        <v>21.079545454545453</v>
      </c>
      <c r="O57" s="98"/>
      <c r="P57" s="34"/>
    </row>
    <row r="58" spans="1:16" ht="14" outlineLevel="1" thickBot="1">
      <c r="A58" s="58" t="s">
        <v>684</v>
      </c>
      <c r="B58" s="344" t="s">
        <v>12</v>
      </c>
      <c r="C58" s="50">
        <v>189</v>
      </c>
      <c r="D58" s="50">
        <v>620</v>
      </c>
      <c r="E58" s="90">
        <f t="shared" si="3"/>
        <v>0.37422922055216112</v>
      </c>
      <c r="F58" s="50">
        <v>3.27</v>
      </c>
      <c r="G58" s="50">
        <v>176</v>
      </c>
      <c r="H58" s="50"/>
      <c r="I58" s="185">
        <f t="shared" si="0"/>
        <v>21.629762288794634</v>
      </c>
      <c r="J58" s="112">
        <f>D58*10^(-3)/(F58)</f>
        <v>0.18960244648318042</v>
      </c>
      <c r="K58" s="303">
        <f t="shared" si="1"/>
        <v>0.40187115161567299</v>
      </c>
      <c r="L58" s="110">
        <f>D58*10^(-3)/(G58)</f>
        <v>3.5227272727272729E-3</v>
      </c>
      <c r="M58" s="52">
        <f>I58/K58</f>
        <v>53.822629969418962</v>
      </c>
      <c r="O58" s="98"/>
      <c r="P58" s="34"/>
    </row>
    <row r="59" spans="1:16" ht="13" outlineLevel="1">
      <c r="A59" s="56" t="s">
        <v>402</v>
      </c>
      <c r="B59" s="343" t="s">
        <v>26</v>
      </c>
      <c r="C59" s="73">
        <v>690</v>
      </c>
      <c r="D59" s="73">
        <v>4600</v>
      </c>
      <c r="E59" s="88">
        <f t="shared" si="3"/>
        <v>0.76053035144471448</v>
      </c>
      <c r="F59" s="73">
        <v>57</v>
      </c>
      <c r="G59" s="73">
        <v>2200</v>
      </c>
      <c r="H59" s="73">
        <v>599</v>
      </c>
      <c r="I59" s="184">
        <f>C59*E59/F59</f>
        <v>9.2064200438044388</v>
      </c>
      <c r="J59" s="299">
        <f>D59*10^(-3)/F59</f>
        <v>8.0701754385964927E-2</v>
      </c>
      <c r="K59" s="284">
        <f t="shared" si="1"/>
        <v>0.2385299738622059</v>
      </c>
      <c r="L59" s="304">
        <f>D59*10^(-3)/G59</f>
        <v>2.0909090909090912E-3</v>
      </c>
      <c r="M59" s="75">
        <f>J59/L59</f>
        <v>38.596491228070178</v>
      </c>
      <c r="O59" s="34"/>
      <c r="P59" s="34"/>
    </row>
    <row r="60" spans="1:16" ht="13" outlineLevel="1">
      <c r="A60" s="57" t="s">
        <v>403</v>
      </c>
      <c r="B60" s="340" t="s">
        <v>26</v>
      </c>
      <c r="C60" s="32">
        <f>270+100</f>
        <v>370</v>
      </c>
      <c r="D60" s="32">
        <v>2600</v>
      </c>
      <c r="E60" s="55">
        <f t="shared" si="3"/>
        <v>0.80164010017145582</v>
      </c>
      <c r="F60" s="32">
        <v>1.18</v>
      </c>
      <c r="G60" s="32">
        <v>6400</v>
      </c>
      <c r="H60" s="32">
        <v>115</v>
      </c>
      <c r="I60" s="93">
        <f t="shared" si="0"/>
        <v>251.36172632494802</v>
      </c>
      <c r="J60" s="103">
        <f>D60*10^(-3)/F60</f>
        <v>2.2033898305084749</v>
      </c>
      <c r="K60" s="105">
        <f t="shared" si="1"/>
        <v>4.6344818291162292E-2</v>
      </c>
      <c r="L60" s="305">
        <f>D60*10^(-3)/G60</f>
        <v>4.0625000000000004E-4</v>
      </c>
      <c r="M60" s="13">
        <f>J60/L60</f>
        <v>5423.7288135593226</v>
      </c>
      <c r="O60" s="34"/>
      <c r="P60" s="34"/>
    </row>
    <row r="61" spans="1:16" ht="13">
      <c r="A61" s="57" t="s">
        <v>404</v>
      </c>
      <c r="B61" s="340" t="s">
        <v>26</v>
      </c>
      <c r="C61" s="32">
        <v>210</v>
      </c>
      <c r="D61" s="32">
        <v>1300</v>
      </c>
      <c r="E61" s="55">
        <f t="shared" si="3"/>
        <v>0.70620675491294926</v>
      </c>
      <c r="F61" s="32">
        <v>8.8000000000000007</v>
      </c>
      <c r="G61" s="32">
        <f>6400</f>
        <v>6400</v>
      </c>
      <c r="H61" s="32">
        <v>88</v>
      </c>
      <c r="I61" s="93">
        <f t="shared" si="0"/>
        <v>16.85266119678629</v>
      </c>
      <c r="J61" s="103">
        <f>D61*10^(-3)/F61</f>
        <v>0.14772727272727271</v>
      </c>
      <c r="K61" s="105">
        <f t="shared" si="1"/>
        <v>2.3172409145581149E-2</v>
      </c>
      <c r="L61" s="305">
        <f>D61*10^(-3)/G61</f>
        <v>2.0312500000000002E-4</v>
      </c>
      <c r="M61" s="13">
        <f>J61/L61</f>
        <v>727.27272727272714</v>
      </c>
      <c r="O61" s="34"/>
      <c r="P61" s="34"/>
    </row>
    <row r="62" spans="1:16" ht="13">
      <c r="A62" s="57" t="s">
        <v>405</v>
      </c>
      <c r="B62" s="340" t="s">
        <v>26</v>
      </c>
      <c r="C62" s="32">
        <v>150</v>
      </c>
      <c r="D62" s="32">
        <v>910</v>
      </c>
      <c r="E62" s="55">
        <f t="shared" si="3"/>
        <v>0.6920826198146901</v>
      </c>
      <c r="F62" s="32">
        <v>56</v>
      </c>
      <c r="G62" s="32">
        <v>1520</v>
      </c>
      <c r="H62" s="32">
        <v>287</v>
      </c>
      <c r="I62" s="93">
        <f t="shared" si="0"/>
        <v>1.8537927316464913</v>
      </c>
      <c r="J62" s="103">
        <f>D62*10^(-3)/F62</f>
        <v>1.6250000000000001E-2</v>
      </c>
      <c r="K62" s="105">
        <f t="shared" si="1"/>
        <v>6.8297626955397053E-2</v>
      </c>
      <c r="L62" s="305">
        <f>D62*10^(-3)/G62</f>
        <v>5.9868421052631582E-4</v>
      </c>
      <c r="M62" s="13">
        <f>J62/L62</f>
        <v>27.142857142857142</v>
      </c>
    </row>
    <row r="63" spans="1:16" ht="13" outlineLevel="1">
      <c r="A63" s="57" t="s">
        <v>406</v>
      </c>
      <c r="B63" s="340" t="s">
        <v>26</v>
      </c>
      <c r="C63" s="32">
        <v>150</v>
      </c>
      <c r="D63" s="32">
        <v>920</v>
      </c>
      <c r="E63" s="55">
        <f t="shared" si="3"/>
        <v>0.69968792332913732</v>
      </c>
      <c r="F63" s="32">
        <v>14</v>
      </c>
      <c r="G63" s="32">
        <f>6400</f>
        <v>6400</v>
      </c>
      <c r="H63" s="32">
        <v>74</v>
      </c>
      <c r="I63" s="93">
        <f t="shared" si="0"/>
        <v>7.4966563213836137</v>
      </c>
      <c r="J63" s="103">
        <f>D63*10^(-3)/F63</f>
        <v>6.5714285714285711E-2</v>
      </c>
      <c r="K63" s="105">
        <f t="shared" si="1"/>
        <v>1.6398935703026654E-2</v>
      </c>
      <c r="L63" s="305">
        <f>D63*10^(-3)/G63</f>
        <v>1.4375E-4</v>
      </c>
      <c r="M63" s="13">
        <f>J63/L63</f>
        <v>457.14285714285711</v>
      </c>
    </row>
    <row r="64" spans="1:16" ht="14" outlineLevel="1">
      <c r="A64" s="68" t="s">
        <v>407</v>
      </c>
      <c r="B64" s="340" t="s">
        <v>26</v>
      </c>
      <c r="C64" s="32">
        <v>125</v>
      </c>
      <c r="D64" s="32">
        <v>1020</v>
      </c>
      <c r="E64" s="55">
        <f t="shared" si="3"/>
        <v>0.93088915016833063</v>
      </c>
      <c r="F64" s="32">
        <v>20</v>
      </c>
      <c r="G64" s="32">
        <v>6400</v>
      </c>
      <c r="H64" s="32">
        <v>44</v>
      </c>
      <c r="I64" s="93">
        <f t="shared" si="0"/>
        <v>5.818057188552066</v>
      </c>
      <c r="J64" s="103">
        <f>D64*10^(-3)/F64</f>
        <v>5.1000000000000004E-2</v>
      </c>
      <c r="K64" s="105">
        <f t="shared" si="1"/>
        <v>1.8181428714225206E-2</v>
      </c>
      <c r="L64" s="305">
        <f>D64*10^(-3)/G64</f>
        <v>1.5937500000000001E-4</v>
      </c>
      <c r="M64" s="13">
        <f>J64/L64</f>
        <v>320</v>
      </c>
    </row>
    <row r="65" spans="1:13" ht="14" outlineLevel="1">
      <c r="A65" s="68" t="s">
        <v>408</v>
      </c>
      <c r="B65" s="340" t="s">
        <v>26</v>
      </c>
      <c r="C65" s="32">
        <v>95</v>
      </c>
      <c r="D65" s="32">
        <v>585</v>
      </c>
      <c r="E65" s="55">
        <f t="shared" si="3"/>
        <v>0.70248987725551248</v>
      </c>
      <c r="F65" s="32">
        <v>7</v>
      </c>
      <c r="G65" s="32">
        <v>6400</v>
      </c>
      <c r="H65" s="32">
        <v>40</v>
      </c>
      <c r="I65" s="93">
        <f t="shared" si="0"/>
        <v>9.5337911913248128</v>
      </c>
      <c r="J65" s="103">
        <f>D65*10^(-3)/F65</f>
        <v>8.357142857142856E-2</v>
      </c>
      <c r="K65" s="105">
        <f t="shared" si="1"/>
        <v>1.0427584115511514E-2</v>
      </c>
      <c r="L65" s="305">
        <f>D65*10^(-3)/G65</f>
        <v>9.1406249999999989E-5</v>
      </c>
      <c r="M65" s="13">
        <f>J65/L65</f>
        <v>914.28571428571422</v>
      </c>
    </row>
    <row r="66" spans="1:13" ht="14" outlineLevel="1" thickBot="1">
      <c r="A66" s="58" t="s">
        <v>409</v>
      </c>
      <c r="B66" s="344" t="s">
        <v>26</v>
      </c>
      <c r="C66" s="76">
        <v>90</v>
      </c>
      <c r="D66" s="76">
        <v>490</v>
      </c>
      <c r="E66" s="90">
        <f t="shared" si="3"/>
        <v>0.62109978701318358</v>
      </c>
      <c r="F66" s="77"/>
      <c r="G66" s="76">
        <v>2833</v>
      </c>
      <c r="H66" s="76">
        <v>65</v>
      </c>
      <c r="I66" s="185"/>
      <c r="J66" s="300"/>
      <c r="K66" s="303">
        <f t="shared" si="1"/>
        <v>1.9731373396112431E-2</v>
      </c>
      <c r="L66" s="306">
        <f>D66*10^(-3)/G66</f>
        <v>1.7296152488528062E-4</v>
      </c>
      <c r="M66" s="78"/>
    </row>
    <row r="67" spans="1:13" ht="13" outlineLevel="1">
      <c r="A67" s="79" t="s">
        <v>669</v>
      </c>
      <c r="B67" s="343" t="s">
        <v>11</v>
      </c>
      <c r="C67" s="73">
        <v>730</v>
      </c>
      <c r="D67" s="73">
        <v>715</v>
      </c>
      <c r="E67" s="88">
        <f t="shared" si="3"/>
        <v>0.11173545231841867</v>
      </c>
      <c r="F67" s="73">
        <v>0.21</v>
      </c>
      <c r="G67" s="73">
        <v>53</v>
      </c>
      <c r="H67" s="74"/>
      <c r="I67" s="184">
        <f>C67*E67/F67</f>
        <v>388.41371520212203</v>
      </c>
      <c r="J67" s="299">
        <f>D67*10^(-3)/F67</f>
        <v>3.4047619047619047</v>
      </c>
      <c r="K67" s="284">
        <f t="shared" si="1"/>
        <v>1.5389977394801062</v>
      </c>
      <c r="L67" s="304">
        <f>D67*10^(-3)/G67</f>
        <v>1.3490566037735848E-2</v>
      </c>
      <c r="M67" s="75">
        <f>J67/L67</f>
        <v>252.38095238095238</v>
      </c>
    </row>
    <row r="68" spans="1:13" ht="13" outlineLevel="1">
      <c r="A68" s="80" t="s">
        <v>692</v>
      </c>
      <c r="B68" s="340" t="s">
        <v>11</v>
      </c>
      <c r="C68" s="32">
        <v>120</v>
      </c>
      <c r="D68" s="32">
        <v>37.4</v>
      </c>
      <c r="E68" s="55">
        <f t="shared" si="3"/>
        <v>3.5554793930040393E-2</v>
      </c>
      <c r="F68" s="32">
        <v>2.5499999999999998</v>
      </c>
      <c r="G68" s="32">
        <v>129</v>
      </c>
      <c r="H68" s="34"/>
      <c r="I68" s="93">
        <f t="shared" si="0"/>
        <v>1.6731667731783717</v>
      </c>
      <c r="J68" s="103">
        <f>D68*10^(-3)/F68</f>
        <v>1.4666666666666668E-2</v>
      </c>
      <c r="K68" s="105">
        <f t="shared" si="1"/>
        <v>3.3074226911665484E-2</v>
      </c>
      <c r="L68" s="305">
        <f>D68*10^(-3)/G68</f>
        <v>2.8992248062015508E-4</v>
      </c>
      <c r="M68" s="13">
        <f>J68/L68</f>
        <v>50.588235294117645</v>
      </c>
    </row>
    <row r="69" spans="1:13" ht="13" outlineLevel="1">
      <c r="A69" s="80" t="s">
        <v>693</v>
      </c>
      <c r="B69" s="340" t="s">
        <v>11</v>
      </c>
      <c r="C69" s="32">
        <v>108</v>
      </c>
      <c r="D69" s="34"/>
      <c r="E69" s="55">
        <f t="shared" si="3"/>
        <v>0</v>
      </c>
      <c r="F69" s="32">
        <v>12.43</v>
      </c>
      <c r="G69" s="34"/>
      <c r="H69" s="34"/>
      <c r="I69" s="93">
        <f t="shared" si="0"/>
        <v>0</v>
      </c>
      <c r="J69" s="113"/>
      <c r="K69" s="93"/>
      <c r="L69" s="307"/>
      <c r="M69" s="81"/>
    </row>
    <row r="70" spans="1:13" ht="13" outlineLevel="1">
      <c r="A70" s="80" t="s">
        <v>694</v>
      </c>
      <c r="B70" s="340" t="s">
        <v>11</v>
      </c>
      <c r="C70" s="32">
        <v>360</v>
      </c>
      <c r="D70" s="32">
        <v>175.2</v>
      </c>
      <c r="E70" s="55">
        <f t="shared" si="3"/>
        <v>5.5518715655464158E-2</v>
      </c>
      <c r="F70" s="34"/>
      <c r="G70" s="32">
        <v>67.400000000000006</v>
      </c>
      <c r="H70" s="34"/>
      <c r="I70" s="93"/>
      <c r="J70" s="113"/>
      <c r="K70" s="105">
        <f t="shared" si="1"/>
        <v>0.29653913406479365</v>
      </c>
      <c r="L70" s="305">
        <f>D70*10^(-3)/G70</f>
        <v>2.5994065281899105E-3</v>
      </c>
      <c r="M70" s="81"/>
    </row>
    <row r="71" spans="1:13" ht="13" outlineLevel="1">
      <c r="A71" s="80" t="s">
        <v>695</v>
      </c>
      <c r="B71" s="340" t="s">
        <v>11</v>
      </c>
      <c r="C71" s="32">
        <v>231</v>
      </c>
      <c r="D71" s="32">
        <v>313.2</v>
      </c>
      <c r="E71" s="55">
        <f t="shared" si="3"/>
        <v>0.15467409485226269</v>
      </c>
      <c r="F71" s="32">
        <v>2.2000000000000002</v>
      </c>
      <c r="G71" s="32">
        <v>121.5</v>
      </c>
      <c r="H71" s="34"/>
      <c r="I71" s="93">
        <f t="shared" ref="I71:I80" si="4">C71*E71/F71</f>
        <v>16.240779959487583</v>
      </c>
      <c r="J71" s="103">
        <f>D71*10^(-3)/F71</f>
        <v>0.14236363636363633</v>
      </c>
      <c r="K71" s="105">
        <f t="shared" ref="K71:K111" si="5">C71*E71/G71</f>
        <v>0.29407173589195623</v>
      </c>
      <c r="L71" s="305">
        <f>D71*10^(-3)/G71</f>
        <v>2.5777777777777778E-3</v>
      </c>
      <c r="M71" s="13">
        <f>J71/L71</f>
        <v>55.227272727272712</v>
      </c>
    </row>
    <row r="72" spans="1:13" ht="13" outlineLevel="1">
      <c r="A72" s="80" t="s">
        <v>410</v>
      </c>
      <c r="B72" s="340" t="s">
        <v>11</v>
      </c>
      <c r="C72" s="32">
        <v>200</v>
      </c>
      <c r="D72" s="32">
        <v>320.3</v>
      </c>
      <c r="E72" s="55">
        <f t="shared" si="3"/>
        <v>0.18269840367580656</v>
      </c>
      <c r="F72" s="32">
        <v>0.11</v>
      </c>
      <c r="G72" s="32">
        <v>108.4</v>
      </c>
      <c r="H72" s="34"/>
      <c r="I72" s="93">
        <f t="shared" si="4"/>
        <v>332.17891577419374</v>
      </c>
      <c r="J72" s="103">
        <f>D72*10^(-3)/F72</f>
        <v>2.9118181818181821</v>
      </c>
      <c r="K72" s="105">
        <f t="shared" si="5"/>
        <v>0.3370819256011191</v>
      </c>
      <c r="L72" s="305">
        <f>D72*10^(-3)/G72</f>
        <v>2.9547970479704799E-3</v>
      </c>
      <c r="M72" s="13">
        <f>J72/L72</f>
        <v>985.4545454545455</v>
      </c>
    </row>
    <row r="73" spans="1:13" ht="13" outlineLevel="1">
      <c r="A73" s="80" t="s">
        <v>411</v>
      </c>
      <c r="B73" s="340" t="s">
        <v>11</v>
      </c>
      <c r="C73" s="32">
        <v>25.3</v>
      </c>
      <c r="D73" s="32">
        <v>68.900000000000006</v>
      </c>
      <c r="E73" s="55">
        <f t="shared" si="3"/>
        <v>0.31067514554075587</v>
      </c>
      <c r="F73" s="34"/>
      <c r="G73" s="32">
        <v>156.4</v>
      </c>
      <c r="H73" s="34"/>
      <c r="I73" s="93"/>
      <c r="J73" s="113"/>
      <c r="K73" s="105">
        <f t="shared" si="5"/>
        <v>5.0256273543357564E-2</v>
      </c>
      <c r="L73" s="305">
        <f>D73*10^(-3)/G73</f>
        <v>4.4053708439897697E-4</v>
      </c>
      <c r="M73" s="81"/>
    </row>
    <row r="74" spans="1:13" ht="13" outlineLevel="1">
      <c r="A74" s="80" t="s">
        <v>412</v>
      </c>
      <c r="B74" s="340" t="s">
        <v>11</v>
      </c>
      <c r="C74" s="32">
        <v>1</v>
      </c>
      <c r="D74" s="32">
        <v>2.5</v>
      </c>
      <c r="E74" s="55">
        <f t="shared" si="3"/>
        <v>0.28519888179176794</v>
      </c>
      <c r="F74" s="34"/>
      <c r="G74" s="32">
        <v>31.4</v>
      </c>
      <c r="H74" s="34"/>
      <c r="I74" s="93"/>
      <c r="J74" s="113"/>
      <c r="K74" s="105">
        <f t="shared" si="5"/>
        <v>9.0827669360435664E-3</v>
      </c>
      <c r="L74" s="305">
        <f>D74*10^(-3)/G74</f>
        <v>7.9617834394904468E-5</v>
      </c>
      <c r="M74" s="81"/>
    </row>
    <row r="75" spans="1:13" ht="13" outlineLevel="1">
      <c r="A75" s="80" t="s">
        <v>413</v>
      </c>
      <c r="B75" s="340" t="s">
        <v>11</v>
      </c>
      <c r="C75" s="32">
        <v>25</v>
      </c>
      <c r="D75" s="32">
        <v>84.5</v>
      </c>
      <c r="E75" s="55">
        <f t="shared" si="3"/>
        <v>0.38558888818247022</v>
      </c>
      <c r="F75" s="32">
        <v>1.5</v>
      </c>
      <c r="G75" s="32">
        <v>74.599999999999994</v>
      </c>
      <c r="H75" s="34"/>
      <c r="I75" s="93">
        <f t="shared" si="4"/>
        <v>6.426481469707837</v>
      </c>
      <c r="J75" s="103">
        <f>D75*10^(-3)/F75</f>
        <v>5.6333333333333339E-2</v>
      </c>
      <c r="K75" s="105">
        <f t="shared" si="5"/>
        <v>0.12921879630779834</v>
      </c>
      <c r="L75" s="305">
        <f>D75*10^(-3)/G75</f>
        <v>1.1327077747989279E-3</v>
      </c>
      <c r="M75" s="13">
        <f>J75/L75</f>
        <v>49.733333333333327</v>
      </c>
    </row>
    <row r="76" spans="1:13" ht="13" outlineLevel="1">
      <c r="A76" s="80" t="s">
        <v>414</v>
      </c>
      <c r="B76" s="340" t="s">
        <v>11</v>
      </c>
      <c r="C76" s="32">
        <v>172</v>
      </c>
      <c r="D76" s="32">
        <v>1052</v>
      </c>
      <c r="E76" s="55">
        <f t="shared" si="3"/>
        <v>0.69774238056962756</v>
      </c>
      <c r="F76" s="34"/>
      <c r="G76" s="32">
        <v>102000</v>
      </c>
      <c r="H76" s="34"/>
      <c r="I76" s="93"/>
      <c r="J76" s="113"/>
      <c r="K76" s="105">
        <f t="shared" si="5"/>
        <v>1.1765851907644701E-3</v>
      </c>
      <c r="L76" s="305">
        <f>D76*10^(-3)/G76</f>
        <v>1.0313725490196079E-5</v>
      </c>
      <c r="M76" s="81"/>
    </row>
    <row r="77" spans="1:13" ht="13">
      <c r="A77" s="80" t="s">
        <v>415</v>
      </c>
      <c r="B77" s="340" t="s">
        <v>11</v>
      </c>
      <c r="C77" s="32">
        <v>29</v>
      </c>
      <c r="D77" s="32">
        <v>148.24</v>
      </c>
      <c r="E77" s="55">
        <f t="shared" si="3"/>
        <v>0.58314320326636793</v>
      </c>
      <c r="F77" s="32">
        <v>1.31</v>
      </c>
      <c r="G77" s="32">
        <v>45</v>
      </c>
      <c r="H77" s="34"/>
      <c r="I77" s="93">
        <f t="shared" si="4"/>
        <v>12.909277018873793</v>
      </c>
      <c r="J77" s="103">
        <f>D77*10^(-3)/F77</f>
        <v>0.11316030534351146</v>
      </c>
      <c r="K77" s="105">
        <f t="shared" si="5"/>
        <v>0.37580339766054821</v>
      </c>
      <c r="L77" s="305">
        <f>D77*10^(-3)/G77</f>
        <v>3.2942222222222223E-3</v>
      </c>
      <c r="M77" s="13">
        <f>J77/L77</f>
        <v>34.351145038167942</v>
      </c>
    </row>
    <row r="78" spans="1:13" ht="13">
      <c r="A78" s="80" t="s">
        <v>416</v>
      </c>
      <c r="B78" s="340" t="s">
        <v>11</v>
      </c>
      <c r="C78" s="32">
        <v>157</v>
      </c>
      <c r="D78" s="32">
        <v>775.78</v>
      </c>
      <c r="E78" s="55">
        <f t="shared" si="3"/>
        <v>0.56369831469151011</v>
      </c>
      <c r="F78" s="32">
        <v>0.35</v>
      </c>
      <c r="G78" s="32">
        <v>107</v>
      </c>
      <c r="H78" s="34"/>
      <c r="I78" s="93">
        <f t="shared" si="4"/>
        <v>252.8589583044774</v>
      </c>
      <c r="J78" s="103">
        <f>D78*10^(-3)/F78</f>
        <v>2.2165142857142861</v>
      </c>
      <c r="K78" s="105">
        <f t="shared" si="5"/>
        <v>0.82710874211744934</v>
      </c>
      <c r="L78" s="305">
        <f>D78*10^(-3)/G78</f>
        <v>7.2502803738317759E-3</v>
      </c>
      <c r="M78" s="13">
        <f>J78/L78</f>
        <v>305.71428571428578</v>
      </c>
    </row>
    <row r="79" spans="1:13" ht="13" outlineLevel="1">
      <c r="A79" s="80" t="s">
        <v>417</v>
      </c>
      <c r="B79" s="340" t="s">
        <v>11</v>
      </c>
      <c r="C79" s="32">
        <v>450</v>
      </c>
      <c r="D79" s="32">
        <v>614</v>
      </c>
      <c r="E79" s="55">
        <f t="shared" si="3"/>
        <v>0.15565521192901824</v>
      </c>
      <c r="F79" s="32">
        <v>1</v>
      </c>
      <c r="G79" s="32">
        <v>170</v>
      </c>
      <c r="H79" s="34"/>
      <c r="I79" s="93">
        <f t="shared" si="4"/>
        <v>70.044845368058205</v>
      </c>
      <c r="J79" s="103">
        <f>D79*10^(-3)/F79</f>
        <v>0.61399999999999999</v>
      </c>
      <c r="K79" s="105">
        <f t="shared" si="5"/>
        <v>0.41202850216504827</v>
      </c>
      <c r="L79" s="305">
        <f>D79*10^(-3)/G79</f>
        <v>3.611764705882353E-3</v>
      </c>
      <c r="M79" s="13">
        <f>J79/L79</f>
        <v>170</v>
      </c>
    </row>
    <row r="80" spans="1:13" ht="15" outlineLevel="1" thickBot="1">
      <c r="A80" s="82" t="s">
        <v>418</v>
      </c>
      <c r="B80" s="344" t="s">
        <v>11</v>
      </c>
      <c r="C80" s="76">
        <v>1028.5</v>
      </c>
      <c r="D80" s="76">
        <v>1216</v>
      </c>
      <c r="E80" s="90">
        <f t="shared" si="3"/>
        <v>0.13487674876374908</v>
      </c>
      <c r="F80" s="76">
        <v>2.5499999999999998</v>
      </c>
      <c r="G80" s="76">
        <v>129</v>
      </c>
      <c r="H80" s="77"/>
      <c r="I80" s="185">
        <f t="shared" si="4"/>
        <v>54.400288668045462</v>
      </c>
      <c r="J80" s="301">
        <f>D80*10^(-3)/F80</f>
        <v>0.47686274509803922</v>
      </c>
      <c r="K80" s="303">
        <f t="shared" si="5"/>
        <v>1.075354543438108</v>
      </c>
      <c r="L80" s="306">
        <f>D80*10^(-3)/G80</f>
        <v>9.4263565891472868E-3</v>
      </c>
      <c r="M80" s="83">
        <f>J80/L80</f>
        <v>50.588235294117645</v>
      </c>
    </row>
    <row r="81" spans="1:13" ht="13" outlineLevel="1">
      <c r="A81" s="84" t="s">
        <v>419</v>
      </c>
      <c r="B81" s="343" t="s">
        <v>20</v>
      </c>
      <c r="C81" s="73">
        <v>0.25</v>
      </c>
      <c r="D81" s="74"/>
      <c r="E81" s="88">
        <f>D81/(C81*8765.81277)*1000</f>
        <v>0</v>
      </c>
      <c r="F81" s="73">
        <v>0.56999999999999995</v>
      </c>
      <c r="G81" s="73">
        <v>60.5</v>
      </c>
      <c r="H81" s="74"/>
      <c r="I81" s="184"/>
      <c r="J81" s="74"/>
      <c r="K81" s="184"/>
      <c r="L81" s="308"/>
      <c r="M81" s="85"/>
    </row>
    <row r="82" spans="1:13" ht="13" outlineLevel="1">
      <c r="A82" s="86" t="s">
        <v>420</v>
      </c>
      <c r="B82" s="340" t="s">
        <v>20</v>
      </c>
      <c r="C82" s="32">
        <v>21</v>
      </c>
      <c r="D82" s="34"/>
      <c r="E82" s="55">
        <f>D82/(C82*8765.81277)*1000</f>
        <v>0</v>
      </c>
      <c r="F82" s="32">
        <v>11.8</v>
      </c>
      <c r="G82" s="32">
        <v>1443</v>
      </c>
      <c r="H82" s="34"/>
      <c r="I82" s="93"/>
      <c r="J82" s="34"/>
      <c r="K82" s="93"/>
      <c r="L82" s="307"/>
      <c r="M82" s="81"/>
    </row>
    <row r="83" spans="1:13" ht="13" outlineLevel="1">
      <c r="A83" s="86" t="s">
        <v>421</v>
      </c>
      <c r="B83" s="340" t="s">
        <v>20</v>
      </c>
      <c r="C83" s="32">
        <v>0.57999999999999996</v>
      </c>
      <c r="D83" s="34"/>
      <c r="E83" s="55">
        <f>D83/(C83*8765.81277)*1000</f>
        <v>0</v>
      </c>
      <c r="F83" s="32">
        <v>0.62</v>
      </c>
      <c r="G83" s="32">
        <v>18.600000000000001</v>
      </c>
      <c r="H83" s="34"/>
      <c r="I83" s="93"/>
      <c r="J83" s="34"/>
      <c r="K83" s="93"/>
      <c r="L83" s="307"/>
      <c r="M83" s="81"/>
    </row>
    <row r="84" spans="1:13" ht="13" outlineLevel="1">
      <c r="A84" s="86" t="s">
        <v>422</v>
      </c>
      <c r="B84" s="340" t="s">
        <v>20</v>
      </c>
      <c r="C84" s="32">
        <v>1.7</v>
      </c>
      <c r="D84" s="34"/>
      <c r="E84" s="55">
        <f t="shared" ref="E84:E111" si="6">D84/(C84*8765.81277)*1000</f>
        <v>0</v>
      </c>
      <c r="F84" s="32">
        <v>3.7</v>
      </c>
      <c r="G84" s="32">
        <v>200</v>
      </c>
      <c r="H84" s="34"/>
      <c r="I84" s="93"/>
      <c r="J84" s="34"/>
      <c r="K84" s="93"/>
      <c r="L84" s="307"/>
      <c r="M84" s="81"/>
    </row>
    <row r="85" spans="1:13" ht="13" outlineLevel="1">
      <c r="A85" s="86" t="s">
        <v>423</v>
      </c>
      <c r="B85" s="340" t="s">
        <v>20</v>
      </c>
      <c r="C85" s="32">
        <v>3</v>
      </c>
      <c r="D85" s="32">
        <v>2.6</v>
      </c>
      <c r="E85" s="55">
        <f t="shared" si="6"/>
        <v>9.886894568781289E-2</v>
      </c>
      <c r="F85" s="32">
        <v>1.1000000000000001</v>
      </c>
      <c r="G85" s="32">
        <v>47.92</v>
      </c>
      <c r="H85" s="34"/>
      <c r="I85" s="93">
        <f t="shared" ref="I82:I111" si="7">C85*E85/F85</f>
        <v>0.26964257914858059</v>
      </c>
      <c r="J85" s="103">
        <f>D85*10^(-3)/F85</f>
        <v>2.3636363636363638E-3</v>
      </c>
      <c r="K85" s="105">
        <f t="shared" si="5"/>
        <v>6.1896251474006393E-3</v>
      </c>
      <c r="L85" s="305">
        <f>D85*10^(-3)/G85</f>
        <v>5.4257095158597669E-5</v>
      </c>
      <c r="M85" s="13">
        <f>J85/L85</f>
        <v>43.563636363636363</v>
      </c>
    </row>
    <row r="86" spans="1:13" ht="13" outlineLevel="1">
      <c r="A86" s="86" t="s">
        <v>424</v>
      </c>
      <c r="B86" s="340" t="s">
        <v>20</v>
      </c>
      <c r="C86" s="32">
        <v>1.44</v>
      </c>
      <c r="D86" s="32">
        <v>3.1</v>
      </c>
      <c r="E86" s="55">
        <f t="shared" si="6"/>
        <v>0.24558792598735577</v>
      </c>
      <c r="F86" s="32">
        <v>1.24</v>
      </c>
      <c r="G86" s="32">
        <v>49</v>
      </c>
      <c r="H86" s="34"/>
      <c r="I86" s="93">
        <f t="shared" si="7"/>
        <v>0.28519888179176794</v>
      </c>
      <c r="J86" s="103">
        <f>D86*10^(-3)/F86</f>
        <v>2.5000000000000005E-3</v>
      </c>
      <c r="K86" s="105">
        <f t="shared" si="5"/>
        <v>7.2172778249345359E-3</v>
      </c>
      <c r="L86" s="305">
        <f>D86*10^(-3)/G86</f>
        <v>6.3265306122448989E-5</v>
      </c>
      <c r="M86" s="13">
        <f>J86/L86</f>
        <v>39.516129032258064</v>
      </c>
    </row>
    <row r="87" spans="1:13" ht="14" outlineLevel="1" thickBot="1">
      <c r="A87" s="87" t="s">
        <v>425</v>
      </c>
      <c r="B87" s="344" t="s">
        <v>20</v>
      </c>
      <c r="C87" s="76">
        <v>3.8</v>
      </c>
      <c r="D87" s="76">
        <v>20</v>
      </c>
      <c r="E87" s="90">
        <f t="shared" si="6"/>
        <v>0.60041869850898522</v>
      </c>
      <c r="F87" s="76">
        <v>6.6</v>
      </c>
      <c r="G87" s="76">
        <v>1100</v>
      </c>
      <c r="H87" s="77"/>
      <c r="I87" s="185">
        <f t="shared" si="7"/>
        <v>0.34569561429305207</v>
      </c>
      <c r="J87" s="301">
        <f>D87*10^(-3)/F87</f>
        <v>3.0303030303030307E-3</v>
      </c>
      <c r="K87" s="303">
        <f t="shared" si="5"/>
        <v>2.0741736857583125E-3</v>
      </c>
      <c r="L87" s="306">
        <f>D87*10^(-3)/G87</f>
        <v>1.8181818181818182E-5</v>
      </c>
      <c r="M87" s="83">
        <f>J87/L87</f>
        <v>166.66666666666669</v>
      </c>
    </row>
    <row r="88" spans="1:13" ht="13" outlineLevel="1">
      <c r="A88" s="84" t="s">
        <v>426</v>
      </c>
      <c r="B88" s="343" t="s">
        <v>21</v>
      </c>
      <c r="C88" s="73">
        <v>210</v>
      </c>
      <c r="D88" s="73">
        <v>500</v>
      </c>
      <c r="E88" s="88">
        <f t="shared" si="6"/>
        <v>0.27161798265882664</v>
      </c>
      <c r="F88" s="73">
        <v>310</v>
      </c>
      <c r="G88" s="73">
        <v>4025</v>
      </c>
      <c r="H88" s="74"/>
      <c r="I88" s="184">
        <f t="shared" si="7"/>
        <v>0.18399927857533416</v>
      </c>
      <c r="J88" s="299">
        <f>D88*10^(-3)/F88</f>
        <v>1.6129032258064516E-3</v>
      </c>
      <c r="K88" s="284">
        <f t="shared" si="5"/>
        <v>1.4171373008286607E-2</v>
      </c>
      <c r="L88" s="304">
        <f>D88*10^(-3)/G88</f>
        <v>1.2422360248447205E-4</v>
      </c>
      <c r="M88" s="75">
        <f>J88/L88</f>
        <v>12.983870967741934</v>
      </c>
    </row>
    <row r="89" spans="1:13" ht="13" outlineLevel="1">
      <c r="A89" s="86" t="s">
        <v>427</v>
      </c>
      <c r="B89" s="340" t="s">
        <v>21</v>
      </c>
      <c r="C89" s="32">
        <v>115</v>
      </c>
      <c r="D89" s="32">
        <v>223</v>
      </c>
      <c r="E89" s="55">
        <f t="shared" si="6"/>
        <v>0.22121513265935391</v>
      </c>
      <c r="F89" s="32">
        <v>1</v>
      </c>
      <c r="G89" s="34"/>
      <c r="H89" s="34"/>
      <c r="I89" s="93">
        <f t="shared" si="7"/>
        <v>25.439740255825701</v>
      </c>
      <c r="J89" s="103">
        <f>D89*10^(-3)/F89</f>
        <v>0.223</v>
      </c>
      <c r="K89" s="93"/>
      <c r="L89" s="307"/>
      <c r="M89" s="81"/>
    </row>
    <row r="90" spans="1:13" ht="13" outlineLevel="1">
      <c r="A90" s="86" t="s">
        <v>428</v>
      </c>
      <c r="B90" s="340" t="s">
        <v>21</v>
      </c>
      <c r="C90" s="32">
        <v>510</v>
      </c>
      <c r="D90" s="32">
        <v>1150</v>
      </c>
      <c r="E90" s="55">
        <f t="shared" si="6"/>
        <v>0.25723820710630052</v>
      </c>
      <c r="F90" s="32">
        <v>12</v>
      </c>
      <c r="G90" s="34"/>
      <c r="H90" s="34"/>
      <c r="I90" s="93">
        <f t="shared" si="7"/>
        <v>10.932623802017773</v>
      </c>
      <c r="J90" s="103">
        <f>D90*10^(-3)/F90</f>
        <v>9.583333333333334E-2</v>
      </c>
      <c r="K90" s="93"/>
      <c r="L90" s="307"/>
      <c r="M90" s="81"/>
    </row>
    <row r="91" spans="1:13" ht="13" outlineLevel="1">
      <c r="A91" s="86" t="s">
        <v>429</v>
      </c>
      <c r="B91" s="340" t="s">
        <v>21</v>
      </c>
      <c r="C91" s="32">
        <v>221</v>
      </c>
      <c r="D91" s="32">
        <v>560</v>
      </c>
      <c r="E91" s="55">
        <f t="shared" si="6"/>
        <v>0.28907035982514034</v>
      </c>
      <c r="F91" s="32">
        <v>2.4</v>
      </c>
      <c r="G91" s="34"/>
      <c r="H91" s="34"/>
      <c r="I91" s="93">
        <f t="shared" si="7"/>
        <v>26.618562300565006</v>
      </c>
      <c r="J91" s="103">
        <f>D91*10^(-3)/F91</f>
        <v>0.23333333333333336</v>
      </c>
      <c r="K91" s="93"/>
      <c r="L91" s="307"/>
      <c r="M91" s="81"/>
    </row>
    <row r="92" spans="1:13" ht="13" outlineLevel="1">
      <c r="A92" s="86" t="s">
        <v>430</v>
      </c>
      <c r="B92" s="340" t="s">
        <v>21</v>
      </c>
      <c r="C92" s="32">
        <v>150</v>
      </c>
      <c r="D92" s="32">
        <v>260</v>
      </c>
      <c r="E92" s="55">
        <f t="shared" si="6"/>
        <v>0.19773789137562575</v>
      </c>
      <c r="F92" s="32">
        <v>4.54</v>
      </c>
      <c r="G92" s="34"/>
      <c r="H92" s="34"/>
      <c r="I92" s="93">
        <f t="shared" si="7"/>
        <v>6.5331902436880753</v>
      </c>
      <c r="J92" s="103">
        <f>D92*10^(-3)/F92</f>
        <v>5.7268722466960353E-2</v>
      </c>
      <c r="K92" s="93"/>
      <c r="L92" s="307"/>
      <c r="M92" s="81"/>
    </row>
    <row r="93" spans="1:13" ht="13">
      <c r="A93" s="86" t="s">
        <v>431</v>
      </c>
      <c r="B93" s="340" t="s">
        <v>21</v>
      </c>
      <c r="C93" s="32">
        <v>2281.8000000000002</v>
      </c>
      <c r="D93" s="32">
        <v>5240</v>
      </c>
      <c r="E93" s="55">
        <f t="shared" si="6"/>
        <v>0.26197600851763764</v>
      </c>
      <c r="F93" s="32">
        <v>104.41</v>
      </c>
      <c r="G93" s="32">
        <v>577250</v>
      </c>
      <c r="H93" s="34"/>
      <c r="I93" s="93">
        <f t="shared" si="7"/>
        <v>5.7252835574709859</v>
      </c>
      <c r="J93" s="103">
        <f>D93*10^(-3)/F93</f>
        <v>5.0186763719950199E-2</v>
      </c>
      <c r="K93" s="105">
        <f t="shared" si="5"/>
        <v>1.0355597336258911E-3</v>
      </c>
      <c r="L93" s="305">
        <f>D93*10^(-3)/G93</f>
        <v>9.0775227371156341E-6</v>
      </c>
      <c r="M93" s="13">
        <f>J93/L93</f>
        <v>5528.6849918590178</v>
      </c>
    </row>
    <row r="94" spans="1:13" ht="13">
      <c r="A94" s="86" t="s">
        <v>432</v>
      </c>
      <c r="B94" s="340" t="s">
        <v>21</v>
      </c>
      <c r="C94" s="32">
        <v>321</v>
      </c>
      <c r="D94" s="32">
        <v>1300</v>
      </c>
      <c r="E94" s="55">
        <f t="shared" si="6"/>
        <v>0.46200441910192941</v>
      </c>
      <c r="F94" s="32">
        <v>52</v>
      </c>
      <c r="G94" s="32">
        <v>579200</v>
      </c>
      <c r="H94" s="34"/>
      <c r="I94" s="93">
        <f t="shared" si="7"/>
        <v>2.8519888179176793</v>
      </c>
      <c r="J94" s="103">
        <f>D94*10^(-3)/F94</f>
        <v>2.5000000000000001E-2</v>
      </c>
      <c r="K94" s="105">
        <f t="shared" si="5"/>
        <v>2.5604871984067566E-4</v>
      </c>
      <c r="L94" s="305">
        <f>D94*10^(-3)/G94</f>
        <v>2.2444751381215472E-6</v>
      </c>
      <c r="M94" s="13">
        <f>J94/L94</f>
        <v>11138.461538461537</v>
      </c>
    </row>
    <row r="95" spans="1:13" ht="13" outlineLevel="1">
      <c r="A95" s="86" t="s">
        <v>433</v>
      </c>
      <c r="B95" s="340" t="s">
        <v>21</v>
      </c>
      <c r="C95" s="32">
        <v>100</v>
      </c>
      <c r="D95" s="32">
        <v>200</v>
      </c>
      <c r="E95" s="55">
        <f t="shared" si="6"/>
        <v>0.22815910543341436</v>
      </c>
      <c r="F95" s="32">
        <v>1</v>
      </c>
      <c r="G95" s="34"/>
      <c r="H95" s="34"/>
      <c r="I95" s="93">
        <f t="shared" si="7"/>
        <v>22.815910543341435</v>
      </c>
      <c r="J95" s="103">
        <f>D95*10^(-3)/F95</f>
        <v>0.2</v>
      </c>
      <c r="K95" s="93"/>
      <c r="L95" s="307"/>
      <c r="M95" s="81"/>
    </row>
    <row r="96" spans="1:13" ht="13" outlineLevel="1">
      <c r="A96" s="86" t="s">
        <v>434</v>
      </c>
      <c r="B96" s="340" t="s">
        <v>21</v>
      </c>
      <c r="C96" s="32">
        <v>153</v>
      </c>
      <c r="D96" s="32">
        <v>130</v>
      </c>
      <c r="E96" s="55">
        <f t="shared" si="6"/>
        <v>9.6930338909620481E-2</v>
      </c>
      <c r="F96" s="32">
        <v>1.25</v>
      </c>
      <c r="G96" s="34"/>
      <c r="H96" s="34"/>
      <c r="I96" s="93">
        <f t="shared" si="7"/>
        <v>11.864273482537547</v>
      </c>
      <c r="J96" s="103">
        <f>D96*10^(-3)/F96</f>
        <v>0.10400000000000001</v>
      </c>
      <c r="K96" s="93"/>
      <c r="L96" s="307"/>
      <c r="M96" s="81"/>
    </row>
    <row r="97" spans="1:13" ht="13" outlineLevel="1">
      <c r="A97" s="86" t="s">
        <v>435</v>
      </c>
      <c r="B97" s="340" t="s">
        <v>21</v>
      </c>
      <c r="C97" s="32">
        <v>335</v>
      </c>
      <c r="D97" s="32">
        <v>650</v>
      </c>
      <c r="E97" s="55">
        <f t="shared" si="6"/>
        <v>0.22134838586823782</v>
      </c>
      <c r="F97" s="32">
        <v>4.0999999999999996</v>
      </c>
      <c r="G97" s="34"/>
      <c r="H97" s="34"/>
      <c r="I97" s="93">
        <f t="shared" si="7"/>
        <v>18.085782747770651</v>
      </c>
      <c r="J97" s="103">
        <f>D97*10^(-3)/F97</f>
        <v>0.15853658536585369</v>
      </c>
      <c r="K97" s="93"/>
      <c r="L97" s="307"/>
      <c r="M97" s="81"/>
    </row>
    <row r="98" spans="1:13" ht="13" outlineLevel="1">
      <c r="A98" s="86" t="s">
        <v>436</v>
      </c>
      <c r="B98" s="340" t="s">
        <v>21</v>
      </c>
      <c r="C98" s="32">
        <v>150</v>
      </c>
      <c r="D98" s="32">
        <v>260</v>
      </c>
      <c r="E98" s="55">
        <f t="shared" si="6"/>
        <v>0.19773789137562575</v>
      </c>
      <c r="F98" s="32">
        <v>0.81</v>
      </c>
      <c r="G98" s="34"/>
      <c r="H98" s="34"/>
      <c r="I98" s="93">
        <f t="shared" si="7"/>
        <v>36.618128032523288</v>
      </c>
      <c r="J98" s="103">
        <f>D98*10^(-3)/F98</f>
        <v>0.32098765432098764</v>
      </c>
      <c r="K98" s="93"/>
      <c r="L98" s="307"/>
      <c r="M98" s="81"/>
    </row>
    <row r="99" spans="1:13" ht="14" outlineLevel="1" thickBot="1">
      <c r="A99" s="87" t="s">
        <v>437</v>
      </c>
      <c r="B99" s="344" t="s">
        <v>21</v>
      </c>
      <c r="C99" s="76">
        <v>106</v>
      </c>
      <c r="D99" s="76">
        <v>262</v>
      </c>
      <c r="E99" s="90">
        <f t="shared" si="6"/>
        <v>0.28197021520544607</v>
      </c>
      <c r="F99" s="76">
        <v>0.37</v>
      </c>
      <c r="G99" s="76">
        <v>79</v>
      </c>
      <c r="H99" s="77"/>
      <c r="I99" s="185">
        <f t="shared" si="7"/>
        <v>80.780656248046711</v>
      </c>
      <c r="J99" s="301">
        <f>D99*10^(-3)/F99</f>
        <v>0.70810810810810809</v>
      </c>
      <c r="K99" s="185">
        <f t="shared" si="5"/>
        <v>0.37833978242756056</v>
      </c>
      <c r="L99" s="306">
        <f>D99*10^(-3)/G99</f>
        <v>3.3164556962025317E-3</v>
      </c>
      <c r="M99" s="83">
        <f>J99/L99</f>
        <v>213.51351351351352</v>
      </c>
    </row>
    <row r="100" spans="1:13" ht="13" outlineLevel="1">
      <c r="A100" s="65" t="s">
        <v>670</v>
      </c>
      <c r="B100" s="343" t="s">
        <v>13</v>
      </c>
      <c r="C100" s="47">
        <v>128</v>
      </c>
      <c r="D100" s="47">
        <v>350</v>
      </c>
      <c r="E100" s="88">
        <f t="shared" si="6"/>
        <v>0.31193627695974618</v>
      </c>
      <c r="F100" s="47">
        <v>6.85</v>
      </c>
      <c r="G100" s="47"/>
      <c r="H100" s="47"/>
      <c r="I100" s="184">
        <f t="shared" si="7"/>
        <v>5.8288822555981774</v>
      </c>
      <c r="J100" s="107">
        <f>D100*10^(-3)/F100</f>
        <v>5.1094890510948912E-2</v>
      </c>
      <c r="K100" s="184"/>
      <c r="L100" s="309"/>
      <c r="M100" s="49"/>
    </row>
    <row r="101" spans="1:13" ht="13" outlineLevel="1">
      <c r="A101" s="66" t="s">
        <v>671</v>
      </c>
      <c r="B101" s="340" t="s">
        <v>13</v>
      </c>
      <c r="C101" s="36">
        <v>80</v>
      </c>
      <c r="D101" s="36">
        <v>223.75</v>
      </c>
      <c r="E101" s="55">
        <f t="shared" si="6"/>
        <v>0.31906624900454034</v>
      </c>
      <c r="F101" s="36">
        <v>3.47</v>
      </c>
      <c r="G101" s="36"/>
      <c r="H101" s="36"/>
      <c r="I101" s="93">
        <f t="shared" si="7"/>
        <v>7.3559942133611607</v>
      </c>
      <c r="J101" s="92">
        <f>D101*10^(-3)/F101</f>
        <v>6.4481268011527371E-2</v>
      </c>
      <c r="K101" s="93"/>
      <c r="L101" s="104"/>
      <c r="M101" s="53"/>
    </row>
    <row r="102" spans="1:13" ht="13" outlineLevel="1">
      <c r="A102" s="66" t="s">
        <v>672</v>
      </c>
      <c r="B102" s="340" t="s">
        <v>13</v>
      </c>
      <c r="C102" s="36">
        <v>61.94</v>
      </c>
      <c r="D102" s="36">
        <v>169.97</v>
      </c>
      <c r="E102" s="55">
        <f t="shared" si="6"/>
        <v>0.31304652204163258</v>
      </c>
      <c r="F102" s="36">
        <v>3.47</v>
      </c>
      <c r="G102" s="36"/>
      <c r="H102" s="36"/>
      <c r="I102" s="93">
        <f t="shared" si="7"/>
        <v>5.5879255260111584</v>
      </c>
      <c r="J102" s="92">
        <f>D102*10^(-3)/F102</f>
        <v>4.8982708933717582E-2</v>
      </c>
      <c r="K102" s="93"/>
      <c r="L102" s="104"/>
      <c r="M102" s="53"/>
    </row>
    <row r="103" spans="1:13" ht="13" outlineLevel="1">
      <c r="A103" s="66" t="s">
        <v>673</v>
      </c>
      <c r="B103" s="340" t="s">
        <v>13</v>
      </c>
      <c r="C103" s="36">
        <v>1230</v>
      </c>
      <c r="D103" s="36">
        <v>3365.42</v>
      </c>
      <c r="E103" s="55">
        <f t="shared" si="6"/>
        <v>0.31213464089744775</v>
      </c>
      <c r="F103" s="36">
        <v>3.64</v>
      </c>
      <c r="G103" s="36">
        <v>73458</v>
      </c>
      <c r="H103" s="36"/>
      <c r="I103" s="93">
        <f t="shared" si="7"/>
        <v>105.47406821534635</v>
      </c>
      <c r="J103" s="92">
        <f>D103*10^(-3)/F103</f>
        <v>0.92456593406593413</v>
      </c>
      <c r="K103" s="105">
        <f t="shared" si="5"/>
        <v>5.2264642149780927E-3</v>
      </c>
      <c r="L103" s="104">
        <f>D103*10^(-3)/G103</f>
        <v>4.5814206757602987E-5</v>
      </c>
      <c r="M103" s="53">
        <f>I103/K103</f>
        <v>20180.76923076923</v>
      </c>
    </row>
    <row r="104" spans="1:13" ht="13" outlineLevel="1">
      <c r="A104" s="66" t="s">
        <v>674</v>
      </c>
      <c r="B104" s="340" t="s">
        <v>13</v>
      </c>
      <c r="C104" s="36">
        <v>842</v>
      </c>
      <c r="D104" s="36"/>
      <c r="E104" s="55">
        <f t="shared" si="6"/>
        <v>0</v>
      </c>
      <c r="F104" s="36">
        <v>86.5</v>
      </c>
      <c r="G104" s="36">
        <v>7100</v>
      </c>
      <c r="H104" s="36"/>
      <c r="I104" s="93"/>
      <c r="J104" s="46"/>
      <c r="K104" s="105">
        <f t="shared" si="5"/>
        <v>0</v>
      </c>
      <c r="L104" s="104"/>
      <c r="M104" s="53"/>
    </row>
    <row r="105" spans="1:13" ht="13" outlineLevel="1">
      <c r="A105" s="66" t="s">
        <v>675</v>
      </c>
      <c r="B105" s="340" t="s">
        <v>13</v>
      </c>
      <c r="C105" s="36">
        <v>525</v>
      </c>
      <c r="D105" s="36">
        <v>1417.02</v>
      </c>
      <c r="E105" s="55">
        <f t="shared" si="6"/>
        <v>0.30791049102976836</v>
      </c>
      <c r="F105" s="36">
        <v>5.89</v>
      </c>
      <c r="G105" s="36">
        <v>73715</v>
      </c>
      <c r="H105" s="36"/>
      <c r="I105" s="93">
        <f t="shared" si="7"/>
        <v>27.445332392296841</v>
      </c>
      <c r="J105" s="91">
        <f>D105*10^(-3)/F105</f>
        <v>0.24058064516129032</v>
      </c>
      <c r="K105" s="105">
        <f t="shared" si="5"/>
        <v>2.1929459104745083E-3</v>
      </c>
      <c r="L105" s="104">
        <f>D105*10^(-3)/G105</f>
        <v>1.9222953265956724E-5</v>
      </c>
      <c r="M105" s="53">
        <f>I105/K105</f>
        <v>12515.28013582343</v>
      </c>
    </row>
    <row r="106" spans="1:13" ht="13" outlineLevel="1">
      <c r="A106" s="66" t="s">
        <v>676</v>
      </c>
      <c r="B106" s="340" t="s">
        <v>13</v>
      </c>
      <c r="C106" s="36">
        <v>190</v>
      </c>
      <c r="D106" s="36">
        <v>535.89</v>
      </c>
      <c r="E106" s="55">
        <f t="shared" si="6"/>
        <v>0.32175837634398002</v>
      </c>
      <c r="F106" s="36">
        <v>1.8</v>
      </c>
      <c r="G106" s="36">
        <v>63196</v>
      </c>
      <c r="H106" s="36"/>
      <c r="I106" s="93">
        <f t="shared" si="7"/>
        <v>33.963384169642332</v>
      </c>
      <c r="J106" s="91">
        <f>D106*10^(-3)/F106</f>
        <v>0.29771666666666663</v>
      </c>
      <c r="K106" s="105">
        <f t="shared" si="5"/>
        <v>9.6737280057845757E-4</v>
      </c>
      <c r="L106" s="104">
        <f>D106*10^(-3)/G106</f>
        <v>8.479808848661307E-6</v>
      </c>
      <c r="M106" s="53">
        <f>I106/K106</f>
        <v>35108.888888888883</v>
      </c>
    </row>
    <row r="107" spans="1:13" ht="13" outlineLevel="1">
      <c r="A107" s="66" t="s">
        <v>677</v>
      </c>
      <c r="B107" s="340" t="s">
        <v>13</v>
      </c>
      <c r="C107" s="36">
        <v>291</v>
      </c>
      <c r="D107" s="36">
        <v>896.14</v>
      </c>
      <c r="E107" s="55">
        <f t="shared" si="6"/>
        <v>0.35131013873384864</v>
      </c>
      <c r="F107" s="36">
        <v>57.25</v>
      </c>
      <c r="G107" s="36">
        <v>17020</v>
      </c>
      <c r="H107" s="36"/>
      <c r="I107" s="93">
        <f t="shared" si="7"/>
        <v>1.7856986964462875</v>
      </c>
      <c r="J107" s="91">
        <f>D107*10^(-3)/F107</f>
        <v>1.5653100436681222E-2</v>
      </c>
      <c r="K107" s="105">
        <f t="shared" si="5"/>
        <v>6.0065364495622778E-3</v>
      </c>
      <c r="L107" s="104">
        <f>D107*10^(-3)/G107</f>
        <v>5.2652173913043482E-5</v>
      </c>
      <c r="M107" s="53">
        <f>I107/K107</f>
        <v>297.29257641921396</v>
      </c>
    </row>
    <row r="108" spans="1:13" ht="13" outlineLevel="1">
      <c r="A108" s="66" t="s">
        <v>678</v>
      </c>
      <c r="B108" s="340" t="s">
        <v>13</v>
      </c>
      <c r="C108" s="36">
        <v>206</v>
      </c>
      <c r="D108" s="36">
        <v>592.20000000000005</v>
      </c>
      <c r="E108" s="55">
        <f t="shared" si="6"/>
        <v>0.32795102484870875</v>
      </c>
      <c r="F108" s="36">
        <v>4.45</v>
      </c>
      <c r="G108" s="36">
        <v>62960</v>
      </c>
      <c r="H108" s="36"/>
      <c r="I108" s="93">
        <f t="shared" si="7"/>
        <v>15.181553060412135</v>
      </c>
      <c r="J108" s="91">
        <f>D108*10^(-3)/F108</f>
        <v>0.13307865168539326</v>
      </c>
      <c r="K108" s="105">
        <f t="shared" si="5"/>
        <v>1.0730290838442502E-3</v>
      </c>
      <c r="L108" s="104">
        <f>D108*10^(-3)/G108</f>
        <v>9.4059720457433294E-6</v>
      </c>
      <c r="M108" s="53">
        <f>I108/K108</f>
        <v>14148.314606741575</v>
      </c>
    </row>
    <row r="109" spans="1:13" ht="13" outlineLevel="1">
      <c r="A109" s="66" t="s">
        <v>679</v>
      </c>
      <c r="B109" s="340" t="s">
        <v>13</v>
      </c>
      <c r="C109" s="36">
        <v>56</v>
      </c>
      <c r="D109" s="36"/>
      <c r="E109" s="55">
        <f t="shared" si="6"/>
        <v>0</v>
      </c>
      <c r="F109" s="36">
        <v>68.400000000000006</v>
      </c>
      <c r="G109" s="36">
        <v>3033</v>
      </c>
      <c r="H109" s="36"/>
      <c r="I109" s="93"/>
      <c r="J109" s="89"/>
      <c r="K109" s="105">
        <f t="shared" si="5"/>
        <v>0</v>
      </c>
      <c r="L109" s="104"/>
      <c r="M109" s="53"/>
    </row>
    <row r="110" spans="1:13" ht="13" outlineLevel="1">
      <c r="A110" s="66" t="s">
        <v>680</v>
      </c>
      <c r="B110" s="340" t="s">
        <v>13</v>
      </c>
      <c r="C110" s="36">
        <v>300</v>
      </c>
      <c r="D110" s="36"/>
      <c r="E110" s="55">
        <f t="shared" si="6"/>
        <v>0</v>
      </c>
      <c r="F110" s="36">
        <v>9.266</v>
      </c>
      <c r="G110" s="36">
        <v>2070</v>
      </c>
      <c r="H110" s="36"/>
      <c r="I110" s="93"/>
      <c r="J110" s="89"/>
      <c r="K110" s="105">
        <f t="shared" si="5"/>
        <v>0</v>
      </c>
      <c r="L110" s="104"/>
      <c r="M110" s="53"/>
    </row>
    <row r="111" spans="1:13" ht="14" outlineLevel="1" thickBot="1">
      <c r="A111" s="319" t="s">
        <v>681</v>
      </c>
      <c r="B111" s="349" t="s">
        <v>13</v>
      </c>
      <c r="C111" s="153">
        <v>957</v>
      </c>
      <c r="D111" s="153">
        <v>2615.9899999999998</v>
      </c>
      <c r="E111" s="154">
        <f t="shared" si="6"/>
        <v>0.31184009311533833</v>
      </c>
      <c r="F111" s="153"/>
      <c r="G111" s="153">
        <v>51916</v>
      </c>
      <c r="H111" s="153"/>
      <c r="I111" s="320"/>
      <c r="J111" s="321"/>
      <c r="K111" s="322">
        <f t="shared" si="5"/>
        <v>5.7483428829528229E-3</v>
      </c>
      <c r="L111" s="323">
        <f>D111*10^(-3)/G111</f>
        <v>5.0388897449726485E-5</v>
      </c>
      <c r="M111" s="324"/>
    </row>
    <row r="112" spans="1:13" ht="36" customHeight="1" outlineLevel="1" thickBot="1">
      <c r="A112" s="226" t="s">
        <v>638</v>
      </c>
      <c r="B112" s="224"/>
      <c r="C112" s="224"/>
      <c r="D112" s="224"/>
      <c r="E112" s="224"/>
      <c r="F112" s="224"/>
      <c r="G112" s="224"/>
      <c r="H112" s="224"/>
      <c r="I112" s="224"/>
      <c r="J112" s="224"/>
      <c r="K112" s="224"/>
      <c r="L112" s="224"/>
      <c r="M112" s="225"/>
    </row>
    <row r="113" spans="1:15" ht="13" outlineLevel="1"/>
    <row r="114" spans="1:15" ht="13" outlineLevel="1"/>
    <row r="115" spans="1:15" ht="13"/>
    <row r="116" spans="1:15" ht="13"/>
    <row r="117" spans="1:15" ht="13" outlineLevel="1">
      <c r="A117" s="137"/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</row>
    <row r="118" spans="1:15" ht="13" outlineLevel="1">
      <c r="A118" s="171"/>
      <c r="B118" s="171"/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2"/>
      <c r="O118" s="173"/>
    </row>
    <row r="119" spans="1:15" ht="13" outlineLevel="1">
      <c r="A119" s="124"/>
      <c r="B119" s="36"/>
      <c r="C119" s="36"/>
      <c r="D119" s="36"/>
      <c r="E119" s="38"/>
      <c r="F119" s="38"/>
      <c r="G119" s="38"/>
      <c r="H119" s="36"/>
      <c r="I119" s="38"/>
      <c r="J119" s="41"/>
      <c r="K119" s="36"/>
      <c r="L119" s="36"/>
      <c r="M119" s="36"/>
      <c r="N119" s="55"/>
      <c r="O119" s="36"/>
    </row>
    <row r="120" spans="1:15" ht="13" outlineLevel="1">
      <c r="A120" s="37"/>
      <c r="B120" s="37"/>
      <c r="C120" s="37"/>
      <c r="D120" s="37"/>
      <c r="E120" s="37"/>
      <c r="F120" s="37"/>
      <c r="G120" s="37"/>
      <c r="H120" s="37"/>
      <c r="I120" s="55"/>
      <c r="J120" s="37"/>
      <c r="K120" s="37"/>
      <c r="L120" s="37"/>
      <c r="M120" s="37"/>
      <c r="N120" s="55"/>
      <c r="O120" s="37"/>
    </row>
    <row r="121" spans="1:15" ht="14" outlineLevel="1">
      <c r="A121" s="311"/>
      <c r="B121" s="311"/>
      <c r="C121" s="311"/>
      <c r="D121" s="311"/>
      <c r="E121" s="311"/>
      <c r="F121" s="311"/>
      <c r="G121" s="311"/>
      <c r="H121" s="311"/>
      <c r="I121" s="311"/>
      <c r="J121" s="311"/>
      <c r="K121" s="311"/>
      <c r="L121" s="311"/>
      <c r="M121" s="311"/>
      <c r="N121" s="311"/>
      <c r="O121" s="311"/>
    </row>
    <row r="122" spans="1:15" ht="13" outlineLevel="1">
      <c r="A122" s="171"/>
      <c r="B122" s="171"/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2"/>
      <c r="O122" s="173"/>
    </row>
    <row r="123" spans="1:15" ht="13" outlineLevel="1">
      <c r="A123" s="124"/>
      <c r="B123" s="36"/>
      <c r="C123" s="36"/>
      <c r="D123" s="36"/>
      <c r="E123" s="36"/>
      <c r="F123" s="36"/>
      <c r="G123" s="36"/>
      <c r="H123" s="36"/>
      <c r="I123" s="38"/>
      <c r="J123" s="38"/>
      <c r="K123" s="36"/>
      <c r="L123" s="36"/>
      <c r="M123" s="36"/>
      <c r="N123" s="55"/>
      <c r="O123" s="36"/>
    </row>
    <row r="124" spans="1:15" ht="13" outlineLevel="1">
      <c r="A124" s="37"/>
      <c r="B124" s="37"/>
      <c r="C124" s="37"/>
      <c r="D124" s="37"/>
      <c r="E124" s="37"/>
      <c r="F124" s="37"/>
      <c r="G124" s="37"/>
      <c r="H124" s="37"/>
      <c r="I124" s="55"/>
      <c r="J124" s="37"/>
      <c r="K124" s="37"/>
      <c r="L124" s="37"/>
      <c r="M124" s="37"/>
      <c r="N124" s="55"/>
      <c r="O124" s="37"/>
    </row>
    <row r="125" spans="1:15" ht="13" outlineLevel="1">
      <c r="A125" s="137"/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</row>
    <row r="126" spans="1:15" ht="13" outlineLevel="1">
      <c r="A126" s="171"/>
      <c r="B126" s="171"/>
      <c r="C126" s="171"/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2"/>
      <c r="O126" s="173"/>
    </row>
    <row r="127" spans="1:15" ht="13" outlineLevel="1">
      <c r="A127" s="124"/>
      <c r="B127" s="36"/>
      <c r="C127" s="36"/>
      <c r="D127" s="36"/>
      <c r="E127" s="36"/>
      <c r="F127" s="36"/>
      <c r="G127" s="36"/>
      <c r="H127" s="36"/>
      <c r="I127" s="69"/>
      <c r="J127" s="69"/>
      <c r="K127" s="36"/>
      <c r="L127" s="36"/>
      <c r="M127" s="36"/>
      <c r="N127" s="55"/>
      <c r="O127" s="36"/>
    </row>
    <row r="128" spans="1:15" ht="13" outlineLevel="1">
      <c r="A128" s="37"/>
      <c r="B128" s="37"/>
      <c r="C128" s="37"/>
      <c r="D128" s="37"/>
      <c r="E128" s="37"/>
      <c r="F128" s="37"/>
      <c r="G128" s="37"/>
      <c r="H128" s="37"/>
      <c r="I128" s="55"/>
      <c r="J128" s="37"/>
      <c r="K128" s="37"/>
      <c r="L128" s="37"/>
      <c r="M128" s="37"/>
      <c r="N128" s="55"/>
      <c r="O128" s="37"/>
    </row>
    <row r="129" spans="1:15" ht="13" outlineLevel="1">
      <c r="A129" s="137"/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</row>
    <row r="130" spans="1:15" ht="13" outlineLevel="1">
      <c r="A130" s="171"/>
      <c r="B130" s="171"/>
      <c r="C130" s="171"/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2"/>
      <c r="O130" s="173"/>
    </row>
    <row r="131" spans="1:15" ht="13">
      <c r="A131" s="124"/>
      <c r="B131" s="36"/>
      <c r="C131" s="36"/>
      <c r="D131" s="36"/>
      <c r="E131" s="36"/>
      <c r="F131" s="36"/>
      <c r="G131" s="36"/>
      <c r="H131" s="36"/>
      <c r="I131" s="69"/>
      <c r="J131" s="69"/>
      <c r="K131" s="69"/>
      <c r="L131" s="69"/>
      <c r="M131" s="69"/>
      <c r="N131" s="55"/>
      <c r="O131" s="69"/>
    </row>
    <row r="132" spans="1:15" ht="13">
      <c r="A132" s="37"/>
      <c r="B132" s="37"/>
      <c r="C132" s="37"/>
      <c r="D132" s="37"/>
      <c r="E132" s="37"/>
      <c r="F132" s="37"/>
      <c r="G132" s="37"/>
      <c r="H132" s="37"/>
      <c r="I132" s="55"/>
      <c r="J132" s="37"/>
      <c r="K132" s="37"/>
      <c r="L132" s="37"/>
      <c r="M132" s="37"/>
      <c r="N132" s="55"/>
      <c r="O132" s="37"/>
    </row>
    <row r="133" spans="1:15" ht="13" outlineLevel="1">
      <c r="A133" s="137"/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</row>
    <row r="134" spans="1:15" ht="13" outlineLevel="1">
      <c r="A134" s="171"/>
      <c r="B134" s="171"/>
      <c r="C134" s="171"/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2"/>
      <c r="O134" s="173"/>
    </row>
    <row r="135" spans="1:15" ht="13" outlineLevel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  <row r="136" spans="1:15" ht="13" outlineLevel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  <row r="137" spans="1:15" ht="13" outlineLevel="1">
      <c r="A137" s="137"/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</row>
    <row r="138" spans="1:15" ht="13" outlineLevel="1">
      <c r="A138" s="171"/>
      <c r="B138" s="171"/>
      <c r="C138" s="171"/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2"/>
      <c r="O138" s="173"/>
    </row>
    <row r="139" spans="1:15" ht="13" outlineLevel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</row>
    <row r="140" spans="1:15" ht="13" outlineLevel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</row>
    <row r="141" spans="1:15" ht="13" outlineLevel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</row>
    <row r="142" spans="1:15" ht="13" outlineLevel="1">
      <c r="A142" s="37"/>
      <c r="B142" s="37"/>
      <c r="C142" s="37"/>
      <c r="D142" s="37"/>
      <c r="E142" s="37"/>
      <c r="F142" s="37"/>
      <c r="G142" s="37"/>
      <c r="H142" s="37"/>
      <c r="I142" s="55"/>
      <c r="J142" s="37"/>
      <c r="K142" s="37"/>
      <c r="L142" s="37"/>
      <c r="M142" s="37"/>
      <c r="N142" s="55"/>
      <c r="O142" s="37"/>
    </row>
    <row r="143" spans="1:15" ht="13" outlineLevel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</row>
    <row r="144" spans="1:15" ht="13" outlineLevel="1">
      <c r="A144" s="124"/>
      <c r="B144" s="91"/>
      <c r="C144" s="91"/>
      <c r="D144" s="91"/>
      <c r="E144" s="91"/>
      <c r="F144" s="36"/>
      <c r="G144" s="36"/>
      <c r="H144" s="36"/>
      <c r="I144" s="91"/>
      <c r="J144" s="91"/>
      <c r="K144" s="91"/>
      <c r="L144" s="36"/>
      <c r="M144" s="36"/>
      <c r="N144" s="55"/>
      <c r="O144" s="91"/>
    </row>
    <row r="145" spans="1:15" ht="13" outlineLevel="1">
      <c r="A145" s="124"/>
      <c r="B145" s="91"/>
      <c r="C145" s="91"/>
      <c r="D145" s="91"/>
      <c r="E145" s="91"/>
      <c r="F145" s="36"/>
      <c r="G145" s="36"/>
      <c r="H145" s="36"/>
      <c r="I145" s="91"/>
      <c r="J145" s="91"/>
      <c r="K145" s="91"/>
      <c r="L145" s="36"/>
      <c r="M145" s="36"/>
      <c r="N145" s="55"/>
      <c r="O145" s="91"/>
    </row>
    <row r="146" spans="1:15" ht="13" outlineLevel="1">
      <c r="A146" s="124"/>
      <c r="B146" s="91"/>
      <c r="C146" s="91"/>
      <c r="D146" s="91"/>
      <c r="E146" s="91"/>
      <c r="F146" s="36"/>
      <c r="G146" s="36"/>
      <c r="H146" s="36"/>
      <c r="I146" s="91"/>
      <c r="J146" s="91"/>
      <c r="K146" s="91"/>
      <c r="L146" s="36"/>
      <c r="M146" s="36"/>
      <c r="N146" s="55"/>
      <c r="O146" s="91"/>
    </row>
    <row r="147" spans="1:15" ht="13" outlineLevel="1">
      <c r="A147" s="124"/>
      <c r="B147" s="91"/>
      <c r="C147" s="91"/>
      <c r="D147" s="91"/>
      <c r="E147" s="91"/>
      <c r="F147" s="36"/>
      <c r="G147" s="36"/>
      <c r="H147" s="36"/>
      <c r="I147" s="91"/>
      <c r="J147" s="91"/>
      <c r="K147" s="91"/>
      <c r="L147" s="36"/>
      <c r="M147" s="36"/>
      <c r="N147" s="55"/>
      <c r="O147" s="91"/>
    </row>
    <row r="148" spans="1:15" ht="13" outlineLevel="1">
      <c r="A148" s="37"/>
      <c r="B148" s="37"/>
      <c r="C148" s="37"/>
      <c r="D148" s="37"/>
      <c r="E148" s="37"/>
      <c r="F148" s="37"/>
      <c r="G148" s="37"/>
      <c r="H148" s="37"/>
      <c r="I148" s="55"/>
      <c r="J148" s="37"/>
      <c r="K148" s="37"/>
      <c r="L148" s="37"/>
      <c r="M148" s="37"/>
      <c r="N148" s="55"/>
      <c r="O148" s="37"/>
    </row>
    <row r="149" spans="1:15" ht="13" outlineLevel="1">
      <c r="A149" s="137"/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</row>
    <row r="150" spans="1:15" ht="13" outlineLevel="1">
      <c r="A150" s="171"/>
      <c r="B150" s="171"/>
      <c r="C150" s="171"/>
      <c r="D150" s="171"/>
      <c r="E150" s="171"/>
      <c r="F150" s="171"/>
      <c r="G150" s="171"/>
      <c r="H150" s="171"/>
      <c r="I150" s="171"/>
      <c r="J150" s="171"/>
      <c r="K150" s="171"/>
      <c r="L150" s="171"/>
      <c r="M150" s="171"/>
      <c r="N150" s="172"/>
      <c r="O150" s="173"/>
    </row>
    <row r="151" spans="1:15" ht="13"/>
    <row r="152" spans="1:15" ht="13"/>
    <row r="153" spans="1:15" ht="13" outlineLevel="1"/>
    <row r="154" spans="1:15" ht="13" outlineLevel="1"/>
    <row r="155" spans="1:15" ht="13" outlineLevel="1"/>
    <row r="156" spans="1:15" ht="13" outlineLevel="1"/>
    <row r="157" spans="1:15" ht="13" outlineLevel="1"/>
    <row r="158" spans="1:15" ht="13" outlineLevel="1"/>
    <row r="159" spans="1:15" ht="13" outlineLevel="1"/>
    <row r="160" spans="1:15" ht="13" outlineLevel="1"/>
    <row r="161" spans="16:16" ht="13" outlineLevel="1"/>
    <row r="162" spans="16:16" ht="13" outlineLevel="1"/>
    <row r="163" spans="16:16" ht="13" outlineLevel="1"/>
    <row r="164" spans="16:16" ht="13" outlineLevel="1"/>
    <row r="165" spans="16:16" ht="13" outlineLevel="1"/>
    <row r="166" spans="16:16" ht="13" outlineLevel="1"/>
    <row r="167" spans="16:16" ht="13" outlineLevel="1"/>
    <row r="168" spans="16:16" ht="13" outlineLevel="1"/>
    <row r="169" spans="16:16" ht="13" outlineLevel="1"/>
    <row r="170" spans="16:16" ht="13" outlineLevel="1"/>
    <row r="171" spans="16:16" ht="13"/>
    <row r="172" spans="16:16" ht="13"/>
    <row r="173" spans="16:16" ht="15" customHeight="1"/>
    <row r="174" spans="16:16" ht="13"/>
    <row r="175" spans="16:16" ht="13">
      <c r="P175" s="32"/>
    </row>
    <row r="176" spans="16:16" ht="13"/>
    <row r="177" spans="1:15" ht="13">
      <c r="A177" s="123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</row>
    <row r="178" spans="1:15" ht="13">
      <c r="A178" s="123"/>
      <c r="B178" s="93"/>
      <c r="C178" s="93"/>
      <c r="D178" s="93"/>
      <c r="E178" s="93"/>
      <c r="F178" s="36"/>
      <c r="G178" s="36"/>
      <c r="H178" s="36"/>
      <c r="I178" s="91"/>
      <c r="J178" s="91"/>
      <c r="K178" s="91"/>
      <c r="L178" s="36"/>
      <c r="M178" s="36"/>
      <c r="N178" s="36"/>
      <c r="O178" s="91"/>
    </row>
    <row r="179" spans="1:15" ht="13">
      <c r="A179" s="123"/>
      <c r="B179" s="93"/>
      <c r="C179" s="93"/>
      <c r="D179" s="93"/>
      <c r="E179" s="93"/>
      <c r="F179" s="36"/>
      <c r="G179" s="36"/>
      <c r="H179" s="36"/>
      <c r="I179" s="91"/>
      <c r="J179" s="91"/>
      <c r="K179" s="91"/>
      <c r="L179" s="36"/>
      <c r="M179" s="36"/>
      <c r="N179" s="36"/>
      <c r="O179" s="91"/>
    </row>
    <row r="180" spans="1:15" ht="13">
      <c r="A180" s="123"/>
      <c r="B180" s="93"/>
      <c r="C180" s="93"/>
      <c r="D180" s="93"/>
      <c r="E180" s="93"/>
      <c r="F180" s="36"/>
      <c r="G180" s="36"/>
      <c r="H180" s="36"/>
      <c r="I180" s="91"/>
      <c r="J180" s="91"/>
      <c r="K180" s="91"/>
      <c r="L180" s="36"/>
      <c r="M180" s="36"/>
      <c r="N180" s="36"/>
      <c r="O180" s="91"/>
    </row>
    <row r="181" spans="1:15" ht="13">
      <c r="A181" s="123"/>
      <c r="B181" s="93"/>
      <c r="C181" s="93"/>
      <c r="D181" s="93"/>
      <c r="E181" s="93"/>
      <c r="F181" s="36"/>
      <c r="G181" s="36"/>
      <c r="H181" s="36"/>
      <c r="I181" s="91"/>
      <c r="J181" s="91"/>
      <c r="K181" s="91"/>
      <c r="L181" s="36"/>
      <c r="M181" s="36"/>
      <c r="N181" s="36"/>
      <c r="O181" s="91"/>
    </row>
    <row r="182" spans="1:15" ht="13">
      <c r="A182" s="37"/>
      <c r="B182" s="37"/>
      <c r="C182" s="37"/>
      <c r="D182" s="37"/>
      <c r="E182" s="37"/>
      <c r="F182" s="37"/>
      <c r="G182" s="37"/>
      <c r="H182" s="37"/>
      <c r="I182" s="55"/>
      <c r="J182" s="37"/>
      <c r="K182" s="37"/>
      <c r="L182" s="37"/>
      <c r="M182" s="37"/>
      <c r="N182" s="55"/>
      <c r="O182" s="37"/>
    </row>
    <row r="183" spans="1:15" ht="13">
      <c r="A183" s="37"/>
      <c r="B183" s="37"/>
      <c r="C183" s="37"/>
      <c r="D183" s="37"/>
      <c r="E183" s="37"/>
      <c r="F183" s="37"/>
      <c r="G183" s="37"/>
      <c r="H183" s="37"/>
      <c r="I183" s="55"/>
      <c r="J183" s="37"/>
      <c r="K183" s="37"/>
      <c r="L183" s="37"/>
      <c r="M183" s="37"/>
      <c r="N183" s="55"/>
      <c r="O183" s="37"/>
    </row>
    <row r="184" spans="1:15" ht="13">
      <c r="A184" s="37"/>
      <c r="B184" s="37"/>
      <c r="C184" s="37"/>
      <c r="D184" s="37"/>
      <c r="E184" s="37"/>
      <c r="F184" s="37"/>
      <c r="G184" s="37"/>
      <c r="H184" s="37"/>
      <c r="I184" s="119"/>
      <c r="J184" s="119"/>
      <c r="K184" s="119"/>
      <c r="L184" s="119"/>
      <c r="M184" s="118"/>
      <c r="N184" s="122"/>
      <c r="O184" s="119"/>
    </row>
    <row r="185" spans="1:15" ht="13">
      <c r="A185" s="118"/>
      <c r="B185" s="37"/>
      <c r="C185" s="37"/>
      <c r="D185" s="37"/>
      <c r="E185" s="37"/>
      <c r="F185" s="37"/>
      <c r="G185" s="37"/>
      <c r="H185" s="37"/>
      <c r="I185" s="36"/>
      <c r="J185" s="36"/>
      <c r="K185" s="36"/>
      <c r="L185" s="36"/>
      <c r="M185" s="37"/>
      <c r="N185" s="36"/>
      <c r="O185" s="36"/>
    </row>
    <row r="186" spans="1:15" ht="13">
      <c r="A186" s="118"/>
      <c r="B186" s="37"/>
      <c r="C186" s="37"/>
      <c r="D186" s="37"/>
      <c r="E186" s="37"/>
      <c r="F186" s="37"/>
      <c r="G186" s="37"/>
      <c r="H186" s="37"/>
      <c r="I186" s="36"/>
      <c r="J186" s="36"/>
      <c r="K186" s="36"/>
      <c r="L186" s="36"/>
      <c r="M186" s="37"/>
      <c r="N186" s="36"/>
      <c r="O186" s="36"/>
    </row>
    <row r="187" spans="1:15" ht="13">
      <c r="A187" s="118"/>
      <c r="B187" s="37"/>
      <c r="C187" s="37"/>
      <c r="D187" s="37"/>
      <c r="E187" s="37"/>
      <c r="F187" s="37"/>
      <c r="G187" s="37"/>
      <c r="H187" s="37"/>
      <c r="I187" s="36"/>
      <c r="J187" s="36"/>
      <c r="K187" s="36"/>
      <c r="L187" s="36"/>
      <c r="M187" s="37"/>
      <c r="N187" s="36"/>
      <c r="O187" s="36"/>
    </row>
    <row r="188" spans="1:15" ht="13">
      <c r="A188" s="118"/>
      <c r="B188" s="37"/>
      <c r="C188" s="37"/>
      <c r="D188" s="37"/>
      <c r="E188" s="37"/>
      <c r="F188" s="37"/>
      <c r="G188" s="37"/>
      <c r="H188" s="37"/>
      <c r="I188" s="36"/>
      <c r="J188" s="36"/>
      <c r="K188" s="36"/>
      <c r="L188" s="36"/>
      <c r="M188" s="37"/>
      <c r="N188" s="36"/>
      <c r="O188" s="36"/>
    </row>
    <row r="189" spans="1:15" ht="13">
      <c r="I189" s="10"/>
      <c r="N189" s="10"/>
    </row>
    <row r="190" spans="1:15" ht="13">
      <c r="I190" s="10"/>
      <c r="N190" s="10"/>
    </row>
    <row r="191" spans="1:15" ht="13">
      <c r="I191" s="10"/>
      <c r="N191" s="10"/>
    </row>
    <row r="192" spans="1:15" ht="13">
      <c r="I192" s="10"/>
      <c r="N192" s="10"/>
    </row>
    <row r="193" spans="9:14" ht="13">
      <c r="I193" s="10"/>
      <c r="N193" s="10"/>
    </row>
    <row r="194" spans="9:14" ht="13">
      <c r="I194" s="10"/>
      <c r="N194" s="10"/>
    </row>
    <row r="195" spans="9:14" ht="13">
      <c r="I195" s="10"/>
      <c r="N195" s="10"/>
    </row>
    <row r="196" spans="9:14" ht="13">
      <c r="I196" s="10"/>
      <c r="N196" s="10"/>
    </row>
    <row r="197" spans="9:14" ht="13">
      <c r="I197" s="10"/>
      <c r="N197" s="10"/>
    </row>
    <row r="198" spans="9:14" ht="13">
      <c r="I198" s="10"/>
      <c r="N198" s="10"/>
    </row>
    <row r="199" spans="9:14" ht="13">
      <c r="I199" s="10"/>
      <c r="N199" s="10"/>
    </row>
    <row r="200" spans="9:14" ht="13">
      <c r="I200" s="10"/>
      <c r="N200" s="10"/>
    </row>
    <row r="201" spans="9:14" ht="13">
      <c r="I201" s="10"/>
      <c r="N201" s="10"/>
    </row>
    <row r="202" spans="9:14" ht="13">
      <c r="I202" s="10"/>
      <c r="N202" s="10"/>
    </row>
    <row r="203" spans="9:14" ht="13">
      <c r="I203" s="10"/>
      <c r="N203" s="10"/>
    </row>
    <row r="204" spans="9:14" ht="13">
      <c r="I204" s="10"/>
      <c r="N204" s="10"/>
    </row>
    <row r="205" spans="9:14" ht="13">
      <c r="I205" s="10"/>
      <c r="N205" s="10"/>
    </row>
    <row r="206" spans="9:14" ht="13">
      <c r="I206" s="10"/>
      <c r="N206" s="10"/>
    </row>
    <row r="207" spans="9:14" ht="13">
      <c r="I207" s="10"/>
      <c r="N207" s="10"/>
    </row>
    <row r="208" spans="9:14" ht="13">
      <c r="I208" s="10"/>
      <c r="N208" s="10"/>
    </row>
    <row r="209" spans="9:14" ht="13">
      <c r="I209" s="10"/>
      <c r="N209" s="10"/>
    </row>
    <row r="210" spans="9:14" ht="13">
      <c r="I210" s="10"/>
      <c r="N210" s="10"/>
    </row>
    <row r="211" spans="9:14" ht="13">
      <c r="I211" s="10"/>
      <c r="N211" s="10"/>
    </row>
    <row r="212" spans="9:14" ht="13">
      <c r="I212" s="10"/>
      <c r="N212" s="10"/>
    </row>
    <row r="213" spans="9:14" ht="13">
      <c r="I213" s="10"/>
      <c r="N213" s="10"/>
    </row>
    <row r="214" spans="9:14" ht="13">
      <c r="I214" s="10"/>
      <c r="N214" s="10"/>
    </row>
    <row r="215" spans="9:14" ht="13">
      <c r="I215" s="10"/>
      <c r="N215" s="10"/>
    </row>
    <row r="216" spans="9:14" ht="13">
      <c r="I216" s="10"/>
      <c r="N216" s="10"/>
    </row>
    <row r="217" spans="9:14" ht="13">
      <c r="I217" s="10"/>
      <c r="N217" s="10"/>
    </row>
    <row r="218" spans="9:14" ht="13">
      <c r="I218" s="10"/>
      <c r="N218" s="10"/>
    </row>
    <row r="219" spans="9:14" ht="13">
      <c r="I219" s="10"/>
      <c r="N219" s="10"/>
    </row>
    <row r="220" spans="9:14" ht="13">
      <c r="I220" s="10"/>
      <c r="N220" s="10"/>
    </row>
    <row r="221" spans="9:14" ht="13">
      <c r="I221" s="10"/>
      <c r="N221" s="10"/>
    </row>
    <row r="222" spans="9:14" ht="13">
      <c r="I222" s="10"/>
      <c r="N222" s="10"/>
    </row>
    <row r="223" spans="9:14" ht="13">
      <c r="I223" s="10"/>
      <c r="N223" s="10"/>
    </row>
    <row r="224" spans="9:14" ht="13">
      <c r="I224" s="10"/>
      <c r="N224" s="10"/>
    </row>
    <row r="225" spans="9:14" ht="13">
      <c r="I225" s="10"/>
      <c r="N225" s="10"/>
    </row>
    <row r="226" spans="9:14" ht="13">
      <c r="I226" s="10"/>
      <c r="N226" s="10"/>
    </row>
    <row r="227" spans="9:14" ht="13">
      <c r="I227" s="10"/>
      <c r="N227" s="10"/>
    </row>
    <row r="228" spans="9:14" ht="13">
      <c r="I228" s="10"/>
      <c r="N228" s="10"/>
    </row>
    <row r="229" spans="9:14" ht="13">
      <c r="I229" s="10"/>
      <c r="N229" s="10"/>
    </row>
    <row r="230" spans="9:14" ht="13">
      <c r="I230" s="10"/>
      <c r="N230" s="10"/>
    </row>
    <row r="231" spans="9:14" ht="13">
      <c r="I231" s="10"/>
      <c r="N231" s="10"/>
    </row>
    <row r="232" spans="9:14" ht="13">
      <c r="I232" s="10"/>
      <c r="N232" s="10"/>
    </row>
    <row r="233" spans="9:14" ht="13">
      <c r="I233" s="10"/>
      <c r="N233" s="10"/>
    </row>
    <row r="234" spans="9:14" ht="13">
      <c r="I234" s="10"/>
      <c r="N234" s="10"/>
    </row>
    <row r="235" spans="9:14" ht="13">
      <c r="I235" s="10"/>
      <c r="N235" s="10"/>
    </row>
    <row r="236" spans="9:14" ht="13">
      <c r="I236" s="10"/>
      <c r="N236" s="10"/>
    </row>
    <row r="237" spans="9:14" ht="13">
      <c r="I237" s="10"/>
      <c r="N237" s="10"/>
    </row>
    <row r="238" spans="9:14" ht="13">
      <c r="I238" s="10"/>
      <c r="N238" s="10"/>
    </row>
    <row r="239" spans="9:14" ht="13">
      <c r="I239" s="10"/>
      <c r="N239" s="10"/>
    </row>
    <row r="240" spans="9:14" ht="13">
      <c r="I240" s="10"/>
      <c r="N240" s="10"/>
    </row>
    <row r="241" spans="9:14" ht="13">
      <c r="I241" s="10"/>
      <c r="N241" s="10"/>
    </row>
    <row r="242" spans="9:14" ht="13">
      <c r="I242" s="10"/>
      <c r="N242" s="10"/>
    </row>
    <row r="243" spans="9:14" ht="13">
      <c r="I243" s="10"/>
      <c r="N243" s="10"/>
    </row>
    <row r="244" spans="9:14" ht="13">
      <c r="I244" s="10"/>
      <c r="N244" s="10"/>
    </row>
    <row r="245" spans="9:14" ht="13">
      <c r="I245" s="10"/>
      <c r="N245" s="10"/>
    </row>
    <row r="246" spans="9:14" ht="13">
      <c r="I246" s="10"/>
      <c r="N246" s="10"/>
    </row>
    <row r="247" spans="9:14" ht="13">
      <c r="I247" s="10"/>
      <c r="N247" s="10"/>
    </row>
    <row r="248" spans="9:14" ht="13">
      <c r="I248" s="10"/>
      <c r="N248" s="10"/>
    </row>
    <row r="249" spans="9:14" ht="13">
      <c r="I249" s="10"/>
      <c r="N249" s="10"/>
    </row>
    <row r="250" spans="9:14" ht="13">
      <c r="I250" s="10"/>
      <c r="N250" s="10"/>
    </row>
    <row r="251" spans="9:14" ht="13">
      <c r="I251" s="10"/>
      <c r="N251" s="10"/>
    </row>
    <row r="252" spans="9:14" ht="13">
      <c r="I252" s="10"/>
      <c r="N252" s="10"/>
    </row>
    <row r="253" spans="9:14" ht="13">
      <c r="I253" s="10"/>
      <c r="N253" s="10"/>
    </row>
    <row r="254" spans="9:14" ht="13">
      <c r="I254" s="10"/>
      <c r="N254" s="10"/>
    </row>
    <row r="255" spans="9:14" ht="13">
      <c r="I255" s="10"/>
      <c r="N255" s="10"/>
    </row>
    <row r="256" spans="9:14" ht="13">
      <c r="I256" s="10"/>
      <c r="N256" s="10"/>
    </row>
    <row r="257" spans="9:14" ht="13">
      <c r="I257" s="10"/>
      <c r="N257" s="10"/>
    </row>
    <row r="258" spans="9:14" ht="13">
      <c r="I258" s="10"/>
      <c r="N258" s="10"/>
    </row>
    <row r="259" spans="9:14" ht="13">
      <c r="I259" s="10"/>
      <c r="N259" s="10"/>
    </row>
    <row r="260" spans="9:14" ht="13">
      <c r="I260" s="10"/>
      <c r="N260" s="10"/>
    </row>
    <row r="261" spans="9:14" ht="13">
      <c r="I261" s="10"/>
      <c r="N261" s="10"/>
    </row>
    <row r="262" spans="9:14" ht="13">
      <c r="I262" s="10"/>
      <c r="N262" s="10"/>
    </row>
    <row r="263" spans="9:14" ht="13">
      <c r="I263" s="10"/>
      <c r="N263" s="10"/>
    </row>
    <row r="264" spans="9:14" ht="13">
      <c r="I264" s="10"/>
      <c r="N264" s="10"/>
    </row>
    <row r="265" spans="9:14" ht="13">
      <c r="I265" s="10"/>
      <c r="N265" s="10"/>
    </row>
    <row r="266" spans="9:14" ht="13">
      <c r="I266" s="10"/>
      <c r="N266" s="10"/>
    </row>
    <row r="267" spans="9:14" ht="13">
      <c r="I267" s="10"/>
      <c r="N267" s="10"/>
    </row>
    <row r="268" spans="9:14" ht="13">
      <c r="I268" s="10"/>
      <c r="N268" s="10"/>
    </row>
    <row r="269" spans="9:14" ht="13">
      <c r="I269" s="10"/>
      <c r="N269" s="10"/>
    </row>
    <row r="270" spans="9:14" ht="13">
      <c r="I270" s="10"/>
      <c r="N270" s="10"/>
    </row>
    <row r="271" spans="9:14" ht="13">
      <c r="I271" s="10"/>
      <c r="N271" s="10"/>
    </row>
    <row r="272" spans="9:14" ht="13">
      <c r="I272" s="10"/>
      <c r="N272" s="10"/>
    </row>
    <row r="273" spans="9:14" ht="13">
      <c r="I273" s="10"/>
      <c r="N273" s="10"/>
    </row>
    <row r="274" spans="9:14" ht="13">
      <c r="I274" s="10"/>
      <c r="N274" s="10"/>
    </row>
    <row r="275" spans="9:14" ht="13">
      <c r="I275" s="10"/>
      <c r="N275" s="10"/>
    </row>
    <row r="276" spans="9:14" ht="13">
      <c r="I276" s="10"/>
      <c r="N276" s="10"/>
    </row>
    <row r="277" spans="9:14" ht="13">
      <c r="I277" s="10"/>
      <c r="N277" s="10"/>
    </row>
    <row r="278" spans="9:14" ht="13">
      <c r="I278" s="10"/>
      <c r="N278" s="10"/>
    </row>
    <row r="279" spans="9:14" ht="13">
      <c r="I279" s="10"/>
      <c r="N279" s="10"/>
    </row>
    <row r="280" spans="9:14" ht="13">
      <c r="I280" s="10"/>
      <c r="N280" s="10"/>
    </row>
    <row r="281" spans="9:14" ht="13">
      <c r="I281" s="10"/>
      <c r="N281" s="10"/>
    </row>
    <row r="282" spans="9:14" ht="13">
      <c r="I282" s="10"/>
      <c r="N282" s="10"/>
    </row>
    <row r="283" spans="9:14" ht="13">
      <c r="I283" s="10"/>
      <c r="N283" s="10"/>
    </row>
    <row r="284" spans="9:14" ht="13">
      <c r="I284" s="10"/>
      <c r="N284" s="10"/>
    </row>
    <row r="285" spans="9:14" ht="13">
      <c r="I285" s="10"/>
      <c r="N285" s="10"/>
    </row>
    <row r="286" spans="9:14" ht="13">
      <c r="I286" s="10"/>
      <c r="N286" s="10"/>
    </row>
    <row r="287" spans="9:14" ht="13">
      <c r="I287" s="10"/>
      <c r="N287" s="10"/>
    </row>
    <row r="288" spans="9:14" ht="13">
      <c r="I288" s="10"/>
      <c r="N288" s="10"/>
    </row>
    <row r="289" spans="9:14" ht="13">
      <c r="I289" s="10"/>
      <c r="N289" s="10"/>
    </row>
    <row r="290" spans="9:14" ht="13">
      <c r="I290" s="10"/>
      <c r="N290" s="10"/>
    </row>
    <row r="291" spans="9:14" ht="13">
      <c r="I291" s="10"/>
      <c r="N291" s="10"/>
    </row>
    <row r="292" spans="9:14" ht="13">
      <c r="I292" s="10"/>
      <c r="N292" s="10"/>
    </row>
    <row r="293" spans="9:14" ht="13">
      <c r="I293" s="10"/>
      <c r="N293" s="10"/>
    </row>
    <row r="294" spans="9:14" ht="13">
      <c r="I294" s="10"/>
      <c r="N294" s="10"/>
    </row>
    <row r="295" spans="9:14" ht="13">
      <c r="I295" s="10"/>
      <c r="N295" s="10"/>
    </row>
    <row r="296" spans="9:14" ht="13">
      <c r="I296" s="10"/>
      <c r="N296" s="10"/>
    </row>
    <row r="297" spans="9:14" ht="13">
      <c r="I297" s="10"/>
      <c r="N297" s="10"/>
    </row>
    <row r="298" spans="9:14" ht="13">
      <c r="I298" s="10"/>
      <c r="N298" s="10"/>
    </row>
    <row r="299" spans="9:14" ht="13">
      <c r="I299" s="10"/>
      <c r="N299" s="10"/>
    </row>
    <row r="300" spans="9:14" ht="13">
      <c r="I300" s="10"/>
      <c r="N300" s="10"/>
    </row>
    <row r="301" spans="9:14" ht="13">
      <c r="I301" s="10"/>
      <c r="N301" s="10"/>
    </row>
    <row r="302" spans="9:14" ht="13">
      <c r="I302" s="10"/>
      <c r="N302" s="10"/>
    </row>
    <row r="303" spans="9:14" ht="13">
      <c r="I303" s="10"/>
      <c r="N303" s="10"/>
    </row>
    <row r="304" spans="9:14" ht="13">
      <c r="I304" s="10"/>
      <c r="N304" s="10"/>
    </row>
    <row r="305" spans="9:14" ht="13">
      <c r="I305" s="10"/>
      <c r="N305" s="10"/>
    </row>
    <row r="306" spans="9:14" ht="13">
      <c r="I306" s="10"/>
      <c r="N306" s="10"/>
    </row>
    <row r="307" spans="9:14" ht="13">
      <c r="I307" s="10"/>
      <c r="N307" s="10"/>
    </row>
    <row r="308" spans="9:14" ht="13">
      <c r="I308" s="10"/>
      <c r="N308" s="10"/>
    </row>
    <row r="309" spans="9:14" ht="13">
      <c r="I309" s="10"/>
      <c r="N309" s="10"/>
    </row>
    <row r="310" spans="9:14" ht="13">
      <c r="I310" s="10"/>
      <c r="N310" s="10"/>
    </row>
    <row r="311" spans="9:14" ht="13">
      <c r="I311" s="10"/>
      <c r="N311" s="10"/>
    </row>
    <row r="312" spans="9:14" ht="13">
      <c r="I312" s="10"/>
      <c r="N312" s="10"/>
    </row>
    <row r="313" spans="9:14" ht="13">
      <c r="I313" s="10"/>
      <c r="N313" s="10"/>
    </row>
    <row r="314" spans="9:14" ht="13">
      <c r="I314" s="10"/>
      <c r="N314" s="10"/>
    </row>
    <row r="315" spans="9:14" ht="13">
      <c r="I315" s="10"/>
      <c r="N315" s="10"/>
    </row>
    <row r="316" spans="9:14" ht="13">
      <c r="I316" s="10"/>
      <c r="N316" s="10"/>
    </row>
    <row r="317" spans="9:14" ht="13">
      <c r="I317" s="10"/>
      <c r="N317" s="10"/>
    </row>
    <row r="318" spans="9:14" ht="13">
      <c r="I318" s="10"/>
      <c r="N318" s="10"/>
    </row>
    <row r="319" spans="9:14" ht="13">
      <c r="I319" s="10"/>
      <c r="N319" s="10"/>
    </row>
    <row r="320" spans="9:14" ht="13">
      <c r="I320" s="10"/>
      <c r="N320" s="10"/>
    </row>
    <row r="321" spans="9:14" ht="13">
      <c r="I321" s="10"/>
      <c r="N321" s="10"/>
    </row>
    <row r="322" spans="9:14" ht="13">
      <c r="I322" s="10"/>
      <c r="N322" s="10"/>
    </row>
    <row r="323" spans="9:14" ht="13">
      <c r="I323" s="10"/>
      <c r="N323" s="10"/>
    </row>
    <row r="324" spans="9:14" ht="13">
      <c r="I324" s="10"/>
      <c r="N324" s="10"/>
    </row>
    <row r="325" spans="9:14" ht="13">
      <c r="I325" s="10"/>
      <c r="N325" s="10"/>
    </row>
    <row r="326" spans="9:14" ht="13">
      <c r="I326" s="10"/>
      <c r="N326" s="10"/>
    </row>
    <row r="327" spans="9:14" ht="13">
      <c r="I327" s="10"/>
      <c r="N327" s="10"/>
    </row>
    <row r="328" spans="9:14" ht="13">
      <c r="I328" s="10"/>
      <c r="N328" s="10"/>
    </row>
    <row r="329" spans="9:14" ht="13">
      <c r="I329" s="10"/>
      <c r="N329" s="10"/>
    </row>
    <row r="330" spans="9:14" ht="13">
      <c r="I330" s="10"/>
      <c r="N330" s="10"/>
    </row>
    <row r="331" spans="9:14" ht="13">
      <c r="I331" s="10"/>
      <c r="N331" s="10"/>
    </row>
    <row r="332" spans="9:14" ht="13">
      <c r="I332" s="10"/>
      <c r="N332" s="10"/>
    </row>
    <row r="333" spans="9:14" ht="13">
      <c r="I333" s="10"/>
      <c r="N333" s="10"/>
    </row>
    <row r="334" spans="9:14" ht="13">
      <c r="I334" s="10"/>
      <c r="N334" s="10"/>
    </row>
    <row r="335" spans="9:14" ht="13">
      <c r="I335" s="10"/>
      <c r="N335" s="10"/>
    </row>
    <row r="336" spans="9:14" ht="13">
      <c r="I336" s="10"/>
      <c r="N336" s="10"/>
    </row>
    <row r="337" spans="9:14" ht="13">
      <c r="I337" s="10"/>
      <c r="N337" s="10"/>
    </row>
    <row r="338" spans="9:14" ht="13">
      <c r="I338" s="10"/>
      <c r="N338" s="10"/>
    </row>
    <row r="339" spans="9:14" ht="13">
      <c r="I339" s="10"/>
      <c r="N339" s="10"/>
    </row>
    <row r="340" spans="9:14" ht="13">
      <c r="I340" s="10"/>
      <c r="N340" s="10"/>
    </row>
    <row r="341" spans="9:14" ht="13">
      <c r="I341" s="10"/>
      <c r="N341" s="10"/>
    </row>
    <row r="342" spans="9:14" ht="13">
      <c r="I342" s="10"/>
      <c r="N342" s="10"/>
    </row>
    <row r="343" spans="9:14" ht="13">
      <c r="I343" s="10"/>
      <c r="N343" s="10"/>
    </row>
    <row r="344" spans="9:14" ht="13">
      <c r="I344" s="10"/>
      <c r="N344" s="10"/>
    </row>
    <row r="345" spans="9:14" ht="13">
      <c r="I345" s="10"/>
      <c r="N345" s="10"/>
    </row>
    <row r="346" spans="9:14" ht="13">
      <c r="I346" s="10"/>
      <c r="N346" s="10"/>
    </row>
    <row r="347" spans="9:14" ht="13">
      <c r="I347" s="10"/>
      <c r="N347" s="10"/>
    </row>
    <row r="348" spans="9:14" ht="13">
      <c r="I348" s="10"/>
      <c r="N348" s="10"/>
    </row>
    <row r="349" spans="9:14" ht="13">
      <c r="I349" s="10"/>
      <c r="N349" s="10"/>
    </row>
    <row r="350" spans="9:14" ht="13">
      <c r="I350" s="10"/>
      <c r="N350" s="10"/>
    </row>
    <row r="351" spans="9:14" ht="13">
      <c r="I351" s="10"/>
      <c r="N351" s="10"/>
    </row>
    <row r="352" spans="9:14" ht="13">
      <c r="I352" s="10"/>
      <c r="N352" s="10"/>
    </row>
    <row r="353" spans="9:14" ht="13">
      <c r="I353" s="10"/>
      <c r="N353" s="10"/>
    </row>
    <row r="354" spans="9:14" ht="13">
      <c r="I354" s="10"/>
      <c r="N354" s="10"/>
    </row>
    <row r="355" spans="9:14" ht="13">
      <c r="I355" s="10"/>
      <c r="N355" s="10"/>
    </row>
    <row r="356" spans="9:14" ht="13">
      <c r="I356" s="10"/>
      <c r="N356" s="10"/>
    </row>
    <row r="357" spans="9:14" ht="13">
      <c r="I357" s="10"/>
      <c r="N357" s="10"/>
    </row>
    <row r="358" spans="9:14" ht="13">
      <c r="I358" s="10"/>
      <c r="N358" s="10"/>
    </row>
    <row r="359" spans="9:14" ht="13">
      <c r="I359" s="10"/>
      <c r="N359" s="10"/>
    </row>
    <row r="360" spans="9:14" ht="13">
      <c r="I360" s="10"/>
      <c r="N360" s="10"/>
    </row>
    <row r="361" spans="9:14" ht="13">
      <c r="I361" s="10"/>
      <c r="N361" s="10"/>
    </row>
    <row r="362" spans="9:14" ht="13">
      <c r="I362" s="10"/>
      <c r="N362" s="10"/>
    </row>
    <row r="363" spans="9:14" ht="13">
      <c r="I363" s="10"/>
      <c r="N363" s="10"/>
    </row>
    <row r="364" spans="9:14" ht="13">
      <c r="I364" s="10"/>
      <c r="N364" s="10"/>
    </row>
    <row r="365" spans="9:14" ht="13">
      <c r="I365" s="10"/>
      <c r="N365" s="10"/>
    </row>
    <row r="366" spans="9:14" ht="13">
      <c r="I366" s="10"/>
      <c r="N366" s="10"/>
    </row>
    <row r="367" spans="9:14" ht="13">
      <c r="I367" s="10"/>
      <c r="N367" s="10"/>
    </row>
    <row r="368" spans="9:14" ht="13">
      <c r="I368" s="10"/>
      <c r="N368" s="10"/>
    </row>
    <row r="369" spans="9:14" ht="13">
      <c r="I369" s="10"/>
      <c r="N369" s="10"/>
    </row>
    <row r="370" spans="9:14" ht="13">
      <c r="I370" s="10"/>
      <c r="N370" s="10"/>
    </row>
    <row r="371" spans="9:14" ht="13">
      <c r="I371" s="10"/>
      <c r="N371" s="10"/>
    </row>
    <row r="372" spans="9:14" ht="13">
      <c r="I372" s="10"/>
      <c r="N372" s="10"/>
    </row>
    <row r="373" spans="9:14" ht="13">
      <c r="I373" s="10"/>
      <c r="N373" s="10"/>
    </row>
    <row r="374" spans="9:14" ht="13">
      <c r="I374" s="10"/>
      <c r="N374" s="10"/>
    </row>
    <row r="375" spans="9:14" ht="13">
      <c r="I375" s="10"/>
      <c r="N375" s="10"/>
    </row>
    <row r="376" spans="9:14" ht="13">
      <c r="I376" s="10"/>
      <c r="N376" s="10"/>
    </row>
    <row r="377" spans="9:14" ht="13">
      <c r="I377" s="10"/>
      <c r="N377" s="10"/>
    </row>
    <row r="378" spans="9:14" ht="13">
      <c r="I378" s="10"/>
      <c r="N378" s="10"/>
    </row>
    <row r="379" spans="9:14" ht="13">
      <c r="I379" s="10"/>
      <c r="N379" s="10"/>
    </row>
    <row r="380" spans="9:14" ht="13">
      <c r="I380" s="10"/>
      <c r="N380" s="10"/>
    </row>
    <row r="381" spans="9:14" ht="13">
      <c r="I381" s="10"/>
      <c r="N381" s="10"/>
    </row>
    <row r="382" spans="9:14" ht="13">
      <c r="I382" s="10"/>
      <c r="N382" s="10"/>
    </row>
    <row r="383" spans="9:14" ht="13">
      <c r="I383" s="10"/>
      <c r="N383" s="10"/>
    </row>
    <row r="384" spans="9:14" ht="13">
      <c r="I384" s="10"/>
      <c r="N384" s="10"/>
    </row>
    <row r="385" spans="9:14" ht="13">
      <c r="I385" s="10"/>
      <c r="N385" s="10"/>
    </row>
    <row r="386" spans="9:14" ht="13">
      <c r="I386" s="10"/>
      <c r="N386" s="10"/>
    </row>
    <row r="387" spans="9:14" ht="13">
      <c r="I387" s="10"/>
      <c r="N387" s="10"/>
    </row>
    <row r="388" spans="9:14" ht="13">
      <c r="I388" s="10"/>
      <c r="N388" s="10"/>
    </row>
    <row r="389" spans="9:14" ht="13">
      <c r="I389" s="10"/>
      <c r="N389" s="10"/>
    </row>
    <row r="390" spans="9:14" ht="13">
      <c r="I390" s="10"/>
      <c r="N390" s="10"/>
    </row>
    <row r="391" spans="9:14" ht="13">
      <c r="I391" s="10"/>
      <c r="N391" s="10"/>
    </row>
    <row r="392" spans="9:14" ht="13">
      <c r="I392" s="10"/>
      <c r="N392" s="10"/>
    </row>
    <row r="393" spans="9:14" ht="13">
      <c r="I393" s="10"/>
      <c r="N393" s="10"/>
    </row>
    <row r="394" spans="9:14" ht="13">
      <c r="I394" s="10"/>
      <c r="N394" s="10"/>
    </row>
    <row r="395" spans="9:14" ht="13">
      <c r="I395" s="10"/>
      <c r="N395" s="10"/>
    </row>
    <row r="396" spans="9:14" ht="13">
      <c r="I396" s="10"/>
      <c r="N396" s="10"/>
    </row>
    <row r="397" spans="9:14" ht="13">
      <c r="I397" s="10"/>
      <c r="N397" s="10"/>
    </row>
    <row r="398" spans="9:14" ht="13">
      <c r="I398" s="10"/>
      <c r="N398" s="10"/>
    </row>
    <row r="399" spans="9:14" ht="13">
      <c r="I399" s="10"/>
      <c r="N399" s="10"/>
    </row>
    <row r="400" spans="9:14" ht="13">
      <c r="I400" s="10"/>
      <c r="N400" s="10"/>
    </row>
    <row r="401" spans="9:14" ht="13">
      <c r="I401" s="10"/>
      <c r="N401" s="10"/>
    </row>
    <row r="402" spans="9:14" ht="13">
      <c r="I402" s="10"/>
      <c r="N402" s="10"/>
    </row>
    <row r="403" spans="9:14" ht="13">
      <c r="I403" s="10"/>
      <c r="N403" s="10"/>
    </row>
    <row r="404" spans="9:14" ht="13">
      <c r="I404" s="10"/>
      <c r="N404" s="10"/>
    </row>
    <row r="405" spans="9:14" ht="13">
      <c r="I405" s="10"/>
      <c r="N405" s="10"/>
    </row>
    <row r="406" spans="9:14" ht="13">
      <c r="I406" s="10"/>
      <c r="N406" s="10"/>
    </row>
    <row r="407" spans="9:14" ht="13">
      <c r="I407" s="10"/>
      <c r="N407" s="10"/>
    </row>
    <row r="408" spans="9:14" ht="13">
      <c r="I408" s="10"/>
      <c r="N408" s="10"/>
    </row>
    <row r="409" spans="9:14" ht="13">
      <c r="I409" s="10"/>
      <c r="N409" s="10"/>
    </row>
    <row r="410" spans="9:14" ht="13">
      <c r="I410" s="10"/>
      <c r="N410" s="10"/>
    </row>
    <row r="411" spans="9:14" ht="13">
      <c r="I411" s="10"/>
      <c r="N411" s="10"/>
    </row>
    <row r="412" spans="9:14" ht="13">
      <c r="I412" s="10"/>
      <c r="N412" s="10"/>
    </row>
    <row r="413" spans="9:14" ht="13">
      <c r="I413" s="10"/>
      <c r="N413" s="10"/>
    </row>
    <row r="414" spans="9:14" ht="13">
      <c r="I414" s="10"/>
      <c r="N414" s="10"/>
    </row>
    <row r="415" spans="9:14" ht="13">
      <c r="I415" s="10"/>
      <c r="N415" s="10"/>
    </row>
    <row r="416" spans="9:14" ht="13">
      <c r="I416" s="10"/>
      <c r="N416" s="10"/>
    </row>
    <row r="417" spans="9:14" ht="13">
      <c r="I417" s="10"/>
      <c r="N417" s="10"/>
    </row>
    <row r="418" spans="9:14" ht="13">
      <c r="I418" s="10"/>
      <c r="N418" s="10"/>
    </row>
    <row r="419" spans="9:14" ht="13">
      <c r="I419" s="10"/>
      <c r="N419" s="10"/>
    </row>
    <row r="420" spans="9:14" ht="13">
      <c r="I420" s="10"/>
      <c r="N420" s="10"/>
    </row>
    <row r="421" spans="9:14" ht="13">
      <c r="I421" s="10"/>
      <c r="N421" s="10"/>
    </row>
    <row r="422" spans="9:14" ht="13">
      <c r="I422" s="10"/>
      <c r="N422" s="10"/>
    </row>
    <row r="423" spans="9:14" ht="13">
      <c r="I423" s="10"/>
      <c r="N423" s="10"/>
    </row>
    <row r="424" spans="9:14" ht="13">
      <c r="I424" s="10"/>
      <c r="N424" s="10"/>
    </row>
    <row r="425" spans="9:14" ht="13">
      <c r="I425" s="10"/>
      <c r="N425" s="10"/>
    </row>
    <row r="426" spans="9:14" ht="13">
      <c r="I426" s="10"/>
      <c r="N426" s="10"/>
    </row>
    <row r="427" spans="9:14" ht="13">
      <c r="I427" s="10"/>
      <c r="N427" s="10"/>
    </row>
    <row r="428" spans="9:14" ht="13">
      <c r="I428" s="10"/>
      <c r="N428" s="10"/>
    </row>
    <row r="429" spans="9:14" ht="13">
      <c r="I429" s="10"/>
      <c r="N429" s="10"/>
    </row>
    <row r="430" spans="9:14" ht="13">
      <c r="I430" s="10"/>
      <c r="N430" s="10"/>
    </row>
    <row r="431" spans="9:14" ht="13">
      <c r="I431" s="10"/>
      <c r="N431" s="10"/>
    </row>
    <row r="432" spans="9:14" ht="13">
      <c r="I432" s="10"/>
      <c r="N432" s="10"/>
    </row>
    <row r="433" spans="9:14" ht="13">
      <c r="I433" s="10"/>
      <c r="N433" s="10"/>
    </row>
    <row r="434" spans="9:14" ht="13">
      <c r="I434" s="10"/>
      <c r="N434" s="10"/>
    </row>
    <row r="435" spans="9:14" ht="13">
      <c r="I435" s="10"/>
      <c r="N435" s="10"/>
    </row>
    <row r="436" spans="9:14" ht="13">
      <c r="I436" s="10"/>
      <c r="N436" s="10"/>
    </row>
    <row r="437" spans="9:14" ht="13">
      <c r="I437" s="10"/>
      <c r="N437" s="10"/>
    </row>
    <row r="438" spans="9:14" ht="13">
      <c r="I438" s="10"/>
      <c r="N438" s="10"/>
    </row>
    <row r="439" spans="9:14" ht="13">
      <c r="I439" s="10"/>
      <c r="N439" s="10"/>
    </row>
    <row r="440" spans="9:14" ht="13">
      <c r="I440" s="10"/>
      <c r="N440" s="10"/>
    </row>
    <row r="441" spans="9:14" ht="13">
      <c r="I441" s="10"/>
      <c r="N441" s="10"/>
    </row>
    <row r="442" spans="9:14" ht="13">
      <c r="I442" s="10"/>
      <c r="N442" s="10"/>
    </row>
    <row r="443" spans="9:14" ht="13">
      <c r="I443" s="10"/>
      <c r="N443" s="10"/>
    </row>
    <row r="444" spans="9:14" ht="13">
      <c r="I444" s="10"/>
      <c r="N444" s="10"/>
    </row>
    <row r="445" spans="9:14" ht="13">
      <c r="I445" s="10"/>
      <c r="N445" s="10"/>
    </row>
    <row r="446" spans="9:14" ht="13">
      <c r="I446" s="10"/>
      <c r="N446" s="10"/>
    </row>
    <row r="447" spans="9:14" ht="13">
      <c r="I447" s="10"/>
      <c r="N447" s="10"/>
    </row>
    <row r="448" spans="9:14" ht="13">
      <c r="I448" s="10"/>
      <c r="N448" s="10"/>
    </row>
    <row r="449" spans="9:14" ht="13">
      <c r="I449" s="10"/>
      <c r="N449" s="10"/>
    </row>
    <row r="450" spans="9:14" ht="13">
      <c r="I450" s="10"/>
      <c r="N450" s="10"/>
    </row>
    <row r="451" spans="9:14" ht="13">
      <c r="I451" s="10"/>
      <c r="N451" s="10"/>
    </row>
    <row r="452" spans="9:14" ht="13">
      <c r="I452" s="10"/>
      <c r="N452" s="10"/>
    </row>
    <row r="453" spans="9:14" ht="13">
      <c r="I453" s="10"/>
      <c r="N453" s="10"/>
    </row>
    <row r="454" spans="9:14" ht="13">
      <c r="I454" s="10"/>
      <c r="N454" s="10"/>
    </row>
    <row r="455" spans="9:14" ht="13">
      <c r="I455" s="10"/>
      <c r="N455" s="10"/>
    </row>
    <row r="456" spans="9:14" ht="13">
      <c r="I456" s="10"/>
      <c r="N456" s="10"/>
    </row>
    <row r="457" spans="9:14" ht="13">
      <c r="I457" s="10"/>
      <c r="N457" s="10"/>
    </row>
    <row r="458" spans="9:14" ht="13">
      <c r="I458" s="10"/>
      <c r="N458" s="10"/>
    </row>
    <row r="459" spans="9:14" ht="13">
      <c r="I459" s="10"/>
      <c r="N459" s="10"/>
    </row>
    <row r="460" spans="9:14" ht="13">
      <c r="I460" s="10"/>
      <c r="N460" s="10"/>
    </row>
    <row r="461" spans="9:14" ht="13">
      <c r="I461" s="10"/>
      <c r="N461" s="10"/>
    </row>
    <row r="462" spans="9:14" ht="13">
      <c r="I462" s="10"/>
      <c r="N462" s="10"/>
    </row>
    <row r="463" spans="9:14" ht="13">
      <c r="I463" s="10"/>
      <c r="N463" s="10"/>
    </row>
    <row r="464" spans="9:14" ht="13">
      <c r="I464" s="10"/>
      <c r="N464" s="10"/>
    </row>
    <row r="465" spans="9:14" ht="13">
      <c r="I465" s="10"/>
      <c r="N465" s="10"/>
    </row>
    <row r="466" spans="9:14" ht="13">
      <c r="I466" s="10"/>
      <c r="N466" s="10"/>
    </row>
    <row r="467" spans="9:14" ht="13">
      <c r="I467" s="10"/>
      <c r="N467" s="10"/>
    </row>
    <row r="468" spans="9:14" ht="13">
      <c r="I468" s="10"/>
      <c r="N468" s="10"/>
    </row>
    <row r="469" spans="9:14" ht="13">
      <c r="I469" s="10"/>
      <c r="N469" s="10"/>
    </row>
    <row r="470" spans="9:14" ht="13">
      <c r="I470" s="10"/>
      <c r="N470" s="10"/>
    </row>
    <row r="471" spans="9:14" ht="13">
      <c r="I471" s="10"/>
      <c r="N471" s="10"/>
    </row>
    <row r="472" spans="9:14" ht="13">
      <c r="I472" s="10"/>
      <c r="N472" s="10"/>
    </row>
    <row r="473" spans="9:14" ht="13">
      <c r="I473" s="10"/>
      <c r="N473" s="10"/>
    </row>
    <row r="474" spans="9:14" ht="13">
      <c r="I474" s="10"/>
      <c r="N474" s="10"/>
    </row>
    <row r="475" spans="9:14" ht="13">
      <c r="I475" s="10"/>
      <c r="N475" s="10"/>
    </row>
    <row r="476" spans="9:14" ht="13">
      <c r="I476" s="10"/>
      <c r="N476" s="10"/>
    </row>
    <row r="477" spans="9:14" ht="13">
      <c r="I477" s="10"/>
      <c r="N477" s="10"/>
    </row>
    <row r="478" spans="9:14" ht="13">
      <c r="I478" s="10"/>
      <c r="N478" s="10"/>
    </row>
    <row r="479" spans="9:14" ht="13">
      <c r="I479" s="10"/>
      <c r="N479" s="10"/>
    </row>
    <row r="480" spans="9:14" ht="13">
      <c r="I480" s="10"/>
      <c r="N480" s="10"/>
    </row>
    <row r="481" spans="9:14" ht="13">
      <c r="I481" s="10"/>
      <c r="N481" s="10"/>
    </row>
    <row r="482" spans="9:14" ht="13">
      <c r="I482" s="10"/>
      <c r="N482" s="10"/>
    </row>
    <row r="483" spans="9:14" ht="13">
      <c r="I483" s="10"/>
      <c r="N483" s="10"/>
    </row>
    <row r="484" spans="9:14" ht="13">
      <c r="I484" s="10"/>
      <c r="N484" s="10"/>
    </row>
    <row r="485" spans="9:14" ht="13">
      <c r="I485" s="10"/>
      <c r="N485" s="10"/>
    </row>
    <row r="486" spans="9:14" ht="13">
      <c r="I486" s="10"/>
      <c r="N486" s="10"/>
    </row>
    <row r="487" spans="9:14" ht="13">
      <c r="I487" s="10"/>
      <c r="N487" s="10"/>
    </row>
    <row r="488" spans="9:14" ht="13">
      <c r="I488" s="10"/>
      <c r="N488" s="10"/>
    </row>
    <row r="489" spans="9:14" ht="13">
      <c r="I489" s="10"/>
      <c r="N489" s="10"/>
    </row>
    <row r="490" spans="9:14" ht="13">
      <c r="I490" s="10"/>
      <c r="N490" s="10"/>
    </row>
    <row r="491" spans="9:14" ht="13">
      <c r="I491" s="10"/>
      <c r="N491" s="10"/>
    </row>
    <row r="492" spans="9:14" ht="13">
      <c r="I492" s="10"/>
      <c r="N492" s="10"/>
    </row>
    <row r="493" spans="9:14" ht="13">
      <c r="I493" s="10"/>
      <c r="N493" s="10"/>
    </row>
    <row r="494" spans="9:14" ht="13">
      <c r="I494" s="10"/>
      <c r="N494" s="10"/>
    </row>
    <row r="495" spans="9:14" ht="13">
      <c r="I495" s="10"/>
      <c r="N495" s="10"/>
    </row>
    <row r="496" spans="9:14" ht="13">
      <c r="I496" s="10"/>
      <c r="N496" s="10"/>
    </row>
    <row r="497" spans="9:14" ht="13">
      <c r="I497" s="10"/>
      <c r="N497" s="10"/>
    </row>
    <row r="498" spans="9:14" ht="13">
      <c r="I498" s="10"/>
      <c r="N498" s="10"/>
    </row>
    <row r="499" spans="9:14" ht="13">
      <c r="I499" s="10"/>
      <c r="N499" s="10"/>
    </row>
    <row r="500" spans="9:14" ht="13">
      <c r="I500" s="10"/>
      <c r="N500" s="10"/>
    </row>
    <row r="501" spans="9:14" ht="13">
      <c r="I501" s="10"/>
      <c r="N501" s="10"/>
    </row>
    <row r="502" spans="9:14" ht="13">
      <c r="I502" s="10"/>
      <c r="N502" s="10"/>
    </row>
    <row r="503" spans="9:14" ht="13">
      <c r="I503" s="10"/>
      <c r="N503" s="10"/>
    </row>
    <row r="504" spans="9:14" ht="13">
      <c r="I504" s="10"/>
      <c r="N504" s="10"/>
    </row>
    <row r="505" spans="9:14" ht="13">
      <c r="I505" s="10"/>
      <c r="N505" s="10"/>
    </row>
    <row r="506" spans="9:14" ht="13">
      <c r="I506" s="10"/>
      <c r="N506" s="10"/>
    </row>
    <row r="507" spans="9:14" ht="13">
      <c r="I507" s="10"/>
      <c r="N507" s="10"/>
    </row>
    <row r="508" spans="9:14" ht="13">
      <c r="I508" s="10"/>
      <c r="N508" s="10"/>
    </row>
    <row r="509" spans="9:14" ht="13">
      <c r="I509" s="10"/>
      <c r="N509" s="10"/>
    </row>
    <row r="510" spans="9:14" ht="13">
      <c r="I510" s="10"/>
      <c r="N510" s="10"/>
    </row>
    <row r="511" spans="9:14" ht="13">
      <c r="I511" s="10"/>
      <c r="N511" s="10"/>
    </row>
    <row r="512" spans="9:14" ht="13">
      <c r="I512" s="10"/>
      <c r="N512" s="10"/>
    </row>
    <row r="513" spans="9:14" ht="13">
      <c r="I513" s="10"/>
      <c r="N513" s="10"/>
    </row>
    <row r="514" spans="9:14" ht="13">
      <c r="I514" s="10"/>
      <c r="N514" s="10"/>
    </row>
    <row r="515" spans="9:14" ht="13">
      <c r="I515" s="10"/>
      <c r="N515" s="10"/>
    </row>
    <row r="516" spans="9:14" ht="13">
      <c r="I516" s="10"/>
      <c r="N516" s="10"/>
    </row>
    <row r="517" spans="9:14" ht="13">
      <c r="I517" s="10"/>
      <c r="N517" s="10"/>
    </row>
    <row r="518" spans="9:14" ht="13">
      <c r="I518" s="10"/>
      <c r="N518" s="10"/>
    </row>
    <row r="519" spans="9:14" ht="13">
      <c r="I519" s="10"/>
      <c r="N519" s="10"/>
    </row>
    <row r="520" spans="9:14" ht="13">
      <c r="I520" s="10"/>
      <c r="N520" s="10"/>
    </row>
    <row r="521" spans="9:14" ht="13">
      <c r="I521" s="10"/>
      <c r="N521" s="10"/>
    </row>
    <row r="522" spans="9:14" ht="13">
      <c r="I522" s="10"/>
      <c r="N522" s="10"/>
    </row>
    <row r="523" spans="9:14" ht="13">
      <c r="I523" s="10"/>
      <c r="N523" s="10"/>
    </row>
    <row r="524" spans="9:14" ht="13">
      <c r="I524" s="10"/>
      <c r="N524" s="10"/>
    </row>
    <row r="525" spans="9:14" ht="13">
      <c r="I525" s="10"/>
      <c r="N525" s="10"/>
    </row>
    <row r="526" spans="9:14" ht="13">
      <c r="I526" s="10"/>
      <c r="N526" s="10"/>
    </row>
    <row r="527" spans="9:14" ht="13">
      <c r="I527" s="10"/>
      <c r="N527" s="10"/>
    </row>
    <row r="528" spans="9:14" ht="13">
      <c r="I528" s="10"/>
      <c r="N528" s="10"/>
    </row>
    <row r="529" spans="9:14" ht="13">
      <c r="I529" s="10"/>
      <c r="N529" s="10"/>
    </row>
    <row r="530" spans="9:14" ht="13">
      <c r="I530" s="10"/>
      <c r="N530" s="10"/>
    </row>
    <row r="531" spans="9:14" ht="13">
      <c r="I531" s="10"/>
      <c r="N531" s="10"/>
    </row>
    <row r="532" spans="9:14" ht="13">
      <c r="I532" s="10"/>
      <c r="N532" s="10"/>
    </row>
    <row r="533" spans="9:14" ht="13">
      <c r="I533" s="10"/>
      <c r="N533" s="10"/>
    </row>
    <row r="534" spans="9:14" ht="13">
      <c r="I534" s="10"/>
      <c r="N534" s="10"/>
    </row>
    <row r="535" spans="9:14" ht="13">
      <c r="I535" s="10"/>
      <c r="N535" s="10"/>
    </row>
    <row r="536" spans="9:14" ht="13">
      <c r="I536" s="10"/>
      <c r="N536" s="10"/>
    </row>
    <row r="537" spans="9:14" ht="13">
      <c r="I537" s="10"/>
      <c r="N537" s="10"/>
    </row>
    <row r="538" spans="9:14" ht="13">
      <c r="I538" s="10"/>
      <c r="N538" s="10"/>
    </row>
    <row r="539" spans="9:14" ht="13">
      <c r="I539" s="10"/>
      <c r="N539" s="10"/>
    </row>
    <row r="540" spans="9:14" ht="13">
      <c r="I540" s="10"/>
      <c r="N540" s="10"/>
    </row>
    <row r="541" spans="9:14" ht="13">
      <c r="I541" s="10"/>
      <c r="N541" s="10"/>
    </row>
    <row r="542" spans="9:14" ht="13">
      <c r="I542" s="10"/>
      <c r="N542" s="10"/>
    </row>
    <row r="543" spans="9:14" ht="13">
      <c r="I543" s="10"/>
      <c r="N543" s="10"/>
    </row>
    <row r="544" spans="9:14" ht="13">
      <c r="I544" s="10"/>
      <c r="N544" s="10"/>
    </row>
    <row r="545" spans="9:14" ht="13">
      <c r="I545" s="10"/>
      <c r="N545" s="10"/>
    </row>
    <row r="546" spans="9:14" ht="13">
      <c r="I546" s="10"/>
      <c r="N546" s="10"/>
    </row>
    <row r="547" spans="9:14" ht="13">
      <c r="I547" s="10"/>
      <c r="N547" s="10"/>
    </row>
    <row r="548" spans="9:14" ht="13">
      <c r="I548" s="10"/>
      <c r="N548" s="10"/>
    </row>
    <row r="549" spans="9:14" ht="13">
      <c r="I549" s="10"/>
      <c r="N549" s="10"/>
    </row>
    <row r="550" spans="9:14" ht="13">
      <c r="I550" s="10"/>
      <c r="N550" s="10"/>
    </row>
    <row r="551" spans="9:14" ht="13">
      <c r="I551" s="10"/>
      <c r="N551" s="10"/>
    </row>
    <row r="552" spans="9:14" ht="13">
      <c r="I552" s="10"/>
      <c r="N552" s="10"/>
    </row>
    <row r="553" spans="9:14" ht="13">
      <c r="I553" s="10"/>
      <c r="N553" s="10"/>
    </row>
    <row r="554" spans="9:14" ht="13">
      <c r="I554" s="10"/>
      <c r="N554" s="10"/>
    </row>
    <row r="555" spans="9:14" ht="13">
      <c r="I555" s="10"/>
      <c r="N555" s="10"/>
    </row>
    <row r="556" spans="9:14" ht="13">
      <c r="I556" s="10"/>
      <c r="N556" s="10"/>
    </row>
    <row r="557" spans="9:14" ht="13">
      <c r="I557" s="10"/>
      <c r="N557" s="10"/>
    </row>
    <row r="558" spans="9:14" ht="13">
      <c r="I558" s="10"/>
      <c r="N558" s="10"/>
    </row>
    <row r="559" spans="9:14" ht="13">
      <c r="I559" s="10"/>
      <c r="N559" s="10"/>
    </row>
    <row r="560" spans="9:14" ht="13">
      <c r="I560" s="10"/>
      <c r="N560" s="10"/>
    </row>
    <row r="561" spans="9:14" ht="13">
      <c r="I561" s="10"/>
      <c r="N561" s="10"/>
    </row>
    <row r="562" spans="9:14" ht="13">
      <c r="I562" s="10"/>
      <c r="N562" s="10"/>
    </row>
    <row r="563" spans="9:14" ht="13">
      <c r="I563" s="10"/>
      <c r="N563" s="10"/>
    </row>
    <row r="564" spans="9:14" ht="13">
      <c r="I564" s="10"/>
      <c r="N564" s="10"/>
    </row>
    <row r="565" spans="9:14" ht="13">
      <c r="I565" s="10"/>
      <c r="N565" s="10"/>
    </row>
    <row r="566" spans="9:14" ht="13">
      <c r="I566" s="10"/>
      <c r="N566" s="10"/>
    </row>
    <row r="567" spans="9:14" ht="13">
      <c r="I567" s="10"/>
      <c r="N567" s="10"/>
    </row>
    <row r="568" spans="9:14" ht="13">
      <c r="I568" s="10"/>
      <c r="N568" s="10"/>
    </row>
    <row r="569" spans="9:14" ht="13">
      <c r="I569" s="10"/>
      <c r="N569" s="10"/>
    </row>
    <row r="570" spans="9:14" ht="13">
      <c r="I570" s="10"/>
      <c r="N570" s="10"/>
    </row>
    <row r="571" spans="9:14" ht="13">
      <c r="I571" s="10"/>
      <c r="N571" s="10"/>
    </row>
    <row r="572" spans="9:14" ht="13">
      <c r="I572" s="10"/>
      <c r="N572" s="10"/>
    </row>
    <row r="573" spans="9:14" ht="13">
      <c r="I573" s="10"/>
      <c r="N573" s="10"/>
    </row>
    <row r="574" spans="9:14" ht="13">
      <c r="I574" s="10"/>
      <c r="N574" s="10"/>
    </row>
    <row r="575" spans="9:14" ht="13">
      <c r="I575" s="10"/>
      <c r="N575" s="10"/>
    </row>
    <row r="576" spans="9:14" ht="13">
      <c r="I576" s="10"/>
      <c r="N576" s="10"/>
    </row>
    <row r="577" spans="9:14" ht="13">
      <c r="I577" s="10"/>
      <c r="N577" s="10"/>
    </row>
    <row r="578" spans="9:14" ht="13">
      <c r="I578" s="10"/>
      <c r="N578" s="10"/>
    </row>
    <row r="579" spans="9:14" ht="13">
      <c r="I579" s="10"/>
      <c r="N579" s="10"/>
    </row>
    <row r="580" spans="9:14" ht="13">
      <c r="I580" s="10"/>
      <c r="N580" s="10"/>
    </row>
    <row r="581" spans="9:14" ht="13">
      <c r="I581" s="10"/>
      <c r="N581" s="10"/>
    </row>
    <row r="582" spans="9:14" ht="13">
      <c r="I582" s="10"/>
      <c r="N582" s="10"/>
    </row>
    <row r="583" spans="9:14" ht="13">
      <c r="I583" s="10"/>
      <c r="N583" s="10"/>
    </row>
    <row r="584" spans="9:14" ht="13">
      <c r="I584" s="10"/>
      <c r="N584" s="10"/>
    </row>
    <row r="585" spans="9:14" ht="13">
      <c r="I585" s="10"/>
      <c r="N585" s="10"/>
    </row>
    <row r="586" spans="9:14" ht="13">
      <c r="I586" s="10"/>
      <c r="N586" s="10"/>
    </row>
    <row r="587" spans="9:14" ht="13">
      <c r="I587" s="10"/>
      <c r="N587" s="10"/>
    </row>
    <row r="588" spans="9:14" ht="13">
      <c r="I588" s="10"/>
      <c r="N588" s="10"/>
    </row>
    <row r="589" spans="9:14" ht="13">
      <c r="I589" s="10"/>
      <c r="N589" s="10"/>
    </row>
    <row r="590" spans="9:14" ht="13">
      <c r="I590" s="10"/>
      <c r="N590" s="10"/>
    </row>
    <row r="591" spans="9:14" ht="13">
      <c r="I591" s="10"/>
      <c r="N591" s="10"/>
    </row>
    <row r="592" spans="9:14" ht="13">
      <c r="I592" s="10"/>
      <c r="N592" s="10"/>
    </row>
    <row r="593" spans="9:14" ht="13">
      <c r="I593" s="10"/>
      <c r="N593" s="10"/>
    </row>
    <row r="594" spans="9:14" ht="13">
      <c r="I594" s="10"/>
      <c r="N594" s="10"/>
    </row>
    <row r="595" spans="9:14" ht="13">
      <c r="I595" s="10"/>
      <c r="N595" s="10"/>
    </row>
    <row r="596" spans="9:14" ht="13">
      <c r="I596" s="10"/>
      <c r="N596" s="10"/>
    </row>
    <row r="597" spans="9:14" ht="13">
      <c r="I597" s="10"/>
      <c r="N597" s="10"/>
    </row>
    <row r="598" spans="9:14" ht="13">
      <c r="I598" s="10"/>
      <c r="N598" s="10"/>
    </row>
    <row r="599" spans="9:14" ht="13">
      <c r="I599" s="10"/>
      <c r="N599" s="10"/>
    </row>
    <row r="600" spans="9:14" ht="13">
      <c r="I600" s="10"/>
      <c r="N600" s="10"/>
    </row>
    <row r="601" spans="9:14" ht="13">
      <c r="I601" s="10"/>
      <c r="N601" s="10"/>
    </row>
    <row r="602" spans="9:14" ht="13">
      <c r="I602" s="10"/>
      <c r="N602" s="10"/>
    </row>
    <row r="603" spans="9:14" ht="13">
      <c r="I603" s="10"/>
      <c r="N603" s="10"/>
    </row>
    <row r="604" spans="9:14" ht="13">
      <c r="I604" s="10"/>
      <c r="N604" s="10"/>
    </row>
    <row r="605" spans="9:14" ht="13">
      <c r="I605" s="10"/>
      <c r="N605" s="10"/>
    </row>
    <row r="606" spans="9:14" ht="13">
      <c r="I606" s="10"/>
      <c r="N606" s="10"/>
    </row>
    <row r="607" spans="9:14" ht="13">
      <c r="I607" s="10"/>
      <c r="N607" s="10"/>
    </row>
    <row r="608" spans="9:14" ht="13">
      <c r="I608" s="10"/>
      <c r="N608" s="10"/>
    </row>
    <row r="609" spans="9:14" ht="13">
      <c r="I609" s="10"/>
      <c r="N609" s="10"/>
    </row>
    <row r="610" spans="9:14" ht="13">
      <c r="I610" s="10"/>
      <c r="N610" s="10"/>
    </row>
    <row r="611" spans="9:14" ht="13">
      <c r="I611" s="10"/>
      <c r="N611" s="10"/>
    </row>
    <row r="612" spans="9:14" ht="13">
      <c r="I612" s="10"/>
      <c r="N612" s="10"/>
    </row>
    <row r="613" spans="9:14" ht="13">
      <c r="I613" s="10"/>
      <c r="N613" s="10"/>
    </row>
    <row r="614" spans="9:14" ht="13">
      <c r="I614" s="10"/>
      <c r="N614" s="10"/>
    </row>
    <row r="615" spans="9:14" ht="13">
      <c r="I615" s="10"/>
      <c r="N615" s="10"/>
    </row>
    <row r="616" spans="9:14" ht="13">
      <c r="I616" s="10"/>
      <c r="N616" s="10"/>
    </row>
    <row r="617" spans="9:14" ht="13">
      <c r="I617" s="10"/>
      <c r="N617" s="10"/>
    </row>
    <row r="618" spans="9:14" ht="13">
      <c r="I618" s="10"/>
      <c r="N618" s="10"/>
    </row>
    <row r="619" spans="9:14" ht="13">
      <c r="I619" s="10"/>
      <c r="N619" s="10"/>
    </row>
    <row r="620" spans="9:14" ht="13">
      <c r="I620" s="10"/>
      <c r="N620" s="10"/>
    </row>
    <row r="621" spans="9:14" ht="13">
      <c r="I621" s="10"/>
      <c r="N621" s="10"/>
    </row>
    <row r="622" spans="9:14" ht="13">
      <c r="I622" s="10"/>
      <c r="N622" s="10"/>
    </row>
    <row r="623" spans="9:14" ht="13">
      <c r="I623" s="10"/>
      <c r="N623" s="10"/>
    </row>
    <row r="624" spans="9:14" ht="13">
      <c r="I624" s="10"/>
      <c r="N624" s="10"/>
    </row>
    <row r="625" spans="9:14" ht="13">
      <c r="I625" s="10"/>
      <c r="N625" s="10"/>
    </row>
    <row r="626" spans="9:14" ht="13">
      <c r="I626" s="10"/>
      <c r="N626" s="10"/>
    </row>
    <row r="627" spans="9:14" ht="13">
      <c r="I627" s="10"/>
      <c r="N627" s="10"/>
    </row>
    <row r="628" spans="9:14" ht="13">
      <c r="I628" s="10"/>
      <c r="N628" s="10"/>
    </row>
    <row r="629" spans="9:14" ht="13">
      <c r="I629" s="10"/>
      <c r="N629" s="10"/>
    </row>
    <row r="630" spans="9:14" ht="13">
      <c r="I630" s="10"/>
      <c r="N630" s="10"/>
    </row>
    <row r="631" spans="9:14" ht="13">
      <c r="I631" s="10"/>
      <c r="N631" s="10"/>
    </row>
    <row r="632" spans="9:14" ht="13">
      <c r="I632" s="10"/>
      <c r="N632" s="10"/>
    </row>
    <row r="633" spans="9:14" ht="13">
      <c r="I633" s="10"/>
      <c r="N633" s="10"/>
    </row>
    <row r="634" spans="9:14" ht="13">
      <c r="I634" s="10"/>
      <c r="N634" s="10"/>
    </row>
    <row r="635" spans="9:14" ht="13">
      <c r="I635" s="10"/>
      <c r="N635" s="10"/>
    </row>
    <row r="636" spans="9:14" ht="13">
      <c r="I636" s="10"/>
      <c r="N636" s="10"/>
    </row>
    <row r="637" spans="9:14" ht="13">
      <c r="I637" s="10"/>
      <c r="N637" s="10"/>
    </row>
    <row r="638" spans="9:14" ht="13">
      <c r="I638" s="10"/>
      <c r="N638" s="10"/>
    </row>
    <row r="639" spans="9:14" ht="13">
      <c r="I639" s="10"/>
      <c r="N639" s="10"/>
    </row>
    <row r="640" spans="9:14" ht="13">
      <c r="I640" s="10"/>
      <c r="N640" s="10"/>
    </row>
    <row r="641" spans="9:14" ht="13">
      <c r="I641" s="10"/>
      <c r="N641" s="10"/>
    </row>
    <row r="642" spans="9:14" ht="13">
      <c r="I642" s="10"/>
      <c r="N642" s="10"/>
    </row>
    <row r="643" spans="9:14" ht="13">
      <c r="I643" s="10"/>
      <c r="N643" s="10"/>
    </row>
    <row r="644" spans="9:14" ht="13">
      <c r="I644" s="10"/>
      <c r="N644" s="10"/>
    </row>
    <row r="645" spans="9:14" ht="13">
      <c r="I645" s="10"/>
      <c r="N645" s="10"/>
    </row>
    <row r="646" spans="9:14" ht="13">
      <c r="I646" s="10"/>
      <c r="N646" s="10"/>
    </row>
    <row r="647" spans="9:14" ht="13">
      <c r="I647" s="10"/>
      <c r="N647" s="10"/>
    </row>
    <row r="648" spans="9:14" ht="13">
      <c r="I648" s="10"/>
      <c r="N648" s="10"/>
    </row>
    <row r="649" spans="9:14" ht="13">
      <c r="I649" s="10"/>
      <c r="N649" s="10"/>
    </row>
    <row r="650" spans="9:14" ht="13">
      <c r="I650" s="10"/>
      <c r="N650" s="10"/>
    </row>
    <row r="651" spans="9:14" ht="13">
      <c r="I651" s="10"/>
      <c r="N651" s="10"/>
    </row>
    <row r="652" spans="9:14" ht="13">
      <c r="I652" s="10"/>
      <c r="N652" s="10"/>
    </row>
    <row r="653" spans="9:14" ht="13">
      <c r="I653" s="10"/>
      <c r="N653" s="10"/>
    </row>
    <row r="654" spans="9:14" ht="13">
      <c r="I654" s="10"/>
      <c r="N654" s="10"/>
    </row>
    <row r="655" spans="9:14" ht="13">
      <c r="I655" s="10"/>
      <c r="N655" s="10"/>
    </row>
    <row r="656" spans="9:14" ht="13">
      <c r="I656" s="10"/>
      <c r="N656" s="10"/>
    </row>
    <row r="657" spans="9:14" ht="13">
      <c r="I657" s="10"/>
      <c r="N657" s="10"/>
    </row>
    <row r="658" spans="9:14" ht="13">
      <c r="I658" s="10"/>
      <c r="N658" s="10"/>
    </row>
    <row r="659" spans="9:14" ht="13">
      <c r="I659" s="10"/>
      <c r="N659" s="10"/>
    </row>
    <row r="660" spans="9:14" ht="13">
      <c r="I660" s="10"/>
      <c r="N660" s="10"/>
    </row>
    <row r="661" spans="9:14" ht="13">
      <c r="I661" s="10"/>
      <c r="N661" s="10"/>
    </row>
    <row r="662" spans="9:14" ht="13">
      <c r="I662" s="10"/>
      <c r="N662" s="10"/>
    </row>
    <row r="663" spans="9:14" ht="13">
      <c r="I663" s="10"/>
      <c r="N663" s="10"/>
    </row>
    <row r="664" spans="9:14" ht="13">
      <c r="I664" s="10"/>
      <c r="N664" s="10"/>
    </row>
    <row r="665" spans="9:14" ht="13">
      <c r="I665" s="10"/>
      <c r="N665" s="10"/>
    </row>
    <row r="666" spans="9:14" ht="13">
      <c r="I666" s="10"/>
      <c r="N666" s="10"/>
    </row>
    <row r="667" spans="9:14" ht="13">
      <c r="I667" s="10"/>
      <c r="N667" s="10"/>
    </row>
    <row r="668" spans="9:14" ht="13">
      <c r="I668" s="10"/>
      <c r="N668" s="10"/>
    </row>
    <row r="669" spans="9:14" ht="13">
      <c r="I669" s="10"/>
      <c r="N669" s="10"/>
    </row>
    <row r="670" spans="9:14" ht="13">
      <c r="I670" s="10"/>
      <c r="N670" s="10"/>
    </row>
    <row r="671" spans="9:14" ht="13">
      <c r="I671" s="10"/>
      <c r="N671" s="10"/>
    </row>
    <row r="672" spans="9:14" ht="13">
      <c r="I672" s="10"/>
      <c r="N672" s="10"/>
    </row>
    <row r="673" spans="9:14" ht="13">
      <c r="I673" s="10"/>
      <c r="N673" s="10"/>
    </row>
    <row r="674" spans="9:14" ht="13">
      <c r="I674" s="10"/>
      <c r="N674" s="10"/>
    </row>
    <row r="675" spans="9:14" ht="13">
      <c r="I675" s="10"/>
      <c r="N675" s="10"/>
    </row>
    <row r="676" spans="9:14" ht="13">
      <c r="I676" s="10"/>
      <c r="N676" s="10"/>
    </row>
    <row r="677" spans="9:14" ht="13">
      <c r="I677" s="10"/>
      <c r="N677" s="10"/>
    </row>
    <row r="678" spans="9:14" ht="13">
      <c r="I678" s="10"/>
      <c r="N678" s="10"/>
    </row>
    <row r="679" spans="9:14" ht="13">
      <c r="I679" s="10"/>
      <c r="N679" s="10"/>
    </row>
    <row r="680" spans="9:14" ht="13">
      <c r="I680" s="10"/>
      <c r="N680" s="10"/>
    </row>
    <row r="681" spans="9:14" ht="13">
      <c r="I681" s="10"/>
      <c r="N681" s="10"/>
    </row>
    <row r="682" spans="9:14" ht="13">
      <c r="I682" s="10"/>
      <c r="N682" s="10"/>
    </row>
    <row r="683" spans="9:14" ht="13">
      <c r="I683" s="10"/>
      <c r="N683" s="10"/>
    </row>
    <row r="684" spans="9:14" ht="13">
      <c r="I684" s="10"/>
      <c r="N684" s="10"/>
    </row>
    <row r="685" spans="9:14" ht="13">
      <c r="I685" s="10"/>
      <c r="N685" s="10"/>
    </row>
    <row r="686" spans="9:14" ht="13">
      <c r="I686" s="10"/>
      <c r="N686" s="10"/>
    </row>
    <row r="687" spans="9:14" ht="13">
      <c r="I687" s="10"/>
      <c r="N687" s="10"/>
    </row>
    <row r="688" spans="9:14" ht="13">
      <c r="I688" s="10"/>
      <c r="N688" s="10"/>
    </row>
    <row r="689" spans="9:14" ht="13">
      <c r="I689" s="10"/>
      <c r="N689" s="10"/>
    </row>
    <row r="690" spans="9:14" ht="13">
      <c r="I690" s="10"/>
      <c r="N690" s="10"/>
    </row>
    <row r="691" spans="9:14" ht="13">
      <c r="I691" s="10"/>
      <c r="N691" s="10"/>
    </row>
    <row r="692" spans="9:14" ht="13">
      <c r="I692" s="10"/>
      <c r="N692" s="10"/>
    </row>
    <row r="693" spans="9:14" ht="13">
      <c r="I693" s="10"/>
      <c r="N693" s="10"/>
    </row>
    <row r="694" spans="9:14" ht="13">
      <c r="I694" s="10"/>
      <c r="N694" s="10"/>
    </row>
    <row r="695" spans="9:14" ht="13">
      <c r="I695" s="10"/>
      <c r="N695" s="10"/>
    </row>
    <row r="696" spans="9:14" ht="13">
      <c r="I696" s="10"/>
      <c r="N696" s="10"/>
    </row>
    <row r="697" spans="9:14" ht="13">
      <c r="I697" s="10"/>
      <c r="N697" s="10"/>
    </row>
    <row r="698" spans="9:14" ht="13">
      <c r="I698" s="10"/>
      <c r="N698" s="10"/>
    </row>
    <row r="699" spans="9:14" ht="13">
      <c r="I699" s="10"/>
      <c r="N699" s="10"/>
    </row>
    <row r="700" spans="9:14" ht="13">
      <c r="I700" s="10"/>
      <c r="N700" s="10"/>
    </row>
    <row r="701" spans="9:14" ht="13">
      <c r="I701" s="10"/>
      <c r="N701" s="10"/>
    </row>
    <row r="702" spans="9:14" ht="13">
      <c r="I702" s="10"/>
      <c r="N702" s="10"/>
    </row>
    <row r="703" spans="9:14" ht="13">
      <c r="I703" s="10"/>
      <c r="N703" s="10"/>
    </row>
    <row r="704" spans="9:14" ht="13">
      <c r="I704" s="10"/>
      <c r="N704" s="10"/>
    </row>
    <row r="705" spans="9:14" ht="13">
      <c r="I705" s="10"/>
      <c r="N705" s="10"/>
    </row>
    <row r="706" spans="9:14" ht="13">
      <c r="I706" s="10"/>
      <c r="N706" s="10"/>
    </row>
    <row r="707" spans="9:14" ht="13">
      <c r="I707" s="10"/>
      <c r="N707" s="10"/>
    </row>
    <row r="708" spans="9:14" ht="13">
      <c r="I708" s="10"/>
      <c r="N708" s="10"/>
    </row>
    <row r="709" spans="9:14" ht="13">
      <c r="I709" s="10"/>
      <c r="N709" s="10"/>
    </row>
    <row r="710" spans="9:14" ht="13">
      <c r="I710" s="10"/>
      <c r="N710" s="10"/>
    </row>
    <row r="711" spans="9:14" ht="13">
      <c r="I711" s="10"/>
      <c r="N711" s="10"/>
    </row>
    <row r="712" spans="9:14" ht="13">
      <c r="I712" s="10"/>
      <c r="N712" s="10"/>
    </row>
    <row r="713" spans="9:14" ht="13">
      <c r="I713" s="10"/>
      <c r="N713" s="10"/>
    </row>
    <row r="714" spans="9:14" ht="13">
      <c r="I714" s="10"/>
      <c r="N714" s="10"/>
    </row>
    <row r="715" spans="9:14" ht="13">
      <c r="I715" s="10"/>
      <c r="N715" s="10"/>
    </row>
    <row r="716" spans="9:14" ht="13">
      <c r="I716" s="10"/>
      <c r="N716" s="10"/>
    </row>
    <row r="717" spans="9:14" ht="13">
      <c r="I717" s="10"/>
      <c r="N717" s="10"/>
    </row>
    <row r="718" spans="9:14" ht="13">
      <c r="I718" s="10"/>
      <c r="N718" s="10"/>
    </row>
    <row r="719" spans="9:14" ht="13">
      <c r="I719" s="10"/>
      <c r="N719" s="10"/>
    </row>
    <row r="720" spans="9:14" ht="13">
      <c r="I720" s="10"/>
      <c r="N720" s="10"/>
    </row>
    <row r="721" spans="9:14" ht="13">
      <c r="I721" s="10"/>
      <c r="N721" s="10"/>
    </row>
    <row r="722" spans="9:14" ht="13">
      <c r="I722" s="10"/>
      <c r="N722" s="10"/>
    </row>
    <row r="723" spans="9:14" ht="13">
      <c r="I723" s="10"/>
      <c r="N723" s="10"/>
    </row>
    <row r="724" spans="9:14" ht="13">
      <c r="I724" s="10"/>
      <c r="N724" s="10"/>
    </row>
    <row r="725" spans="9:14" ht="13">
      <c r="I725" s="10"/>
      <c r="N725" s="10"/>
    </row>
    <row r="726" spans="9:14" ht="13">
      <c r="I726" s="10"/>
      <c r="N726" s="10"/>
    </row>
    <row r="727" spans="9:14" ht="13">
      <c r="I727" s="10"/>
      <c r="N727" s="10"/>
    </row>
    <row r="728" spans="9:14" ht="13">
      <c r="I728" s="10"/>
      <c r="N728" s="10"/>
    </row>
    <row r="729" spans="9:14" ht="13">
      <c r="I729" s="10"/>
      <c r="N729" s="10"/>
    </row>
    <row r="730" spans="9:14" ht="13">
      <c r="I730" s="10"/>
      <c r="N730" s="10"/>
    </row>
    <row r="731" spans="9:14" ht="13">
      <c r="I731" s="10"/>
      <c r="N731" s="10"/>
    </row>
    <row r="732" spans="9:14" ht="13">
      <c r="I732" s="10"/>
      <c r="N732" s="10"/>
    </row>
    <row r="733" spans="9:14" ht="13">
      <c r="I733" s="10"/>
      <c r="N733" s="10"/>
    </row>
    <row r="734" spans="9:14" ht="13">
      <c r="I734" s="10"/>
      <c r="N734" s="10"/>
    </row>
    <row r="735" spans="9:14" ht="13">
      <c r="I735" s="10"/>
      <c r="N735" s="10"/>
    </row>
    <row r="736" spans="9:14" ht="13">
      <c r="I736" s="10"/>
      <c r="N736" s="10"/>
    </row>
    <row r="737" spans="9:14" ht="13">
      <c r="I737" s="10"/>
      <c r="N737" s="10"/>
    </row>
    <row r="738" spans="9:14" ht="13">
      <c r="I738" s="10"/>
      <c r="N738" s="10"/>
    </row>
    <row r="739" spans="9:14" ht="13">
      <c r="I739" s="10"/>
      <c r="N739" s="10"/>
    </row>
    <row r="740" spans="9:14" ht="13">
      <c r="I740" s="10"/>
      <c r="N740" s="10"/>
    </row>
    <row r="741" spans="9:14" ht="13">
      <c r="I741" s="10"/>
      <c r="N741" s="10"/>
    </row>
    <row r="742" spans="9:14" ht="13">
      <c r="I742" s="10"/>
      <c r="N742" s="10"/>
    </row>
    <row r="743" spans="9:14" ht="13">
      <c r="I743" s="10"/>
      <c r="N743" s="10"/>
    </row>
    <row r="744" spans="9:14" ht="13">
      <c r="I744" s="10"/>
      <c r="N744" s="10"/>
    </row>
    <row r="745" spans="9:14" ht="13">
      <c r="I745" s="10"/>
      <c r="N745" s="10"/>
    </row>
    <row r="746" spans="9:14" ht="13">
      <c r="I746" s="10"/>
      <c r="N746" s="10"/>
    </row>
    <row r="747" spans="9:14" ht="13">
      <c r="I747" s="10"/>
      <c r="N747" s="10"/>
    </row>
    <row r="748" spans="9:14" ht="13">
      <c r="I748" s="10"/>
      <c r="N748" s="10"/>
    </row>
    <row r="749" spans="9:14" ht="13">
      <c r="I749" s="10"/>
      <c r="N749" s="10"/>
    </row>
    <row r="750" spans="9:14" ht="13">
      <c r="I750" s="10"/>
      <c r="N750" s="10"/>
    </row>
    <row r="751" spans="9:14" ht="13">
      <c r="I751" s="10"/>
      <c r="N751" s="10"/>
    </row>
    <row r="752" spans="9:14" ht="13">
      <c r="I752" s="10"/>
      <c r="N752" s="10"/>
    </row>
    <row r="753" spans="9:14" ht="13">
      <c r="I753" s="10"/>
      <c r="N753" s="10"/>
    </row>
    <row r="754" spans="9:14" ht="13">
      <c r="I754" s="10"/>
      <c r="N754" s="10"/>
    </row>
    <row r="755" spans="9:14" ht="13">
      <c r="I755" s="10"/>
      <c r="N755" s="10"/>
    </row>
    <row r="756" spans="9:14" ht="13">
      <c r="I756" s="10"/>
      <c r="N756" s="10"/>
    </row>
    <row r="757" spans="9:14" ht="13">
      <c r="I757" s="10"/>
      <c r="N757" s="10"/>
    </row>
    <row r="758" spans="9:14" ht="13">
      <c r="I758" s="10"/>
      <c r="N758" s="10"/>
    </row>
    <row r="759" spans="9:14" ht="13">
      <c r="I759" s="10"/>
      <c r="N759" s="10"/>
    </row>
    <row r="760" spans="9:14" ht="13">
      <c r="I760" s="10"/>
      <c r="N760" s="10"/>
    </row>
    <row r="761" spans="9:14" ht="13">
      <c r="I761" s="10"/>
      <c r="N761" s="10"/>
    </row>
    <row r="762" spans="9:14" ht="13">
      <c r="I762" s="10"/>
      <c r="N762" s="10"/>
    </row>
    <row r="763" spans="9:14" ht="13">
      <c r="I763" s="10"/>
      <c r="N763" s="10"/>
    </row>
    <row r="764" spans="9:14" ht="13">
      <c r="I764" s="10"/>
      <c r="N764" s="10"/>
    </row>
    <row r="765" spans="9:14" ht="13">
      <c r="I765" s="10"/>
      <c r="N765" s="10"/>
    </row>
    <row r="766" spans="9:14" ht="13">
      <c r="I766" s="10"/>
      <c r="N766" s="10"/>
    </row>
    <row r="767" spans="9:14" ht="13">
      <c r="I767" s="10"/>
      <c r="N767" s="10"/>
    </row>
    <row r="768" spans="9:14" ht="13">
      <c r="I768" s="10"/>
      <c r="N768" s="10"/>
    </row>
    <row r="769" spans="9:14" ht="13">
      <c r="I769" s="10"/>
      <c r="N769" s="10"/>
    </row>
    <row r="770" spans="9:14" ht="13">
      <c r="I770" s="10"/>
      <c r="N770" s="10"/>
    </row>
    <row r="771" spans="9:14" ht="13">
      <c r="I771" s="10"/>
      <c r="N771" s="10"/>
    </row>
    <row r="772" spans="9:14" ht="13">
      <c r="I772" s="10"/>
      <c r="N772" s="10"/>
    </row>
    <row r="773" spans="9:14" ht="13">
      <c r="I773" s="10"/>
      <c r="N773" s="10"/>
    </row>
    <row r="774" spans="9:14" ht="13">
      <c r="I774" s="10"/>
      <c r="N774" s="10"/>
    </row>
    <row r="775" spans="9:14" ht="13">
      <c r="I775" s="10"/>
      <c r="N775" s="10"/>
    </row>
    <row r="776" spans="9:14" ht="13">
      <c r="I776" s="10"/>
      <c r="N776" s="10"/>
    </row>
    <row r="777" spans="9:14" ht="13">
      <c r="I777" s="10"/>
      <c r="N777" s="10"/>
    </row>
    <row r="778" spans="9:14" ht="13">
      <c r="I778" s="10"/>
      <c r="N778" s="10"/>
    </row>
    <row r="779" spans="9:14" ht="13">
      <c r="I779" s="10"/>
      <c r="N779" s="10"/>
    </row>
    <row r="780" spans="9:14" ht="13">
      <c r="I780" s="10"/>
      <c r="N780" s="10"/>
    </row>
    <row r="781" spans="9:14" ht="13">
      <c r="I781" s="10"/>
      <c r="N781" s="10"/>
    </row>
    <row r="782" spans="9:14" ht="13">
      <c r="I782" s="10"/>
      <c r="N782" s="10"/>
    </row>
    <row r="783" spans="9:14" ht="13">
      <c r="I783" s="10"/>
      <c r="N783" s="10"/>
    </row>
    <row r="784" spans="9:14" ht="13">
      <c r="I784" s="10"/>
      <c r="N784" s="10"/>
    </row>
    <row r="785" spans="9:14" ht="13">
      <c r="I785" s="10"/>
      <c r="N785" s="10"/>
    </row>
    <row r="786" spans="9:14" ht="13">
      <c r="I786" s="10"/>
      <c r="N786" s="10"/>
    </row>
    <row r="787" spans="9:14" ht="13">
      <c r="I787" s="10"/>
      <c r="N787" s="10"/>
    </row>
    <row r="788" spans="9:14" ht="13">
      <c r="I788" s="10"/>
      <c r="N788" s="10"/>
    </row>
    <row r="789" spans="9:14" ht="13">
      <c r="I789" s="10"/>
      <c r="N789" s="10"/>
    </row>
    <row r="790" spans="9:14" ht="13">
      <c r="I790" s="10"/>
      <c r="N790" s="10"/>
    </row>
    <row r="791" spans="9:14" ht="13">
      <c r="I791" s="10"/>
      <c r="N791" s="10"/>
    </row>
    <row r="792" spans="9:14" ht="13">
      <c r="I792" s="10"/>
      <c r="N792" s="10"/>
    </row>
    <row r="793" spans="9:14" ht="13">
      <c r="I793" s="10"/>
      <c r="N793" s="10"/>
    </row>
    <row r="794" spans="9:14" ht="13">
      <c r="I794" s="10"/>
      <c r="N794" s="10"/>
    </row>
    <row r="795" spans="9:14" ht="13">
      <c r="I795" s="10"/>
      <c r="N795" s="10"/>
    </row>
    <row r="796" spans="9:14" ht="13">
      <c r="I796" s="10"/>
      <c r="N796" s="10"/>
    </row>
    <row r="797" spans="9:14" ht="13">
      <c r="I797" s="10"/>
      <c r="N797" s="10"/>
    </row>
    <row r="798" spans="9:14" ht="13">
      <c r="I798" s="10"/>
      <c r="N798" s="10"/>
    </row>
    <row r="799" spans="9:14" ht="13">
      <c r="I799" s="10"/>
      <c r="N799" s="10"/>
    </row>
    <row r="800" spans="9:14" ht="13">
      <c r="I800" s="10"/>
      <c r="N800" s="10"/>
    </row>
    <row r="801" spans="9:14" ht="13">
      <c r="I801" s="10"/>
      <c r="N801" s="10"/>
    </row>
    <row r="802" spans="9:14" ht="13">
      <c r="I802" s="10"/>
      <c r="N802" s="10"/>
    </row>
    <row r="803" spans="9:14" ht="13">
      <c r="I803" s="10"/>
      <c r="N803" s="10"/>
    </row>
    <row r="804" spans="9:14" ht="13">
      <c r="I804" s="10"/>
      <c r="N804" s="10"/>
    </row>
    <row r="805" spans="9:14" ht="13">
      <c r="I805" s="10"/>
      <c r="N805" s="10"/>
    </row>
    <row r="806" spans="9:14" ht="13">
      <c r="I806" s="10"/>
      <c r="N806" s="10"/>
    </row>
    <row r="807" spans="9:14" ht="13">
      <c r="I807" s="10"/>
      <c r="N807" s="10"/>
    </row>
    <row r="808" spans="9:14" ht="13">
      <c r="I808" s="10"/>
      <c r="N808" s="10"/>
    </row>
    <row r="809" spans="9:14" ht="13">
      <c r="I809" s="10"/>
      <c r="N809" s="10"/>
    </row>
    <row r="810" spans="9:14" ht="13">
      <c r="I810" s="10"/>
      <c r="N810" s="10"/>
    </row>
    <row r="811" spans="9:14" ht="13">
      <c r="I811" s="10"/>
      <c r="N811" s="10"/>
    </row>
    <row r="812" spans="9:14" ht="13">
      <c r="I812" s="10"/>
      <c r="N812" s="10"/>
    </row>
    <row r="813" spans="9:14" ht="13">
      <c r="I813" s="10"/>
      <c r="N813" s="10"/>
    </row>
    <row r="814" spans="9:14" ht="13">
      <c r="I814" s="10"/>
      <c r="N814" s="10"/>
    </row>
    <row r="815" spans="9:14" ht="13">
      <c r="I815" s="10"/>
      <c r="N815" s="10"/>
    </row>
    <row r="816" spans="9:14" ht="13">
      <c r="I816" s="10"/>
      <c r="N816" s="10"/>
    </row>
    <row r="817" spans="9:14" ht="13">
      <c r="I817" s="10"/>
      <c r="N817" s="10"/>
    </row>
    <row r="818" spans="9:14" ht="13">
      <c r="I818" s="10"/>
      <c r="N818" s="10"/>
    </row>
    <row r="819" spans="9:14" ht="13">
      <c r="I819" s="10"/>
      <c r="N819" s="10"/>
    </row>
    <row r="820" spans="9:14" ht="13">
      <c r="I820" s="10"/>
      <c r="N820" s="10"/>
    </row>
    <row r="821" spans="9:14" ht="13">
      <c r="I821" s="10"/>
      <c r="N821" s="10"/>
    </row>
    <row r="822" spans="9:14" ht="13">
      <c r="I822" s="10"/>
      <c r="N822" s="10"/>
    </row>
    <row r="823" spans="9:14" ht="13">
      <c r="I823" s="10"/>
      <c r="N823" s="10"/>
    </row>
    <row r="824" spans="9:14" ht="13">
      <c r="I824" s="10"/>
      <c r="N824" s="10"/>
    </row>
    <row r="825" spans="9:14" ht="13">
      <c r="I825" s="10"/>
      <c r="N825" s="10"/>
    </row>
    <row r="826" spans="9:14" ht="13">
      <c r="I826" s="10"/>
      <c r="N826" s="10"/>
    </row>
    <row r="827" spans="9:14" ht="13">
      <c r="I827" s="10"/>
      <c r="N827" s="10"/>
    </row>
    <row r="828" spans="9:14" ht="13">
      <c r="I828" s="10"/>
      <c r="N828" s="10"/>
    </row>
    <row r="829" spans="9:14" ht="13">
      <c r="I829" s="10"/>
      <c r="N829" s="10"/>
    </row>
    <row r="830" spans="9:14" ht="13">
      <c r="I830" s="10"/>
      <c r="N830" s="10"/>
    </row>
    <row r="831" spans="9:14" ht="13">
      <c r="I831" s="10"/>
      <c r="N831" s="10"/>
    </row>
  </sheetData>
  <mergeCells count="3">
    <mergeCell ref="A3:M3"/>
    <mergeCell ref="A4:M4"/>
    <mergeCell ref="A112:M112"/>
  </mergeCells>
  <conditionalFormatting sqref="C5">
    <cfRule type="notContainsBlanks" dxfId="13" priority="7">
      <formula>LEN(TRIM(C5))&gt;0</formula>
    </cfRule>
  </conditionalFormatting>
  <conditionalFormatting sqref="D5">
    <cfRule type="notContainsBlanks" dxfId="12" priority="6">
      <formula>LEN(TRIM(D5))&gt;0</formula>
    </cfRule>
  </conditionalFormatting>
  <conditionalFormatting sqref="F5">
    <cfRule type="notContainsBlanks" dxfId="11" priority="5">
      <formula>LEN(TRIM(F5))&gt;0</formula>
    </cfRule>
  </conditionalFormatting>
  <conditionalFormatting sqref="E5">
    <cfRule type="notContainsBlanks" dxfId="10" priority="4">
      <formula>LEN(TRIM(E5))&gt;0</formula>
    </cfRule>
  </conditionalFormatting>
  <conditionalFormatting sqref="G5">
    <cfRule type="notContainsBlanks" dxfId="9" priority="3">
      <formula>LEN(TRIM(G5))&gt;0</formula>
    </cfRule>
  </conditionalFormatting>
  <conditionalFormatting sqref="J5">
    <cfRule type="notContainsBlanks" dxfId="8" priority="2">
      <formula>LEN(TRIM(J5))&gt;0</formula>
    </cfRule>
  </conditionalFormatting>
  <conditionalFormatting sqref="L5">
    <cfRule type="notContainsBlanks" dxfId="7" priority="1">
      <formula>LEN(TRIM(L5))&gt;0</formula>
    </cfRule>
  </conditionalFormatting>
  <hyperlinks>
    <hyperlink ref="A6" r:id="rId1" xr:uid="{00000000-0004-0000-0A00-000000000000}"/>
    <hyperlink ref="A7" r:id="rId2" xr:uid="{00000000-0004-0000-0A00-000001000000}"/>
    <hyperlink ref="A8" r:id="rId3" xr:uid="{00000000-0004-0000-0A00-000002000000}"/>
    <hyperlink ref="A9" r:id="rId4" xr:uid="{00000000-0004-0000-0A00-000003000000}"/>
    <hyperlink ref="A10" r:id="rId5" xr:uid="{00000000-0004-0000-0A00-000004000000}"/>
    <hyperlink ref="A11" r:id="rId6" xr:uid="{00000000-0004-0000-0A00-000005000000}"/>
    <hyperlink ref="A12" r:id="rId7" xr:uid="{00000000-0004-0000-0A00-000006000000}"/>
    <hyperlink ref="A13" r:id="rId8" xr:uid="{00000000-0004-0000-0A00-000007000000}"/>
    <hyperlink ref="A14" r:id="rId9" xr:uid="{00000000-0004-0000-0A00-000008000000}"/>
    <hyperlink ref="A15" r:id="rId10" xr:uid="{00000000-0004-0000-0A00-000009000000}"/>
    <hyperlink ref="A16" r:id="rId11" xr:uid="{00000000-0004-0000-0A00-00000A000000}"/>
    <hyperlink ref="A17" r:id="rId12" xr:uid="{00000000-0004-0000-0A00-00000B000000}"/>
    <hyperlink ref="A18" r:id="rId13" xr:uid="{00000000-0004-0000-0A00-00000C000000}"/>
    <hyperlink ref="A19" r:id="rId14" xr:uid="{00000000-0004-0000-0A00-00000D000000}"/>
    <hyperlink ref="A20" r:id="rId15" xr:uid="{00000000-0004-0000-0A00-00000E000000}"/>
    <hyperlink ref="A21" r:id="rId16" xr:uid="{00000000-0004-0000-0A00-00000F000000}"/>
    <hyperlink ref="A22" r:id="rId17" xr:uid="{00000000-0004-0000-0A00-000010000000}"/>
    <hyperlink ref="A23" r:id="rId18" xr:uid="{00000000-0004-0000-0A00-000011000000}"/>
    <hyperlink ref="A24" r:id="rId19" xr:uid="{00000000-0004-0000-0A00-000012000000}"/>
    <hyperlink ref="A25" r:id="rId20" xr:uid="{00000000-0004-0000-0A00-000013000000}"/>
    <hyperlink ref="A26" r:id="rId21" xr:uid="{00000000-0004-0000-0A00-000014000000}"/>
    <hyperlink ref="A27" r:id="rId22" xr:uid="{00000000-0004-0000-0A00-000015000000}"/>
    <hyperlink ref="A28" r:id="rId23" xr:uid="{00000000-0004-0000-0A00-000016000000}"/>
    <hyperlink ref="A29" r:id="rId24" xr:uid="{00000000-0004-0000-0A00-000017000000}"/>
    <hyperlink ref="A30" r:id="rId25" xr:uid="{00000000-0004-0000-0A00-000018000000}"/>
    <hyperlink ref="A31" r:id="rId26" xr:uid="{00000000-0004-0000-0A00-000019000000}"/>
    <hyperlink ref="A32" r:id="rId27" xr:uid="{00000000-0004-0000-0A00-00001A000000}"/>
    <hyperlink ref="A33" r:id="rId28" xr:uid="{00000000-0004-0000-0A00-00001B000000}"/>
    <hyperlink ref="A34" r:id="rId29" xr:uid="{00000000-0004-0000-0A00-00001C000000}"/>
    <hyperlink ref="A35" r:id="rId30" xr:uid="{00000000-0004-0000-0A00-00001D000000}"/>
    <hyperlink ref="A36" r:id="rId31" xr:uid="{00000000-0004-0000-0A00-00001E000000}"/>
    <hyperlink ref="A37" r:id="rId32" xr:uid="{00000000-0004-0000-0A00-00001F000000}"/>
    <hyperlink ref="A38" r:id="rId33" xr:uid="{00000000-0004-0000-0A00-000020000000}"/>
    <hyperlink ref="A39" r:id="rId34" xr:uid="{00000000-0004-0000-0A00-000021000000}"/>
    <hyperlink ref="A40" r:id="rId35" xr:uid="{00000000-0004-0000-0A00-000022000000}"/>
    <hyperlink ref="A41" r:id="rId36" xr:uid="{00000000-0004-0000-0A00-000023000000}"/>
    <hyperlink ref="A42" r:id="rId37" xr:uid="{00000000-0004-0000-0A00-000024000000}"/>
    <hyperlink ref="A43" r:id="rId38" xr:uid="{00000000-0004-0000-0A00-000025000000}"/>
    <hyperlink ref="A44" r:id="rId39" xr:uid="{00000000-0004-0000-0A00-000026000000}"/>
    <hyperlink ref="A45" r:id="rId40" xr:uid="{00000000-0004-0000-0A00-000027000000}"/>
    <hyperlink ref="A46" r:id="rId41" xr:uid="{00000000-0004-0000-0A00-000028000000}"/>
    <hyperlink ref="A47" r:id="rId42" xr:uid="{00000000-0004-0000-0A00-000029000000}"/>
    <hyperlink ref="A48" r:id="rId43" xr:uid="{00000000-0004-0000-0A00-00002A000000}"/>
    <hyperlink ref="A49" r:id="rId44" xr:uid="{00000000-0004-0000-0A00-00002B000000}"/>
    <hyperlink ref="A50" r:id="rId45" xr:uid="{00000000-0004-0000-0A00-00002C000000}"/>
    <hyperlink ref="A51" r:id="rId46" display="http://globalenergyobservatory.org/geoid/45439" xr:uid="{00000000-0004-0000-0A00-00002D000000}"/>
    <hyperlink ref="A52" r:id="rId47" display="http://globalenergyobservatory.org/geoid/45436" xr:uid="{00000000-0004-0000-0A00-00002E000000}"/>
    <hyperlink ref="A53" r:id="rId48" display="http://globalenergyobservatory.org/geoid/45219" xr:uid="{00000000-0004-0000-0A00-00002F000000}"/>
    <hyperlink ref="A54" r:id="rId49" display="http://globalenergyobservatory.org/geoid/45218" xr:uid="{00000000-0004-0000-0A00-000030000000}"/>
    <hyperlink ref="A55" r:id="rId50" display="http://globalenergyobservatory.org/geoid/45288" xr:uid="{00000000-0004-0000-0A00-000031000000}"/>
    <hyperlink ref="A56" r:id="rId51" display="http://globalenergyobservatory.org/geoid/45435" xr:uid="{00000000-0004-0000-0A00-000032000000}"/>
    <hyperlink ref="A57" r:id="rId52" display="http://globalenergyobservatory.org/geoid/45463" xr:uid="{00000000-0004-0000-0A00-000033000000}"/>
    <hyperlink ref="A59" r:id="rId53" xr:uid="{00000000-0004-0000-0A00-000035000000}"/>
    <hyperlink ref="A60" r:id="rId54" xr:uid="{00000000-0004-0000-0A00-000036000000}"/>
    <hyperlink ref="A61" r:id="rId55" xr:uid="{00000000-0004-0000-0A00-000037000000}"/>
    <hyperlink ref="A62" r:id="rId56" xr:uid="{00000000-0004-0000-0A00-000038000000}"/>
    <hyperlink ref="A63" r:id="rId57" xr:uid="{00000000-0004-0000-0A00-000039000000}"/>
    <hyperlink ref="A66" r:id="rId58" xr:uid="{00000000-0004-0000-0A00-00003A000000}"/>
    <hyperlink ref="A68" r:id="rId59" display="http://globalenergyobservatory.org/geoid/44814" xr:uid="{00000000-0004-0000-0A00-00003B000000}"/>
    <hyperlink ref="A69" r:id="rId60" display="http://globalenergyobservatory.org/geoid/45205" xr:uid="{00000000-0004-0000-0A00-00003C000000}"/>
    <hyperlink ref="A70" r:id="rId61" display="http://globalenergyobservatory.org/geoid/45046" xr:uid="{00000000-0004-0000-0A00-00003D000000}"/>
    <hyperlink ref="A71" r:id="rId62" display="http://globalenergyobservatory.org/geoid/45043" xr:uid="{00000000-0004-0000-0A00-00003E000000}"/>
    <hyperlink ref="A72" r:id="rId63" xr:uid="{00000000-0004-0000-0A00-00003F000000}"/>
    <hyperlink ref="A73" r:id="rId64" xr:uid="{00000000-0004-0000-0A00-000040000000}"/>
    <hyperlink ref="A74" r:id="rId65" xr:uid="{00000000-0004-0000-0A00-000041000000}"/>
    <hyperlink ref="A75" r:id="rId66" xr:uid="{00000000-0004-0000-0A00-000042000000}"/>
    <hyperlink ref="A76" r:id="rId67" xr:uid="{00000000-0004-0000-0A00-000043000000}"/>
    <hyperlink ref="A77" r:id="rId68" xr:uid="{00000000-0004-0000-0A00-000044000000}"/>
    <hyperlink ref="A78" r:id="rId69" xr:uid="{00000000-0004-0000-0A00-000045000000}"/>
    <hyperlink ref="A79" r:id="rId70" xr:uid="{00000000-0004-0000-0A00-000046000000}"/>
    <hyperlink ref="A80" r:id="rId71" xr:uid="{00000000-0004-0000-0A00-000047000000}"/>
    <hyperlink ref="A81" r:id="rId72" xr:uid="{00000000-0004-0000-0A00-000048000000}"/>
    <hyperlink ref="A82" r:id="rId73" xr:uid="{00000000-0004-0000-0A00-000049000000}"/>
    <hyperlink ref="A83" r:id="rId74" xr:uid="{00000000-0004-0000-0A00-00004A000000}"/>
    <hyperlink ref="A84" r:id="rId75" xr:uid="{00000000-0004-0000-0A00-00004B000000}"/>
    <hyperlink ref="A85" r:id="rId76" xr:uid="{00000000-0004-0000-0A00-00004C000000}"/>
    <hyperlink ref="A86" r:id="rId77" xr:uid="{00000000-0004-0000-0A00-00004D000000}"/>
    <hyperlink ref="A87" r:id="rId78" xr:uid="{00000000-0004-0000-0A00-00004E000000}"/>
    <hyperlink ref="A88" r:id="rId79" xr:uid="{00000000-0004-0000-0A00-00004F000000}"/>
    <hyperlink ref="A89" r:id="rId80" xr:uid="{00000000-0004-0000-0A00-000050000000}"/>
    <hyperlink ref="A90" r:id="rId81" xr:uid="{00000000-0004-0000-0A00-000051000000}"/>
    <hyperlink ref="A91" r:id="rId82" xr:uid="{00000000-0004-0000-0A00-000052000000}"/>
    <hyperlink ref="A92" r:id="rId83" xr:uid="{00000000-0004-0000-0A00-000053000000}"/>
    <hyperlink ref="A93" r:id="rId84" xr:uid="{00000000-0004-0000-0A00-000054000000}"/>
    <hyperlink ref="A94" r:id="rId85" xr:uid="{00000000-0004-0000-0A00-000055000000}"/>
    <hyperlink ref="A95" r:id="rId86" xr:uid="{00000000-0004-0000-0A00-000056000000}"/>
    <hyperlink ref="A96" r:id="rId87" xr:uid="{00000000-0004-0000-0A00-000057000000}"/>
    <hyperlink ref="A98" r:id="rId88" xr:uid="{00000000-0004-0000-0A00-000058000000}"/>
    <hyperlink ref="A99" r:id="rId89" xr:uid="{00000000-0004-0000-0A00-000059000000}"/>
    <hyperlink ref="A100" r:id="rId90" display="Salime Hydroelectric Power Plant Spain" xr:uid="{00000000-0004-0000-0A00-00005A000000}"/>
    <hyperlink ref="A101" r:id="rId91" display="Silvon Hydroelectric Power Plant Spain" xr:uid="{00000000-0004-0000-0A00-00005B000000}"/>
    <hyperlink ref="A102" r:id="rId92" display="Doiras Hydroelectric Power Plant Spain" xr:uid="{00000000-0004-0000-0A00-00005C000000}"/>
    <hyperlink ref="A103" r:id="rId93" display="Aldeadavila Hydroelectric Power Plant Spain" xr:uid="{00000000-0004-0000-0A00-00005D000000}"/>
    <hyperlink ref="A104" r:id="rId94" display="Almendra (Villarino) Hydroelectric Power Plant Spain" xr:uid="{00000000-0004-0000-0A00-00005E000000}"/>
    <hyperlink ref="A105" r:id="rId95" display="Saucelle Hydroelectric Power Plant Spain" xr:uid="{00000000-0004-0000-0A00-00005F000000}"/>
    <hyperlink ref="A106" r:id="rId96" display="Castro Hydroelectric Power Plant Spain" xr:uid="{00000000-0004-0000-0A00-000060000000}"/>
    <hyperlink ref="A107" r:id="rId97" display="Ricobayo Hydroelectric Power Plant Spain" xr:uid="{00000000-0004-0000-0A00-000061000000}"/>
    <hyperlink ref="A108" r:id="rId98" display="Villalcampo Hydroelectric Power Plant Spain" xr:uid="{00000000-0004-0000-0A00-000062000000}"/>
    <hyperlink ref="A109" r:id="rId99" display="Alarcon Hydroelectric Power Plant Spain" xr:uid="{00000000-0004-0000-0A00-000063000000}"/>
    <hyperlink ref="A110" r:id="rId100" display="Talarn Hydroelectric Power Plant Spain" xr:uid="{00000000-0004-0000-0A00-000064000000}"/>
    <hyperlink ref="A111" r:id="rId101" display="Jose Maria de Oriol (Alcantara) Hydroelectric Power Plant Spain" xr:uid="{00000000-0004-0000-0A00-000065000000}"/>
  </hyperlink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O283"/>
  <sheetViews>
    <sheetView workbookViewId="0">
      <selection activeCell="C195" sqref="C195"/>
    </sheetView>
  </sheetViews>
  <sheetFormatPr baseColWidth="10" defaultColWidth="12.6640625" defaultRowHeight="15.75" customHeight="1" outlineLevelRow="1"/>
  <cols>
    <col min="1" max="1" width="54.83203125" customWidth="1"/>
    <col min="2" max="2" width="13.6640625" bestFit="1" customWidth="1"/>
    <col min="3" max="3" width="14.6640625" bestFit="1" customWidth="1"/>
    <col min="4" max="4" width="14.1640625" customWidth="1"/>
    <col min="5" max="5" width="14.83203125" customWidth="1"/>
    <col min="6" max="6" width="13.83203125" customWidth="1"/>
    <col min="7" max="7" width="13.5" customWidth="1"/>
    <col min="8" max="8" width="10.5" customWidth="1"/>
    <col min="9" max="9" width="9.5" customWidth="1"/>
    <col min="10" max="10" width="18.1640625" customWidth="1"/>
    <col min="11" max="11" width="19.83203125" customWidth="1"/>
    <col min="12" max="12" width="22.1640625" customWidth="1"/>
    <col min="13" max="13" width="23.33203125" customWidth="1"/>
    <col min="14" max="14" width="18.1640625" customWidth="1"/>
    <col min="15" max="15" width="18.5" customWidth="1"/>
  </cols>
  <sheetData>
    <row r="1" spans="1:15" ht="13"/>
    <row r="2" spans="1:15" ht="19" outlineLevel="1" thickBot="1">
      <c r="D2" s="120"/>
      <c r="E2" s="37"/>
      <c r="F2" s="37"/>
      <c r="G2" s="31"/>
    </row>
    <row r="3" spans="1:15" ht="18" customHeight="1" outlineLevel="1" thickBot="1">
      <c r="A3" s="360" t="s">
        <v>699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</row>
    <row r="4" spans="1:15" ht="35" customHeight="1" outlineLevel="1" thickBot="1">
      <c r="A4" s="212" t="s">
        <v>700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27"/>
      <c r="O4" s="217"/>
    </row>
    <row r="5" spans="1:15" ht="40" customHeight="1" outlineLevel="1" thickBot="1">
      <c r="A5" s="42" t="s">
        <v>616</v>
      </c>
      <c r="B5" s="42" t="s">
        <v>0</v>
      </c>
      <c r="C5" s="316" t="s">
        <v>631</v>
      </c>
      <c r="D5" s="316" t="s">
        <v>632</v>
      </c>
      <c r="E5" s="317" t="s">
        <v>633</v>
      </c>
      <c r="F5" s="316" t="s">
        <v>634</v>
      </c>
      <c r="G5" s="316" t="s">
        <v>641</v>
      </c>
      <c r="H5" s="318" t="s">
        <v>40</v>
      </c>
      <c r="I5" s="43" t="s">
        <v>144</v>
      </c>
      <c r="J5" s="318" t="s">
        <v>636</v>
      </c>
      <c r="K5" s="318" t="s">
        <v>637</v>
      </c>
      <c r="L5" s="318" t="s">
        <v>642</v>
      </c>
      <c r="M5" s="318" t="s">
        <v>643</v>
      </c>
      <c r="N5" s="269" t="s">
        <v>666</v>
      </c>
    </row>
    <row r="6" spans="1:15" ht="13" outlineLevel="1">
      <c r="A6" s="56" t="s">
        <v>438</v>
      </c>
      <c r="B6" s="343" t="s">
        <v>1</v>
      </c>
      <c r="C6" s="358">
        <v>22500</v>
      </c>
      <c r="D6" s="358">
        <v>101600</v>
      </c>
      <c r="E6" s="326">
        <f>D6/(C6*8765.81277)*1000</f>
        <v>0.51513255804521996</v>
      </c>
      <c r="F6" s="358">
        <v>1084</v>
      </c>
      <c r="G6" s="358">
        <v>1000000</v>
      </c>
      <c r="H6" s="47">
        <v>113</v>
      </c>
      <c r="I6" s="341" t="s">
        <v>49</v>
      </c>
      <c r="J6" s="184">
        <f>C6*E6/F6</f>
        <v>10.692327081196908</v>
      </c>
      <c r="K6" s="111">
        <f>D6*10^(-3)/(F6)</f>
        <v>9.3726937269372701E-2</v>
      </c>
      <c r="L6" s="282">
        <f>C6*10^6*E6/(G6*10^6)</f>
        <v>1.1590482556017448E-2</v>
      </c>
      <c r="M6" s="309">
        <f>D6*10^(-3)/(G6)</f>
        <v>1.016E-4</v>
      </c>
      <c r="N6" s="96">
        <f>J6/L6</f>
        <v>922.50922509225086</v>
      </c>
    </row>
    <row r="7" spans="1:15" ht="13" outlineLevel="1">
      <c r="A7" s="57" t="s">
        <v>439</v>
      </c>
      <c r="B7" s="340" t="s">
        <v>1</v>
      </c>
      <c r="C7" s="99">
        <v>13860</v>
      </c>
      <c r="D7" s="100">
        <v>57070</v>
      </c>
      <c r="E7" s="325">
        <f t="shared" ref="E7:E70" si="0">D7/(C7*8765.81277)*1000</f>
        <v>0.4697344930405829</v>
      </c>
      <c r="F7" s="100"/>
      <c r="G7" s="100">
        <v>454400</v>
      </c>
      <c r="H7" s="36"/>
      <c r="I7" s="146" t="s">
        <v>49</v>
      </c>
      <c r="J7" s="93"/>
      <c r="K7" s="91"/>
      <c r="L7" s="283">
        <f>C7*10^6*E7/(G7*10^6)</f>
        <v>1.4327729035084679E-2</v>
      </c>
      <c r="M7" s="104">
        <f>D7*10^(-3)/(G7)</f>
        <v>1.2559419014084508E-4</v>
      </c>
      <c r="N7" s="97"/>
    </row>
    <row r="8" spans="1:15" ht="13" outlineLevel="1">
      <c r="A8" s="57" t="s">
        <v>440</v>
      </c>
      <c r="B8" s="340" t="s">
        <v>1</v>
      </c>
      <c r="C8" s="100">
        <v>6448</v>
      </c>
      <c r="D8" s="100">
        <v>30700</v>
      </c>
      <c r="E8" s="325">
        <f t="shared" si="0"/>
        <v>0.54315171656372685</v>
      </c>
      <c r="F8" s="100">
        <v>95.6</v>
      </c>
      <c r="G8" s="100">
        <v>458800</v>
      </c>
      <c r="H8" s="36"/>
      <c r="I8" s="146" t="s">
        <v>49</v>
      </c>
      <c r="J8" s="93">
        <f t="shared" ref="J7:J70" si="1">C8*E8/F8</f>
        <v>36.634333351494881</v>
      </c>
      <c r="K8" s="91">
        <f>D8*10^(-3)/(F8)</f>
        <v>0.32112970711297073</v>
      </c>
      <c r="L8" s="283">
        <f>C8*10^6*E8/(G8*10^6)</f>
        <v>7.633483584138864E-3</v>
      </c>
      <c r="M8" s="104">
        <f>D8*10^(-3)/(G8)</f>
        <v>6.6913687881429811E-5</v>
      </c>
      <c r="N8" s="97">
        <f>J8/L8</f>
        <v>4799.1631799163179</v>
      </c>
    </row>
    <row r="9" spans="1:15" ht="13" outlineLevel="1">
      <c r="A9" s="57" t="s">
        <v>441</v>
      </c>
      <c r="B9" s="340" t="s">
        <v>1</v>
      </c>
      <c r="C9" s="100">
        <v>6426</v>
      </c>
      <c r="D9" s="100">
        <v>18700</v>
      </c>
      <c r="E9" s="325">
        <f t="shared" si="0"/>
        <v>0.33197753436078803</v>
      </c>
      <c r="F9" s="100"/>
      <c r="G9" s="100">
        <v>98500</v>
      </c>
      <c r="H9" s="36">
        <v>179</v>
      </c>
      <c r="I9" s="146" t="s">
        <v>49</v>
      </c>
      <c r="J9" s="93"/>
      <c r="K9" s="91"/>
      <c r="L9" s="283">
        <f>C9*10^6*E9/(G9*10^6)</f>
        <v>2.165774249545608E-2</v>
      </c>
      <c r="M9" s="104">
        <f>D9*10^(-3)/(G9)</f>
        <v>1.898477157360406E-4</v>
      </c>
      <c r="N9" s="97"/>
    </row>
    <row r="10" spans="1:15" ht="13" outlineLevel="1">
      <c r="A10" s="57" t="s">
        <v>442</v>
      </c>
      <c r="B10" s="340" t="s">
        <v>1</v>
      </c>
      <c r="C10" s="100">
        <v>2000</v>
      </c>
      <c r="D10" s="100">
        <v>8887</v>
      </c>
      <c r="E10" s="325">
        <f t="shared" si="0"/>
        <v>0.50691249249668835</v>
      </c>
      <c r="F10" s="100">
        <v>23.42</v>
      </c>
      <c r="G10" s="100"/>
      <c r="H10" s="36"/>
      <c r="I10" s="146" t="s">
        <v>49</v>
      </c>
      <c r="J10" s="93">
        <f t="shared" si="1"/>
        <v>43.288855038145883</v>
      </c>
      <c r="K10" s="91">
        <f>D10*10^(-3)/(F10)</f>
        <v>0.37946199829205807</v>
      </c>
      <c r="L10" s="283"/>
      <c r="M10" s="104"/>
      <c r="N10" s="97"/>
    </row>
    <row r="11" spans="1:15" ht="13" outlineLevel="1">
      <c r="A11" s="57" t="s">
        <v>443</v>
      </c>
      <c r="B11" s="340" t="s">
        <v>1</v>
      </c>
      <c r="C11" s="100">
        <v>3300</v>
      </c>
      <c r="D11" s="100">
        <v>17000</v>
      </c>
      <c r="E11" s="325">
        <f t="shared" si="0"/>
        <v>0.58768254429818845</v>
      </c>
      <c r="F11" s="100">
        <v>101</v>
      </c>
      <c r="G11" s="100">
        <v>116400</v>
      </c>
      <c r="H11" s="36">
        <v>189</v>
      </c>
      <c r="I11" s="146" t="s">
        <v>49</v>
      </c>
      <c r="J11" s="93">
        <f t="shared" si="1"/>
        <v>19.201508873109127</v>
      </c>
      <c r="K11" s="91">
        <f>D11*10^(-3)/(F11)</f>
        <v>0.16831683168316833</v>
      </c>
      <c r="L11" s="283">
        <f>C11*10^6*E11/(G11*10^6)</f>
        <v>1.6661103060000189E-2</v>
      </c>
      <c r="M11" s="104">
        <f>D11*10^(-3)/(G11)</f>
        <v>1.4604810996563574E-4</v>
      </c>
      <c r="N11" s="97">
        <f>J11/L11</f>
        <v>1152.4752475247524</v>
      </c>
    </row>
    <row r="12" spans="1:15" ht="13" outlineLevel="1">
      <c r="A12" s="57" t="s">
        <v>444</v>
      </c>
      <c r="B12" s="340" t="s">
        <v>1</v>
      </c>
      <c r="C12" s="100">
        <v>3000</v>
      </c>
      <c r="D12" s="100">
        <v>9667</v>
      </c>
      <c r="E12" s="325">
        <f t="shared" si="0"/>
        <v>0.36760234537080272</v>
      </c>
      <c r="F12" s="100">
        <v>94.29</v>
      </c>
      <c r="G12" s="100">
        <v>43250</v>
      </c>
      <c r="H12" s="36"/>
      <c r="I12" s="146"/>
      <c r="J12" s="93">
        <f t="shared" si="1"/>
        <v>11.695906629678738</v>
      </c>
      <c r="K12" s="91">
        <f>D12*10^(-3)/(F12)</f>
        <v>0.10252412769116555</v>
      </c>
      <c r="L12" s="283">
        <f>C12*10^6*E12/(G12*10^6)</f>
        <v>2.5498428580633715E-2</v>
      </c>
      <c r="M12" s="104">
        <f>D12*10^(-3)/(G12)</f>
        <v>2.2351445086705201E-4</v>
      </c>
      <c r="N12" s="97">
        <f>J12/L12</f>
        <v>458.69127160886632</v>
      </c>
    </row>
    <row r="13" spans="1:15" ht="13" outlineLevel="1">
      <c r="A13" s="57" t="s">
        <v>445</v>
      </c>
      <c r="B13" s="340" t="s">
        <v>1</v>
      </c>
      <c r="C13" s="100">
        <v>1750</v>
      </c>
      <c r="D13" s="100"/>
      <c r="E13" s="325">
        <f t="shared" si="0"/>
        <v>0</v>
      </c>
      <c r="F13" s="100">
        <v>510</v>
      </c>
      <c r="G13" s="100"/>
      <c r="H13" s="36"/>
      <c r="I13" s="146"/>
      <c r="J13" s="93">
        <f t="shared" si="1"/>
        <v>0</v>
      </c>
      <c r="K13" s="91"/>
      <c r="L13" s="283"/>
      <c r="M13" s="104"/>
      <c r="N13" s="97"/>
    </row>
    <row r="14" spans="1:15" ht="13" outlineLevel="1">
      <c r="A14" s="57" t="s">
        <v>446</v>
      </c>
      <c r="B14" s="340" t="s">
        <v>1</v>
      </c>
      <c r="C14" s="100">
        <v>3600</v>
      </c>
      <c r="D14" s="100">
        <v>17000</v>
      </c>
      <c r="E14" s="325">
        <f t="shared" si="0"/>
        <v>0.53870899894000601</v>
      </c>
      <c r="F14" s="100">
        <v>82.55</v>
      </c>
      <c r="G14" s="100">
        <v>102560</v>
      </c>
      <c r="H14" s="36"/>
      <c r="I14" s="146" t="s">
        <v>49</v>
      </c>
      <c r="J14" s="93">
        <f t="shared" si="1"/>
        <v>23.493063551593238</v>
      </c>
      <c r="K14" s="91">
        <f>D14*10^(-3)/(F14)</f>
        <v>0.2059357964869776</v>
      </c>
      <c r="L14" s="283">
        <f>C14*10^6*E14/(G14*10^6)</f>
        <v>1.8909442240483833E-2</v>
      </c>
      <c r="M14" s="104">
        <f>D14*10^(-3)/(G14)</f>
        <v>1.657566302652106E-4</v>
      </c>
      <c r="N14" s="97">
        <f>J14/L14</f>
        <v>1242.3985463355541</v>
      </c>
    </row>
    <row r="15" spans="1:15" ht="13" outlineLevel="1">
      <c r="A15" s="57" t="s">
        <v>447</v>
      </c>
      <c r="B15" s="340" t="s">
        <v>1</v>
      </c>
      <c r="C15" s="100">
        <v>2000</v>
      </c>
      <c r="D15" s="100">
        <v>6705.89</v>
      </c>
      <c r="E15" s="325">
        <f t="shared" si="0"/>
        <v>0.38250246588371978</v>
      </c>
      <c r="F15" s="100"/>
      <c r="G15" s="100">
        <v>136747</v>
      </c>
      <c r="H15" s="36">
        <v>122</v>
      </c>
      <c r="I15" s="146"/>
      <c r="J15" s="93"/>
      <c r="K15" s="91"/>
      <c r="L15" s="283">
        <f>C15*10^6*E15/(G15*10^6)</f>
        <v>5.5943086997699374E-3</v>
      </c>
      <c r="M15" s="104">
        <f>D15*10^(-3)/(G15)</f>
        <v>4.9038662639765406E-5</v>
      </c>
      <c r="N15" s="97"/>
    </row>
    <row r="16" spans="1:15" ht="13" outlineLevel="1">
      <c r="A16" s="57" t="s">
        <v>448</v>
      </c>
      <c r="B16" s="340" t="s">
        <v>1</v>
      </c>
      <c r="C16" s="100">
        <v>1400</v>
      </c>
      <c r="D16" s="100">
        <v>6000</v>
      </c>
      <c r="E16" s="325">
        <f t="shared" si="0"/>
        <v>0.4889123687858879</v>
      </c>
      <c r="F16" s="100">
        <v>383</v>
      </c>
      <c r="G16" s="100">
        <v>752443</v>
      </c>
      <c r="H16" s="36">
        <v>122</v>
      </c>
      <c r="I16" s="146"/>
      <c r="J16" s="93">
        <f t="shared" si="1"/>
        <v>1.7871470399484153</v>
      </c>
      <c r="K16" s="91">
        <f>D16*10^(-3)/(F16)</f>
        <v>1.5665796344647518E-2</v>
      </c>
      <c r="L16" s="283">
        <f>C16*10^6*E16/(G16*10^6)</f>
        <v>9.0967331253030866E-4</v>
      </c>
      <c r="M16" s="104">
        <f>D16*10^(-3)/(G16)</f>
        <v>7.9740259395063804E-6</v>
      </c>
      <c r="N16" s="97">
        <f>J16/L16</f>
        <v>1964.603133159269</v>
      </c>
    </row>
    <row r="17" spans="1:14" ht="13" outlineLevel="1">
      <c r="A17" s="57" t="s">
        <v>449</v>
      </c>
      <c r="B17" s="340" t="s">
        <v>1</v>
      </c>
      <c r="C17" s="100">
        <v>5850</v>
      </c>
      <c r="D17" s="100">
        <v>23900</v>
      </c>
      <c r="E17" s="325">
        <f t="shared" si="0"/>
        <v>0.46606859998791472</v>
      </c>
      <c r="F17" s="100">
        <v>320</v>
      </c>
      <c r="G17" s="100">
        <v>140000</v>
      </c>
      <c r="H17" s="36">
        <v>187</v>
      </c>
      <c r="I17" s="146" t="s">
        <v>49</v>
      </c>
      <c r="J17" s="93">
        <f t="shared" si="1"/>
        <v>8.5203165935290652</v>
      </c>
      <c r="K17" s="91">
        <f>D17*10^(-3)/(F17)</f>
        <v>7.4687500000000004E-2</v>
      </c>
      <c r="L17" s="283">
        <f>C17*10^6*E17/(G17*10^6)</f>
        <v>1.9475009356637867E-2</v>
      </c>
      <c r="M17" s="104">
        <f>D17*10^(-3)/(G17)</f>
        <v>1.7071428571428573E-4</v>
      </c>
      <c r="N17" s="97">
        <f>J17/L17</f>
        <v>437.49999999999994</v>
      </c>
    </row>
    <row r="18" spans="1:14" ht="13" outlineLevel="1">
      <c r="A18" s="57" t="s">
        <v>450</v>
      </c>
      <c r="B18" s="340" t="s">
        <v>1</v>
      </c>
      <c r="C18" s="100">
        <v>1200</v>
      </c>
      <c r="D18" s="100"/>
      <c r="E18" s="325"/>
      <c r="F18" s="100">
        <v>173.7</v>
      </c>
      <c r="G18" s="100">
        <v>50139</v>
      </c>
      <c r="H18" s="36">
        <v>143</v>
      </c>
      <c r="I18" s="146" t="s">
        <v>49</v>
      </c>
      <c r="J18" s="93"/>
      <c r="K18" s="91"/>
      <c r="L18" s="283"/>
      <c r="M18" s="104"/>
      <c r="N18" s="97"/>
    </row>
    <row r="19" spans="1:14" ht="13" outlineLevel="1">
      <c r="A19" s="57" t="s">
        <v>451</v>
      </c>
      <c r="B19" s="340" t="s">
        <v>1</v>
      </c>
      <c r="C19" s="100">
        <v>4200</v>
      </c>
      <c r="D19" s="100">
        <v>17257.810000000001</v>
      </c>
      <c r="E19" s="325">
        <f t="shared" si="0"/>
        <v>0.46875315373093246</v>
      </c>
      <c r="F19" s="100">
        <v>190</v>
      </c>
      <c r="G19" s="100">
        <v>113300</v>
      </c>
      <c r="H19" s="36">
        <v>251</v>
      </c>
      <c r="I19" s="146" t="s">
        <v>49</v>
      </c>
      <c r="J19" s="93">
        <f t="shared" si="1"/>
        <v>10.361911819315349</v>
      </c>
      <c r="K19" s="91">
        <f>D19*10^(-3)/(F19)</f>
        <v>9.0830578947368429E-2</v>
      </c>
      <c r="L19" s="283">
        <f>C19*10^6*E19/(G19*10^6)</f>
        <v>1.737655115330906E-2</v>
      </c>
      <c r="M19" s="104">
        <f>D19*10^(-3)/(G19)</f>
        <v>1.5231959399823481E-4</v>
      </c>
      <c r="N19" s="97">
        <f>J19/L19</f>
        <v>596.31578947368416</v>
      </c>
    </row>
    <row r="20" spans="1:14" ht="14" outlineLevel="1" thickBot="1">
      <c r="A20" s="58" t="s">
        <v>452</v>
      </c>
      <c r="B20" s="344" t="s">
        <v>1</v>
      </c>
      <c r="C20" s="359">
        <v>1210</v>
      </c>
      <c r="D20" s="359">
        <v>4971.8900000000003</v>
      </c>
      <c r="E20" s="327">
        <f t="shared" si="0"/>
        <v>0.4687528821129498</v>
      </c>
      <c r="F20" s="359">
        <v>107.5</v>
      </c>
      <c r="G20" s="359">
        <v>106580</v>
      </c>
      <c r="H20" s="50">
        <v>85</v>
      </c>
      <c r="I20" s="342" t="s">
        <v>49</v>
      </c>
      <c r="J20" s="185">
        <f t="shared" si="1"/>
        <v>5.2761952312248299</v>
      </c>
      <c r="K20" s="112">
        <f>D20*10^(-3)/(F20)</f>
        <v>4.6250139534883723E-2</v>
      </c>
      <c r="L20" s="302">
        <f>C20*10^6*E20/(G20*10^6)</f>
        <v>5.3217394197473192E-3</v>
      </c>
      <c r="M20" s="310">
        <f>D20*10^(-3)/(G20)</f>
        <v>4.6649371364233439E-5</v>
      </c>
      <c r="N20" s="194">
        <f>J20/L20</f>
        <v>991.44186046511618</v>
      </c>
    </row>
    <row r="21" spans="1:14" ht="13" outlineLevel="1">
      <c r="A21" s="56" t="s">
        <v>453</v>
      </c>
      <c r="B21" s="343" t="s">
        <v>6</v>
      </c>
      <c r="C21" s="47">
        <f>(46250+34900+46900+128000)*10^(-3)</f>
        <v>256.05</v>
      </c>
      <c r="D21" s="47"/>
      <c r="E21" s="326"/>
      <c r="F21" s="47">
        <v>1.9</v>
      </c>
      <c r="G21" s="47">
        <v>4490</v>
      </c>
      <c r="H21" s="47"/>
      <c r="I21" s="341"/>
      <c r="J21" s="184"/>
      <c r="K21" s="47"/>
      <c r="L21" s="282"/>
      <c r="M21" s="108"/>
      <c r="N21" s="96"/>
    </row>
    <row r="22" spans="1:14" ht="14" outlineLevel="1">
      <c r="A22" s="57" t="s">
        <v>454</v>
      </c>
      <c r="B22" s="340" t="s">
        <v>6</v>
      </c>
      <c r="C22" s="36">
        <f>92+466</f>
        <v>558</v>
      </c>
      <c r="D22" s="36"/>
      <c r="E22" s="325"/>
      <c r="F22" s="36">
        <v>1.9</v>
      </c>
      <c r="G22" s="36">
        <v>4200</v>
      </c>
      <c r="H22" s="101">
        <v>219.35</v>
      </c>
      <c r="I22" s="146"/>
      <c r="J22" s="93"/>
      <c r="K22" s="36"/>
      <c r="L22" s="283"/>
      <c r="M22" s="106"/>
      <c r="N22" s="97"/>
    </row>
    <row r="23" spans="1:14" ht="15.75" customHeight="1">
      <c r="A23" s="57" t="s">
        <v>455</v>
      </c>
      <c r="B23" s="340" t="s">
        <v>6</v>
      </c>
      <c r="C23" s="36">
        <f>32</f>
        <v>32</v>
      </c>
      <c r="D23" s="36"/>
      <c r="E23" s="325"/>
      <c r="F23" s="36">
        <v>1.9</v>
      </c>
      <c r="G23" s="36">
        <v>4895</v>
      </c>
      <c r="H23" s="36"/>
      <c r="I23" s="146"/>
      <c r="J23" s="93"/>
      <c r="K23" s="36"/>
      <c r="L23" s="283"/>
      <c r="M23" s="106"/>
      <c r="N23" s="97"/>
    </row>
    <row r="24" spans="1:14" ht="13">
      <c r="A24" s="57" t="s">
        <v>456</v>
      </c>
      <c r="B24" s="340" t="s">
        <v>6</v>
      </c>
      <c r="C24" s="36">
        <v>137</v>
      </c>
      <c r="D24" s="36"/>
      <c r="E24" s="325"/>
      <c r="F24" s="36">
        <v>2.5099999999999998</v>
      </c>
      <c r="G24" s="36">
        <v>318</v>
      </c>
      <c r="H24" s="36">
        <v>125</v>
      </c>
      <c r="I24" s="146"/>
      <c r="J24" s="93"/>
      <c r="K24" s="36"/>
      <c r="L24" s="283"/>
      <c r="M24" s="106"/>
      <c r="N24" s="97"/>
    </row>
    <row r="25" spans="1:14" ht="14" customHeight="1" outlineLevel="1">
      <c r="A25" s="57" t="s">
        <v>457</v>
      </c>
      <c r="B25" s="340" t="s">
        <v>6</v>
      </c>
      <c r="C25" s="36">
        <v>87</v>
      </c>
      <c r="D25" s="36">
        <v>275.66000000000003</v>
      </c>
      <c r="E25" s="325">
        <f t="shared" si="0"/>
        <v>0.36146171841250008</v>
      </c>
      <c r="F25" s="36">
        <v>0.45</v>
      </c>
      <c r="G25" s="36">
        <v>329.2</v>
      </c>
      <c r="H25" s="36"/>
      <c r="I25" s="146"/>
      <c r="J25" s="93">
        <f t="shared" si="1"/>
        <v>69.882598893083355</v>
      </c>
      <c r="K25" s="91">
        <f>D25*10^(-3)/(F25)</f>
        <v>0.61257777777777778</v>
      </c>
      <c r="L25" s="283">
        <f>C25*10^6*E25/(G25*10^6)</f>
        <v>9.5526031293704461E-2</v>
      </c>
      <c r="M25" s="106">
        <f>D25*10^(-3)/(G25)</f>
        <v>8.3736330498177403E-4</v>
      </c>
      <c r="N25" s="97">
        <f>J25/L25</f>
        <v>731.55555555555554</v>
      </c>
    </row>
    <row r="26" spans="1:14" ht="13" outlineLevel="1">
      <c r="A26" s="57" t="s">
        <v>458</v>
      </c>
      <c r="B26" s="340" t="s">
        <v>6</v>
      </c>
      <c r="C26" s="36">
        <v>62</v>
      </c>
      <c r="D26" s="36">
        <v>196.45</v>
      </c>
      <c r="E26" s="325">
        <f t="shared" si="0"/>
        <v>0.36146658276124394</v>
      </c>
      <c r="F26" s="36">
        <v>4.22</v>
      </c>
      <c r="G26" s="36">
        <v>459.2</v>
      </c>
      <c r="H26" s="36"/>
      <c r="I26" s="146"/>
      <c r="J26" s="93">
        <f t="shared" si="1"/>
        <v>5.3106464765869967</v>
      </c>
      <c r="K26" s="91">
        <f>D26*10^(-3)/(F26)</f>
        <v>4.6552132701421799E-2</v>
      </c>
      <c r="L26" s="283">
        <f>C26*10^6*E26/(G26*10^6)</f>
        <v>4.8804285999993736E-2</v>
      </c>
      <c r="M26" s="106">
        <f>D26*10^(-3)/(G26)</f>
        <v>4.2780923344947733E-4</v>
      </c>
      <c r="N26" s="97">
        <f>J26/L26</f>
        <v>108.81516587677726</v>
      </c>
    </row>
    <row r="27" spans="1:14" ht="13" outlineLevel="1">
      <c r="A27" s="57" t="s">
        <v>459</v>
      </c>
      <c r="B27" s="340" t="s">
        <v>6</v>
      </c>
      <c r="C27" s="36">
        <v>355</v>
      </c>
      <c r="D27" s="36">
        <v>1000</v>
      </c>
      <c r="E27" s="325">
        <f t="shared" si="0"/>
        <v>0.32135085272311881</v>
      </c>
      <c r="F27" s="36">
        <v>3.49</v>
      </c>
      <c r="G27" s="36">
        <v>188.5</v>
      </c>
      <c r="H27" s="36"/>
      <c r="I27" s="146" t="s">
        <v>51</v>
      </c>
      <c r="J27" s="93">
        <f t="shared" si="1"/>
        <v>32.687550921692598</v>
      </c>
      <c r="K27" s="91">
        <f>D27*10^(-3)/(F27)</f>
        <v>0.28653295128939826</v>
      </c>
      <c r="L27" s="283">
        <f>C27*10^6*E27/(G27*10^6)</f>
        <v>0.60519656613637751</v>
      </c>
      <c r="M27" s="106">
        <f>D27*10^(-3)/(G27)</f>
        <v>5.3050397877984082E-3</v>
      </c>
      <c r="N27" s="97">
        <f>J27/L27</f>
        <v>54.01146131805158</v>
      </c>
    </row>
    <row r="28" spans="1:14" ht="13" outlineLevel="1">
      <c r="A28" s="57" t="s">
        <v>460</v>
      </c>
      <c r="B28" s="340" t="s">
        <v>6</v>
      </c>
      <c r="C28" s="36">
        <v>1200</v>
      </c>
      <c r="D28" s="36">
        <v>3802.27</v>
      </c>
      <c r="E28" s="325">
        <f t="shared" si="0"/>
        <v>0.36146771742346179</v>
      </c>
      <c r="F28" s="36">
        <v>0.41</v>
      </c>
      <c r="G28" s="36">
        <v>48.9</v>
      </c>
      <c r="H28" s="36"/>
      <c r="I28" s="146" t="s">
        <v>49</v>
      </c>
      <c r="J28" s="93">
        <f t="shared" si="1"/>
        <v>1057.954294897937</v>
      </c>
      <c r="K28" s="91">
        <f>D28*10^(-3)/(F28)</f>
        <v>9.2738292682926833</v>
      </c>
      <c r="L28" s="283">
        <f>C28*10^6*E28/(G28*10^6)</f>
        <v>8.8703734337045841</v>
      </c>
      <c r="M28" s="106">
        <f>D28*10^(-3)/(G28)</f>
        <v>7.7756032719836402E-2</v>
      </c>
      <c r="N28" s="97">
        <f>J28/L28</f>
        <v>119.26829268292683</v>
      </c>
    </row>
    <row r="29" spans="1:14" ht="13" outlineLevel="1">
      <c r="A29" s="57" t="s">
        <v>461</v>
      </c>
      <c r="B29" s="340" t="s">
        <v>6</v>
      </c>
      <c r="C29" s="36">
        <v>215</v>
      </c>
      <c r="D29" s="36">
        <v>681.24</v>
      </c>
      <c r="E29" s="325">
        <f t="shared" si="0"/>
        <v>0.36146769531502138</v>
      </c>
      <c r="F29" s="36">
        <v>8.8000000000000007</v>
      </c>
      <c r="G29" s="36">
        <v>442.8</v>
      </c>
      <c r="H29" s="36"/>
      <c r="I29" s="146" t="s">
        <v>49</v>
      </c>
      <c r="J29" s="93">
        <f t="shared" si="1"/>
        <v>8.8313130105374533</v>
      </c>
      <c r="K29" s="91">
        <f>D29*10^(-3)/(F29)</f>
        <v>7.7413636363636365E-2</v>
      </c>
      <c r="L29" s="283">
        <f>C29*10^6*E29/(G29*10^6)</f>
        <v>0.17550938232323757</v>
      </c>
      <c r="M29" s="106">
        <f>D29*10^(-3)/(G29)</f>
        <v>1.5384823848238484E-3</v>
      </c>
      <c r="N29" s="97">
        <f>J29/L29</f>
        <v>50.318181818181813</v>
      </c>
    </row>
    <row r="30" spans="1:14" ht="13" outlineLevel="1">
      <c r="A30" s="57" t="s">
        <v>462</v>
      </c>
      <c r="B30" s="340" t="s">
        <v>6</v>
      </c>
      <c r="C30" s="36">
        <v>7.4</v>
      </c>
      <c r="D30" s="36"/>
      <c r="E30" s="325"/>
      <c r="F30" s="36">
        <v>2.1800000000000002</v>
      </c>
      <c r="G30" s="36">
        <v>158.5</v>
      </c>
      <c r="H30" s="36"/>
      <c r="I30" s="146"/>
      <c r="J30" s="93"/>
      <c r="K30" s="91"/>
      <c r="L30" s="283"/>
      <c r="M30" s="106"/>
      <c r="N30" s="97"/>
    </row>
    <row r="31" spans="1:14" ht="13" outlineLevel="1">
      <c r="A31" s="57" t="s">
        <v>463</v>
      </c>
      <c r="B31" s="340" t="s">
        <v>6</v>
      </c>
      <c r="C31" s="36">
        <v>50</v>
      </c>
      <c r="D31" s="36"/>
      <c r="E31" s="325"/>
      <c r="F31" s="36">
        <v>0.84</v>
      </c>
      <c r="G31" s="36">
        <v>172.8</v>
      </c>
      <c r="H31" s="36"/>
      <c r="I31" s="146"/>
      <c r="J31" s="93"/>
      <c r="K31" s="91"/>
      <c r="L31" s="283"/>
      <c r="M31" s="106"/>
      <c r="N31" s="97"/>
    </row>
    <row r="32" spans="1:14" ht="13" outlineLevel="1">
      <c r="A32" s="57" t="s">
        <v>464</v>
      </c>
      <c r="B32" s="340" t="s">
        <v>6</v>
      </c>
      <c r="C32" s="36">
        <v>24</v>
      </c>
      <c r="D32" s="36"/>
      <c r="E32" s="325"/>
      <c r="F32" s="36">
        <v>4.5999999999999996</v>
      </c>
      <c r="G32" s="36">
        <v>213.9</v>
      </c>
      <c r="H32" s="36"/>
      <c r="I32" s="146"/>
      <c r="J32" s="93"/>
      <c r="K32" s="91"/>
      <c r="L32" s="283"/>
      <c r="M32" s="106"/>
      <c r="N32" s="97"/>
    </row>
    <row r="33" spans="1:14" ht="13" outlineLevel="1">
      <c r="A33" s="57" t="s">
        <v>465</v>
      </c>
      <c r="B33" s="340" t="s">
        <v>6</v>
      </c>
      <c r="C33" s="36">
        <v>185</v>
      </c>
      <c r="D33" s="36"/>
      <c r="E33" s="325"/>
      <c r="F33" s="36">
        <v>2.63</v>
      </c>
      <c r="G33" s="36">
        <v>2409</v>
      </c>
      <c r="H33" s="36"/>
      <c r="I33" s="146"/>
      <c r="J33" s="93"/>
      <c r="K33" s="91"/>
      <c r="L33" s="283"/>
      <c r="M33" s="106"/>
      <c r="N33" s="97"/>
    </row>
    <row r="34" spans="1:14" ht="13" outlineLevel="1">
      <c r="A34" s="57" t="s">
        <v>466</v>
      </c>
      <c r="B34" s="340" t="s">
        <v>6</v>
      </c>
      <c r="C34" s="36">
        <v>68.2</v>
      </c>
      <c r="D34" s="36"/>
      <c r="E34" s="325"/>
      <c r="F34" s="36">
        <v>0.13</v>
      </c>
      <c r="G34" s="36">
        <v>537</v>
      </c>
      <c r="H34" s="36"/>
      <c r="I34" s="146"/>
      <c r="J34" s="93"/>
      <c r="K34" s="91"/>
      <c r="L34" s="283"/>
      <c r="M34" s="106"/>
      <c r="N34" s="97"/>
    </row>
    <row r="35" spans="1:14" ht="13" outlineLevel="1">
      <c r="A35" s="57" t="s">
        <v>467</v>
      </c>
      <c r="B35" s="340" t="s">
        <v>6</v>
      </c>
      <c r="C35" s="36">
        <v>560</v>
      </c>
      <c r="D35" s="36">
        <v>1774.39</v>
      </c>
      <c r="E35" s="325">
        <f t="shared" si="0"/>
        <v>0.36146717418749652</v>
      </c>
      <c r="F35" s="36">
        <v>11.5</v>
      </c>
      <c r="G35" s="36">
        <v>595</v>
      </c>
      <c r="H35" s="36"/>
      <c r="I35" s="146"/>
      <c r="J35" s="93">
        <f t="shared" si="1"/>
        <v>17.601879786521568</v>
      </c>
      <c r="K35" s="91">
        <f>D35*10^(-3)/(F35)</f>
        <v>0.15429478260869567</v>
      </c>
      <c r="L35" s="283">
        <f>C35*10^6*E35/(G35*10^6)</f>
        <v>0.34020439923529083</v>
      </c>
      <c r="M35" s="106">
        <f>D35*10^(-3)/(G35)</f>
        <v>2.982168067226891E-3</v>
      </c>
      <c r="N35" s="97">
        <f>J35/L35</f>
        <v>51.739130434782602</v>
      </c>
    </row>
    <row r="36" spans="1:14" ht="13" outlineLevel="1">
      <c r="A36" s="57" t="s">
        <v>468</v>
      </c>
      <c r="B36" s="340" t="s">
        <v>6</v>
      </c>
      <c r="C36" s="36">
        <v>182</v>
      </c>
      <c r="D36" s="36">
        <v>576.67999999999995</v>
      </c>
      <c r="E36" s="325">
        <f t="shared" si="0"/>
        <v>0.36146921132236648</v>
      </c>
      <c r="F36" s="36">
        <v>0.89</v>
      </c>
      <c r="G36" s="36">
        <v>656.9</v>
      </c>
      <c r="H36" s="36"/>
      <c r="I36" s="146"/>
      <c r="J36" s="93">
        <f t="shared" si="1"/>
        <v>73.918422989517651</v>
      </c>
      <c r="K36" s="91">
        <f>D36*10^(-3)/(F36)</f>
        <v>0.64795505617977522</v>
      </c>
      <c r="L36" s="283">
        <f>C36*10^6*E36/(G36*10^6)</f>
        <v>0.10014826679962049</v>
      </c>
      <c r="M36" s="106">
        <f>D36*10^(-3)/(G36)</f>
        <v>8.7788095600548023E-4</v>
      </c>
      <c r="N36" s="97">
        <f>J36/L36</f>
        <v>738.08988764044955</v>
      </c>
    </row>
    <row r="37" spans="1:14" ht="13" outlineLevel="1">
      <c r="A37" s="57" t="s">
        <v>469</v>
      </c>
      <c r="B37" s="340" t="s">
        <v>6</v>
      </c>
      <c r="C37" s="36">
        <v>31</v>
      </c>
      <c r="D37" s="36"/>
      <c r="E37" s="325"/>
      <c r="F37" s="36">
        <v>3.26</v>
      </c>
      <c r="G37" s="36">
        <v>1128.5</v>
      </c>
      <c r="H37" s="36"/>
      <c r="I37" s="146"/>
      <c r="J37" s="93"/>
      <c r="K37" s="91"/>
      <c r="L37" s="283"/>
      <c r="M37" s="106"/>
      <c r="N37" s="97"/>
    </row>
    <row r="38" spans="1:14" ht="13" outlineLevel="1">
      <c r="A38" s="57" t="s">
        <v>470</v>
      </c>
      <c r="B38" s="340" t="s">
        <v>6</v>
      </c>
      <c r="C38" s="36">
        <v>350</v>
      </c>
      <c r="D38" s="36">
        <v>1108.99</v>
      </c>
      <c r="E38" s="325">
        <f t="shared" si="0"/>
        <v>0.36146595190657455</v>
      </c>
      <c r="F38" s="36">
        <v>7.15</v>
      </c>
      <c r="G38" s="36">
        <v>4156.5</v>
      </c>
      <c r="H38" s="36"/>
      <c r="I38" s="146"/>
      <c r="J38" s="93">
        <f t="shared" si="1"/>
        <v>17.694137505916235</v>
      </c>
      <c r="K38" s="91">
        <f>D38*10^(-3)/(F38)</f>
        <v>0.1551034965034965</v>
      </c>
      <c r="L38" s="283">
        <f>C38*10^6*E38/(G38*10^6)</f>
        <v>3.0437407233802741E-2</v>
      </c>
      <c r="M38" s="106">
        <f>D38*10^(-3)/(G38)</f>
        <v>2.6680861301575849E-4</v>
      </c>
      <c r="N38" s="97">
        <f>J38/L38</f>
        <v>581.32867132867125</v>
      </c>
    </row>
    <row r="39" spans="1:14" ht="13" outlineLevel="1">
      <c r="A39" s="57" t="s">
        <v>471</v>
      </c>
      <c r="B39" s="340" t="s">
        <v>6</v>
      </c>
      <c r="C39" s="36">
        <v>58</v>
      </c>
      <c r="D39" s="36"/>
      <c r="E39" s="325"/>
      <c r="F39" s="36">
        <v>0.46</v>
      </c>
      <c r="G39" s="36">
        <v>2025.8</v>
      </c>
      <c r="H39" s="36"/>
      <c r="I39" s="146"/>
      <c r="J39" s="93"/>
      <c r="K39" s="91"/>
      <c r="L39" s="283"/>
      <c r="M39" s="106"/>
      <c r="N39" s="97"/>
    </row>
    <row r="40" spans="1:14" ht="13" outlineLevel="1">
      <c r="A40" s="57" t="s">
        <v>472</v>
      </c>
      <c r="B40" s="340" t="s">
        <v>6</v>
      </c>
      <c r="C40" s="36">
        <v>22.2</v>
      </c>
      <c r="D40" s="36"/>
      <c r="E40" s="325"/>
      <c r="F40" s="36">
        <v>0.25</v>
      </c>
      <c r="G40" s="36">
        <v>132</v>
      </c>
      <c r="H40" s="36"/>
      <c r="I40" s="146"/>
      <c r="J40" s="93"/>
      <c r="K40" s="91"/>
      <c r="L40" s="283"/>
      <c r="M40" s="106"/>
      <c r="N40" s="97"/>
    </row>
    <row r="41" spans="1:14" ht="13" outlineLevel="1">
      <c r="A41" s="57" t="s">
        <v>473</v>
      </c>
      <c r="B41" s="340" t="s">
        <v>6</v>
      </c>
      <c r="C41" s="36">
        <v>275</v>
      </c>
      <c r="D41" s="36"/>
      <c r="E41" s="325"/>
      <c r="F41" s="36">
        <v>2.4700000000000002</v>
      </c>
      <c r="G41" s="36">
        <v>1201.3</v>
      </c>
      <c r="H41" s="36"/>
      <c r="I41" s="146"/>
      <c r="J41" s="93"/>
      <c r="K41" s="91"/>
      <c r="L41" s="283"/>
      <c r="M41" s="106"/>
      <c r="N41" s="97"/>
    </row>
    <row r="42" spans="1:14" ht="13" outlineLevel="1">
      <c r="A42" s="57" t="s">
        <v>474</v>
      </c>
      <c r="B42" s="340" t="s">
        <v>6</v>
      </c>
      <c r="C42" s="36">
        <v>390</v>
      </c>
      <c r="D42" s="36">
        <v>1251.58</v>
      </c>
      <c r="E42" s="325">
        <f t="shared" si="0"/>
        <v>0.3661017604850676</v>
      </c>
      <c r="F42" s="36">
        <v>9.9499999999999993</v>
      </c>
      <c r="G42" s="36">
        <v>816.3</v>
      </c>
      <c r="H42" s="36"/>
      <c r="I42" s="146"/>
      <c r="J42" s="93">
        <f t="shared" si="1"/>
        <v>14.349717245143353</v>
      </c>
      <c r="K42" s="91">
        <f>D42*10^(-3)/(F42)</f>
        <v>0.12578693467336682</v>
      </c>
      <c r="L42" s="283">
        <f>C42*10^6*E42/(G42*10^6)</f>
        <v>0.17491080067276291</v>
      </c>
      <c r="M42" s="106">
        <f>D42*10^(-3)/(G42)</f>
        <v>1.5332353301482297E-3</v>
      </c>
      <c r="N42" s="97">
        <f>J42/L42</f>
        <v>82.040201005025125</v>
      </c>
    </row>
    <row r="43" spans="1:14" ht="13" outlineLevel="1">
      <c r="A43" s="57" t="s">
        <v>475</v>
      </c>
      <c r="B43" s="340" t="s">
        <v>6</v>
      </c>
      <c r="C43" s="36">
        <v>92</v>
      </c>
      <c r="D43" s="36"/>
      <c r="E43" s="325"/>
      <c r="F43" s="36">
        <v>2.2999999999999998</v>
      </c>
      <c r="G43" s="36">
        <v>1978</v>
      </c>
      <c r="H43" s="36">
        <v>35.82</v>
      </c>
      <c r="I43" s="146"/>
      <c r="J43" s="93"/>
      <c r="K43" s="36"/>
      <c r="L43" s="283"/>
      <c r="M43" s="106"/>
      <c r="N43" s="97"/>
    </row>
    <row r="44" spans="1:14" ht="13" outlineLevel="1">
      <c r="A44" s="57" t="s">
        <v>476</v>
      </c>
      <c r="B44" s="340" t="s">
        <v>6</v>
      </c>
      <c r="C44" s="36">
        <v>40.1</v>
      </c>
      <c r="D44" s="36"/>
      <c r="E44" s="325"/>
      <c r="F44" s="36">
        <v>0.03</v>
      </c>
      <c r="G44" s="36">
        <v>108</v>
      </c>
      <c r="H44" s="36"/>
      <c r="I44" s="146"/>
      <c r="J44" s="93"/>
      <c r="K44" s="36"/>
      <c r="L44" s="283"/>
      <c r="M44" s="106"/>
      <c r="N44" s="97"/>
    </row>
    <row r="45" spans="1:14" ht="14" outlineLevel="1" thickBot="1">
      <c r="A45" s="58" t="s">
        <v>477</v>
      </c>
      <c r="B45" s="344" t="s">
        <v>6</v>
      </c>
      <c r="C45" s="50">
        <v>153</v>
      </c>
      <c r="D45" s="50"/>
      <c r="E45" s="327"/>
      <c r="F45" s="50">
        <v>13</v>
      </c>
      <c r="G45" s="50">
        <v>254.5</v>
      </c>
      <c r="H45" s="50"/>
      <c r="I45" s="342"/>
      <c r="J45" s="185"/>
      <c r="K45" s="50"/>
      <c r="L45" s="302"/>
      <c r="M45" s="110"/>
      <c r="N45" s="194"/>
    </row>
    <row r="46" spans="1:14" ht="13" outlineLevel="1">
      <c r="A46" s="65" t="s">
        <v>478</v>
      </c>
      <c r="B46" s="343" t="s">
        <v>4</v>
      </c>
      <c r="C46" s="47">
        <v>1000</v>
      </c>
      <c r="D46" s="47"/>
      <c r="E46" s="326"/>
      <c r="F46" s="47">
        <v>52</v>
      </c>
      <c r="G46" s="47">
        <v>7293</v>
      </c>
      <c r="H46" s="47"/>
      <c r="I46" s="341"/>
      <c r="J46" s="184"/>
      <c r="K46" s="47"/>
      <c r="L46" s="282"/>
      <c r="M46" s="108"/>
      <c r="N46" s="96"/>
    </row>
    <row r="47" spans="1:14" ht="13" outlineLevel="1">
      <c r="A47" s="66" t="s">
        <v>479</v>
      </c>
      <c r="B47" s="340" t="s">
        <v>4</v>
      </c>
      <c r="C47" s="36">
        <v>400</v>
      </c>
      <c r="D47" s="36"/>
      <c r="E47" s="325"/>
      <c r="F47" s="36">
        <v>29</v>
      </c>
      <c r="G47" s="36">
        <v>7691</v>
      </c>
      <c r="H47" s="36"/>
      <c r="I47" s="146"/>
      <c r="J47" s="93"/>
      <c r="K47" s="36"/>
      <c r="L47" s="283"/>
      <c r="M47" s="106"/>
      <c r="N47" s="97"/>
    </row>
    <row r="48" spans="1:14" ht="13" outlineLevel="1">
      <c r="A48" s="66" t="s">
        <v>480</v>
      </c>
      <c r="B48" s="340" t="s">
        <v>4</v>
      </c>
      <c r="C48" s="36">
        <v>990</v>
      </c>
      <c r="D48" s="36"/>
      <c r="E48" s="325"/>
      <c r="F48" s="36">
        <v>1.7</v>
      </c>
      <c r="G48" s="36">
        <v>5278</v>
      </c>
      <c r="H48" s="36"/>
      <c r="I48" s="146"/>
      <c r="J48" s="93"/>
      <c r="K48" s="36"/>
      <c r="L48" s="283"/>
      <c r="M48" s="106"/>
      <c r="N48" s="97"/>
    </row>
    <row r="49" spans="1:14" ht="13" outlineLevel="1">
      <c r="A49" s="66" t="s">
        <v>481</v>
      </c>
      <c r="B49" s="340" t="s">
        <v>4</v>
      </c>
      <c r="C49" s="36">
        <v>396</v>
      </c>
      <c r="D49" s="36"/>
      <c r="E49" s="325"/>
      <c r="F49" s="36">
        <v>260</v>
      </c>
      <c r="G49" s="36">
        <v>12560</v>
      </c>
      <c r="H49" s="36"/>
      <c r="I49" s="146"/>
      <c r="J49" s="93"/>
      <c r="K49" s="36"/>
      <c r="L49" s="283"/>
      <c r="M49" s="106"/>
      <c r="N49" s="97"/>
    </row>
    <row r="50" spans="1:14" ht="13" outlineLevel="1">
      <c r="A50" s="66" t="s">
        <v>482</v>
      </c>
      <c r="B50" s="340" t="s">
        <v>4</v>
      </c>
      <c r="C50" s="36">
        <v>1325</v>
      </c>
      <c r="D50" s="36"/>
      <c r="E50" s="325"/>
      <c r="F50" s="36">
        <v>168.035</v>
      </c>
      <c r="G50" s="36">
        <v>56980</v>
      </c>
      <c r="H50" s="36"/>
      <c r="I50" s="146"/>
      <c r="J50" s="93"/>
      <c r="K50" s="36"/>
      <c r="L50" s="283"/>
      <c r="M50" s="106"/>
      <c r="N50" s="97"/>
    </row>
    <row r="51" spans="1:14" ht="13" outlineLevel="1">
      <c r="A51" s="66" t="s">
        <v>483</v>
      </c>
      <c r="B51" s="340" t="s">
        <v>4</v>
      </c>
      <c r="C51" s="36">
        <v>690</v>
      </c>
      <c r="D51" s="36">
        <v>3082</v>
      </c>
      <c r="E51" s="325">
        <f t="shared" si="0"/>
        <v>0.50955533546795873</v>
      </c>
      <c r="F51" s="36">
        <v>3.74</v>
      </c>
      <c r="G51" s="36"/>
      <c r="H51" s="36"/>
      <c r="I51" s="146"/>
      <c r="J51" s="93">
        <f t="shared" si="1"/>
        <v>94.008872051575267</v>
      </c>
      <c r="K51" s="91">
        <f>D51*10^(-3)/(F51)</f>
        <v>0.82406417112299457</v>
      </c>
      <c r="L51" s="283"/>
      <c r="M51" s="106"/>
      <c r="N51" s="97"/>
    </row>
    <row r="52" spans="1:14" ht="13" outlineLevel="1">
      <c r="A52" s="66" t="s">
        <v>484</v>
      </c>
      <c r="B52" s="340" t="s">
        <v>4</v>
      </c>
      <c r="C52" s="36">
        <v>1670</v>
      </c>
      <c r="D52" s="36"/>
      <c r="E52" s="325"/>
      <c r="F52" s="36">
        <v>616</v>
      </c>
      <c r="G52" s="36">
        <v>206040</v>
      </c>
      <c r="H52" s="36"/>
      <c r="I52" s="146"/>
      <c r="J52" s="93"/>
      <c r="K52" s="36"/>
      <c r="L52" s="283"/>
      <c r="M52" s="106"/>
      <c r="N52" s="97"/>
    </row>
    <row r="53" spans="1:14" ht="13" outlineLevel="1">
      <c r="A53" s="66" t="s">
        <v>485</v>
      </c>
      <c r="B53" s="340" t="s">
        <v>4</v>
      </c>
      <c r="C53" s="36">
        <v>816</v>
      </c>
      <c r="D53" s="36"/>
      <c r="E53" s="325"/>
      <c r="F53" s="36">
        <v>285</v>
      </c>
      <c r="G53" s="36">
        <v>215000</v>
      </c>
      <c r="H53" s="36"/>
      <c r="I53" s="146"/>
      <c r="J53" s="93"/>
      <c r="K53" s="36"/>
      <c r="L53" s="283"/>
      <c r="M53" s="106"/>
      <c r="N53" s="97"/>
    </row>
    <row r="54" spans="1:14" ht="13" outlineLevel="1">
      <c r="A54" s="66" t="s">
        <v>486</v>
      </c>
      <c r="B54" s="340" t="s">
        <v>4</v>
      </c>
      <c r="C54" s="36">
        <v>780</v>
      </c>
      <c r="D54" s="36"/>
      <c r="E54" s="325"/>
      <c r="F54" s="36">
        <v>60</v>
      </c>
      <c r="G54" s="36">
        <v>649.29999999999995</v>
      </c>
      <c r="H54" s="36"/>
      <c r="I54" s="146"/>
      <c r="J54" s="93"/>
      <c r="K54" s="36"/>
      <c r="L54" s="283"/>
      <c r="M54" s="106"/>
      <c r="N54" s="97"/>
    </row>
    <row r="55" spans="1:14" ht="13" outlineLevel="1">
      <c r="A55" s="66" t="s">
        <v>487</v>
      </c>
      <c r="B55" s="340" t="s">
        <v>4</v>
      </c>
      <c r="C55" s="36">
        <v>234</v>
      </c>
      <c r="D55" s="36">
        <v>144.34</v>
      </c>
      <c r="E55" s="325">
        <f t="shared" si="0"/>
        <v>7.0368558286878269E-2</v>
      </c>
      <c r="F55" s="36">
        <v>67.680000000000007</v>
      </c>
      <c r="G55" s="36">
        <v>129499</v>
      </c>
      <c r="H55" s="36"/>
      <c r="I55" s="146"/>
      <c r="J55" s="93">
        <f t="shared" si="1"/>
        <v>0.24329554726846209</v>
      </c>
      <c r="K55" s="91">
        <f>D55*10^(-3)/(F55)</f>
        <v>2.1326832151300234E-3</v>
      </c>
      <c r="L55" s="283">
        <f>C55*10^6*E55/(G55*10^6)</f>
        <v>1.2715343469161549E-4</v>
      </c>
      <c r="M55" s="106">
        <f>D55*10^(-3)/(G55)</f>
        <v>1.1146032015691241E-6</v>
      </c>
      <c r="N55" s="97">
        <f>J55/L55</f>
        <v>1913.4013002364065</v>
      </c>
    </row>
    <row r="56" spans="1:14" ht="13">
      <c r="A56" s="66" t="s">
        <v>488</v>
      </c>
      <c r="B56" s="340" t="s">
        <v>4</v>
      </c>
      <c r="C56" s="36">
        <v>120</v>
      </c>
      <c r="D56" s="36">
        <v>54.13</v>
      </c>
      <c r="E56" s="325">
        <f t="shared" si="0"/>
        <v>5.1459384904627994E-2</v>
      </c>
      <c r="F56" s="36">
        <v>144</v>
      </c>
      <c r="G56" s="36">
        <v>240732</v>
      </c>
      <c r="H56" s="36"/>
      <c r="I56" s="146"/>
      <c r="J56" s="93">
        <f t="shared" si="1"/>
        <v>4.288282075385666E-2</v>
      </c>
      <c r="K56" s="91">
        <f>D56*10^(-3)/(F56)</f>
        <v>3.7590277777777779E-4</v>
      </c>
      <c r="L56" s="283">
        <f>C56*10^6*E56/(G56*10^6)</f>
        <v>2.5651455512999348E-5</v>
      </c>
      <c r="M56" s="106">
        <f>D56*10^(-3)/(G56)</f>
        <v>2.2485585630493662E-7</v>
      </c>
      <c r="N56" s="97">
        <f>J56/L56</f>
        <v>1671.75</v>
      </c>
    </row>
    <row r="57" spans="1:14" ht="13">
      <c r="A57" s="66" t="s">
        <v>489</v>
      </c>
      <c r="B57" s="340" t="s">
        <v>4</v>
      </c>
      <c r="C57" s="36">
        <v>960</v>
      </c>
      <c r="D57" s="36">
        <v>3500</v>
      </c>
      <c r="E57" s="325">
        <f t="shared" si="0"/>
        <v>0.41591503594632823</v>
      </c>
      <c r="F57" s="36">
        <v>600</v>
      </c>
      <c r="G57" s="36">
        <v>307800</v>
      </c>
      <c r="H57" s="36"/>
      <c r="I57" s="146"/>
      <c r="J57" s="93">
        <f t="shared" si="1"/>
        <v>0.66546405751412507</v>
      </c>
      <c r="K57" s="91">
        <f>D57*10^(-3)/(F57)</f>
        <v>5.8333333333333336E-3</v>
      </c>
      <c r="L57" s="283">
        <f>C57*10^6*E57/(G57*10^6)</f>
        <v>1.2972008918404E-3</v>
      </c>
      <c r="M57" s="106">
        <f>D57*10^(-3)/(G57)</f>
        <v>1.1371020142949967E-5</v>
      </c>
      <c r="N57" s="97">
        <f>J57/L57</f>
        <v>512.99999999999989</v>
      </c>
    </row>
    <row r="58" spans="1:14" ht="13" outlineLevel="1">
      <c r="A58" s="66" t="s">
        <v>490</v>
      </c>
      <c r="B58" s="340" t="s">
        <v>4</v>
      </c>
      <c r="C58" s="36">
        <v>1450</v>
      </c>
      <c r="D58" s="36">
        <v>1000</v>
      </c>
      <c r="E58" s="325">
        <f t="shared" si="0"/>
        <v>7.8675553597729084E-2</v>
      </c>
      <c r="F58" s="36">
        <v>375.33</v>
      </c>
      <c r="G58" s="36">
        <v>88000</v>
      </c>
      <c r="H58" s="36"/>
      <c r="I58" s="146"/>
      <c r="J58" s="93">
        <f t="shared" si="1"/>
        <v>0.30394466926892916</v>
      </c>
      <c r="K58" s="91">
        <f>D58*10^(-3)/(F58)</f>
        <v>2.6643220632510058E-3</v>
      </c>
      <c r="L58" s="283">
        <f>C58*10^6*E58/(G58*10^6)</f>
        <v>1.2963585535989452E-3</v>
      </c>
      <c r="M58" s="106">
        <f>D58*10^(-3)/(G58)</f>
        <v>1.1363636363636363E-5</v>
      </c>
      <c r="N58" s="97">
        <f>J58/L58</f>
        <v>234.46034156608852</v>
      </c>
    </row>
    <row r="59" spans="1:14" ht="13" outlineLevel="1">
      <c r="A59" s="66" t="s">
        <v>491</v>
      </c>
      <c r="B59" s="340" t="s">
        <v>4</v>
      </c>
      <c r="C59" s="36">
        <v>12</v>
      </c>
      <c r="D59" s="36"/>
      <c r="E59" s="325"/>
      <c r="F59" s="36">
        <v>350</v>
      </c>
      <c r="G59" s="36">
        <v>21750</v>
      </c>
      <c r="H59" s="36"/>
      <c r="I59" s="146"/>
      <c r="J59" s="93"/>
      <c r="K59" s="91"/>
      <c r="L59" s="283"/>
      <c r="M59" s="106"/>
      <c r="N59" s="97"/>
    </row>
    <row r="60" spans="1:14" ht="13" outlineLevel="1">
      <c r="A60" s="66" t="s">
        <v>492</v>
      </c>
      <c r="B60" s="340" t="s">
        <v>4</v>
      </c>
      <c r="C60" s="36">
        <v>12</v>
      </c>
      <c r="D60" s="36">
        <v>105</v>
      </c>
      <c r="E60" s="325">
        <f t="shared" si="0"/>
        <v>0.99819608627118772</v>
      </c>
      <c r="F60" s="36">
        <v>337</v>
      </c>
      <c r="G60" s="36">
        <v>14850</v>
      </c>
      <c r="H60" s="36"/>
      <c r="I60" s="146"/>
      <c r="J60" s="93">
        <f t="shared" si="1"/>
        <v>3.5544074288588287E-2</v>
      </c>
      <c r="K60" s="91">
        <f>D60*10^(-3)/(F60)</f>
        <v>3.1157270029673589E-4</v>
      </c>
      <c r="L60" s="283">
        <f>C60*10^6*E60/(G60*10^6)</f>
        <v>8.0662310001712145E-4</v>
      </c>
      <c r="M60" s="106">
        <f>D60*10^(-3)/(G60)</f>
        <v>7.0707070707070704E-6</v>
      </c>
      <c r="N60" s="97">
        <f>J60/L60</f>
        <v>44.065281899109792</v>
      </c>
    </row>
    <row r="61" spans="1:14" ht="13" outlineLevel="1">
      <c r="A61" s="66" t="s">
        <v>493</v>
      </c>
      <c r="B61" s="340" t="s">
        <v>4</v>
      </c>
      <c r="C61" s="36">
        <v>2000</v>
      </c>
      <c r="D61" s="36">
        <v>7421</v>
      </c>
      <c r="E61" s="325">
        <f t="shared" si="0"/>
        <v>0.423292180355342</v>
      </c>
      <c r="F61" s="36">
        <v>33.5</v>
      </c>
      <c r="G61" s="36"/>
      <c r="H61" s="36"/>
      <c r="I61" s="146"/>
      <c r="J61" s="93">
        <f t="shared" si="1"/>
        <v>25.271174946587582</v>
      </c>
      <c r="K61" s="91">
        <f>D61*10^(-3)/(F61)</f>
        <v>0.22152238805970151</v>
      </c>
      <c r="L61" s="283"/>
      <c r="M61" s="106"/>
      <c r="N61" s="97"/>
    </row>
    <row r="62" spans="1:14" ht="13" outlineLevel="1">
      <c r="A62" s="66" t="s">
        <v>494</v>
      </c>
      <c r="B62" s="340" t="s">
        <v>4</v>
      </c>
      <c r="C62" s="36">
        <v>600</v>
      </c>
      <c r="D62" s="36"/>
      <c r="E62" s="325"/>
      <c r="F62" s="36">
        <v>110</v>
      </c>
      <c r="G62" s="36">
        <v>2630</v>
      </c>
      <c r="H62" s="36"/>
      <c r="I62" s="146"/>
      <c r="J62" s="93"/>
      <c r="K62" s="36"/>
      <c r="L62" s="283"/>
      <c r="M62" s="106"/>
      <c r="N62" s="97"/>
    </row>
    <row r="63" spans="1:14" ht="13" outlineLevel="1">
      <c r="A63" s="66" t="s">
        <v>495</v>
      </c>
      <c r="B63" s="340" t="s">
        <v>4</v>
      </c>
      <c r="C63" s="36">
        <v>184.53</v>
      </c>
      <c r="D63" s="36"/>
      <c r="E63" s="325"/>
      <c r="F63" s="36">
        <v>510</v>
      </c>
      <c r="G63" s="36">
        <v>4910</v>
      </c>
      <c r="H63" s="36"/>
      <c r="I63" s="146"/>
      <c r="J63" s="93"/>
      <c r="K63" s="36"/>
      <c r="L63" s="283"/>
      <c r="M63" s="106"/>
      <c r="N63" s="97"/>
    </row>
    <row r="64" spans="1:14" ht="13" outlineLevel="1">
      <c r="A64" s="66" t="s">
        <v>496</v>
      </c>
      <c r="B64" s="340" t="s">
        <v>4</v>
      </c>
      <c r="C64" s="36">
        <v>120</v>
      </c>
      <c r="D64" s="36"/>
      <c r="E64" s="325"/>
      <c r="F64" s="36">
        <v>97.12</v>
      </c>
      <c r="G64" s="36">
        <v>1963</v>
      </c>
      <c r="H64" s="36"/>
      <c r="I64" s="146"/>
      <c r="J64" s="93"/>
      <c r="K64" s="36"/>
      <c r="L64" s="283"/>
      <c r="M64" s="106"/>
      <c r="N64" s="97"/>
    </row>
    <row r="65" spans="1:14" ht="14" outlineLevel="1" thickBot="1">
      <c r="A65" s="67" t="s">
        <v>497</v>
      </c>
      <c r="B65" s="344" t="s">
        <v>4</v>
      </c>
      <c r="C65" s="50">
        <v>80</v>
      </c>
      <c r="D65" s="50"/>
      <c r="E65" s="327"/>
      <c r="F65" s="50">
        <v>27.92</v>
      </c>
      <c r="G65" s="50">
        <v>10961</v>
      </c>
      <c r="H65" s="50"/>
      <c r="I65" s="342"/>
      <c r="J65" s="185"/>
      <c r="K65" s="50"/>
      <c r="L65" s="302"/>
      <c r="M65" s="110"/>
      <c r="N65" s="194"/>
    </row>
    <row r="66" spans="1:14" ht="13" outlineLevel="1">
      <c r="A66" s="56" t="s">
        <v>498</v>
      </c>
      <c r="B66" s="343" t="s">
        <v>5</v>
      </c>
      <c r="C66" s="47">
        <v>2400</v>
      </c>
      <c r="D66" s="47">
        <v>10246</v>
      </c>
      <c r="E66" s="326">
        <f t="shared" si="0"/>
        <v>0.48702462380640904</v>
      </c>
      <c r="F66" s="47">
        <v>440</v>
      </c>
      <c r="G66" s="47"/>
      <c r="H66" s="47"/>
      <c r="I66" s="341" t="s">
        <v>49</v>
      </c>
      <c r="J66" s="184">
        <f t="shared" si="1"/>
        <v>2.6564979480349584</v>
      </c>
      <c r="K66" s="107">
        <f>D66*10^(-3)/(F66)</f>
        <v>2.3286363636363636E-2</v>
      </c>
      <c r="L66" s="282"/>
      <c r="M66" s="108"/>
      <c r="N66" s="96"/>
    </row>
    <row r="67" spans="1:14" ht="13" outlineLevel="1">
      <c r="A67" s="57" t="s">
        <v>499</v>
      </c>
      <c r="B67" s="340" t="s">
        <v>5</v>
      </c>
      <c r="C67" s="36">
        <v>1200</v>
      </c>
      <c r="D67" s="36">
        <v>4670</v>
      </c>
      <c r="E67" s="325">
        <f t="shared" si="0"/>
        <v>0.44395959265585211</v>
      </c>
      <c r="F67" s="36"/>
      <c r="G67" s="36"/>
      <c r="H67" s="36"/>
      <c r="I67" s="146" t="s">
        <v>49</v>
      </c>
      <c r="J67" s="93"/>
      <c r="K67" s="92"/>
      <c r="L67" s="283"/>
      <c r="M67" s="106"/>
      <c r="N67" s="97"/>
    </row>
    <row r="68" spans="1:14" ht="13" outlineLevel="1">
      <c r="A68" s="57" t="s">
        <v>500</v>
      </c>
      <c r="B68" s="340" t="s">
        <v>5</v>
      </c>
      <c r="C68" s="36">
        <v>1920</v>
      </c>
      <c r="D68" s="36">
        <v>8160</v>
      </c>
      <c r="E68" s="325">
        <f t="shared" si="0"/>
        <v>0.48483809904600544</v>
      </c>
      <c r="F68" s="36">
        <v>208</v>
      </c>
      <c r="G68" s="36"/>
      <c r="H68" s="36"/>
      <c r="I68" s="146"/>
      <c r="J68" s="93">
        <f t="shared" si="1"/>
        <v>4.4754286065785118</v>
      </c>
      <c r="K68" s="92">
        <f>D68*10^(-3)/(F68)</f>
        <v>3.9230769230769229E-2</v>
      </c>
      <c r="L68" s="283"/>
      <c r="M68" s="106"/>
      <c r="N68" s="97"/>
    </row>
    <row r="69" spans="1:14" ht="13" outlineLevel="1">
      <c r="A69" s="57" t="s">
        <v>501</v>
      </c>
      <c r="B69" s="340" t="s">
        <v>5</v>
      </c>
      <c r="C69" s="36">
        <v>400</v>
      </c>
      <c r="D69" s="36">
        <v>1760</v>
      </c>
      <c r="E69" s="325">
        <f t="shared" si="0"/>
        <v>0.50195003195351162</v>
      </c>
      <c r="F69" s="36"/>
      <c r="G69" s="36"/>
      <c r="H69" s="36"/>
      <c r="I69" s="146"/>
      <c r="J69" s="93"/>
      <c r="K69" s="92"/>
      <c r="L69" s="283"/>
      <c r="M69" s="106"/>
      <c r="N69" s="97"/>
    </row>
    <row r="70" spans="1:14" ht="13" outlineLevel="1">
      <c r="A70" s="57" t="s">
        <v>502</v>
      </c>
      <c r="B70" s="340" t="s">
        <v>5</v>
      </c>
      <c r="C70" s="36">
        <v>475</v>
      </c>
      <c r="D70" s="36">
        <v>1660</v>
      </c>
      <c r="E70" s="325">
        <f t="shared" si="0"/>
        <v>0.39867801580996615</v>
      </c>
      <c r="F70" s="36">
        <v>25.2</v>
      </c>
      <c r="G70" s="36"/>
      <c r="H70" s="36"/>
      <c r="I70" s="146"/>
      <c r="J70" s="93">
        <f t="shared" si="1"/>
        <v>7.5147641868942028</v>
      </c>
      <c r="K70" s="92">
        <f>D70*10^(-3)/(F70)</f>
        <v>6.5873015873015875E-2</v>
      </c>
      <c r="L70" s="283"/>
      <c r="M70" s="106"/>
      <c r="N70" s="97"/>
    </row>
    <row r="71" spans="1:14" ht="13" outlineLevel="1">
      <c r="A71" s="57" t="s">
        <v>503</v>
      </c>
      <c r="B71" s="340" t="s">
        <v>5</v>
      </c>
      <c r="C71" s="36">
        <v>342</v>
      </c>
      <c r="D71" s="36">
        <v>1200</v>
      </c>
      <c r="E71" s="325">
        <f t="shared" ref="E71:E134" si="2">D71/(C71*8765.81277)*1000</f>
        <v>0.40027913233932344</v>
      </c>
      <c r="F71" s="36"/>
      <c r="G71" s="36"/>
      <c r="H71" s="36"/>
      <c r="I71" s="146" t="s">
        <v>49</v>
      </c>
      <c r="J71" s="93"/>
      <c r="K71" s="92"/>
      <c r="L71" s="283"/>
      <c r="M71" s="106"/>
      <c r="N71" s="97"/>
    </row>
    <row r="72" spans="1:14" ht="13" outlineLevel="1">
      <c r="A72" s="57" t="s">
        <v>504</v>
      </c>
      <c r="B72" s="340" t="s">
        <v>5</v>
      </c>
      <c r="C72" s="36">
        <v>260</v>
      </c>
      <c r="D72" s="36">
        <v>1018</v>
      </c>
      <c r="E72" s="325">
        <f t="shared" si="2"/>
        <v>0.44666532563695349</v>
      </c>
      <c r="F72" s="36">
        <v>13.13</v>
      </c>
      <c r="G72" s="36">
        <v>14660</v>
      </c>
      <c r="H72" s="36"/>
      <c r="I72" s="146"/>
      <c r="J72" s="93">
        <f t="shared" ref="J71:J79" si="3">C72*E72/F72</f>
        <v>8.8448579334050184</v>
      </c>
      <c r="K72" s="92">
        <f>D72*10^(-3)/(F72)</f>
        <v>7.7532368621477527E-2</v>
      </c>
      <c r="L72" s="283">
        <f>C72*10^6*E72/(G72*10^6)</f>
        <v>7.9217588448572927E-3</v>
      </c>
      <c r="M72" s="106">
        <f>D72*10^(-3)/(G72)</f>
        <v>6.9440654843110509E-5</v>
      </c>
      <c r="N72" s="97">
        <f>J72/L72</f>
        <v>1116.5270373191163</v>
      </c>
    </row>
    <row r="73" spans="1:14" ht="14" outlineLevel="1" thickBot="1">
      <c r="A73" s="58" t="s">
        <v>505</v>
      </c>
      <c r="B73" s="344" t="s">
        <v>5</v>
      </c>
      <c r="C73" s="50">
        <v>720</v>
      </c>
      <c r="D73" s="50"/>
      <c r="E73" s="327"/>
      <c r="F73" s="50">
        <v>64.5</v>
      </c>
      <c r="G73" s="50"/>
      <c r="H73" s="50"/>
      <c r="I73" s="342"/>
      <c r="J73" s="185">
        <f t="shared" si="3"/>
        <v>0</v>
      </c>
      <c r="K73" s="51"/>
      <c r="L73" s="302"/>
      <c r="M73" s="110"/>
      <c r="N73" s="194"/>
    </row>
    <row r="74" spans="1:14" ht="13" outlineLevel="1">
      <c r="A74" s="56" t="s">
        <v>506</v>
      </c>
      <c r="B74" s="343" t="s">
        <v>14</v>
      </c>
      <c r="C74" s="47">
        <v>4888</v>
      </c>
      <c r="D74" s="47">
        <v>13681</v>
      </c>
      <c r="E74" s="326">
        <f t="shared" si="2"/>
        <v>0.31929671864101283</v>
      </c>
      <c r="F74" s="47">
        <v>250</v>
      </c>
      <c r="G74" s="47">
        <v>168000</v>
      </c>
      <c r="H74" s="47"/>
      <c r="I74" s="341"/>
      <c r="J74" s="184">
        <f t="shared" si="3"/>
        <v>6.2428894428690827</v>
      </c>
      <c r="K74" s="107">
        <f>D74*10^(-3)/(F74)</f>
        <v>5.4724000000000002E-2</v>
      </c>
      <c r="L74" s="282">
        <f>C74*10^6*E74/(G74*10^6)</f>
        <v>9.2900140518885153E-3</v>
      </c>
      <c r="M74" s="108">
        <f>D74*10^(-3)/(G74)</f>
        <v>8.1434523809523812E-5</v>
      </c>
      <c r="N74" s="96">
        <f>J74/L74</f>
        <v>672</v>
      </c>
    </row>
    <row r="75" spans="1:14" ht="13" outlineLevel="1">
      <c r="A75" s="57" t="s">
        <v>507</v>
      </c>
      <c r="B75" s="340" t="s">
        <v>14</v>
      </c>
      <c r="C75" s="36">
        <v>1450</v>
      </c>
      <c r="D75" s="36">
        <v>7037</v>
      </c>
      <c r="E75" s="325">
        <f t="shared" si="2"/>
        <v>0.55363987066721965</v>
      </c>
      <c r="F75" s="36">
        <v>5.4</v>
      </c>
      <c r="G75" s="36">
        <v>1165000</v>
      </c>
      <c r="H75" s="36">
        <v>69</v>
      </c>
      <c r="I75" s="146" t="s">
        <v>49</v>
      </c>
      <c r="J75" s="93">
        <f t="shared" si="3"/>
        <v>148.66255786434601</v>
      </c>
      <c r="K75" s="92">
        <f>D75*10^(-3)/(F75)</f>
        <v>1.3031481481481479</v>
      </c>
      <c r="L75" s="283">
        <f>C75*10^6*E75/(G75*10^6)</f>
        <v>6.8907966735405016E-4</v>
      </c>
      <c r="M75" s="106">
        <f>D75*10^(-3)/(G75)</f>
        <v>6.0403433476394847E-6</v>
      </c>
      <c r="N75" s="97">
        <f>J75/L75</f>
        <v>215740.74074074076</v>
      </c>
    </row>
    <row r="76" spans="1:14" ht="13" outlineLevel="1">
      <c r="A76" s="57" t="s">
        <v>508</v>
      </c>
      <c r="B76" s="340" t="s">
        <v>14</v>
      </c>
      <c r="C76" s="36">
        <v>1150</v>
      </c>
      <c r="D76" s="36">
        <v>3933.61</v>
      </c>
      <c r="E76" s="325">
        <f t="shared" si="2"/>
        <v>0.39021258205388398</v>
      </c>
      <c r="F76" s="36">
        <v>259</v>
      </c>
      <c r="G76" s="36">
        <v>33334</v>
      </c>
      <c r="H76" s="36"/>
      <c r="I76" s="146"/>
      <c r="J76" s="93">
        <f t="shared" si="3"/>
        <v>1.7326041288106819</v>
      </c>
      <c r="K76" s="92">
        <f>D76*10^(-3)/(F76)</f>
        <v>1.5187683397683399E-2</v>
      </c>
      <c r="L76" s="283">
        <f>C76*10^6*E76/(G76*10^6)</f>
        <v>1.3462064839562207E-2</v>
      </c>
      <c r="M76" s="106">
        <f>D76*10^(-3)/(G76)</f>
        <v>1.1800593988120239E-4</v>
      </c>
      <c r="N76" s="97">
        <f>J76/L76</f>
        <v>128.70270270270271</v>
      </c>
    </row>
    <row r="77" spans="1:14" ht="13" outlineLevel="1">
      <c r="A77" s="57" t="s">
        <v>509</v>
      </c>
      <c r="B77" s="340" t="s">
        <v>14</v>
      </c>
      <c r="C77" s="36">
        <v>969</v>
      </c>
      <c r="D77" s="36">
        <v>5150</v>
      </c>
      <c r="E77" s="325">
        <f t="shared" si="2"/>
        <v>0.60630515633750459</v>
      </c>
      <c r="F77" s="36"/>
      <c r="G77" s="36"/>
      <c r="H77" s="36">
        <v>420</v>
      </c>
      <c r="I77" s="146" t="s">
        <v>49</v>
      </c>
      <c r="J77" s="93"/>
      <c r="K77" s="92"/>
      <c r="L77" s="283"/>
      <c r="M77" s="106"/>
      <c r="N77" s="97"/>
    </row>
    <row r="78" spans="1:14" ht="13" outlineLevel="1">
      <c r="A78" s="57" t="s">
        <v>510</v>
      </c>
      <c r="B78" s="340" t="s">
        <v>14</v>
      </c>
      <c r="C78" s="36">
        <v>243</v>
      </c>
      <c r="D78" s="36">
        <v>1100</v>
      </c>
      <c r="E78" s="325">
        <f t="shared" si="2"/>
        <v>0.51640949789455926</v>
      </c>
      <c r="F78" s="36">
        <v>10.3</v>
      </c>
      <c r="G78" s="36">
        <v>70500</v>
      </c>
      <c r="H78" s="36">
        <v>144</v>
      </c>
      <c r="I78" s="146" t="s">
        <v>49</v>
      </c>
      <c r="J78" s="93">
        <f t="shared" si="3"/>
        <v>12.183253202755136</v>
      </c>
      <c r="K78" s="92">
        <f>D78*10^(-3)/(F78)</f>
        <v>0.10679611650485438</v>
      </c>
      <c r="L78" s="283">
        <f>C78*10^6*E78/(G78*10^6)</f>
        <v>1.7799646523174171E-3</v>
      </c>
      <c r="M78" s="106">
        <f>D78*10^(-3)/(G78)</f>
        <v>1.5602836879432626E-5</v>
      </c>
      <c r="N78" s="97">
        <f>J78/L78</f>
        <v>6844.6601941747567</v>
      </c>
    </row>
    <row r="79" spans="1:14" ht="13" outlineLevel="1">
      <c r="A79" s="57" t="s">
        <v>511</v>
      </c>
      <c r="B79" s="340" t="s">
        <v>14</v>
      </c>
      <c r="C79" s="36">
        <v>184</v>
      </c>
      <c r="D79" s="36">
        <v>675</v>
      </c>
      <c r="E79" s="325">
        <f t="shared" si="2"/>
        <v>0.41849835915096378</v>
      </c>
      <c r="F79" s="36"/>
      <c r="G79" s="36">
        <v>1165000</v>
      </c>
      <c r="H79" s="36">
        <v>4.8</v>
      </c>
      <c r="I79" s="146" t="s">
        <v>74</v>
      </c>
      <c r="J79" s="93"/>
      <c r="K79" s="92"/>
      <c r="L79" s="283">
        <f>C79*10^6*E79/(G79*10^6)</f>
        <v>6.6097594921697288E-5</v>
      </c>
      <c r="M79" s="106">
        <f>D79*10^(-3)/(G79)</f>
        <v>5.7939914163090134E-7</v>
      </c>
      <c r="N79" s="97"/>
    </row>
    <row r="80" spans="1:14" ht="13" outlineLevel="1">
      <c r="A80" s="57" t="s">
        <v>512</v>
      </c>
      <c r="B80" s="340" t="s">
        <v>14</v>
      </c>
      <c r="C80" s="36">
        <v>150</v>
      </c>
      <c r="D80" s="36">
        <v>632.5</v>
      </c>
      <c r="E80" s="325">
        <f t="shared" si="2"/>
        <v>0.48103544728878189</v>
      </c>
      <c r="F80" s="36"/>
      <c r="G80" s="36"/>
      <c r="H80" s="36">
        <v>110</v>
      </c>
      <c r="I80" s="146" t="s">
        <v>49</v>
      </c>
      <c r="J80" s="93"/>
      <c r="K80" s="92"/>
      <c r="L80" s="283"/>
      <c r="M80" s="106"/>
      <c r="N80" s="97"/>
    </row>
    <row r="81" spans="1:14" ht="13" outlineLevel="1">
      <c r="A81" s="57" t="s">
        <v>513</v>
      </c>
      <c r="B81" s="340" t="s">
        <v>14</v>
      </c>
      <c r="C81" s="36">
        <v>121</v>
      </c>
      <c r="D81" s="36">
        <v>463</v>
      </c>
      <c r="E81" s="325">
        <f t="shared" si="2"/>
        <v>0.43651928023004483</v>
      </c>
      <c r="F81" s="36"/>
      <c r="G81" s="36"/>
      <c r="H81" s="36">
        <v>687</v>
      </c>
      <c r="I81" s="146" t="s">
        <v>51</v>
      </c>
      <c r="J81" s="93"/>
      <c r="K81" s="92"/>
      <c r="L81" s="283"/>
      <c r="M81" s="106"/>
      <c r="N81" s="97"/>
    </row>
    <row r="82" spans="1:14" ht="13" outlineLevel="1">
      <c r="A82" s="57" t="s">
        <v>514</v>
      </c>
      <c r="B82" s="340" t="s">
        <v>14</v>
      </c>
      <c r="C82" s="36">
        <v>106</v>
      </c>
      <c r="D82" s="36">
        <v>436</v>
      </c>
      <c r="E82" s="325">
        <f t="shared" si="2"/>
        <v>0.46923287721211637</v>
      </c>
      <c r="F82" s="36"/>
      <c r="G82" s="36"/>
      <c r="H82" s="36"/>
      <c r="I82" s="146" t="s">
        <v>51</v>
      </c>
      <c r="J82" s="93"/>
      <c r="K82" s="92"/>
      <c r="L82" s="283"/>
      <c r="M82" s="106"/>
      <c r="N82" s="97"/>
    </row>
    <row r="83" spans="1:14" ht="13" outlineLevel="1">
      <c r="A83" s="57" t="s">
        <v>515</v>
      </c>
      <c r="B83" s="340" t="s">
        <v>14</v>
      </c>
      <c r="C83" s="36">
        <v>102</v>
      </c>
      <c r="D83" s="36">
        <v>465</v>
      </c>
      <c r="E83" s="325">
        <f t="shared" si="2"/>
        <v>0.52006854914969447</v>
      </c>
      <c r="F83" s="36"/>
      <c r="G83" s="36">
        <v>3625</v>
      </c>
      <c r="H83" s="36"/>
      <c r="I83" s="146" t="s">
        <v>74</v>
      </c>
      <c r="J83" s="93"/>
      <c r="K83" s="92"/>
      <c r="L83" s="283">
        <f>C83*10^6*E83/(G83*10^6)</f>
        <v>1.463365296917761E-2</v>
      </c>
      <c r="M83" s="106">
        <f>D83*10^(-3)/(G83)</f>
        <v>1.2827586206896552E-4</v>
      </c>
      <c r="N83" s="97"/>
    </row>
    <row r="84" spans="1:14" ht="15.75" customHeight="1">
      <c r="A84" s="57" t="s">
        <v>516</v>
      </c>
      <c r="B84" s="340" t="s">
        <v>14</v>
      </c>
      <c r="C84" s="36">
        <v>72</v>
      </c>
      <c r="D84" s="36">
        <v>595</v>
      </c>
      <c r="E84" s="325">
        <f t="shared" si="2"/>
        <v>0.94274074814501063</v>
      </c>
      <c r="F84" s="36"/>
      <c r="G84" s="36"/>
      <c r="H84" s="36"/>
      <c r="I84" s="146" t="s">
        <v>49</v>
      </c>
      <c r="J84" s="93"/>
      <c r="K84" s="92"/>
      <c r="L84" s="283"/>
      <c r="M84" s="106"/>
      <c r="N84" s="97"/>
    </row>
    <row r="85" spans="1:14" ht="13">
      <c r="A85" s="57" t="s">
        <v>517</v>
      </c>
      <c r="B85" s="340" t="s">
        <v>14</v>
      </c>
      <c r="C85" s="36">
        <v>22</v>
      </c>
      <c r="D85" s="36">
        <v>122</v>
      </c>
      <c r="E85" s="325">
        <f t="shared" si="2"/>
        <v>0.63262297415628521</v>
      </c>
      <c r="F85" s="36"/>
      <c r="G85" s="36">
        <v>13000</v>
      </c>
      <c r="H85" s="36"/>
      <c r="I85" s="146"/>
      <c r="J85" s="93"/>
      <c r="K85" s="92"/>
      <c r="L85" s="283">
        <f>C85*10^6*E85/(G85*10^6)</f>
        <v>1.070592725495252E-3</v>
      </c>
      <c r="M85" s="106">
        <f>D85*10^(-3)/(G85)</f>
        <v>9.3846153846153836E-6</v>
      </c>
      <c r="N85" s="97"/>
    </row>
    <row r="86" spans="1:14" ht="13" outlineLevel="1">
      <c r="A86" s="57" t="s">
        <v>518</v>
      </c>
      <c r="B86" s="340" t="s">
        <v>14</v>
      </c>
      <c r="C86" s="36">
        <v>20</v>
      </c>
      <c r="D86" s="36">
        <v>162</v>
      </c>
      <c r="E86" s="325">
        <f t="shared" si="2"/>
        <v>0.92404437700532804</v>
      </c>
      <c r="F86" s="36"/>
      <c r="G86" s="36">
        <v>13000</v>
      </c>
      <c r="H86" s="36"/>
      <c r="I86" s="146"/>
      <c r="J86" s="93"/>
      <c r="K86" s="92"/>
      <c r="L86" s="283">
        <f>C86*10^6*E86/(G86*10^6)</f>
        <v>1.4216067338543509E-3</v>
      </c>
      <c r="M86" s="106">
        <f>D86*10^(-3)/(G86)</f>
        <v>1.2461538461538463E-5</v>
      </c>
      <c r="N86" s="97"/>
    </row>
    <row r="87" spans="1:14" ht="13" outlineLevel="1">
      <c r="A87" s="57" t="s">
        <v>519</v>
      </c>
      <c r="B87" s="340" t="s">
        <v>14</v>
      </c>
      <c r="C87" s="36">
        <v>17.366</v>
      </c>
      <c r="D87" s="36"/>
      <c r="E87" s="325"/>
      <c r="F87" s="36">
        <v>2.5</v>
      </c>
      <c r="G87" s="36"/>
      <c r="H87" s="36"/>
      <c r="I87" s="146"/>
      <c r="J87" s="93">
        <f t="shared" ref="J81:J125" si="4">C87*E87/F87</f>
        <v>0</v>
      </c>
      <c r="K87" s="92"/>
      <c r="L87" s="283"/>
      <c r="M87" s="106"/>
      <c r="N87" s="97"/>
    </row>
    <row r="88" spans="1:14" ht="13" outlineLevel="1">
      <c r="A88" s="57" t="s">
        <v>520</v>
      </c>
      <c r="B88" s="340" t="s">
        <v>14</v>
      </c>
      <c r="C88" s="36">
        <v>0.5</v>
      </c>
      <c r="D88" s="36"/>
      <c r="E88" s="325"/>
      <c r="F88" s="36"/>
      <c r="G88" s="36">
        <v>8161</v>
      </c>
      <c r="H88" s="36"/>
      <c r="I88" s="146"/>
      <c r="J88" s="93"/>
      <c r="K88" s="92"/>
      <c r="L88" s="283"/>
      <c r="M88" s="106"/>
      <c r="N88" s="97"/>
    </row>
    <row r="89" spans="1:14" ht="13" outlineLevel="1">
      <c r="A89" s="57" t="s">
        <v>521</v>
      </c>
      <c r="B89" s="340" t="s">
        <v>14</v>
      </c>
      <c r="C89" s="36">
        <v>4.4000000000000004</v>
      </c>
      <c r="D89" s="36"/>
      <c r="E89" s="325"/>
      <c r="F89" s="36">
        <v>190.2</v>
      </c>
      <c r="G89" s="36"/>
      <c r="H89" s="36"/>
      <c r="I89" s="146"/>
      <c r="J89" s="93">
        <f t="shared" si="4"/>
        <v>0</v>
      </c>
      <c r="K89" s="92"/>
      <c r="L89" s="283"/>
      <c r="M89" s="106"/>
      <c r="N89" s="97"/>
    </row>
    <row r="90" spans="1:14" ht="13" outlineLevel="1">
      <c r="A90" s="57" t="s">
        <v>522</v>
      </c>
      <c r="B90" s="340" t="s">
        <v>14</v>
      </c>
      <c r="C90" s="36">
        <v>800</v>
      </c>
      <c r="D90" s="36">
        <v>2407</v>
      </c>
      <c r="E90" s="325">
        <f t="shared" si="2"/>
        <v>0.34323685423639272</v>
      </c>
      <c r="F90" s="36">
        <v>61.1</v>
      </c>
      <c r="G90" s="36"/>
      <c r="H90" s="36"/>
      <c r="I90" s="146"/>
      <c r="J90" s="93">
        <f t="shared" si="4"/>
        <v>4.4940995644699528</v>
      </c>
      <c r="K90" s="92">
        <f>D90*10^(-3)/(F90)</f>
        <v>3.9394435351882161E-2</v>
      </c>
      <c r="L90" s="283"/>
      <c r="M90" s="106"/>
      <c r="N90" s="97"/>
    </row>
    <row r="91" spans="1:14" ht="13" outlineLevel="1">
      <c r="A91" s="57" t="s">
        <v>523</v>
      </c>
      <c r="B91" s="340" t="s">
        <v>14</v>
      </c>
      <c r="C91" s="36">
        <v>15</v>
      </c>
      <c r="D91" s="36">
        <v>112.34</v>
      </c>
      <c r="E91" s="325">
        <f t="shared" si="2"/>
        <v>0.85437979681299225</v>
      </c>
      <c r="F91" s="36"/>
      <c r="G91" s="36">
        <v>740</v>
      </c>
      <c r="H91" s="36">
        <v>202.9</v>
      </c>
      <c r="I91" s="146" t="s">
        <v>51</v>
      </c>
      <c r="J91" s="93"/>
      <c r="K91" s="92"/>
      <c r="L91" s="283">
        <f>C91*10^6*E91/(G91*10^6)</f>
        <v>1.7318509394857951E-2</v>
      </c>
      <c r="M91" s="106">
        <f>D91*10^(-3)/(G91)</f>
        <v>1.5181081081081082E-4</v>
      </c>
      <c r="N91" s="97"/>
    </row>
    <row r="92" spans="1:14" ht="14" outlineLevel="1" thickBot="1">
      <c r="A92" s="58" t="s">
        <v>524</v>
      </c>
      <c r="B92" s="344" t="s">
        <v>14</v>
      </c>
      <c r="C92" s="50">
        <v>1124</v>
      </c>
      <c r="D92" s="50">
        <v>4800</v>
      </c>
      <c r="E92" s="327">
        <f t="shared" si="2"/>
        <v>0.48717246711761064</v>
      </c>
      <c r="F92" s="50">
        <v>0.78</v>
      </c>
      <c r="G92" s="50"/>
      <c r="H92" s="50">
        <v>290</v>
      </c>
      <c r="I92" s="342"/>
      <c r="J92" s="185">
        <f t="shared" si="4"/>
        <v>702.02801671819782</v>
      </c>
      <c r="K92" s="109">
        <f>D92*10^(-3)/(F92)</f>
        <v>6.1538461538461533</v>
      </c>
      <c r="L92" s="350"/>
      <c r="M92" s="354"/>
      <c r="N92" s="194"/>
    </row>
    <row r="93" spans="1:14" ht="13" outlineLevel="1">
      <c r="A93" s="65" t="s">
        <v>525</v>
      </c>
      <c r="B93" s="343" t="s">
        <v>16</v>
      </c>
      <c r="C93" s="47">
        <v>25</v>
      </c>
      <c r="D93" s="47">
        <v>127</v>
      </c>
      <c r="E93" s="326">
        <f t="shared" si="2"/>
        <v>0.57952412780087248</v>
      </c>
      <c r="F93" s="47">
        <v>2.5499999999999998</v>
      </c>
      <c r="G93" s="47"/>
      <c r="H93" s="47">
        <v>38</v>
      </c>
      <c r="I93" s="341"/>
      <c r="J93" s="184">
        <f t="shared" si="4"/>
        <v>5.6816090960869854</v>
      </c>
      <c r="K93" s="107">
        <f>D93*10^(-3)/(F93)</f>
        <v>4.9803921568627452E-2</v>
      </c>
      <c r="L93" s="282"/>
      <c r="M93" s="108"/>
      <c r="N93" s="96"/>
    </row>
    <row r="94" spans="1:14" ht="13" outlineLevel="1">
      <c r="A94" s="66" t="s">
        <v>526</v>
      </c>
      <c r="B94" s="340" t="s">
        <v>16</v>
      </c>
      <c r="C94" s="36">
        <v>196.66</v>
      </c>
      <c r="D94" s="36">
        <v>805</v>
      </c>
      <c r="E94" s="325">
        <f t="shared" si="2"/>
        <v>0.46696857488533139</v>
      </c>
      <c r="F94" s="36">
        <v>9</v>
      </c>
      <c r="G94" s="36"/>
      <c r="H94" s="36"/>
      <c r="I94" s="146" t="s">
        <v>49</v>
      </c>
      <c r="J94" s="93">
        <f t="shared" si="4"/>
        <v>10.203782215216584</v>
      </c>
      <c r="K94" s="92">
        <f>D94*10^(-3)/(F94)</f>
        <v>8.9444444444444451E-2</v>
      </c>
      <c r="L94" s="283"/>
      <c r="M94" s="106"/>
      <c r="N94" s="97"/>
    </row>
    <row r="95" spans="1:14" ht="13" outlineLevel="1">
      <c r="A95" s="66" t="s">
        <v>527</v>
      </c>
      <c r="B95" s="340" t="s">
        <v>16</v>
      </c>
      <c r="C95" s="36">
        <v>78</v>
      </c>
      <c r="D95" s="36">
        <v>331</v>
      </c>
      <c r="E95" s="325">
        <f t="shared" si="2"/>
        <v>0.484106819861924</v>
      </c>
      <c r="F95" s="36">
        <v>0.55000000000000004</v>
      </c>
      <c r="G95" s="36"/>
      <c r="H95" s="36"/>
      <c r="I95" s="146" t="s">
        <v>49</v>
      </c>
      <c r="J95" s="93">
        <f t="shared" si="4"/>
        <v>68.655148998600126</v>
      </c>
      <c r="K95" s="92">
        <f>D95*10^(-3)/(F95)</f>
        <v>0.60181818181818181</v>
      </c>
      <c r="L95" s="283"/>
      <c r="M95" s="106"/>
      <c r="N95" s="97"/>
    </row>
    <row r="96" spans="1:14" ht="13" outlineLevel="1">
      <c r="A96" s="66" t="s">
        <v>528</v>
      </c>
      <c r="B96" s="340" t="s">
        <v>16</v>
      </c>
      <c r="C96" s="36">
        <v>3</v>
      </c>
      <c r="D96" s="36">
        <v>25</v>
      </c>
      <c r="E96" s="325">
        <f t="shared" si="2"/>
        <v>0.95066293930589318</v>
      </c>
      <c r="F96" s="36"/>
      <c r="G96" s="36"/>
      <c r="H96" s="36"/>
      <c r="I96" s="146"/>
      <c r="J96" s="93"/>
      <c r="K96" s="92"/>
      <c r="L96" s="283"/>
      <c r="M96" s="106"/>
      <c r="N96" s="97"/>
    </row>
    <row r="97" spans="1:14" ht="13" outlineLevel="1">
      <c r="A97" s="66" t="s">
        <v>529</v>
      </c>
      <c r="B97" s="340" t="s">
        <v>16</v>
      </c>
      <c r="C97" s="36">
        <v>84</v>
      </c>
      <c r="D97" s="36">
        <v>350</v>
      </c>
      <c r="E97" s="325">
        <f t="shared" si="2"/>
        <v>0.47533146965294654</v>
      </c>
      <c r="F97" s="36"/>
      <c r="G97" s="36"/>
      <c r="H97" s="36"/>
      <c r="I97" s="146" t="s">
        <v>49</v>
      </c>
      <c r="J97" s="93"/>
      <c r="K97" s="92"/>
      <c r="L97" s="283"/>
      <c r="M97" s="106"/>
      <c r="N97" s="97"/>
    </row>
    <row r="98" spans="1:14" ht="13" outlineLevel="1">
      <c r="A98" s="66" t="s">
        <v>530</v>
      </c>
      <c r="B98" s="340" t="s">
        <v>16</v>
      </c>
      <c r="C98" s="36">
        <v>220</v>
      </c>
      <c r="D98" s="36">
        <v>942</v>
      </c>
      <c r="E98" s="325">
        <f t="shared" si="2"/>
        <v>0.48846790299608256</v>
      </c>
      <c r="F98" s="36">
        <v>29</v>
      </c>
      <c r="G98" s="36"/>
      <c r="H98" s="36">
        <v>37</v>
      </c>
      <c r="I98" s="146" t="s">
        <v>49</v>
      </c>
      <c r="J98" s="93">
        <f t="shared" si="4"/>
        <v>3.7056185744530401</v>
      </c>
      <c r="K98" s="92">
        <f>D98*10^(-3)/(F98)</f>
        <v>3.248275862068966E-2</v>
      </c>
      <c r="L98" s="283"/>
      <c r="M98" s="106"/>
      <c r="N98" s="97"/>
    </row>
    <row r="99" spans="1:14" ht="13" outlineLevel="1">
      <c r="A99" s="66" t="s">
        <v>531</v>
      </c>
      <c r="B99" s="340" t="s">
        <v>16</v>
      </c>
      <c r="C99" s="36">
        <v>540</v>
      </c>
      <c r="D99" s="36">
        <v>2215</v>
      </c>
      <c r="E99" s="325">
        <f t="shared" si="2"/>
        <v>0.46793742456945631</v>
      </c>
      <c r="F99" s="36">
        <v>75</v>
      </c>
      <c r="G99" s="36"/>
      <c r="H99" s="36">
        <v>92</v>
      </c>
      <c r="I99" s="146"/>
      <c r="J99" s="93">
        <f t="shared" si="4"/>
        <v>3.3691494569000855</v>
      </c>
      <c r="K99" s="92">
        <f>D99*10^(-3)/(F99)</f>
        <v>2.9533333333333332E-2</v>
      </c>
      <c r="L99" s="283"/>
      <c r="M99" s="106"/>
      <c r="N99" s="97"/>
    </row>
    <row r="100" spans="1:14" ht="15.75" customHeight="1">
      <c r="A100" s="66" t="s">
        <v>532</v>
      </c>
      <c r="B100" s="340" t="s">
        <v>16</v>
      </c>
      <c r="C100" s="36">
        <v>464</v>
      </c>
      <c r="D100" s="36">
        <v>2100</v>
      </c>
      <c r="E100" s="325">
        <f t="shared" si="2"/>
        <v>0.51630832048509712</v>
      </c>
      <c r="F100" s="36">
        <v>26</v>
      </c>
      <c r="G100" s="36"/>
      <c r="H100" s="36"/>
      <c r="I100" s="146"/>
      <c r="J100" s="93">
        <f t="shared" si="4"/>
        <v>9.2141177194263477</v>
      </c>
      <c r="K100" s="92">
        <f>D100*10^(-3)/(F100)</f>
        <v>8.0769230769230774E-2</v>
      </c>
      <c r="L100" s="283"/>
      <c r="M100" s="106"/>
      <c r="N100" s="97"/>
    </row>
    <row r="101" spans="1:14" ht="13">
      <c r="A101" s="66" t="s">
        <v>533</v>
      </c>
      <c r="B101" s="340" t="s">
        <v>16</v>
      </c>
      <c r="C101" s="36">
        <v>45</v>
      </c>
      <c r="D101" s="36">
        <v>270</v>
      </c>
      <c r="E101" s="325">
        <f t="shared" si="2"/>
        <v>0.684477316300243</v>
      </c>
      <c r="F101" s="36">
        <v>47</v>
      </c>
      <c r="G101" s="36"/>
      <c r="H101" s="36"/>
      <c r="I101" s="146"/>
      <c r="J101" s="93">
        <f t="shared" si="4"/>
        <v>0.65535062198959437</v>
      </c>
      <c r="K101" s="92">
        <f>D101*10^(-3)/(F101)</f>
        <v>5.7446808510638299E-3</v>
      </c>
      <c r="L101" s="283"/>
      <c r="M101" s="106"/>
      <c r="N101" s="97"/>
    </row>
    <row r="102" spans="1:14" ht="13" outlineLevel="1">
      <c r="A102" s="66" t="s">
        <v>534</v>
      </c>
      <c r="B102" s="340" t="s">
        <v>16</v>
      </c>
      <c r="C102" s="36">
        <v>90</v>
      </c>
      <c r="D102" s="36">
        <v>525</v>
      </c>
      <c r="E102" s="325">
        <f t="shared" si="2"/>
        <v>0.66546405751412518</v>
      </c>
      <c r="F102" s="36">
        <v>7.7</v>
      </c>
      <c r="G102" s="36"/>
      <c r="H102" s="36">
        <v>30</v>
      </c>
      <c r="I102" s="146"/>
      <c r="J102" s="93">
        <f t="shared" si="4"/>
        <v>7.7781513215936702</v>
      </c>
      <c r="K102" s="92">
        <f>D102*10^(-3)/(F102)</f>
        <v>6.8181818181818177E-2</v>
      </c>
      <c r="L102" s="283"/>
      <c r="M102" s="106"/>
      <c r="N102" s="97"/>
    </row>
    <row r="103" spans="1:14" ht="13" outlineLevel="1">
      <c r="A103" s="66" t="s">
        <v>535</v>
      </c>
      <c r="B103" s="340" t="s">
        <v>16</v>
      </c>
      <c r="C103" s="36">
        <v>850</v>
      </c>
      <c r="D103" s="36">
        <v>5100</v>
      </c>
      <c r="E103" s="325">
        <f t="shared" si="2"/>
        <v>0.684477316300243</v>
      </c>
      <c r="F103" s="36">
        <v>141.6</v>
      </c>
      <c r="G103" s="36">
        <v>3302</v>
      </c>
      <c r="H103" s="36"/>
      <c r="I103" s="146" t="s">
        <v>49</v>
      </c>
      <c r="J103" s="93">
        <f t="shared" si="4"/>
        <v>4.1087974495424193</v>
      </c>
      <c r="K103" s="92">
        <f>D103*10^(-3)/(F103)</f>
        <v>3.6016949152542381E-2</v>
      </c>
      <c r="L103" s="283">
        <f>C103*10^6*E103/(G103*10^6)</f>
        <v>0.17619797663694931</v>
      </c>
      <c r="M103" s="106">
        <f>D103*10^(-3)/(G103)</f>
        <v>1.5445184736523321E-3</v>
      </c>
      <c r="N103" s="97">
        <f>J103/L103</f>
        <v>23.319209039548021</v>
      </c>
    </row>
    <row r="104" spans="1:14" ht="13" outlineLevel="1">
      <c r="A104" s="66" t="s">
        <v>536</v>
      </c>
      <c r="B104" s="340" t="s">
        <v>16</v>
      </c>
      <c r="C104" s="36">
        <v>4.5</v>
      </c>
      <c r="D104" s="36">
        <v>20.9</v>
      </c>
      <c r="E104" s="325">
        <f t="shared" si="2"/>
        <v>0.52983614483981767</v>
      </c>
      <c r="F104" s="36"/>
      <c r="G104" s="36"/>
      <c r="H104" s="36"/>
      <c r="I104" s="146"/>
      <c r="J104" s="93"/>
      <c r="K104" s="92"/>
      <c r="L104" s="283"/>
      <c r="M104" s="106"/>
      <c r="N104" s="97"/>
    </row>
    <row r="105" spans="1:14" ht="13" outlineLevel="1">
      <c r="A105" s="66" t="s">
        <v>537</v>
      </c>
      <c r="B105" s="340" t="s">
        <v>16</v>
      </c>
      <c r="C105" s="36">
        <v>360</v>
      </c>
      <c r="D105" s="36">
        <v>885</v>
      </c>
      <c r="E105" s="325">
        <f t="shared" si="2"/>
        <v>0.28044556709523849</v>
      </c>
      <c r="F105" s="36">
        <v>4.0999999999999996</v>
      </c>
      <c r="G105" s="36"/>
      <c r="H105" s="36"/>
      <c r="I105" s="146" t="s">
        <v>49</v>
      </c>
      <c r="J105" s="93">
        <f t="shared" si="4"/>
        <v>24.624488818118504</v>
      </c>
      <c r="K105" s="92">
        <f>D105*10^(-3)/(F105)</f>
        <v>0.21585365853658539</v>
      </c>
      <c r="L105" s="283"/>
      <c r="M105" s="106"/>
      <c r="N105" s="97"/>
    </row>
    <row r="106" spans="1:14" ht="13" outlineLevel="1">
      <c r="A106" s="66" t="s">
        <v>538</v>
      </c>
      <c r="B106" s="340" t="s">
        <v>16</v>
      </c>
      <c r="C106" s="36">
        <v>7.6</v>
      </c>
      <c r="D106" s="36">
        <v>40</v>
      </c>
      <c r="E106" s="325">
        <f t="shared" si="2"/>
        <v>0.60041869850898522</v>
      </c>
      <c r="F106" s="36">
        <v>31</v>
      </c>
      <c r="G106" s="36"/>
      <c r="H106" s="36">
        <v>47</v>
      </c>
      <c r="I106" s="146"/>
      <c r="J106" s="93">
        <f t="shared" si="4"/>
        <v>0.14719942286026733</v>
      </c>
      <c r="K106" s="92">
        <f>D106*10^(-3)/(F106)</f>
        <v>1.2903225806451613E-3</v>
      </c>
      <c r="L106" s="283"/>
      <c r="M106" s="106"/>
      <c r="N106" s="97"/>
    </row>
    <row r="107" spans="1:14" ht="13" outlineLevel="1">
      <c r="A107" s="66" t="s">
        <v>539</v>
      </c>
      <c r="B107" s="340" t="s">
        <v>16</v>
      </c>
      <c r="C107" s="36">
        <v>5</v>
      </c>
      <c r="D107" s="36">
        <v>22</v>
      </c>
      <c r="E107" s="325">
        <f t="shared" si="2"/>
        <v>0.50195003195351151</v>
      </c>
      <c r="F107" s="36">
        <v>0.21</v>
      </c>
      <c r="G107" s="36"/>
      <c r="H107" s="36">
        <v>99</v>
      </c>
      <c r="I107" s="146"/>
      <c r="J107" s="93">
        <f t="shared" si="4"/>
        <v>11.95119123698837</v>
      </c>
      <c r="K107" s="92">
        <f>D107*10^(-3)/(F107)</f>
        <v>0.10476190476190476</v>
      </c>
      <c r="L107" s="283"/>
      <c r="M107" s="106"/>
      <c r="N107" s="97"/>
    </row>
    <row r="108" spans="1:14" ht="13" outlineLevel="1">
      <c r="A108" s="66" t="s">
        <v>540</v>
      </c>
      <c r="B108" s="340" t="s">
        <v>16</v>
      </c>
      <c r="C108" s="36">
        <v>112</v>
      </c>
      <c r="D108" s="36">
        <v>400</v>
      </c>
      <c r="E108" s="325">
        <f t="shared" si="2"/>
        <v>0.40742697398823996</v>
      </c>
      <c r="F108" s="36">
        <v>12</v>
      </c>
      <c r="G108" s="36"/>
      <c r="H108" s="36"/>
      <c r="I108" s="146" t="s">
        <v>49</v>
      </c>
      <c r="J108" s="93">
        <f t="shared" si="4"/>
        <v>3.8026517572235732</v>
      </c>
      <c r="K108" s="92">
        <f>D108*10^(-3)/(F108)</f>
        <v>3.3333333333333333E-2</v>
      </c>
      <c r="L108" s="283"/>
      <c r="M108" s="106"/>
      <c r="N108" s="97"/>
    </row>
    <row r="109" spans="1:14" ht="13" outlineLevel="1">
      <c r="A109" s="66" t="s">
        <v>541</v>
      </c>
      <c r="B109" s="340" t="s">
        <v>16</v>
      </c>
      <c r="C109" s="36">
        <v>264</v>
      </c>
      <c r="D109" s="36">
        <v>1150</v>
      </c>
      <c r="E109" s="325">
        <f t="shared" si="2"/>
        <v>0.49693744554626224</v>
      </c>
      <c r="F109" s="36"/>
      <c r="G109" s="36"/>
      <c r="H109" s="36"/>
      <c r="I109" s="146"/>
      <c r="J109" s="93"/>
      <c r="K109" s="92"/>
      <c r="L109" s="283"/>
      <c r="M109" s="106"/>
      <c r="N109" s="97"/>
    </row>
    <row r="110" spans="1:14" ht="13" outlineLevel="1">
      <c r="A110" s="66" t="s">
        <v>542</v>
      </c>
      <c r="B110" s="340" t="s">
        <v>16</v>
      </c>
      <c r="C110" s="36">
        <v>320</v>
      </c>
      <c r="D110" s="36">
        <v>1650</v>
      </c>
      <c r="E110" s="325">
        <f t="shared" si="2"/>
        <v>0.58822269369552127</v>
      </c>
      <c r="F110" s="36">
        <v>6</v>
      </c>
      <c r="G110" s="36"/>
      <c r="H110" s="36"/>
      <c r="I110" s="146"/>
      <c r="J110" s="93">
        <f t="shared" si="4"/>
        <v>31.371876997094471</v>
      </c>
      <c r="K110" s="92">
        <f>D110*10^(-3)/(F110)</f>
        <v>0.27500000000000002</v>
      </c>
      <c r="L110" s="283"/>
      <c r="M110" s="106"/>
      <c r="N110" s="97"/>
    </row>
    <row r="111" spans="1:14" ht="13" outlineLevel="1">
      <c r="A111" s="66" t="s">
        <v>697</v>
      </c>
      <c r="B111" s="340" t="s">
        <v>16</v>
      </c>
      <c r="C111" s="36">
        <v>25.2</v>
      </c>
      <c r="D111" s="36">
        <v>160</v>
      </c>
      <c r="E111" s="325">
        <f t="shared" si="2"/>
        <v>0.72431462042353767</v>
      </c>
      <c r="F111" s="36">
        <v>87</v>
      </c>
      <c r="G111" s="36">
        <v>1463</v>
      </c>
      <c r="H111" s="36"/>
      <c r="I111" s="146"/>
      <c r="J111" s="93">
        <f t="shared" si="4"/>
        <v>0.20980147626061091</v>
      </c>
      <c r="K111" s="92">
        <f>D111*10^(-3)/(F111)</f>
        <v>1.8390804597701149E-3</v>
      </c>
      <c r="L111" s="283">
        <f>C111*10^6*E111/(G111*10^6)</f>
        <v>1.24762326962906E-2</v>
      </c>
      <c r="M111" s="106">
        <f>D111*10^(-3)/(G111)</f>
        <v>1.0936431989063569E-4</v>
      </c>
      <c r="N111" s="97">
        <f>J111/L111</f>
        <v>16.816091954022991</v>
      </c>
    </row>
    <row r="112" spans="1:14" ht="13" outlineLevel="1">
      <c r="A112" s="66" t="s">
        <v>543</v>
      </c>
      <c r="B112" s="340" t="s">
        <v>16</v>
      </c>
      <c r="C112" s="36">
        <v>4.5999999999999996</v>
      </c>
      <c r="D112" s="36">
        <v>17</v>
      </c>
      <c r="E112" s="325">
        <f t="shared" si="2"/>
        <v>0.42159834699652654</v>
      </c>
      <c r="F112" s="36">
        <v>0.02</v>
      </c>
      <c r="G112" s="36"/>
      <c r="H112" s="36"/>
      <c r="I112" s="146"/>
      <c r="J112" s="93">
        <f t="shared" si="4"/>
        <v>96.967619809201096</v>
      </c>
      <c r="K112" s="92">
        <f>D112*10^(-3)/(F112)</f>
        <v>0.85000000000000009</v>
      </c>
      <c r="L112" s="283"/>
      <c r="M112" s="106"/>
      <c r="N112" s="97"/>
    </row>
    <row r="113" spans="1:14" ht="14" outlineLevel="1" thickBot="1">
      <c r="A113" s="67" t="s">
        <v>544</v>
      </c>
      <c r="B113" s="344" t="s">
        <v>16</v>
      </c>
      <c r="C113" s="50">
        <v>100</v>
      </c>
      <c r="D113" s="50">
        <v>494</v>
      </c>
      <c r="E113" s="327">
        <f t="shared" si="2"/>
        <v>0.56355299042053353</v>
      </c>
      <c r="F113" s="50">
        <v>7.4</v>
      </c>
      <c r="G113" s="50">
        <v>13701</v>
      </c>
      <c r="H113" s="50"/>
      <c r="I113" s="342"/>
      <c r="J113" s="185">
        <f t="shared" si="4"/>
        <v>7.6155809516288313</v>
      </c>
      <c r="K113" s="109">
        <f>D113*10^(-3)/(F113)</f>
        <v>6.6756756756756755E-2</v>
      </c>
      <c r="L113" s="302">
        <f>C113*10^6*E113/(G113*10^6)</f>
        <v>4.1132252421030102E-3</v>
      </c>
      <c r="M113" s="110">
        <f>D113*10^(-3)/(G113)</f>
        <v>3.6055762353112908E-5</v>
      </c>
      <c r="N113" s="194">
        <f>J113/L113</f>
        <v>1851.4864864864867</v>
      </c>
    </row>
    <row r="114" spans="1:14" ht="13" outlineLevel="1">
      <c r="A114" s="56" t="s">
        <v>545</v>
      </c>
      <c r="B114" s="343" t="s">
        <v>23</v>
      </c>
      <c r="C114" s="47">
        <v>80</v>
      </c>
      <c r="D114" s="47">
        <v>260</v>
      </c>
      <c r="E114" s="326">
        <f t="shared" si="2"/>
        <v>0.37075854632929828</v>
      </c>
      <c r="F114" s="47">
        <v>44.6</v>
      </c>
      <c r="G114" s="47">
        <v>1606</v>
      </c>
      <c r="H114" s="47"/>
      <c r="I114" s="341"/>
      <c r="J114" s="184">
        <f t="shared" si="4"/>
        <v>0.66503775126331521</v>
      </c>
      <c r="K114" s="111">
        <f>D114*10^(-3)/(F114)</f>
        <v>5.8295964125560538E-3</v>
      </c>
      <c r="L114" s="282">
        <f>C114*10^6*E114/(G114*10^6)</f>
        <v>1.8468669804697298E-2</v>
      </c>
      <c r="M114" s="309">
        <f>D114*10^(-3)/(G114)</f>
        <v>1.6189290161892903E-4</v>
      </c>
      <c r="N114" s="96">
        <f>J114/L114</f>
        <v>36.00896860986547</v>
      </c>
    </row>
    <row r="115" spans="1:14" ht="13" outlineLevel="1">
      <c r="A115" s="57" t="s">
        <v>546</v>
      </c>
      <c r="B115" s="340" t="s">
        <v>23</v>
      </c>
      <c r="C115" s="36">
        <v>4.95</v>
      </c>
      <c r="D115" s="36"/>
      <c r="E115" s="325"/>
      <c r="F115" s="36">
        <v>0.25</v>
      </c>
      <c r="G115" s="36">
        <v>37.700000000000003</v>
      </c>
      <c r="H115" s="36"/>
      <c r="I115" s="146"/>
      <c r="J115" s="93">
        <f t="shared" si="4"/>
        <v>0</v>
      </c>
      <c r="K115" s="91"/>
      <c r="L115" s="283"/>
      <c r="M115" s="104"/>
      <c r="N115" s="97"/>
    </row>
    <row r="116" spans="1:14" ht="13" outlineLevel="1">
      <c r="A116" s="57" t="s">
        <v>547</v>
      </c>
      <c r="B116" s="340" t="s">
        <v>23</v>
      </c>
      <c r="C116" s="36">
        <v>28</v>
      </c>
      <c r="D116" s="36">
        <v>24.5</v>
      </c>
      <c r="E116" s="325">
        <f t="shared" si="2"/>
        <v>9.9819608627118778E-2</v>
      </c>
      <c r="F116" s="36">
        <v>55</v>
      </c>
      <c r="G116" s="36">
        <v>12953</v>
      </c>
      <c r="H116" s="36"/>
      <c r="I116" s="146"/>
      <c r="J116" s="93">
        <f t="shared" si="4"/>
        <v>5.0817255301078647E-2</v>
      </c>
      <c r="K116" s="91">
        <f>D116*10^(-3)/(F116)</f>
        <v>4.4545454545454548E-4</v>
      </c>
      <c r="L116" s="283">
        <f>C116*10^6*E116/(G116*10^6)</f>
        <v>2.1577619405229104E-4</v>
      </c>
      <c r="M116" s="104">
        <f>D116*10^(-3)/(G116)</f>
        <v>1.891453717285571E-6</v>
      </c>
      <c r="N116" s="97">
        <f>J116/L116</f>
        <v>235.50909090909087</v>
      </c>
    </row>
    <row r="117" spans="1:14" ht="13" outlineLevel="1">
      <c r="A117" s="57" t="s">
        <v>548</v>
      </c>
      <c r="B117" s="340" t="s">
        <v>23</v>
      </c>
      <c r="C117" s="36">
        <v>60</v>
      </c>
      <c r="D117" s="36">
        <v>172</v>
      </c>
      <c r="E117" s="325">
        <f t="shared" si="2"/>
        <v>0.32702805112122718</v>
      </c>
      <c r="F117" s="36">
        <v>0.19400000000000001</v>
      </c>
      <c r="G117" s="36">
        <v>91</v>
      </c>
      <c r="H117" s="36"/>
      <c r="I117" s="146"/>
      <c r="J117" s="93">
        <f t="shared" si="4"/>
        <v>101.14269622305994</v>
      </c>
      <c r="K117" s="91">
        <f>D117*10^(-3)/(F117)</f>
        <v>0.88659793814432997</v>
      </c>
      <c r="L117" s="283">
        <f>C117*10^6*E117/(G117*10^6)</f>
        <v>0.21562289084916078</v>
      </c>
      <c r="M117" s="104">
        <f>D117*10^(-3)/(G117)</f>
        <v>1.8901098901098904E-3</v>
      </c>
      <c r="N117" s="97">
        <f>J117/L117</f>
        <v>469.07216494845358</v>
      </c>
    </row>
    <row r="118" spans="1:14" ht="13" outlineLevel="1">
      <c r="A118" s="57" t="s">
        <v>549</v>
      </c>
      <c r="B118" s="340" t="s">
        <v>23</v>
      </c>
      <c r="C118" s="36">
        <v>58</v>
      </c>
      <c r="D118" s="36">
        <v>220</v>
      </c>
      <c r="E118" s="325">
        <f t="shared" si="2"/>
        <v>0.43271554478751001</v>
      </c>
      <c r="F118" s="36">
        <v>201.9</v>
      </c>
      <c r="G118" s="36">
        <v>15300</v>
      </c>
      <c r="H118" s="36"/>
      <c r="I118" s="146"/>
      <c r="J118" s="93">
        <f t="shared" si="4"/>
        <v>0.1243065953327171</v>
      </c>
      <c r="K118" s="91">
        <f>D118*10^(-3)/(F118)</f>
        <v>1.0896483407627539E-3</v>
      </c>
      <c r="L118" s="283">
        <f>C118*10^6*E118/(G118*10^6)</f>
        <v>1.6403595815474236E-3</v>
      </c>
      <c r="M118" s="104">
        <f>D118*10^(-3)/(G118)</f>
        <v>1.4379084967320261E-5</v>
      </c>
      <c r="N118" s="97">
        <f>J118/L118</f>
        <v>75.780089153046063</v>
      </c>
    </row>
    <row r="119" spans="1:14" ht="13" outlineLevel="1">
      <c r="A119" s="57" t="s">
        <v>550</v>
      </c>
      <c r="B119" s="340" t="s">
        <v>23</v>
      </c>
      <c r="C119" s="36">
        <v>80</v>
      </c>
      <c r="D119" s="36">
        <v>211.12</v>
      </c>
      <c r="E119" s="325">
        <f t="shared" si="2"/>
        <v>0.3010559396193902</v>
      </c>
      <c r="F119" s="36">
        <v>8.31</v>
      </c>
      <c r="G119" s="36">
        <v>5640</v>
      </c>
      <c r="H119" s="36"/>
      <c r="I119" s="146"/>
      <c r="J119" s="93">
        <f t="shared" si="4"/>
        <v>2.8982521262997851</v>
      </c>
      <c r="K119" s="91">
        <f>D119*10^(-3)/(F119)</f>
        <v>2.5405535499398314E-2</v>
      </c>
      <c r="L119" s="283">
        <f>C119*10^6*E119/(G119*10^6)</f>
        <v>4.2702970158778756E-3</v>
      </c>
      <c r="M119" s="104">
        <f>D119*10^(-3)/(G119)</f>
        <v>3.7432624113475178E-5</v>
      </c>
      <c r="N119" s="97">
        <f>J119/L119</f>
        <v>678.70036101083019</v>
      </c>
    </row>
    <row r="120" spans="1:14" ht="13" outlineLevel="1">
      <c r="A120" s="57" t="s">
        <v>619</v>
      </c>
      <c r="B120" s="340" t="s">
        <v>23</v>
      </c>
      <c r="C120" s="36">
        <v>160</v>
      </c>
      <c r="D120" s="36">
        <v>140.74</v>
      </c>
      <c r="E120" s="325">
        <f t="shared" si="2"/>
        <v>0.10034722655843355</v>
      </c>
      <c r="F120" s="36">
        <v>8.31</v>
      </c>
      <c r="G120" s="36">
        <v>5640</v>
      </c>
      <c r="H120" s="36"/>
      <c r="I120" s="146"/>
      <c r="J120" s="93">
        <f t="shared" si="4"/>
        <v>1.9320765643019697</v>
      </c>
      <c r="K120" s="91">
        <f>D120*10^(-3)/(F120)</f>
        <v>1.6936221419975934E-2</v>
      </c>
      <c r="L120" s="283">
        <f>C120*10^6*E120/(G120*10^6)</f>
        <v>2.846729831444923E-3</v>
      </c>
      <c r="M120" s="104">
        <f>D120*10^(-3)/(G120)</f>
        <v>2.4953900709219858E-5</v>
      </c>
      <c r="N120" s="97">
        <f>J120/L120</f>
        <v>678.70036101083042</v>
      </c>
    </row>
    <row r="121" spans="1:14" ht="13" outlineLevel="1">
      <c r="A121" s="57" t="s">
        <v>551</v>
      </c>
      <c r="B121" s="340" t="s">
        <v>23</v>
      </c>
      <c r="C121" s="36">
        <v>7.2</v>
      </c>
      <c r="D121" s="36">
        <v>10.199999999999999</v>
      </c>
      <c r="E121" s="325">
        <f t="shared" si="2"/>
        <v>0.16161269968200181</v>
      </c>
      <c r="F121" s="36">
        <v>43.7</v>
      </c>
      <c r="G121" s="36">
        <v>5700</v>
      </c>
      <c r="H121" s="36"/>
      <c r="I121" s="146"/>
      <c r="J121" s="93">
        <f t="shared" si="4"/>
        <v>2.6627264020833253E-2</v>
      </c>
      <c r="K121" s="91">
        <f>D121*10^(-3)/(F121)</f>
        <v>2.3340961098398166E-4</v>
      </c>
      <c r="L121" s="283">
        <f>C121*10^6*E121/(G121*10^6)</f>
        <v>2.0414235749305492E-4</v>
      </c>
      <c r="M121" s="104">
        <f>D121*10^(-3)/(G121)</f>
        <v>1.789473684210526E-6</v>
      </c>
      <c r="N121" s="97">
        <f>J121/L121</f>
        <v>130.43478260869566</v>
      </c>
    </row>
    <row r="122" spans="1:14" ht="13" outlineLevel="1">
      <c r="A122" s="57" t="s">
        <v>552</v>
      </c>
      <c r="B122" s="340" t="s">
        <v>23</v>
      </c>
      <c r="C122" s="36">
        <v>950</v>
      </c>
      <c r="D122" s="36">
        <v>1413</v>
      </c>
      <c r="E122" s="325">
        <f t="shared" si="2"/>
        <v>0.16967832419863918</v>
      </c>
      <c r="F122" s="36">
        <f>1.9+7</f>
        <v>8.9</v>
      </c>
      <c r="G122" s="36">
        <f>149+53</f>
        <v>202</v>
      </c>
      <c r="H122" s="36"/>
      <c r="I122" s="146"/>
      <c r="J122" s="93">
        <f t="shared" si="4"/>
        <v>18.111731234686204</v>
      </c>
      <c r="K122" s="91">
        <f>D122*10^(-3)/(F122)</f>
        <v>0.15876404494382021</v>
      </c>
      <c r="L122" s="283">
        <f>C122*10^6*E122/(G122*10^6)</f>
        <v>0.79799211875597631</v>
      </c>
      <c r="M122" s="104">
        <f>D122*10^(-3)/(G122)</f>
        <v>6.9950495049504952E-3</v>
      </c>
      <c r="N122" s="97">
        <f>J122/L122</f>
        <v>22.696629213483146</v>
      </c>
    </row>
    <row r="123" spans="1:14" ht="13" outlineLevel="1">
      <c r="A123" s="57" t="s">
        <v>553</v>
      </c>
      <c r="B123" s="340" t="s">
        <v>23</v>
      </c>
      <c r="C123" s="36">
        <v>550</v>
      </c>
      <c r="D123" s="36">
        <v>810</v>
      </c>
      <c r="E123" s="325">
        <f t="shared" si="2"/>
        <v>0.16800806854642331</v>
      </c>
      <c r="F123" s="36">
        <f>1.9+0.04694</f>
        <v>1.9469399999999999</v>
      </c>
      <c r="G123" s="36">
        <f>53+788</f>
        <v>841</v>
      </c>
      <c r="H123" s="36"/>
      <c r="I123" s="146"/>
      <c r="J123" s="93">
        <f t="shared" si="4"/>
        <v>47.461368969014366</v>
      </c>
      <c r="K123" s="91">
        <f>D123*10^(-3)/(F123)</f>
        <v>0.41603747419026788</v>
      </c>
      <c r="L123" s="283">
        <f>C123*10^6*E123/(G123*10^6)</f>
        <v>0.10987448002441477</v>
      </c>
      <c r="M123" s="104">
        <f>D123*10^(-3)/(G123)</f>
        <v>9.6313912009512493E-4</v>
      </c>
      <c r="N123" s="97">
        <f>J123/L123</f>
        <v>431.95989604199411</v>
      </c>
    </row>
    <row r="124" spans="1:14" ht="13" outlineLevel="1">
      <c r="A124" s="57" t="s">
        <v>554</v>
      </c>
      <c r="B124" s="340" t="s">
        <v>23</v>
      </c>
      <c r="C124" s="36">
        <v>5</v>
      </c>
      <c r="D124" s="36">
        <v>29.56</v>
      </c>
      <c r="E124" s="325">
        <f t="shared" si="2"/>
        <v>0.67443831566117274</v>
      </c>
      <c r="F124" s="36"/>
      <c r="G124" s="36">
        <v>1732</v>
      </c>
      <c r="H124" s="36"/>
      <c r="I124" s="146"/>
      <c r="J124" s="93"/>
      <c r="K124" s="91"/>
      <c r="L124" s="283">
        <f>C124*10^6*E124/(G124*10^6)</f>
        <v>1.9469928281211685E-3</v>
      </c>
      <c r="M124" s="104">
        <f>D124*10^(-3)/(G124)</f>
        <v>1.7066974595842955E-5</v>
      </c>
      <c r="N124" s="97"/>
    </row>
    <row r="125" spans="1:14" ht="13" outlineLevel="1">
      <c r="A125" s="57" t="s">
        <v>555</v>
      </c>
      <c r="B125" s="340" t="s">
        <v>23</v>
      </c>
      <c r="C125" s="36">
        <v>330</v>
      </c>
      <c r="D125" s="36">
        <v>847</v>
      </c>
      <c r="E125" s="325">
        <f t="shared" si="2"/>
        <v>0.2928041853062151</v>
      </c>
      <c r="F125" s="36">
        <v>2.0270000000000001</v>
      </c>
      <c r="G125" s="36">
        <v>332</v>
      </c>
      <c r="H125" s="36"/>
      <c r="I125" s="146"/>
      <c r="J125" s="93">
        <f t="shared" si="4"/>
        <v>47.669156956611239</v>
      </c>
      <c r="K125" s="91">
        <f>D125*10^(-3)/(F125)</f>
        <v>0.41785890478539711</v>
      </c>
      <c r="L125" s="283">
        <f>C125*10^6*E125/(G125*10^6)</f>
        <v>0.29104030467184033</v>
      </c>
      <c r="M125" s="104">
        <f>D125*10^(-3)/(G125)</f>
        <v>2.5512048192771085E-3</v>
      </c>
      <c r="N125" s="97">
        <f>J125/L125</f>
        <v>163.78885051800688</v>
      </c>
    </row>
    <row r="126" spans="1:14" ht="13" outlineLevel="1">
      <c r="A126" s="57" t="s">
        <v>556</v>
      </c>
      <c r="B126" s="340" t="s">
        <v>23</v>
      </c>
      <c r="C126" s="36">
        <v>286.39999999999998</v>
      </c>
      <c r="D126" s="36">
        <v>787</v>
      </c>
      <c r="E126" s="325">
        <f t="shared" si="2"/>
        <v>0.31347977649458297</v>
      </c>
      <c r="F126" s="36">
        <v>1.82</v>
      </c>
      <c r="G126" s="36">
        <v>396</v>
      </c>
      <c r="H126" s="36"/>
      <c r="I126" s="146"/>
      <c r="J126" s="93">
        <f>C126*E126/F126</f>
        <v>49.330004389037668</v>
      </c>
      <c r="K126" s="91">
        <f>D126*10^(-3)/(F126)</f>
        <v>0.43241758241758244</v>
      </c>
      <c r="L126" s="283">
        <f>C126*10^6*E126/(G126*10^6)</f>
        <v>0.22671870704052668</v>
      </c>
      <c r="M126" s="104">
        <f>D126*10^(-3)/(G126)</f>
        <v>1.9873737373737373E-3</v>
      </c>
      <c r="N126" s="97">
        <f>J126/L126</f>
        <v>217.58241758241755</v>
      </c>
    </row>
    <row r="127" spans="1:14" ht="15.75" customHeight="1">
      <c r="A127" s="57" t="s">
        <v>557</v>
      </c>
      <c r="B127" s="340" t="s">
        <v>23</v>
      </c>
      <c r="C127" s="36">
        <v>1800</v>
      </c>
      <c r="D127" s="36">
        <v>1319.46</v>
      </c>
      <c r="E127" s="325">
        <f t="shared" si="2"/>
        <v>8.3624114793103582E-2</v>
      </c>
      <c r="F127" s="36">
        <v>19.355</v>
      </c>
      <c r="G127" s="36">
        <v>1093</v>
      </c>
      <c r="H127" s="36"/>
      <c r="I127" s="146"/>
      <c r="J127" s="93">
        <f t="shared" ref="J127:J190" si="5">C127*E127/F127</f>
        <v>7.7769778676097356</v>
      </c>
      <c r="K127" s="91">
        <f>D127*10^(-3)/(F127)</f>
        <v>6.8171531903900809E-2</v>
      </c>
      <c r="L127" s="283">
        <f>C127*10^6*E127/(G127*10^6)</f>
        <v>0.1377158340600059</v>
      </c>
      <c r="M127" s="104">
        <f>D127*10^(-3)/(G127)</f>
        <v>1.2071912168344007E-3</v>
      </c>
      <c r="N127" s="97">
        <f>J127/L127</f>
        <v>56.471196073366052</v>
      </c>
    </row>
    <row r="128" spans="1:14" ht="13">
      <c r="A128" s="57" t="s">
        <v>558</v>
      </c>
      <c r="B128" s="340" t="s">
        <v>23</v>
      </c>
      <c r="C128" s="36">
        <v>50</v>
      </c>
      <c r="D128" s="36">
        <v>100</v>
      </c>
      <c r="E128" s="325">
        <f t="shared" si="2"/>
        <v>0.22815910543341436</v>
      </c>
      <c r="F128" s="36">
        <v>75</v>
      </c>
      <c r="G128" s="36">
        <v>9051</v>
      </c>
      <c r="H128" s="36"/>
      <c r="I128" s="146"/>
      <c r="J128" s="93">
        <f t="shared" si="5"/>
        <v>0.15210607028894291</v>
      </c>
      <c r="K128" s="91">
        <f>D128*10^(-3)/(F128)</f>
        <v>1.3333333333333335E-3</v>
      </c>
      <c r="L128" s="283">
        <f>C128*10^6*E128/(G128*10^6)</f>
        <v>1.2604082721987314E-3</v>
      </c>
      <c r="M128" s="104">
        <f>D128*10^(-3)/(G128)</f>
        <v>1.1048502927853277E-5</v>
      </c>
      <c r="N128" s="97">
        <f>J128/L128</f>
        <v>120.68</v>
      </c>
    </row>
    <row r="129" spans="1:14" ht="13" outlineLevel="1">
      <c r="A129" s="57" t="s">
        <v>559</v>
      </c>
      <c r="B129" s="340" t="s">
        <v>23</v>
      </c>
      <c r="C129" s="36">
        <v>18</v>
      </c>
      <c r="D129" s="36">
        <v>42.9</v>
      </c>
      <c r="E129" s="325">
        <f t="shared" si="2"/>
        <v>0.27188960064148543</v>
      </c>
      <c r="F129" s="36">
        <v>53.9</v>
      </c>
      <c r="G129" s="36">
        <v>8300</v>
      </c>
      <c r="H129" s="36"/>
      <c r="I129" s="146"/>
      <c r="J129" s="93">
        <f t="shared" si="5"/>
        <v>9.0798011345950599E-2</v>
      </c>
      <c r="K129" s="91">
        <f>D129*10^(-3)/(F129)</f>
        <v>7.9591836734693884E-4</v>
      </c>
      <c r="L129" s="283">
        <f>C129*10^6*E129/(G129*10^6)</f>
        <v>5.8964009777671533E-4</v>
      </c>
      <c r="M129" s="104">
        <f>D129*10^(-3)/(G129)</f>
        <v>5.1686746987951806E-6</v>
      </c>
      <c r="N129" s="97">
        <f>J129/L129</f>
        <v>153.98886827458256</v>
      </c>
    </row>
    <row r="130" spans="1:14" ht="13" outlineLevel="1">
      <c r="A130" s="57" t="s">
        <v>560</v>
      </c>
      <c r="B130" s="340" t="s">
        <v>23</v>
      </c>
      <c r="C130" s="36">
        <v>66</v>
      </c>
      <c r="D130" s="36">
        <v>264.2</v>
      </c>
      <c r="E130" s="325">
        <f t="shared" si="2"/>
        <v>0.45666390648112171</v>
      </c>
      <c r="F130" s="36"/>
      <c r="G130" s="36"/>
      <c r="H130" s="36"/>
      <c r="I130" s="146"/>
      <c r="J130" s="93"/>
      <c r="K130" s="91"/>
      <c r="L130" s="283"/>
      <c r="M130" s="104"/>
      <c r="N130" s="97"/>
    </row>
    <row r="131" spans="1:14" ht="13" outlineLevel="1">
      <c r="A131" s="57" t="s">
        <v>561</v>
      </c>
      <c r="B131" s="340" t="s">
        <v>23</v>
      </c>
      <c r="C131" s="36">
        <v>86.4</v>
      </c>
      <c r="D131" s="36">
        <v>472</v>
      </c>
      <c r="E131" s="325">
        <f t="shared" si="2"/>
        <v>0.62321237132275209</v>
      </c>
      <c r="F131" s="36">
        <v>15.5</v>
      </c>
      <c r="G131" s="36">
        <v>163</v>
      </c>
      <c r="H131" s="36"/>
      <c r="I131" s="146"/>
      <c r="J131" s="93">
        <f t="shared" si="5"/>
        <v>3.4739063795023086</v>
      </c>
      <c r="K131" s="91">
        <f>D131*10^(-3)/(F131)</f>
        <v>3.045161290322581E-2</v>
      </c>
      <c r="L131" s="283">
        <f>C131*10^6*E131/(G131*10^6)</f>
        <v>0.33034079068886985</v>
      </c>
      <c r="M131" s="104">
        <f>D131*10^(-3)/(G131)</f>
        <v>2.8957055214723928E-3</v>
      </c>
      <c r="N131" s="97">
        <f>J131/L131</f>
        <v>10.516129032258064</v>
      </c>
    </row>
    <row r="132" spans="1:14" ht="13" outlineLevel="1">
      <c r="A132" s="57" t="s">
        <v>562</v>
      </c>
      <c r="B132" s="340" t="s">
        <v>23</v>
      </c>
      <c r="C132" s="36">
        <v>7.3</v>
      </c>
      <c r="D132" s="36">
        <v>22.5</v>
      </c>
      <c r="E132" s="325">
        <f t="shared" si="2"/>
        <v>0.35161505974327556</v>
      </c>
      <c r="F132" s="36">
        <v>15.5</v>
      </c>
      <c r="G132" s="36">
        <v>163</v>
      </c>
      <c r="H132" s="36"/>
      <c r="I132" s="146"/>
      <c r="J132" s="93">
        <f t="shared" si="5"/>
        <v>0.16559935071780074</v>
      </c>
      <c r="K132" s="91">
        <f>D132*10^(-3)/(F132)</f>
        <v>1.4516129032258063E-3</v>
      </c>
      <c r="L132" s="283">
        <f>C132*10^6*E132/(G132*10^6)</f>
        <v>1.5747177522244856E-2</v>
      </c>
      <c r="M132" s="104">
        <f>D132*10^(-3)/(G132)</f>
        <v>1.3803680981595091E-4</v>
      </c>
      <c r="N132" s="97">
        <f>J132/L132</f>
        <v>10.516129032258064</v>
      </c>
    </row>
    <row r="133" spans="1:14" ht="13" outlineLevel="1">
      <c r="A133" s="57" t="s">
        <v>563</v>
      </c>
      <c r="B133" s="340" t="s">
        <v>23</v>
      </c>
      <c r="C133" s="36">
        <v>3.2</v>
      </c>
      <c r="D133" s="36">
        <v>12</v>
      </c>
      <c r="E133" s="325">
        <f t="shared" si="2"/>
        <v>0.42779832268765189</v>
      </c>
      <c r="F133" s="36">
        <v>43.5</v>
      </c>
      <c r="G133" s="36">
        <v>1330</v>
      </c>
      <c r="H133" s="36"/>
      <c r="I133" s="146"/>
      <c r="J133" s="93">
        <f t="shared" si="5"/>
        <v>3.1470221439091638E-2</v>
      </c>
      <c r="K133" s="91">
        <f>D133*10^(-3)/(F133)</f>
        <v>2.7586206896551725E-4</v>
      </c>
      <c r="L133" s="283">
        <f>C133*10^6*E133/(G133*10^6)</f>
        <v>1.0292891974439744E-3</v>
      </c>
      <c r="M133" s="104">
        <f>D133*10^(-3)/(G133)</f>
        <v>9.0225563909774441E-6</v>
      </c>
      <c r="N133" s="97">
        <f>J133/L133</f>
        <v>30.574712643678165</v>
      </c>
    </row>
    <row r="134" spans="1:14" ht="13" outlineLevel="1">
      <c r="A134" s="57" t="s">
        <v>564</v>
      </c>
      <c r="B134" s="340" t="s">
        <v>23</v>
      </c>
      <c r="C134" s="36">
        <v>1.6</v>
      </c>
      <c r="D134" s="36">
        <v>5.5789999999999997</v>
      </c>
      <c r="E134" s="325">
        <f t="shared" si="2"/>
        <v>0.39778114037906825</v>
      </c>
      <c r="F134" s="36">
        <v>35</v>
      </c>
      <c r="G134" s="36">
        <v>545</v>
      </c>
      <c r="H134" s="36"/>
      <c r="I134" s="146"/>
      <c r="J134" s="93">
        <f t="shared" si="5"/>
        <v>1.8184280703043121E-2</v>
      </c>
      <c r="K134" s="91">
        <f>D134*10^(-3)/(F134)</f>
        <v>1.594E-4</v>
      </c>
      <c r="L134" s="283">
        <f>C134*10^6*E134/(G134*10^6)</f>
        <v>1.1677978433146958E-3</v>
      </c>
      <c r="M134" s="104">
        <f>D134*10^(-3)/(G134)</f>
        <v>1.0236697247706422E-5</v>
      </c>
      <c r="N134" s="97">
        <f>J134/L134</f>
        <v>15.571428571428573</v>
      </c>
    </row>
    <row r="135" spans="1:14" ht="13" outlineLevel="1">
      <c r="A135" s="57" t="s">
        <v>565</v>
      </c>
      <c r="B135" s="340" t="s">
        <v>23</v>
      </c>
      <c r="C135" s="36">
        <v>500</v>
      </c>
      <c r="D135" s="36"/>
      <c r="E135" s="325"/>
      <c r="F135" s="36">
        <v>109.4</v>
      </c>
      <c r="G135" s="36">
        <v>7020</v>
      </c>
      <c r="H135" s="36"/>
      <c r="I135" s="146"/>
      <c r="J135" s="93">
        <f t="shared" si="5"/>
        <v>0</v>
      </c>
      <c r="K135" s="91"/>
      <c r="L135" s="283"/>
      <c r="M135" s="104"/>
      <c r="N135" s="97"/>
    </row>
    <row r="136" spans="1:14" ht="13" outlineLevel="1">
      <c r="A136" s="57" t="s">
        <v>566</v>
      </c>
      <c r="B136" s="340" t="s">
        <v>23</v>
      </c>
      <c r="C136" s="36">
        <v>3</v>
      </c>
      <c r="D136" s="36">
        <v>4.7619999999999996</v>
      </c>
      <c r="E136" s="325">
        <f t="shared" ref="E135:E190" si="6">D136/(C136*8765.81277)*1000</f>
        <v>0.18108227667898649</v>
      </c>
      <c r="F136" s="36"/>
      <c r="G136" s="36"/>
      <c r="H136" s="36"/>
      <c r="I136" s="146"/>
      <c r="J136" s="93"/>
      <c r="K136" s="91"/>
      <c r="L136" s="283"/>
      <c r="M136" s="104"/>
      <c r="N136" s="97"/>
    </row>
    <row r="137" spans="1:14" ht="13" outlineLevel="1">
      <c r="A137" s="57" t="s">
        <v>567</v>
      </c>
      <c r="B137" s="340" t="s">
        <v>23</v>
      </c>
      <c r="C137" s="36">
        <v>81</v>
      </c>
      <c r="D137" s="36">
        <v>405</v>
      </c>
      <c r="E137" s="325">
        <f t="shared" si="6"/>
        <v>0.57039776358353589</v>
      </c>
      <c r="F137" s="36">
        <v>0.74399999999999999</v>
      </c>
      <c r="G137" s="36">
        <v>1397</v>
      </c>
      <c r="H137" s="36"/>
      <c r="I137" s="146"/>
      <c r="J137" s="93">
        <f t="shared" si="5"/>
        <v>62.099756519175273</v>
      </c>
      <c r="K137" s="91">
        <f>D137*10^(-3)/(F137)</f>
        <v>0.54435483870967749</v>
      </c>
      <c r="L137" s="283">
        <f>C137*10^6*E137/(G137*10^6)</f>
        <v>3.3072454438272302E-2</v>
      </c>
      <c r="M137" s="104">
        <f>D137*10^(-3)/(G137)</f>
        <v>2.8990694345025058E-4</v>
      </c>
      <c r="N137" s="97">
        <f>J137/L137</f>
        <v>1877.6881720430106</v>
      </c>
    </row>
    <row r="138" spans="1:14" ht="13" outlineLevel="1">
      <c r="A138" s="57" t="s">
        <v>568</v>
      </c>
      <c r="B138" s="340" t="s">
        <v>23</v>
      </c>
      <c r="C138" s="36">
        <v>12.2</v>
      </c>
      <c r="D138" s="36">
        <v>49</v>
      </c>
      <c r="E138" s="325">
        <f t="shared" si="6"/>
        <v>0.45818836746874197</v>
      </c>
      <c r="F138" s="36">
        <v>0.41449999999999998</v>
      </c>
      <c r="G138" s="36">
        <v>575</v>
      </c>
      <c r="H138" s="36"/>
      <c r="I138" s="146"/>
      <c r="J138" s="93">
        <f t="shared" si="5"/>
        <v>13.48588198581098</v>
      </c>
      <c r="K138" s="91">
        <f>D138*10^(-3)/(F138)</f>
        <v>0.11821471652593488</v>
      </c>
      <c r="L138" s="283">
        <f>C138*10^6*E138/(G138*10^6)</f>
        <v>9.7215618836846117E-3</v>
      </c>
      <c r="M138" s="104">
        <f>D138*10^(-3)/(G138)</f>
        <v>8.5217391304347832E-5</v>
      </c>
      <c r="N138" s="97">
        <f>J138/L138</f>
        <v>1387.2135102533171</v>
      </c>
    </row>
    <row r="139" spans="1:14" ht="13" outlineLevel="1">
      <c r="A139" s="57" t="s">
        <v>569</v>
      </c>
      <c r="B139" s="340" t="s">
        <v>23</v>
      </c>
      <c r="C139" s="36">
        <v>48</v>
      </c>
      <c r="D139" s="36">
        <v>237</v>
      </c>
      <c r="E139" s="325">
        <f t="shared" si="6"/>
        <v>0.56326779153874162</v>
      </c>
      <c r="F139" s="36">
        <v>0.219</v>
      </c>
      <c r="G139" s="36">
        <v>2713</v>
      </c>
      <c r="H139" s="36"/>
      <c r="I139" s="146"/>
      <c r="J139" s="93">
        <f t="shared" si="5"/>
        <v>123.45595430986118</v>
      </c>
      <c r="K139" s="91">
        <f>D139*10^(-3)/(F139)</f>
        <v>1.0821917808219179</v>
      </c>
      <c r="L139" s="283">
        <f>C139*10^6*E139/(G139*10^6)</f>
        <v>9.9656667872685574E-3</v>
      </c>
      <c r="M139" s="104">
        <f>D139*10^(-3)/(G139)</f>
        <v>8.7357169185403613E-5</v>
      </c>
      <c r="N139" s="97">
        <f>J139/L139</f>
        <v>12388.12785388128</v>
      </c>
    </row>
    <row r="140" spans="1:14" ht="13" outlineLevel="1">
      <c r="A140" s="57" t="s">
        <v>570</v>
      </c>
      <c r="B140" s="340" t="s">
        <v>23</v>
      </c>
      <c r="C140" s="36">
        <v>100</v>
      </c>
      <c r="D140" s="36">
        <v>434</v>
      </c>
      <c r="E140" s="325">
        <f t="shared" si="6"/>
        <v>0.4951052587905091</v>
      </c>
      <c r="F140" s="36">
        <v>0.41399999999999998</v>
      </c>
      <c r="G140" s="36">
        <v>610</v>
      </c>
      <c r="H140" s="36"/>
      <c r="I140" s="146"/>
      <c r="J140" s="93">
        <f t="shared" si="5"/>
        <v>119.59064221992973</v>
      </c>
      <c r="K140" s="91">
        <f>D140*10^(-3)/(F140)</f>
        <v>1.0483091787439613</v>
      </c>
      <c r="L140" s="283">
        <f>C140*10^6*E140/(G140*10^6)</f>
        <v>8.116479652303428E-2</v>
      </c>
      <c r="M140" s="104">
        <f>D140*10^(-3)/(G140)</f>
        <v>7.1147540983606552E-4</v>
      </c>
      <c r="N140" s="97">
        <f>J140/L140</f>
        <v>1473.4299516908213</v>
      </c>
    </row>
    <row r="141" spans="1:14" ht="13" outlineLevel="1">
      <c r="A141" s="57" t="s">
        <v>571</v>
      </c>
      <c r="B141" s="340" t="s">
        <v>23</v>
      </c>
      <c r="C141" s="36">
        <v>18.600000000000001</v>
      </c>
      <c r="D141" s="36">
        <v>90</v>
      </c>
      <c r="E141" s="325">
        <f t="shared" si="6"/>
        <v>0.55199783572600247</v>
      </c>
      <c r="F141" s="36">
        <v>0.08</v>
      </c>
      <c r="G141" s="36">
        <v>2971</v>
      </c>
      <c r="H141" s="36"/>
      <c r="I141" s="146"/>
      <c r="J141" s="93">
        <f t="shared" si="5"/>
        <v>128.33949680629559</v>
      </c>
      <c r="K141" s="91">
        <f>D141*10^(-3)/(F141)</f>
        <v>1.125</v>
      </c>
      <c r="L141" s="283">
        <f>C141*10^6*E141/(G141*10^6)</f>
        <v>3.4557925764064777E-3</v>
      </c>
      <c r="M141" s="104">
        <f>D141*10^(-3)/(G141)</f>
        <v>3.0292830696735104E-5</v>
      </c>
      <c r="N141" s="97">
        <f>J141/L141</f>
        <v>37137.500000000007</v>
      </c>
    </row>
    <row r="142" spans="1:14" ht="13" outlineLevel="1">
      <c r="A142" s="57" t="s">
        <v>572</v>
      </c>
      <c r="B142" s="340" t="s">
        <v>23</v>
      </c>
      <c r="C142" s="36">
        <v>63</v>
      </c>
      <c r="D142" s="36">
        <v>314</v>
      </c>
      <c r="E142" s="325">
        <f t="shared" si="6"/>
        <v>0.56858697703247696</v>
      </c>
      <c r="F142" s="36">
        <v>0.66500000000000004</v>
      </c>
      <c r="G142" s="36">
        <v>742</v>
      </c>
      <c r="H142" s="36"/>
      <c r="I142" s="146"/>
      <c r="J142" s="93">
        <f t="shared" si="5"/>
        <v>53.866134666234657</v>
      </c>
      <c r="K142" s="91">
        <f>D142*10^(-3)/(F142)</f>
        <v>0.47218045112781953</v>
      </c>
      <c r="L142" s="283">
        <f>C142*10^6*E142/(G142*10^6)</f>
        <v>4.8276252766908417E-2</v>
      </c>
      <c r="M142" s="104">
        <f>D142*10^(-3)/(G142)</f>
        <v>4.2318059299191376E-4</v>
      </c>
      <c r="N142" s="97">
        <f>J142/L142</f>
        <v>1115.7894736842106</v>
      </c>
    </row>
    <row r="143" spans="1:14" ht="13" outlineLevel="1">
      <c r="A143" s="57" t="s">
        <v>573</v>
      </c>
      <c r="B143" s="340" t="s">
        <v>23</v>
      </c>
      <c r="C143" s="36">
        <v>46</v>
      </c>
      <c r="D143" s="36">
        <v>240</v>
      </c>
      <c r="E143" s="325">
        <f t="shared" si="6"/>
        <v>0.59519766634803739</v>
      </c>
      <c r="F143" s="36">
        <v>0.29599999999999999</v>
      </c>
      <c r="G143" s="36">
        <v>75</v>
      </c>
      <c r="H143" s="36"/>
      <c r="I143" s="146"/>
      <c r="J143" s="93">
        <f t="shared" si="5"/>
        <v>92.496934635167975</v>
      </c>
      <c r="K143" s="91">
        <f>D143*10^(-3)/(F143)</f>
        <v>0.81081081081081086</v>
      </c>
      <c r="L143" s="283">
        <f>C143*10^6*E143/(G143*10^6)</f>
        <v>0.36505456869346292</v>
      </c>
      <c r="M143" s="104">
        <f>D143*10^(-3)/(G143)</f>
        <v>3.1999999999999997E-3</v>
      </c>
      <c r="N143" s="97">
        <f>J143/L143</f>
        <v>253.37837837837839</v>
      </c>
    </row>
    <row r="144" spans="1:14" ht="13" outlineLevel="1">
      <c r="A144" s="57" t="s">
        <v>574</v>
      </c>
      <c r="B144" s="340" t="s">
        <v>23</v>
      </c>
      <c r="C144" s="36">
        <v>432</v>
      </c>
      <c r="D144" s="36">
        <v>1388</v>
      </c>
      <c r="E144" s="325">
        <f t="shared" si="6"/>
        <v>0.36653337771016098</v>
      </c>
      <c r="F144" s="36">
        <v>278</v>
      </c>
      <c r="G144" s="36">
        <v>1280</v>
      </c>
      <c r="H144" s="36"/>
      <c r="I144" s="146"/>
      <c r="J144" s="93">
        <f t="shared" si="5"/>
        <v>0.56957704737694081</v>
      </c>
      <c r="K144" s="91">
        <f>D144*10^(-3)/(F144)</f>
        <v>4.9928057553956838E-3</v>
      </c>
      <c r="L144" s="283">
        <f>C144*10^6*E144/(G144*10^6)</f>
        <v>0.12370501497717933</v>
      </c>
      <c r="M144" s="104">
        <f>D144*10^(-3)/(G144)</f>
        <v>1.0843750000000001E-3</v>
      </c>
      <c r="N144" s="97">
        <f>J144/L144</f>
        <v>4.6043165467625906</v>
      </c>
    </row>
    <row r="145" spans="1:14" ht="13" outlineLevel="1">
      <c r="A145" s="57" t="s">
        <v>575</v>
      </c>
      <c r="B145" s="340" t="s">
        <v>23</v>
      </c>
      <c r="C145" s="36">
        <v>1.95</v>
      </c>
      <c r="D145" s="36"/>
      <c r="E145" s="325"/>
      <c r="F145" s="36">
        <v>0.45300000000000001</v>
      </c>
      <c r="G145" s="36">
        <v>163</v>
      </c>
      <c r="H145" s="36"/>
      <c r="I145" s="146"/>
      <c r="J145" s="93"/>
      <c r="K145" s="91"/>
      <c r="L145" s="283"/>
      <c r="M145" s="104"/>
      <c r="N145" s="97"/>
    </row>
    <row r="146" spans="1:14" ht="13" outlineLevel="1">
      <c r="A146" s="57" t="s">
        <v>576</v>
      </c>
      <c r="B146" s="340" t="s">
        <v>23</v>
      </c>
      <c r="C146" s="36">
        <v>144</v>
      </c>
      <c r="D146" s="36">
        <v>576</v>
      </c>
      <c r="E146" s="325">
        <f t="shared" si="6"/>
        <v>0.45631821086682867</v>
      </c>
      <c r="F146" s="36">
        <v>53.25</v>
      </c>
      <c r="G146" s="36">
        <v>559</v>
      </c>
      <c r="H146" s="36"/>
      <c r="I146" s="146"/>
      <c r="J146" s="93">
        <f t="shared" si="5"/>
        <v>1.2339872744567761</v>
      </c>
      <c r="K146" s="91">
        <f>D146*10^(-3)/(F146)</f>
        <v>1.0816901408450706E-2</v>
      </c>
      <c r="L146" s="283">
        <f>C146*10^6*E146/(G146*10^6)</f>
        <v>0.11754887721793082</v>
      </c>
      <c r="M146" s="104">
        <f>D146*10^(-3)/(G146)</f>
        <v>1.0304114490161003E-3</v>
      </c>
      <c r="N146" s="97">
        <f>J146/L146</f>
        <v>10.497652582159624</v>
      </c>
    </row>
    <row r="147" spans="1:14" ht="13" outlineLevel="1">
      <c r="A147" s="57" t="s">
        <v>577</v>
      </c>
      <c r="B147" s="340" t="s">
        <v>23</v>
      </c>
      <c r="C147" s="36">
        <v>32</v>
      </c>
      <c r="D147" s="36">
        <v>84</v>
      </c>
      <c r="E147" s="325">
        <f t="shared" si="6"/>
        <v>0.29945882588135631</v>
      </c>
      <c r="F147" s="36">
        <v>4.069</v>
      </c>
      <c r="G147" s="36">
        <v>100</v>
      </c>
      <c r="H147" s="36"/>
      <c r="I147" s="146"/>
      <c r="J147" s="93">
        <f t="shared" si="5"/>
        <v>2.3550460624731882</v>
      </c>
      <c r="K147" s="91">
        <f>D147*10^(-3)/(F147)</f>
        <v>2.0643892848365694E-2</v>
      </c>
      <c r="L147" s="283">
        <f>C147*10^6*E147/(G147*10^6)</f>
        <v>9.5826824282034026E-2</v>
      </c>
      <c r="M147" s="104">
        <f>D147*10^(-3)/(G147)</f>
        <v>8.4000000000000003E-4</v>
      </c>
      <c r="N147" s="97">
        <f>J147/L147</f>
        <v>24.57606291472106</v>
      </c>
    </row>
    <row r="148" spans="1:14" ht="13" outlineLevel="1">
      <c r="A148" s="57" t="s">
        <v>578</v>
      </c>
      <c r="B148" s="340" t="s">
        <v>23</v>
      </c>
      <c r="C148" s="36">
        <v>8.4</v>
      </c>
      <c r="D148" s="36">
        <v>69</v>
      </c>
      <c r="E148" s="325">
        <f t="shared" si="6"/>
        <v>0.93708204017295171</v>
      </c>
      <c r="F148" s="36">
        <v>0.1583</v>
      </c>
      <c r="G148" s="36">
        <v>21</v>
      </c>
      <c r="H148" s="36"/>
      <c r="I148" s="146"/>
      <c r="J148" s="93">
        <f t="shared" si="5"/>
        <v>49.725136686372679</v>
      </c>
      <c r="K148" s="91">
        <f>D148*10^(-3)/(F148)</f>
        <v>0.4358812381554012</v>
      </c>
      <c r="L148" s="283">
        <f>C148*10^6*E148/(G148*10^6)</f>
        <v>0.37483281606918067</v>
      </c>
      <c r="M148" s="104">
        <f>D148*10^(-3)/(G148)</f>
        <v>3.2857142857142859E-3</v>
      </c>
      <c r="N148" s="97">
        <f>J148/L148</f>
        <v>132.65950726468731</v>
      </c>
    </row>
    <row r="149" spans="1:14" ht="13" outlineLevel="1">
      <c r="A149" s="57" t="s">
        <v>579</v>
      </c>
      <c r="B149" s="340" t="s">
        <v>23</v>
      </c>
      <c r="C149" s="36">
        <v>54</v>
      </c>
      <c r="D149" s="36">
        <v>313</v>
      </c>
      <c r="E149" s="325">
        <f t="shared" si="6"/>
        <v>0.66123888889498783</v>
      </c>
      <c r="F149" s="36">
        <v>0.114</v>
      </c>
      <c r="G149" s="36">
        <v>715</v>
      </c>
      <c r="H149" s="36"/>
      <c r="I149" s="146"/>
      <c r="J149" s="93">
        <f t="shared" si="5"/>
        <v>313.21842105552054</v>
      </c>
      <c r="K149" s="91">
        <f>D149*10^(-3)/(F149)</f>
        <v>2.7456140350877192</v>
      </c>
      <c r="L149" s="283">
        <f>C149*10^6*E149/(G149*10^6)</f>
        <v>4.9939720280180906E-2</v>
      </c>
      <c r="M149" s="104">
        <f>D149*10^(-3)/(G149)</f>
        <v>4.3776223776223776E-4</v>
      </c>
      <c r="N149" s="97">
        <f>J149/L149</f>
        <v>6271.9298245614027</v>
      </c>
    </row>
    <row r="150" spans="1:14" ht="13" outlineLevel="1">
      <c r="A150" s="57" t="s">
        <v>580</v>
      </c>
      <c r="B150" s="340" t="s">
        <v>23</v>
      </c>
      <c r="C150" s="36">
        <v>87.3</v>
      </c>
      <c r="D150" s="36">
        <v>440</v>
      </c>
      <c r="E150" s="325">
        <f t="shared" si="6"/>
        <v>0.57497139971765354</v>
      </c>
      <c r="F150" s="36">
        <v>2.1000000000000001E-2</v>
      </c>
      <c r="G150" s="36">
        <v>1227</v>
      </c>
      <c r="H150" s="36"/>
      <c r="I150" s="146"/>
      <c r="J150" s="93">
        <f t="shared" si="5"/>
        <v>2390.2382473976741</v>
      </c>
      <c r="K150" s="91">
        <f>D150*10^(-3)/(F150)</f>
        <v>20.952380952380953</v>
      </c>
      <c r="L150" s="283">
        <f>C150*10^6*E150/(G150*10^6)</f>
        <v>4.090872306059589E-2</v>
      </c>
      <c r="M150" s="104">
        <f>D150*10^(-3)/(G150)</f>
        <v>3.5859820700896494E-4</v>
      </c>
      <c r="N150" s="97">
        <f>J150/L150</f>
        <v>58428.571428571428</v>
      </c>
    </row>
    <row r="151" spans="1:14" ht="13" outlineLevel="1">
      <c r="A151" s="57" t="s">
        <v>581</v>
      </c>
      <c r="B151" s="340" t="s">
        <v>23</v>
      </c>
      <c r="C151" s="36">
        <v>81</v>
      </c>
      <c r="D151" s="36">
        <v>394</v>
      </c>
      <c r="E151" s="325">
        <f t="shared" si="6"/>
        <v>0.55490547864669904</v>
      </c>
      <c r="F151" s="36">
        <v>2.7610000000000001</v>
      </c>
      <c r="G151" s="36">
        <v>512</v>
      </c>
      <c r="H151" s="36"/>
      <c r="I151" s="146"/>
      <c r="J151" s="93">
        <f t="shared" si="5"/>
        <v>16.279371159138943</v>
      </c>
      <c r="K151" s="91">
        <f>D151*10^(-3)/(F151)</f>
        <v>0.14270191959434989</v>
      </c>
      <c r="L151" s="283">
        <f>C151*10^6*E151/(G151*10^6)</f>
        <v>8.7787780801528562E-2</v>
      </c>
      <c r="M151" s="104">
        <f>D151*10^(-3)/(G151)</f>
        <v>7.6953125000000003E-4</v>
      </c>
      <c r="N151" s="97">
        <f>J151/L151</f>
        <v>185.44005795001812</v>
      </c>
    </row>
    <row r="152" spans="1:14" ht="13" outlineLevel="1">
      <c r="A152" s="57" t="s">
        <v>582</v>
      </c>
      <c r="B152" s="340" t="s">
        <v>23</v>
      </c>
      <c r="C152" s="36">
        <v>41.8</v>
      </c>
      <c r="D152" s="36">
        <v>187</v>
      </c>
      <c r="E152" s="325">
        <f t="shared" si="6"/>
        <v>0.51035589373263734</v>
      </c>
      <c r="F152" s="36">
        <v>0.62</v>
      </c>
      <c r="G152" s="36">
        <v>6561</v>
      </c>
      <c r="H152" s="36"/>
      <c r="I152" s="146"/>
      <c r="J152" s="93">
        <f t="shared" si="5"/>
        <v>34.407865093587482</v>
      </c>
      <c r="K152" s="91">
        <f>D152*10^(-3)/(F152)</f>
        <v>0.30161290322580647</v>
      </c>
      <c r="L152" s="283">
        <f>C152*10^6*E152/(G152*10^6)</f>
        <v>3.2514672089657428E-3</v>
      </c>
      <c r="M152" s="104">
        <f>D152*10^(-3)/(G152)</f>
        <v>2.8501752781588174E-5</v>
      </c>
      <c r="N152" s="97">
        <f>J152/L152</f>
        <v>10582.258064516129</v>
      </c>
    </row>
    <row r="153" spans="1:14" ht="13" outlineLevel="1">
      <c r="A153" s="57" t="s">
        <v>583</v>
      </c>
      <c r="B153" s="340" t="s">
        <v>23</v>
      </c>
      <c r="C153" s="36">
        <v>2.2000000000000002</v>
      </c>
      <c r="D153" s="36">
        <v>1.94</v>
      </c>
      <c r="E153" s="325">
        <f t="shared" si="6"/>
        <v>0.10059742375927813</v>
      </c>
      <c r="F153" s="36">
        <v>0.41449999999999998</v>
      </c>
      <c r="G153" s="36">
        <v>575</v>
      </c>
      <c r="H153" s="36"/>
      <c r="I153" s="146"/>
      <c r="J153" s="93">
        <f t="shared" si="5"/>
        <v>0.5339308378055776</v>
      </c>
      <c r="K153" s="91">
        <f>D153*10^(-3)/(F153)</f>
        <v>4.6803377563329309E-3</v>
      </c>
      <c r="L153" s="283">
        <f>C153*10^6*E153/(G153*10^6)</f>
        <v>3.8489449090506415E-4</v>
      </c>
      <c r="M153" s="104">
        <f>D153*10^(-3)/(G153)</f>
        <v>3.3739130434782606E-6</v>
      </c>
      <c r="N153" s="97">
        <f>J153/L153</f>
        <v>1387.2135102533175</v>
      </c>
    </row>
    <row r="154" spans="1:14" ht="13" outlineLevel="1">
      <c r="A154" s="57" t="s">
        <v>584</v>
      </c>
      <c r="B154" s="340" t="s">
        <v>23</v>
      </c>
      <c r="C154" s="36">
        <v>30</v>
      </c>
      <c r="D154" s="36">
        <v>151</v>
      </c>
      <c r="E154" s="325">
        <f t="shared" si="6"/>
        <v>0.57420041534075938</v>
      </c>
      <c r="F154" s="36">
        <v>0.17799999999999999</v>
      </c>
      <c r="G154" s="36">
        <v>759</v>
      </c>
      <c r="H154" s="36"/>
      <c r="I154" s="146"/>
      <c r="J154" s="93">
        <f t="shared" si="5"/>
        <v>96.775350900128004</v>
      </c>
      <c r="K154" s="91">
        <f>D154*10^(-3)/(F154)</f>
        <v>0.848314606741573</v>
      </c>
      <c r="L154" s="283">
        <f>C154*10^6*E154/(G154*10^6)</f>
        <v>2.2695668590543849E-2</v>
      </c>
      <c r="M154" s="104">
        <f>D154*10^(-3)/(G154)</f>
        <v>1.9894598155467721E-4</v>
      </c>
      <c r="N154" s="97">
        <f>J154/L154</f>
        <v>4264.0449438202259</v>
      </c>
    </row>
    <row r="155" spans="1:14" ht="13" outlineLevel="1">
      <c r="A155" s="57" t="s">
        <v>585</v>
      </c>
      <c r="B155" s="340" t="s">
        <v>23</v>
      </c>
      <c r="C155" s="36">
        <v>313</v>
      </c>
      <c r="D155" s="36">
        <v>1255</v>
      </c>
      <c r="E155" s="325">
        <f t="shared" si="6"/>
        <v>0.4574116251101199</v>
      </c>
      <c r="F155" s="36">
        <v>17.61</v>
      </c>
      <c r="G155" s="36">
        <v>399</v>
      </c>
      <c r="H155" s="36"/>
      <c r="I155" s="146"/>
      <c r="J155" s="93">
        <f t="shared" si="5"/>
        <v>8.1300305882718646</v>
      </c>
      <c r="K155" s="91">
        <f>D155*10^(-3)/(F155)</f>
        <v>7.1266325951164125E-2</v>
      </c>
      <c r="L155" s="283">
        <f>C155*10^6*E155/(G155*10^6)</f>
        <v>0.35882165077560779</v>
      </c>
      <c r="M155" s="104">
        <f>D155*10^(-3)/(G155)</f>
        <v>3.1453634085213036E-3</v>
      </c>
      <c r="N155" s="97">
        <f>J155/L155</f>
        <v>22.65758091993186</v>
      </c>
    </row>
    <row r="156" spans="1:14" ht="15.75" customHeight="1">
      <c r="A156" s="57" t="s">
        <v>586</v>
      </c>
      <c r="B156" s="340" t="s">
        <v>23</v>
      </c>
      <c r="C156" s="36">
        <v>238</v>
      </c>
      <c r="D156" s="36">
        <v>1025</v>
      </c>
      <c r="E156" s="325">
        <f t="shared" si="6"/>
        <v>0.49130899804464223</v>
      </c>
      <c r="F156" s="36">
        <v>2.2200000000000002</v>
      </c>
      <c r="G156" s="36">
        <v>2653</v>
      </c>
      <c r="H156" s="36"/>
      <c r="I156" s="146"/>
      <c r="J156" s="93">
        <f t="shared" si="5"/>
        <v>52.67186555613732</v>
      </c>
      <c r="K156" s="91">
        <f>D156*10^(-3)/(F156)</f>
        <v>0.46171171171171166</v>
      </c>
      <c r="L156" s="283">
        <f>C156*10^6*E156/(G156*10^6)</f>
        <v>4.4075213544901938E-2</v>
      </c>
      <c r="M156" s="104">
        <f>D156*10^(-3)/(G156)</f>
        <v>3.8635506973237841E-4</v>
      </c>
      <c r="N156" s="97">
        <f>J156/L156</f>
        <v>1195.0450450450451</v>
      </c>
    </row>
    <row r="157" spans="1:14" ht="13">
      <c r="A157" s="57" t="s">
        <v>587</v>
      </c>
      <c r="B157" s="340" t="s">
        <v>23</v>
      </c>
      <c r="C157" s="36">
        <v>29.1</v>
      </c>
      <c r="D157" s="36">
        <v>153</v>
      </c>
      <c r="E157" s="325">
        <f t="shared" si="6"/>
        <v>0.59979971016000677</v>
      </c>
      <c r="F157" s="36">
        <v>0.153</v>
      </c>
      <c r="G157" s="36">
        <v>2820</v>
      </c>
      <c r="H157" s="36"/>
      <c r="I157" s="146"/>
      <c r="J157" s="93">
        <f t="shared" si="5"/>
        <v>114.07955271670717</v>
      </c>
      <c r="K157" s="91">
        <f>D157*10^(-3)/(F157)</f>
        <v>1</v>
      </c>
      <c r="L157" s="283">
        <f>C157*10^6*E157/(G157*10^6)</f>
        <v>6.1894225410128352E-3</v>
      </c>
      <c r="M157" s="104">
        <f>D157*10^(-3)/(G157)</f>
        <v>5.4255319148936169E-5</v>
      </c>
      <c r="N157" s="97">
        <f>J157/L157</f>
        <v>18431.372549019608</v>
      </c>
    </row>
    <row r="158" spans="1:14" ht="13" outlineLevel="1">
      <c r="A158" s="57" t="s">
        <v>588</v>
      </c>
      <c r="B158" s="340" t="s">
        <v>23</v>
      </c>
      <c r="C158" s="36">
        <v>10.5</v>
      </c>
      <c r="D158" s="36">
        <v>45</v>
      </c>
      <c r="E158" s="325">
        <f t="shared" si="6"/>
        <v>0.4889123687858879</v>
      </c>
      <c r="F158" s="36">
        <v>0.88600000000000001</v>
      </c>
      <c r="G158" s="36">
        <v>345</v>
      </c>
      <c r="H158" s="36"/>
      <c r="I158" s="146"/>
      <c r="J158" s="93">
        <f t="shared" si="5"/>
        <v>5.7941082079591677</v>
      </c>
      <c r="K158" s="91">
        <f>D158*10^(-3)/(F158)</f>
        <v>5.0790067720090294E-2</v>
      </c>
      <c r="L158" s="283">
        <f>C158*10^6*E158/(G158*10^6)</f>
        <v>1.4879941658700935E-2</v>
      </c>
      <c r="M158" s="104">
        <f>D158*10^(-3)/(G158)</f>
        <v>1.3043478260869564E-4</v>
      </c>
      <c r="N158" s="97">
        <f>J158/L158</f>
        <v>389.3905191873589</v>
      </c>
    </row>
    <row r="159" spans="1:14" ht="13" outlineLevel="1">
      <c r="A159" s="57" t="s">
        <v>589</v>
      </c>
      <c r="B159" s="340" t="s">
        <v>23</v>
      </c>
      <c r="C159" s="36">
        <v>90</v>
      </c>
      <c r="D159" s="36">
        <v>684</v>
      </c>
      <c r="E159" s="325">
        <f t="shared" si="6"/>
        <v>0.86700460064697449</v>
      </c>
      <c r="F159" s="36"/>
      <c r="G159" s="36"/>
      <c r="H159" s="36"/>
      <c r="I159" s="146"/>
      <c r="J159" s="93"/>
      <c r="K159" s="91"/>
      <c r="L159" s="283"/>
      <c r="M159" s="104"/>
      <c r="N159" s="97"/>
    </row>
    <row r="160" spans="1:14" ht="13" outlineLevel="1">
      <c r="A160" s="57" t="s">
        <v>590</v>
      </c>
      <c r="B160" s="340" t="s">
        <v>23</v>
      </c>
      <c r="C160" s="36">
        <v>1.7</v>
      </c>
      <c r="D160" s="36">
        <v>8</v>
      </c>
      <c r="E160" s="325">
        <f t="shared" si="6"/>
        <v>0.53684495396097498</v>
      </c>
      <c r="F160" s="36">
        <v>6.4589999999999996</v>
      </c>
      <c r="G160" s="36">
        <v>259</v>
      </c>
      <c r="H160" s="36"/>
      <c r="I160" s="146"/>
      <c r="J160" s="93">
        <f t="shared" si="5"/>
        <v>0.14129686046348622</v>
      </c>
      <c r="K160" s="91">
        <f>D160*10^(-3)/(F160)</f>
        <v>1.2385818238117357E-3</v>
      </c>
      <c r="L160" s="283">
        <f>C160*10^6*E160/(G160*10^6)</f>
        <v>3.5236927480063996E-3</v>
      </c>
      <c r="M160" s="104">
        <f>D160*10^(-3)/(G160)</f>
        <v>3.0888030888030889E-5</v>
      </c>
      <c r="N160" s="97">
        <f>J160/L160</f>
        <v>40.099086545904939</v>
      </c>
    </row>
    <row r="161" spans="1:14" ht="13" outlineLevel="1">
      <c r="A161" s="57" t="s">
        <v>591</v>
      </c>
      <c r="B161" s="340" t="s">
        <v>23</v>
      </c>
      <c r="C161" s="36">
        <v>95.8</v>
      </c>
      <c r="D161" s="36">
        <v>492</v>
      </c>
      <c r="E161" s="325">
        <f t="shared" si="6"/>
        <v>0.58587828743862147</v>
      </c>
      <c r="F161" s="36">
        <v>0.14799999999999999</v>
      </c>
      <c r="G161" s="36">
        <v>8986</v>
      </c>
      <c r="H161" s="36"/>
      <c r="I161" s="146"/>
      <c r="J161" s="93">
        <f t="shared" si="5"/>
        <v>379.23743200418875</v>
      </c>
      <c r="K161" s="91">
        <f>D161*10^(-3)/(F161)</f>
        <v>3.3243243243243246</v>
      </c>
      <c r="L161" s="283">
        <f>C161*10^6*E161/(G161*10^6)</f>
        <v>6.246064982931219E-3</v>
      </c>
      <c r="M161" s="104">
        <f>D161*10^(-3)/(G161)</f>
        <v>5.4751836189628307E-5</v>
      </c>
      <c r="N161" s="97">
        <f>J161/L161</f>
        <v>60716.21621621622</v>
      </c>
    </row>
    <row r="162" spans="1:14" ht="13" outlineLevel="1">
      <c r="A162" s="57" t="s">
        <v>592</v>
      </c>
      <c r="B162" s="340" t="s">
        <v>23</v>
      </c>
      <c r="C162" s="36">
        <v>84</v>
      </c>
      <c r="D162" s="36">
        <v>265</v>
      </c>
      <c r="E162" s="325">
        <f t="shared" si="6"/>
        <v>0.35989382702294526</v>
      </c>
      <c r="F162" s="36">
        <v>0.38400000000000001</v>
      </c>
      <c r="G162" s="36">
        <v>37</v>
      </c>
      <c r="H162" s="36"/>
      <c r="I162" s="146"/>
      <c r="J162" s="93">
        <f t="shared" si="5"/>
        <v>78.726774661269275</v>
      </c>
      <c r="K162" s="91">
        <f>D162*10^(-3)/(F162)</f>
        <v>0.69010416666666674</v>
      </c>
      <c r="L162" s="283">
        <f>C162*10^6*E162/(G162*10^6)</f>
        <v>0.81705625594398379</v>
      </c>
      <c r="M162" s="104">
        <f>D162*10^(-3)/(G162)</f>
        <v>7.1621621621621627E-3</v>
      </c>
      <c r="N162" s="97">
        <f>J162/L162</f>
        <v>96.354166666666671</v>
      </c>
    </row>
    <row r="163" spans="1:14" ht="13" outlineLevel="1">
      <c r="A163" s="57" t="s">
        <v>593</v>
      </c>
      <c r="B163" s="340" t="s">
        <v>23</v>
      </c>
      <c r="C163" s="36">
        <v>125</v>
      </c>
      <c r="D163" s="36">
        <v>579</v>
      </c>
      <c r="E163" s="325">
        <f t="shared" si="6"/>
        <v>0.52841648818378761</v>
      </c>
      <c r="F163" s="36">
        <v>0.40899999999999997</v>
      </c>
      <c r="G163" s="36">
        <v>52</v>
      </c>
      <c r="H163" s="36"/>
      <c r="I163" s="146"/>
      <c r="J163" s="93">
        <f t="shared" si="5"/>
        <v>161.49648171876149</v>
      </c>
      <c r="K163" s="91">
        <f>D163*10^(-3)/(F163)</f>
        <v>1.4156479217603912</v>
      </c>
      <c r="L163" s="283">
        <f>C163*10^6*E163/(G163*10^6)</f>
        <v>1.2702319427494895</v>
      </c>
      <c r="M163" s="104">
        <f>D163*10^(-3)/(G163)</f>
        <v>1.1134615384615383E-2</v>
      </c>
      <c r="N163" s="97">
        <f>J163/L163</f>
        <v>127.13936430317848</v>
      </c>
    </row>
    <row r="164" spans="1:14" ht="13" outlineLevel="1">
      <c r="A164" s="57" t="s">
        <v>594</v>
      </c>
      <c r="B164" s="340" t="s">
        <v>23</v>
      </c>
      <c r="C164" s="36">
        <v>38.299999999999997</v>
      </c>
      <c r="D164" s="36"/>
      <c r="E164" s="325"/>
      <c r="F164" s="36">
        <v>0.24099999999999999</v>
      </c>
      <c r="G164" s="36">
        <v>2112</v>
      </c>
      <c r="H164" s="36"/>
      <c r="I164" s="146"/>
      <c r="J164" s="93">
        <f t="shared" si="5"/>
        <v>0</v>
      </c>
      <c r="K164" s="91"/>
      <c r="L164" s="283"/>
      <c r="M164" s="104"/>
      <c r="N164" s="97"/>
    </row>
    <row r="165" spans="1:14" ht="13" outlineLevel="1">
      <c r="A165" s="57" t="s">
        <v>595</v>
      </c>
      <c r="B165" s="340" t="s">
        <v>23</v>
      </c>
      <c r="C165" s="36">
        <v>32</v>
      </c>
      <c r="D165" s="36">
        <v>137</v>
      </c>
      <c r="E165" s="325">
        <f t="shared" si="6"/>
        <v>0.48840308506840263</v>
      </c>
      <c r="F165" s="36">
        <v>9.6999999999999993</v>
      </c>
      <c r="G165" s="36">
        <v>158</v>
      </c>
      <c r="H165" s="36"/>
      <c r="I165" s="146"/>
      <c r="J165" s="93">
        <f t="shared" si="5"/>
        <v>1.6112266723906068</v>
      </c>
      <c r="K165" s="91">
        <f>D165*10^(-3)/(F165)</f>
        <v>1.4123711340206188E-2</v>
      </c>
      <c r="L165" s="283">
        <f>C165*10^6*E165/(G165*10^6)</f>
        <v>9.8917080520182818E-2</v>
      </c>
      <c r="M165" s="104">
        <f>D165*10^(-3)/(G165)</f>
        <v>8.6708860759493673E-4</v>
      </c>
      <c r="N165" s="97">
        <f>J165/L165</f>
        <v>16.288659793814432</v>
      </c>
    </row>
    <row r="166" spans="1:14" ht="13" outlineLevel="1">
      <c r="A166" s="57" t="s">
        <v>596</v>
      </c>
      <c r="B166" s="340" t="s">
        <v>23</v>
      </c>
      <c r="C166" s="36">
        <v>12.2</v>
      </c>
      <c r="D166" s="36">
        <v>35</v>
      </c>
      <c r="E166" s="325">
        <f t="shared" si="6"/>
        <v>0.3272774053348157</v>
      </c>
      <c r="F166" s="36"/>
      <c r="G166" s="36"/>
      <c r="H166" s="36"/>
      <c r="I166" s="146"/>
      <c r="J166" s="93"/>
      <c r="K166" s="91"/>
      <c r="L166" s="283"/>
      <c r="M166" s="104"/>
      <c r="N166" s="97"/>
    </row>
    <row r="167" spans="1:14" ht="14" outlineLevel="1" thickBot="1">
      <c r="A167" s="58" t="s">
        <v>597</v>
      </c>
      <c r="B167" s="344" t="s">
        <v>23</v>
      </c>
      <c r="C167" s="50">
        <v>2.6</v>
      </c>
      <c r="D167" s="50">
        <v>9</v>
      </c>
      <c r="E167" s="327">
        <f t="shared" si="6"/>
        <v>0.39489075940398638</v>
      </c>
      <c r="F167" s="50">
        <v>8.73</v>
      </c>
      <c r="G167" s="50">
        <v>360</v>
      </c>
      <c r="H167" s="50"/>
      <c r="I167" s="342"/>
      <c r="J167" s="185">
        <f t="shared" si="5"/>
        <v>0.11760778630588369</v>
      </c>
      <c r="K167" s="112">
        <f>D167*10^(-3)/(F167)</f>
        <v>1.0309278350515464E-3</v>
      </c>
      <c r="L167" s="302">
        <f>C167*10^6*E167/(G167*10^6)</f>
        <v>2.8519888179176795E-3</v>
      </c>
      <c r="M167" s="310">
        <f>D167*10^(-3)/(G167)</f>
        <v>2.5000000000000005E-5</v>
      </c>
      <c r="N167" s="194">
        <f>J167/L167</f>
        <v>41.237113402061851</v>
      </c>
    </row>
    <row r="168" spans="1:14" ht="13" outlineLevel="1">
      <c r="A168" s="56" t="s">
        <v>598</v>
      </c>
      <c r="B168" s="343" t="s">
        <v>698</v>
      </c>
      <c r="C168" s="47">
        <v>1285</v>
      </c>
      <c r="D168" s="47">
        <v>7370</v>
      </c>
      <c r="E168" s="326">
        <f t="shared" si="6"/>
        <v>0.65429284320788472</v>
      </c>
      <c r="F168" s="47">
        <v>49</v>
      </c>
      <c r="G168" s="47">
        <v>272000</v>
      </c>
      <c r="H168" s="47">
        <v>18</v>
      </c>
      <c r="I168" s="341"/>
      <c r="J168" s="184">
        <f t="shared" si="5"/>
        <v>17.158495990247591</v>
      </c>
      <c r="K168" s="111">
        <f>D168*10^(-3)/(F168)</f>
        <v>0.15040816326530612</v>
      </c>
      <c r="L168" s="282">
        <f>C168*10^6*E168/(G168*10^6)</f>
        <v>3.0910525864784261E-3</v>
      </c>
      <c r="M168" s="309">
        <f>D168*10^(-3)/(G168)</f>
        <v>2.7095588235294117E-5</v>
      </c>
      <c r="N168" s="96">
        <f>J168/L168</f>
        <v>5551.0204081632655</v>
      </c>
    </row>
    <row r="169" spans="1:14" ht="13" outlineLevel="1">
      <c r="A169" s="57" t="s">
        <v>599</v>
      </c>
      <c r="B169" s="340" t="s">
        <v>698</v>
      </c>
      <c r="C169" s="36">
        <v>1075</v>
      </c>
      <c r="D169" s="36">
        <v>5636</v>
      </c>
      <c r="E169" s="325">
        <f t="shared" si="6"/>
        <v>0.59809521777801089</v>
      </c>
      <c r="F169" s="36">
        <v>450</v>
      </c>
      <c r="G169" s="36">
        <v>4039</v>
      </c>
      <c r="H169" s="36"/>
      <c r="I169" s="146"/>
      <c r="J169" s="93">
        <f t="shared" si="5"/>
        <v>1.4287830202474705</v>
      </c>
      <c r="K169" s="91">
        <f>D169*10^(-3)/(F169)</f>
        <v>1.2524444444444444E-2</v>
      </c>
      <c r="L169" s="283">
        <f>C169*10^6*E169/(G169*10^6)</f>
        <v>0.15918602602410542</v>
      </c>
      <c r="M169" s="104">
        <f>D169*10^(-3)/(G169)</f>
        <v>1.3953948997276553E-3</v>
      </c>
      <c r="N169" s="97">
        <f>J169/L169</f>
        <v>8.9755555555555553</v>
      </c>
    </row>
    <row r="170" spans="1:14" ht="13" outlineLevel="1">
      <c r="A170" s="57" t="s">
        <v>600</v>
      </c>
      <c r="B170" s="340" t="s">
        <v>698</v>
      </c>
      <c r="C170" s="36">
        <v>155</v>
      </c>
      <c r="D170" s="36">
        <v>865</v>
      </c>
      <c r="E170" s="325">
        <f t="shared" si="6"/>
        <v>0.6366375038706561</v>
      </c>
      <c r="F170" s="36">
        <v>370</v>
      </c>
      <c r="G170" s="36">
        <v>8460</v>
      </c>
      <c r="H170" s="36">
        <v>45.5</v>
      </c>
      <c r="I170" s="146"/>
      <c r="J170" s="93">
        <f t="shared" si="5"/>
        <v>0.26669949486473432</v>
      </c>
      <c r="K170" s="91">
        <f>D170*10^(-3)/(F170)</f>
        <v>2.3378378378378379E-3</v>
      </c>
      <c r="L170" s="283">
        <f>C170*10^6*E170/(G170*10^6)</f>
        <v>1.166416230495883E-2</v>
      </c>
      <c r="M170" s="104">
        <f>D170*10^(-3)/(G170)</f>
        <v>1.0224586288416075E-4</v>
      </c>
      <c r="N170" s="97">
        <f>J170/L170</f>
        <v>22.864864864864867</v>
      </c>
    </row>
    <row r="171" spans="1:14" ht="13" outlineLevel="1">
      <c r="A171" s="57" t="s">
        <v>601</v>
      </c>
      <c r="B171" s="340" t="s">
        <v>698</v>
      </c>
      <c r="C171" s="36">
        <v>152.1</v>
      </c>
      <c r="D171" s="36">
        <v>450</v>
      </c>
      <c r="E171" s="325">
        <f t="shared" si="6"/>
        <v>0.33751346957605677</v>
      </c>
      <c r="F171" s="36">
        <v>37</v>
      </c>
      <c r="G171" s="36">
        <v>192</v>
      </c>
      <c r="H171" s="36"/>
      <c r="I171" s="146"/>
      <c r="J171" s="93">
        <f t="shared" si="5"/>
        <v>1.3874540195275198</v>
      </c>
      <c r="K171" s="91">
        <f>D171*10^(-3)/(F171)</f>
        <v>1.2162162162162163E-2</v>
      </c>
      <c r="L171" s="283">
        <f>C171*10^6*E171/(G171*10^6)</f>
        <v>0.26737395167978245</v>
      </c>
      <c r="M171" s="104">
        <f>D171*10^(-3)/(G171)</f>
        <v>2.3437499999999999E-3</v>
      </c>
      <c r="N171" s="97">
        <f>J171/L171</f>
        <v>5.1891891891891895</v>
      </c>
    </row>
    <row r="172" spans="1:14" ht="13" outlineLevel="1">
      <c r="A172" s="57" t="s">
        <v>602</v>
      </c>
      <c r="B172" s="340" t="s">
        <v>698</v>
      </c>
      <c r="C172" s="36">
        <v>615</v>
      </c>
      <c r="D172" s="36">
        <v>2220</v>
      </c>
      <c r="E172" s="325">
        <f t="shared" si="6"/>
        <v>0.41179936102616249</v>
      </c>
      <c r="F172" s="36">
        <v>122</v>
      </c>
      <c r="G172" s="36">
        <v>5640</v>
      </c>
      <c r="H172" s="36"/>
      <c r="I172" s="146"/>
      <c r="J172" s="93">
        <f t="shared" si="5"/>
        <v>2.0758738281236879</v>
      </c>
      <c r="K172" s="91">
        <f>D172*10^(-3)/(F172)</f>
        <v>1.819672131147541E-2</v>
      </c>
      <c r="L172" s="283">
        <f>C172*10^6*E172/(G172*10^6)</f>
        <v>4.4903653728916658E-2</v>
      </c>
      <c r="M172" s="104">
        <f>D172*10^(-3)/(G172)</f>
        <v>3.936170212765958E-4</v>
      </c>
      <c r="N172" s="97">
        <f>J172/L172</f>
        <v>46.229508196721305</v>
      </c>
    </row>
    <row r="173" spans="1:14" ht="13" outlineLevel="1">
      <c r="A173" s="57" t="s">
        <v>603</v>
      </c>
      <c r="B173" s="340" t="s">
        <v>698</v>
      </c>
      <c r="C173" s="36">
        <v>550</v>
      </c>
      <c r="D173" s="36">
        <v>2950</v>
      </c>
      <c r="E173" s="325">
        <f t="shared" si="6"/>
        <v>0.61188123729870214</v>
      </c>
      <c r="F173" s="36">
        <v>105</v>
      </c>
      <c r="G173" s="36">
        <v>2942</v>
      </c>
      <c r="H173" s="36"/>
      <c r="I173" s="146"/>
      <c r="J173" s="93">
        <f t="shared" si="5"/>
        <v>3.2050921953741538</v>
      </c>
      <c r="K173" s="91">
        <f>D173*10^(-3)/(F173)</f>
        <v>2.8095238095238097E-2</v>
      </c>
      <c r="L173" s="283">
        <f>C173*10^6*E173/(G173*10^6)</f>
        <v>0.11438976224142969</v>
      </c>
      <c r="M173" s="104">
        <f>D173*10^(-3)/(G173)</f>
        <v>1.0027192386131885E-3</v>
      </c>
      <c r="N173" s="97">
        <f>J173/L173</f>
        <v>28.019047619047619</v>
      </c>
    </row>
    <row r="174" spans="1:14" ht="13" outlineLevel="1">
      <c r="A174" s="57" t="s">
        <v>604</v>
      </c>
      <c r="B174" s="340" t="s">
        <v>698</v>
      </c>
      <c r="C174" s="36">
        <v>272</v>
      </c>
      <c r="D174" s="36">
        <v>1546</v>
      </c>
      <c r="E174" s="325">
        <f t="shared" si="6"/>
        <v>0.64840804595599</v>
      </c>
      <c r="F174" s="36">
        <v>66.900000000000006</v>
      </c>
      <c r="G174" s="36">
        <v>3700</v>
      </c>
      <c r="H174" s="36"/>
      <c r="I174" s="146"/>
      <c r="J174" s="93">
        <f t="shared" si="5"/>
        <v>2.6362778550079109</v>
      </c>
      <c r="K174" s="91">
        <f>D174*10^(-3)/(F174)</f>
        <v>2.3109118086696561E-2</v>
      </c>
      <c r="L174" s="283">
        <f>C174*10^6*E174/(G174*10^6)</f>
        <v>4.7666753648656558E-2</v>
      </c>
      <c r="M174" s="104">
        <f>D174*10^(-3)/(G174)</f>
        <v>4.1783783783783785E-4</v>
      </c>
      <c r="N174" s="97">
        <f>J174/L174</f>
        <v>55.306427503736913</v>
      </c>
    </row>
    <row r="175" spans="1:14" ht="13" outlineLevel="1">
      <c r="A175" s="57" t="s">
        <v>605</v>
      </c>
      <c r="B175" s="340" t="s">
        <v>698</v>
      </c>
      <c r="C175" s="36">
        <v>120</v>
      </c>
      <c r="D175" s="36">
        <v>421</v>
      </c>
      <c r="E175" s="325">
        <f t="shared" si="6"/>
        <v>0.40022909744778096</v>
      </c>
      <c r="F175" s="36">
        <v>15</v>
      </c>
      <c r="G175" s="36">
        <v>483</v>
      </c>
      <c r="H175" s="36"/>
      <c r="I175" s="146"/>
      <c r="J175" s="93">
        <f t="shared" si="5"/>
        <v>3.2018327795822477</v>
      </c>
      <c r="K175" s="91">
        <f>D175*10^(-3)/(F175)</f>
        <v>2.8066666666666667E-2</v>
      </c>
      <c r="L175" s="283">
        <f>C175*10^6*E175/(G175*10^6)</f>
        <v>9.9435800608144331E-2</v>
      </c>
      <c r="M175" s="104">
        <f>D175*10^(-3)/(G175)</f>
        <v>8.7163561076604554E-4</v>
      </c>
      <c r="N175" s="97">
        <f>J175/L175</f>
        <v>32.200000000000003</v>
      </c>
    </row>
    <row r="176" spans="1:14" ht="13" outlineLevel="1">
      <c r="A176" s="57" t="s">
        <v>606</v>
      </c>
      <c r="B176" s="340" t="s">
        <v>698</v>
      </c>
      <c r="C176" s="36">
        <v>100</v>
      </c>
      <c r="D176" s="36">
        <v>435</v>
      </c>
      <c r="E176" s="325">
        <f t="shared" si="6"/>
        <v>0.49624605431767621</v>
      </c>
      <c r="F176" s="36">
        <v>46</v>
      </c>
      <c r="G176" s="36">
        <v>1993</v>
      </c>
      <c r="H176" s="36"/>
      <c r="I176" s="146"/>
      <c r="J176" s="93">
        <f t="shared" si="5"/>
        <v>1.0787957702558177</v>
      </c>
      <c r="K176" s="91">
        <f>D176*10^(-3)/(F176)</f>
        <v>9.4565217391304347E-3</v>
      </c>
      <c r="L176" s="283">
        <f>C176*10^6*E176/(G176*10^6)</f>
        <v>2.4899450793661626E-2</v>
      </c>
      <c r="M176" s="104">
        <f>D176*10^(-3)/(G176)</f>
        <v>2.1826392373306574E-4</v>
      </c>
      <c r="N176" s="97">
        <f>J176/L176</f>
        <v>43.326086956521735</v>
      </c>
    </row>
    <row r="177" spans="1:14" ht="14" outlineLevel="1" thickBot="1">
      <c r="A177" s="58" t="s">
        <v>607</v>
      </c>
      <c r="B177" s="344" t="s">
        <v>698</v>
      </c>
      <c r="C177" s="50">
        <v>60</v>
      </c>
      <c r="D177" s="50">
        <v>245</v>
      </c>
      <c r="E177" s="327">
        <f t="shared" si="6"/>
        <v>0.46582484025988757</v>
      </c>
      <c r="F177" s="50">
        <v>12.8</v>
      </c>
      <c r="G177" s="50">
        <v>274</v>
      </c>
      <c r="H177" s="50"/>
      <c r="I177" s="342"/>
      <c r="J177" s="185">
        <f t="shared" si="5"/>
        <v>2.1835539387182226</v>
      </c>
      <c r="K177" s="112">
        <f>D177*10^(-3)/(F177)</f>
        <v>1.9140624999999998E-2</v>
      </c>
      <c r="L177" s="302">
        <f>C177*10^6*E177/(G177*10^6)</f>
        <v>0.10200543947296808</v>
      </c>
      <c r="M177" s="310">
        <f>D177*10^(-3)/(G177)</f>
        <v>8.9416058394160586E-4</v>
      </c>
      <c r="N177" s="194">
        <f>J177/L177</f>
        <v>21.406249999999996</v>
      </c>
    </row>
    <row r="178" spans="1:14" ht="13" outlineLevel="1">
      <c r="A178" s="65" t="s">
        <v>608</v>
      </c>
      <c r="B178" s="343" t="s">
        <v>17</v>
      </c>
      <c r="C178" s="47">
        <v>40.5</v>
      </c>
      <c r="D178" s="47">
        <v>220</v>
      </c>
      <c r="E178" s="326">
        <f t="shared" si="6"/>
        <v>0.61969139747347102</v>
      </c>
      <c r="F178" s="47">
        <v>25</v>
      </c>
      <c r="G178" s="47"/>
      <c r="H178" s="47"/>
      <c r="I178" s="341"/>
      <c r="J178" s="184">
        <f t="shared" si="5"/>
        <v>1.003900063907023</v>
      </c>
      <c r="K178" s="111">
        <f>D178*10^(-3)/(F178)</f>
        <v>8.8000000000000005E-3</v>
      </c>
      <c r="L178" s="282"/>
      <c r="M178" s="309"/>
      <c r="N178" s="96"/>
    </row>
    <row r="179" spans="1:14" ht="13" outlineLevel="1">
      <c r="A179" s="66" t="s">
        <v>701</v>
      </c>
      <c r="B179" s="340" t="s">
        <v>17</v>
      </c>
      <c r="C179" s="36">
        <v>72</v>
      </c>
      <c r="D179" s="36">
        <v>238</v>
      </c>
      <c r="E179" s="325">
        <f t="shared" si="6"/>
        <v>0.37709629925800425</v>
      </c>
      <c r="F179" s="36">
        <v>5.7</v>
      </c>
      <c r="G179" s="36">
        <v>3560</v>
      </c>
      <c r="H179" s="36"/>
      <c r="I179" s="146"/>
      <c r="J179" s="93">
        <f t="shared" si="5"/>
        <v>4.7633216748379477</v>
      </c>
      <c r="K179" s="91">
        <f>D179*10^(-3)/(F179)</f>
        <v>4.175438596491228E-2</v>
      </c>
      <c r="L179" s="283">
        <f>C179*10^6*E179/(G179*10^6)</f>
        <v>7.6266667265663781E-3</v>
      </c>
      <c r="M179" s="104">
        <f>D179*10^(-3)/(G179)</f>
        <v>6.6853932584269674E-5</v>
      </c>
      <c r="N179" s="97">
        <f>J179/L179</f>
        <v>624.56140350877183</v>
      </c>
    </row>
    <row r="180" spans="1:14" ht="13" outlineLevel="1">
      <c r="A180" s="66" t="s">
        <v>702</v>
      </c>
      <c r="B180" s="340" t="s">
        <v>17</v>
      </c>
      <c r="C180" s="36">
        <v>348</v>
      </c>
      <c r="D180" s="36">
        <v>896</v>
      </c>
      <c r="E180" s="325">
        <f t="shared" si="6"/>
        <v>0.29372206676485524</v>
      </c>
      <c r="F180" s="36">
        <v>153</v>
      </c>
      <c r="G180" s="36">
        <v>3202.57</v>
      </c>
      <c r="H180" s="36"/>
      <c r="I180" s="146"/>
      <c r="J180" s="93">
        <f t="shared" si="5"/>
        <v>0.66807372048476876</v>
      </c>
      <c r="K180" s="91">
        <f>D180*10^(-3)/(F180)</f>
        <v>5.8562091503267973E-3</v>
      </c>
      <c r="L180" s="283">
        <f>C180*10^6*E180/(G180*10^6)</f>
        <v>3.191664170780642E-2</v>
      </c>
      <c r="M180" s="104">
        <f>D180*10^(-3)/(G180)</f>
        <v>2.7977530545780419E-4</v>
      </c>
      <c r="N180" s="97">
        <f>J180/L180</f>
        <v>20.931830065359481</v>
      </c>
    </row>
    <row r="181" spans="1:14" ht="13" outlineLevel="1">
      <c r="A181" s="66" t="s">
        <v>703</v>
      </c>
      <c r="B181" s="340" t="s">
        <v>17</v>
      </c>
      <c r="C181" s="36">
        <v>120</v>
      </c>
      <c r="D181" s="36">
        <v>456</v>
      </c>
      <c r="E181" s="325">
        <f t="shared" si="6"/>
        <v>0.43350230032348719</v>
      </c>
      <c r="F181" s="36">
        <v>40.5</v>
      </c>
      <c r="G181" s="36">
        <v>240</v>
      </c>
      <c r="H181" s="36"/>
      <c r="I181" s="146"/>
      <c r="J181" s="93">
        <f t="shared" si="5"/>
        <v>1.2844512602177398</v>
      </c>
      <c r="K181" s="91">
        <f>D181*10^(-3)/(F181)</f>
        <v>1.1259259259259261E-2</v>
      </c>
      <c r="L181" s="283">
        <f>C181*10^6*E181/(G181*10^6)</f>
        <v>0.21675115016174359</v>
      </c>
      <c r="M181" s="104">
        <f>D181*10^(-3)/(G181)</f>
        <v>1.9E-3</v>
      </c>
      <c r="N181" s="97">
        <f>J181/L181</f>
        <v>5.9259259259259256</v>
      </c>
    </row>
    <row r="182" spans="1:14" ht="13" outlineLevel="1">
      <c r="A182" s="66" t="s">
        <v>704</v>
      </c>
      <c r="B182" s="340" t="s">
        <v>17</v>
      </c>
      <c r="C182" s="36">
        <v>100</v>
      </c>
      <c r="D182" s="36">
        <v>358</v>
      </c>
      <c r="E182" s="325">
        <f t="shared" si="6"/>
        <v>0.4084047987258117</v>
      </c>
      <c r="F182" s="36">
        <v>0.51900000000000002</v>
      </c>
      <c r="G182" s="36">
        <v>183.4</v>
      </c>
      <c r="H182" s="36"/>
      <c r="I182" s="146"/>
      <c r="J182" s="93">
        <f t="shared" si="5"/>
        <v>78.690712663932885</v>
      </c>
      <c r="K182" s="91">
        <f>D182*10^(-3)/(F182)</f>
        <v>0.68978805394990361</v>
      </c>
      <c r="L182" s="283">
        <f>C182*10^6*E182/(G182*10^6)</f>
        <v>0.22268527738593877</v>
      </c>
      <c r="M182" s="104">
        <f>D182*10^(-3)/(G182)</f>
        <v>1.9520174482006542E-3</v>
      </c>
      <c r="N182" s="97">
        <f>J182/L182</f>
        <v>353.37186897880537</v>
      </c>
    </row>
    <row r="183" spans="1:14" ht="13" outlineLevel="1">
      <c r="A183" s="66" t="s">
        <v>609</v>
      </c>
      <c r="B183" s="340" t="s">
        <v>17</v>
      </c>
      <c r="C183" s="36">
        <v>100</v>
      </c>
      <c r="D183" s="36">
        <v>460</v>
      </c>
      <c r="E183" s="325">
        <f t="shared" si="6"/>
        <v>0.52476594249685304</v>
      </c>
      <c r="F183" s="36">
        <v>85</v>
      </c>
      <c r="G183" s="36">
        <v>1200</v>
      </c>
      <c r="H183" s="36"/>
      <c r="I183" s="146"/>
      <c r="J183" s="93">
        <f t="shared" si="5"/>
        <v>0.61737169705512129</v>
      </c>
      <c r="K183" s="91">
        <f>D183*10^(-3)/(F183)</f>
        <v>5.4117647058823529E-3</v>
      </c>
      <c r="L183" s="283">
        <f>C183*10^6*E183/(G183*10^6)</f>
        <v>4.3730495208071082E-2</v>
      </c>
      <c r="M183" s="104">
        <f>D183*10^(-3)/(G183)</f>
        <v>3.8333333333333334E-4</v>
      </c>
      <c r="N183" s="97">
        <f>J183/L183</f>
        <v>14.117647058823533</v>
      </c>
    </row>
    <row r="184" spans="1:14" ht="13" outlineLevel="1">
      <c r="A184" s="66" t="s">
        <v>705</v>
      </c>
      <c r="B184" s="340" t="s">
        <v>17</v>
      </c>
      <c r="C184" s="36">
        <v>400</v>
      </c>
      <c r="D184" s="36">
        <v>1600</v>
      </c>
      <c r="E184" s="325">
        <f t="shared" si="6"/>
        <v>0.45631821086682872</v>
      </c>
      <c r="F184" s="36">
        <v>370</v>
      </c>
      <c r="G184" s="36">
        <v>2600</v>
      </c>
      <c r="H184" s="36"/>
      <c r="I184" s="146"/>
      <c r="J184" s="93">
        <f t="shared" si="5"/>
        <v>0.49331698472089586</v>
      </c>
      <c r="K184" s="91">
        <f>D184*10^(-3)/(F184)</f>
        <v>4.3243243243243244E-3</v>
      </c>
      <c r="L184" s="283">
        <f>C184*10^6*E184/(G184*10^6)</f>
        <v>7.0202801671819803E-2</v>
      </c>
      <c r="M184" s="104">
        <f>D184*10^(-3)/(G184)</f>
        <v>6.1538461538461541E-4</v>
      </c>
      <c r="N184" s="97">
        <f>J184/L184</f>
        <v>7.0270270270270263</v>
      </c>
    </row>
    <row r="185" spans="1:14" ht="13" outlineLevel="1">
      <c r="A185" s="250" t="s">
        <v>706</v>
      </c>
      <c r="B185" s="340" t="s">
        <v>17</v>
      </c>
      <c r="C185" s="36">
        <v>372</v>
      </c>
      <c r="D185" s="36">
        <v>326</v>
      </c>
      <c r="E185" s="325">
        <f t="shared" si="6"/>
        <v>9.9972941359264891E-2</v>
      </c>
      <c r="F185" s="36">
        <v>0.95</v>
      </c>
      <c r="G185" s="36"/>
      <c r="H185" s="36">
        <v>330</v>
      </c>
      <c r="I185" s="146"/>
      <c r="J185" s="93">
        <f t="shared" si="5"/>
        <v>39.147299142785833</v>
      </c>
      <c r="K185" s="91">
        <f>D185*10^(-3)/(F185)</f>
        <v>0.34315789473684211</v>
      </c>
      <c r="L185" s="283"/>
      <c r="M185" s="104"/>
      <c r="N185" s="97"/>
    </row>
    <row r="186" spans="1:14" ht="13" outlineLevel="1">
      <c r="A186" s="66" t="s">
        <v>610</v>
      </c>
      <c r="B186" s="340" t="s">
        <v>17</v>
      </c>
      <c r="C186" s="36">
        <v>2400</v>
      </c>
      <c r="D186" s="36">
        <v>16790</v>
      </c>
      <c r="E186" s="325">
        <f t="shared" si="6"/>
        <v>0.79808153754729727</v>
      </c>
      <c r="F186" s="36">
        <v>695</v>
      </c>
      <c r="G186" s="36">
        <v>14750</v>
      </c>
      <c r="H186" s="36"/>
      <c r="I186" s="146"/>
      <c r="J186" s="93">
        <f t="shared" si="5"/>
        <v>2.7559650217460625</v>
      </c>
      <c r="K186" s="91">
        <f>D186*10^(-3)/(F186)</f>
        <v>2.4158273381294962E-2</v>
      </c>
      <c r="L186" s="283">
        <f>C186*10^6*E186/(G186*10^6)</f>
        <v>0.12985733492295007</v>
      </c>
      <c r="M186" s="104">
        <f>D186*10^(-3)/(G186)</f>
        <v>1.1383050847457628E-3</v>
      </c>
      <c r="N186" s="97">
        <f>J186/L186</f>
        <v>21.223021582733811</v>
      </c>
    </row>
    <row r="187" spans="1:14" ht="14" outlineLevel="1" thickBot="1">
      <c r="A187" s="67" t="s">
        <v>611</v>
      </c>
      <c r="B187" s="344" t="s">
        <v>17</v>
      </c>
      <c r="C187" s="50">
        <v>944</v>
      </c>
      <c r="D187" s="50">
        <v>5542</v>
      </c>
      <c r="E187" s="327">
        <f t="shared" si="6"/>
        <v>0.66973398427541442</v>
      </c>
      <c r="F187" s="50">
        <v>245</v>
      </c>
      <c r="G187" s="50">
        <v>2750</v>
      </c>
      <c r="H187" s="50"/>
      <c r="I187" s="342"/>
      <c r="J187" s="185">
        <f t="shared" si="5"/>
        <v>2.5805260455346577</v>
      </c>
      <c r="K187" s="112">
        <f>D187*10^(-3)/(F187)</f>
        <v>2.2620408163265306E-2</v>
      </c>
      <c r="L187" s="302">
        <f>C187*10^6*E187/(G187*10^6)</f>
        <v>0.22990141132945136</v>
      </c>
      <c r="M187" s="310">
        <f>D187*10^(-3)/(G187)</f>
        <v>2.0152727272727271E-3</v>
      </c>
      <c r="N187" s="194">
        <f>J187/L187</f>
        <v>11.224489795918366</v>
      </c>
    </row>
    <row r="188" spans="1:14" ht="13" outlineLevel="1">
      <c r="A188" s="65" t="s">
        <v>612</v>
      </c>
      <c r="B188" s="343" t="s">
        <v>22</v>
      </c>
      <c r="C188" s="47">
        <v>210</v>
      </c>
      <c r="D188" s="47">
        <v>765</v>
      </c>
      <c r="E188" s="326">
        <f t="shared" si="6"/>
        <v>0.4155755134680047</v>
      </c>
      <c r="F188" s="47">
        <v>1.1399999999999999</v>
      </c>
      <c r="G188" s="47">
        <v>587</v>
      </c>
      <c r="H188" s="47"/>
      <c r="I188" s="341"/>
      <c r="J188" s="184">
        <f t="shared" si="5"/>
        <v>76.553384059895606</v>
      </c>
      <c r="K188" s="111">
        <f>D188*10^(-3)/(F188)</f>
        <v>0.67105263157894746</v>
      </c>
      <c r="L188" s="351">
        <f>C188*10^6*E188/(G188*10^6)</f>
        <v>0.14867267091700337</v>
      </c>
      <c r="M188" s="355">
        <f>D188*10^(-3)/(G188)</f>
        <v>1.303236797274276E-3</v>
      </c>
      <c r="N188" s="96">
        <f>J188/L188</f>
        <v>514.91228070175441</v>
      </c>
    </row>
    <row r="189" spans="1:14" ht="13" outlineLevel="1">
      <c r="A189" s="66" t="s">
        <v>613</v>
      </c>
      <c r="B189" s="340" t="s">
        <v>22</v>
      </c>
      <c r="C189" s="36">
        <v>1008</v>
      </c>
      <c r="D189" s="36">
        <v>1426</v>
      </c>
      <c r="E189" s="325">
        <f t="shared" si="6"/>
        <v>0.16138635136311946</v>
      </c>
      <c r="F189" s="36">
        <v>62</v>
      </c>
      <c r="G189" s="36">
        <v>4119</v>
      </c>
      <c r="H189" s="36"/>
      <c r="I189" s="146"/>
      <c r="J189" s="93">
        <f t="shared" si="5"/>
        <v>2.6238297124842647</v>
      </c>
      <c r="K189" s="91">
        <f>D189*10^(-3)/(F189)</f>
        <v>2.3E-2</v>
      </c>
      <c r="L189" s="352">
        <f>C189*10^6*E189/(G189*10^6)</f>
        <v>3.949440208157913E-2</v>
      </c>
      <c r="M189" s="356">
        <f>D189*10^(-3)/(G189)</f>
        <v>3.4620053411022091E-4</v>
      </c>
      <c r="N189" s="97">
        <f>J189/L189</f>
        <v>66.43548387096773</v>
      </c>
    </row>
    <row r="190" spans="1:14" ht="14" outlineLevel="1" thickBot="1">
      <c r="A190" s="67" t="s">
        <v>614</v>
      </c>
      <c r="B190" s="344" t="s">
        <v>22</v>
      </c>
      <c r="C190" s="50">
        <v>700</v>
      </c>
      <c r="D190" s="50">
        <v>2156</v>
      </c>
      <c r="E190" s="327">
        <f>D190/(C190*8765.81277)*1000</f>
        <v>0.35136502236745809</v>
      </c>
      <c r="F190" s="50">
        <v>53</v>
      </c>
      <c r="G190" s="50">
        <v>452</v>
      </c>
      <c r="H190" s="50"/>
      <c r="I190" s="342"/>
      <c r="J190" s="185">
        <f t="shared" si="5"/>
        <v>4.6406701067400125</v>
      </c>
      <c r="K190" s="112">
        <f>D190*10^(-3)/(F190)</f>
        <v>4.0679245283018868E-2</v>
      </c>
      <c r="L190" s="353">
        <f>C190*10^6*E190/(G190*10^6)</f>
        <v>0.5441493709230546</v>
      </c>
      <c r="M190" s="357">
        <f>D190*10^(-3)/(G190)</f>
        <v>4.7699115044247788E-3</v>
      </c>
      <c r="N190" s="194">
        <f>J190/L190</f>
        <v>8.5283018867924518</v>
      </c>
    </row>
    <row r="191" spans="1:14" ht="35" customHeight="1" outlineLevel="1" thickBot="1">
      <c r="A191" s="211" t="s">
        <v>638</v>
      </c>
      <c r="B191" s="208"/>
      <c r="C191" s="208"/>
      <c r="D191" s="208"/>
      <c r="E191" s="208"/>
      <c r="F191" s="208"/>
      <c r="G191" s="208"/>
      <c r="H191" s="208"/>
      <c r="I191" s="208"/>
      <c r="J191" s="208"/>
      <c r="K191" s="208"/>
      <c r="L191" s="208"/>
      <c r="M191" s="208"/>
      <c r="N191" s="209"/>
    </row>
    <row r="192" spans="1:14" ht="13" outlineLevel="1"/>
    <row r="193" ht="13" outlineLevel="1"/>
    <row r="194" ht="13" outlineLevel="1"/>
    <row r="195" ht="13" outlineLevel="1"/>
    <row r="196" ht="13" outlineLevel="1"/>
    <row r="197" ht="13" outlineLevel="1"/>
    <row r="198" ht="13" outlineLevel="1"/>
    <row r="199" ht="13" outlineLevel="1"/>
    <row r="200" ht="13" outlineLevel="1"/>
    <row r="201" ht="13" outlineLevel="1"/>
    <row r="202" ht="13" outlineLevel="1"/>
    <row r="203" ht="13" outlineLevel="1"/>
    <row r="204" ht="13" outlineLevel="1"/>
    <row r="205" ht="13" outlineLevel="1"/>
    <row r="206" ht="13" outlineLevel="1"/>
    <row r="207" ht="13" outlineLevel="1"/>
    <row r="208" ht="13" outlineLevel="1"/>
    <row r="209" spans="1:15" ht="13" outlineLevel="1"/>
    <row r="210" spans="1:15" ht="13" outlineLevel="1"/>
    <row r="211" spans="1:15" ht="13" outlineLevel="1"/>
    <row r="212" spans="1:15" ht="13" outlineLevel="1"/>
    <row r="213" spans="1:15" ht="13" outlineLevel="1"/>
    <row r="214" spans="1:15" ht="13" outlineLevel="1"/>
    <row r="215" spans="1:15" ht="13" outlineLevel="1"/>
    <row r="216" spans="1:15" ht="13" outlineLevel="1"/>
    <row r="217" spans="1:15" ht="13" outlineLevel="1"/>
    <row r="218" spans="1:15" ht="13"/>
    <row r="219" spans="1:15" ht="13"/>
    <row r="220" spans="1:15" ht="13" outlineLevel="1"/>
    <row r="221" spans="1:15" ht="13" outlineLevel="1"/>
    <row r="222" spans="1:15" ht="13" outlineLevel="1"/>
    <row r="223" spans="1:15" ht="13" outlineLevel="1">
      <c r="A223" s="137"/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  <c r="M223" s="137"/>
      <c r="N223" s="137"/>
      <c r="O223" s="363"/>
    </row>
    <row r="224" spans="1:15" ht="13" outlineLevel="1">
      <c r="A224" s="171"/>
      <c r="B224" s="171"/>
      <c r="C224" s="171"/>
      <c r="D224" s="171"/>
      <c r="E224" s="171"/>
      <c r="F224" s="171"/>
      <c r="G224" s="171"/>
      <c r="H224" s="171"/>
      <c r="I224" s="171"/>
      <c r="J224" s="171"/>
      <c r="K224" s="171"/>
      <c r="L224" s="171"/>
      <c r="M224" s="171"/>
      <c r="N224" s="172"/>
      <c r="O224" s="362"/>
    </row>
    <row r="225" spans="1:15" ht="13" outlineLevel="1">
      <c r="A225" s="137"/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  <c r="M225" s="137"/>
      <c r="N225" s="137"/>
      <c r="O225" s="363"/>
    </row>
    <row r="226" spans="1:15" ht="13" outlineLevel="1">
      <c r="A226" s="171"/>
      <c r="B226" s="171"/>
      <c r="C226" s="171"/>
      <c r="D226" s="171"/>
      <c r="E226" s="171"/>
      <c r="F226" s="171"/>
      <c r="G226" s="171"/>
      <c r="H226" s="171"/>
      <c r="I226" s="171"/>
      <c r="J226" s="171"/>
      <c r="K226" s="171"/>
      <c r="L226" s="171"/>
      <c r="M226" s="171"/>
      <c r="N226" s="172"/>
      <c r="O226" s="362"/>
    </row>
    <row r="227" spans="1:15" ht="13" outlineLevel="1">
      <c r="A227" s="137"/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  <c r="M227" s="137"/>
      <c r="N227" s="137"/>
      <c r="O227" s="363"/>
    </row>
    <row r="228" spans="1:15" ht="13" outlineLevel="1">
      <c r="A228" s="171"/>
      <c r="B228" s="171"/>
      <c r="C228" s="171"/>
      <c r="D228" s="171"/>
      <c r="E228" s="171"/>
      <c r="F228" s="171"/>
      <c r="G228" s="171"/>
      <c r="H228" s="171"/>
      <c r="I228" s="171"/>
      <c r="J228" s="171"/>
      <c r="K228" s="171"/>
      <c r="L228" s="171"/>
      <c r="M228" s="171"/>
      <c r="N228" s="172"/>
      <c r="O228" s="362"/>
    </row>
    <row r="229" spans="1:15" ht="13" outlineLevel="1">
      <c r="A229" s="137"/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  <c r="M229" s="137"/>
      <c r="N229" s="137"/>
      <c r="O229" s="363"/>
    </row>
    <row r="230" spans="1:15" ht="13" outlineLevel="1">
      <c r="A230" s="171"/>
      <c r="B230" s="171"/>
      <c r="C230" s="171"/>
      <c r="D230" s="171"/>
      <c r="E230" s="171"/>
      <c r="F230" s="171"/>
      <c r="G230" s="171"/>
      <c r="H230" s="171"/>
      <c r="I230" s="171"/>
      <c r="J230" s="171"/>
      <c r="K230" s="171"/>
      <c r="L230" s="171"/>
      <c r="M230" s="171"/>
      <c r="N230" s="172"/>
      <c r="O230" s="362"/>
    </row>
    <row r="231" spans="1:15" ht="13" outlineLevel="1">
      <c r="A231" s="137"/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  <c r="M231" s="137"/>
      <c r="N231" s="137"/>
      <c r="O231" s="363"/>
    </row>
    <row r="232" spans="1:15" ht="13" outlineLevel="1">
      <c r="A232" s="171"/>
      <c r="B232" s="171"/>
      <c r="C232" s="171"/>
      <c r="D232" s="171"/>
      <c r="E232" s="171"/>
      <c r="F232" s="171"/>
      <c r="G232" s="171"/>
      <c r="H232" s="171"/>
      <c r="I232" s="171"/>
      <c r="J232" s="171"/>
      <c r="K232" s="171"/>
      <c r="L232" s="171"/>
      <c r="M232" s="171"/>
      <c r="N232" s="172"/>
      <c r="O232" s="362"/>
    </row>
    <row r="233" spans="1:15" ht="13" outlineLevel="1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363"/>
    </row>
    <row r="234" spans="1:15" ht="13" outlineLevel="1">
      <c r="A234" s="171"/>
      <c r="B234" s="171"/>
      <c r="C234" s="171"/>
      <c r="D234" s="171"/>
      <c r="E234" s="171"/>
      <c r="F234" s="171"/>
      <c r="G234" s="171"/>
      <c r="H234" s="171"/>
      <c r="I234" s="171"/>
      <c r="J234" s="171"/>
      <c r="K234" s="171"/>
      <c r="L234" s="171"/>
      <c r="M234" s="171"/>
      <c r="N234" s="172"/>
      <c r="O234" s="362"/>
    </row>
    <row r="235" spans="1:15" ht="13" outlineLevel="1">
      <c r="A235" s="137"/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363"/>
    </row>
    <row r="236" spans="1:15" ht="15" customHeight="1">
      <c r="A236" s="171"/>
      <c r="B236" s="171"/>
      <c r="C236" s="171"/>
      <c r="D236" s="171"/>
      <c r="E236" s="171"/>
      <c r="F236" s="171"/>
      <c r="G236" s="171"/>
      <c r="H236" s="171"/>
      <c r="I236" s="171"/>
      <c r="J236" s="171"/>
      <c r="K236" s="171"/>
      <c r="L236" s="171"/>
      <c r="M236" s="171"/>
      <c r="N236" s="172"/>
      <c r="O236" s="362"/>
    </row>
    <row r="237" spans="1:15" ht="13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64"/>
    </row>
    <row r="238" spans="1:15" ht="13" outlineLevel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64"/>
    </row>
    <row r="239" spans="1:15" ht="13" outlineLevel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64"/>
    </row>
    <row r="240" spans="1:15" ht="13" outlineLevel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64"/>
    </row>
    <row r="241" spans="1:15" ht="13" outlineLevel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64"/>
    </row>
    <row r="242" spans="1:15" ht="13" outlineLevel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64"/>
    </row>
    <row r="243" spans="1:15" ht="13" outlineLevel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64"/>
    </row>
    <row r="244" spans="1:15" ht="13" outlineLevel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64"/>
    </row>
    <row r="245" spans="1:15" ht="13" outlineLevel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64"/>
    </row>
    <row r="246" spans="1:15" ht="13" outlineLevel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64"/>
    </row>
    <row r="247" spans="1:15" ht="13" outlineLevel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64"/>
    </row>
    <row r="248" spans="1:15" ht="13" outlineLevel="1">
      <c r="A248" s="137"/>
      <c r="B248" s="137"/>
      <c r="C248" s="137"/>
      <c r="D248" s="137"/>
      <c r="E248" s="137"/>
      <c r="F248" s="137"/>
      <c r="G248" s="137"/>
      <c r="H248" s="137"/>
      <c r="I248" s="137"/>
      <c r="J248" s="137"/>
      <c r="K248" s="137"/>
      <c r="L248" s="137"/>
      <c r="M248" s="137"/>
      <c r="N248" s="137"/>
      <c r="O248" s="363"/>
    </row>
    <row r="249" spans="1:15" ht="13" outlineLevel="1">
      <c r="A249" s="171"/>
      <c r="B249" s="171"/>
      <c r="C249" s="171"/>
      <c r="D249" s="171"/>
      <c r="E249" s="171"/>
      <c r="F249" s="171"/>
      <c r="G249" s="171"/>
      <c r="H249" s="171"/>
      <c r="I249" s="171"/>
      <c r="J249" s="171"/>
      <c r="K249" s="171"/>
      <c r="L249" s="171"/>
      <c r="M249" s="171"/>
      <c r="N249" s="172"/>
      <c r="O249" s="362"/>
    </row>
    <row r="250" spans="1:15" ht="13" outlineLevel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64"/>
    </row>
    <row r="251" spans="1:15" ht="13" outlineLevel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64"/>
    </row>
    <row r="252" spans="1:15" ht="13" outlineLevel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64"/>
    </row>
    <row r="253" spans="1:15" ht="13" outlineLevel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64"/>
    </row>
    <row r="254" spans="1:15" ht="1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64"/>
    </row>
    <row r="255" spans="1:15" ht="13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64"/>
    </row>
    <row r="256" spans="1:15" ht="13" outlineLevel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64"/>
    </row>
    <row r="257" spans="1:15" ht="13" outlineLevel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64"/>
    </row>
    <row r="258" spans="1:15" ht="13" outlineLevel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64"/>
    </row>
    <row r="259" spans="1:15" ht="13" outlineLevel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64"/>
    </row>
    <row r="260" spans="1:15" ht="13" outlineLevel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64"/>
    </row>
    <row r="261" spans="1:15" ht="13" outlineLevel="1">
      <c r="A261" s="123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64"/>
    </row>
    <row r="262" spans="1:15" ht="13" outlineLevel="1">
      <c r="A262" s="123"/>
      <c r="B262" s="36"/>
      <c r="C262" s="36"/>
      <c r="D262" s="36"/>
      <c r="E262" s="36"/>
      <c r="F262" s="36"/>
      <c r="G262" s="36"/>
      <c r="H262" s="36"/>
      <c r="I262" s="91"/>
      <c r="J262" s="91"/>
      <c r="K262" s="91"/>
      <c r="L262" s="91"/>
      <c r="M262" s="36"/>
      <c r="N262" s="55"/>
      <c r="O262" s="95"/>
    </row>
    <row r="263" spans="1:15" ht="13" outlineLevel="1">
      <c r="A263" s="123"/>
      <c r="B263" s="36"/>
      <c r="C263" s="36"/>
      <c r="D263" s="36"/>
      <c r="E263" s="36"/>
      <c r="F263" s="36"/>
      <c r="G263" s="36"/>
      <c r="H263" s="36"/>
      <c r="I263" s="91"/>
      <c r="J263" s="91"/>
      <c r="K263" s="91"/>
      <c r="L263" s="91"/>
      <c r="M263" s="36"/>
      <c r="N263" s="55"/>
      <c r="O263" s="95"/>
    </row>
    <row r="264" spans="1:15" ht="13" outlineLevel="1">
      <c r="A264" s="123"/>
      <c r="B264" s="36"/>
      <c r="C264" s="36"/>
      <c r="D264" s="36"/>
      <c r="E264" s="36"/>
      <c r="F264" s="36"/>
      <c r="G264" s="36"/>
      <c r="H264" s="36"/>
      <c r="I264" s="91"/>
      <c r="J264" s="91"/>
      <c r="K264" s="91"/>
      <c r="L264" s="91"/>
      <c r="M264" s="36"/>
      <c r="N264" s="55"/>
      <c r="O264" s="95"/>
    </row>
    <row r="265" spans="1:15" ht="15.75" customHeight="1">
      <c r="A265" s="123"/>
      <c r="B265" s="36"/>
      <c r="C265" s="36"/>
      <c r="D265" s="36"/>
      <c r="E265" s="36"/>
      <c r="F265" s="36"/>
      <c r="G265" s="36"/>
      <c r="H265" s="36"/>
      <c r="I265" s="91"/>
      <c r="J265" s="91"/>
      <c r="K265" s="91"/>
      <c r="L265" s="91"/>
      <c r="M265" s="36"/>
      <c r="N265" s="55"/>
      <c r="O265" s="95"/>
    </row>
    <row r="266" spans="1:15" ht="13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64"/>
    </row>
    <row r="267" spans="1:15" ht="13">
      <c r="A267" s="137"/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7"/>
      <c r="O267" s="363"/>
    </row>
    <row r="268" spans="1:15" ht="13">
      <c r="A268" s="171"/>
      <c r="B268" s="171"/>
      <c r="C268" s="171"/>
      <c r="D268" s="171"/>
      <c r="E268" s="171"/>
      <c r="F268" s="171"/>
      <c r="G268" s="171"/>
      <c r="H268" s="171"/>
      <c r="I268" s="171"/>
      <c r="J268" s="171"/>
      <c r="K268" s="171"/>
      <c r="L268" s="171"/>
      <c r="M268" s="171"/>
      <c r="N268" s="172"/>
      <c r="O268" s="362"/>
    </row>
    <row r="269" spans="1:15" ht="13"/>
    <row r="270" spans="1:15" ht="13"/>
    <row r="272" spans="1:15" ht="15.75" customHeight="1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</row>
    <row r="273" spans="1:15" ht="15.75" customHeight="1">
      <c r="A273" s="123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</row>
    <row r="274" spans="1:15" ht="15.75" customHeight="1">
      <c r="A274" s="123"/>
      <c r="B274" s="36"/>
      <c r="C274" s="36"/>
      <c r="D274" s="36"/>
      <c r="E274" s="36"/>
      <c r="F274" s="36"/>
      <c r="G274" s="36"/>
      <c r="H274" s="36"/>
      <c r="I274" s="91"/>
      <c r="J274" s="91"/>
      <c r="K274" s="91"/>
      <c r="L274" s="91"/>
      <c r="M274" s="36"/>
      <c r="N274" s="55"/>
      <c r="O274" s="91"/>
    </row>
    <row r="275" spans="1:15" ht="15.75" customHeight="1">
      <c r="A275" s="123"/>
      <c r="B275" s="36"/>
      <c r="C275" s="36"/>
      <c r="D275" s="36"/>
      <c r="E275" s="36"/>
      <c r="F275" s="36"/>
      <c r="G275" s="36"/>
      <c r="H275" s="36"/>
      <c r="I275" s="91"/>
      <c r="J275" s="91"/>
      <c r="K275" s="91"/>
      <c r="L275" s="91"/>
      <c r="M275" s="36"/>
      <c r="N275" s="55"/>
      <c r="O275" s="91"/>
    </row>
    <row r="276" spans="1:15" ht="15.75" customHeight="1">
      <c r="A276" s="123"/>
      <c r="B276" s="36"/>
      <c r="C276" s="36"/>
      <c r="D276" s="36"/>
      <c r="E276" s="36"/>
      <c r="F276" s="36"/>
      <c r="G276" s="36"/>
      <c r="H276" s="36"/>
      <c r="I276" s="91"/>
      <c r="J276" s="91"/>
      <c r="K276" s="91"/>
      <c r="L276" s="91"/>
      <c r="M276" s="36"/>
      <c r="N276" s="55"/>
      <c r="O276" s="91"/>
    </row>
    <row r="277" spans="1:15" ht="15.75" customHeight="1">
      <c r="A277" s="123"/>
      <c r="B277" s="36"/>
      <c r="C277" s="36"/>
      <c r="D277" s="36"/>
      <c r="E277" s="36"/>
      <c r="F277" s="36"/>
      <c r="G277" s="36"/>
      <c r="H277" s="36"/>
      <c r="I277" s="91"/>
      <c r="J277" s="91"/>
      <c r="K277" s="91"/>
      <c r="L277" s="91"/>
      <c r="M277" s="36"/>
      <c r="N277" s="55"/>
      <c r="O277" s="91"/>
    </row>
    <row r="278" spans="1:15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</row>
    <row r="279" spans="1:15" ht="15" customHeight="1">
      <c r="A279" s="127"/>
      <c r="B279" s="127"/>
      <c r="C279" s="127"/>
      <c r="D279" s="127"/>
      <c r="E279" s="127"/>
      <c r="F279" s="127"/>
      <c r="G279" s="127"/>
      <c r="H279" s="127"/>
      <c r="I279" s="125"/>
      <c r="J279" s="125"/>
      <c r="K279" s="125"/>
      <c r="L279" s="125"/>
      <c r="M279" s="128"/>
      <c r="N279" s="128"/>
      <c r="O279" s="128"/>
    </row>
    <row r="280" spans="1:15" ht="15.75" customHeight="1">
      <c r="A280" s="118"/>
      <c r="B280" s="37"/>
      <c r="C280" s="37"/>
      <c r="D280" s="37"/>
      <c r="E280" s="37"/>
      <c r="F280" s="37"/>
      <c r="G280" s="37"/>
      <c r="H280" s="37"/>
      <c r="I280" s="91"/>
      <c r="J280" s="91"/>
      <c r="K280" s="91"/>
      <c r="L280" s="91"/>
      <c r="M280" s="37"/>
      <c r="N280" s="36"/>
      <c r="O280" s="91"/>
    </row>
    <row r="281" spans="1:15" ht="15.75" customHeight="1">
      <c r="A281" s="118"/>
      <c r="B281" s="37"/>
      <c r="C281" s="37"/>
      <c r="D281" s="37"/>
      <c r="E281" s="37"/>
      <c r="F281" s="37"/>
      <c r="G281" s="37"/>
      <c r="H281" s="37"/>
      <c r="I281" s="91"/>
      <c r="J281" s="91"/>
      <c r="K281" s="91"/>
      <c r="L281" s="91"/>
      <c r="M281" s="37"/>
      <c r="N281" s="36"/>
      <c r="O281" s="91"/>
    </row>
    <row r="282" spans="1:15" ht="15.75" customHeight="1">
      <c r="A282" s="118"/>
      <c r="B282" s="37"/>
      <c r="C282" s="37"/>
      <c r="D282" s="37"/>
      <c r="E282" s="37"/>
      <c r="F282" s="37"/>
      <c r="G282" s="37"/>
      <c r="H282" s="37"/>
      <c r="I282" s="91"/>
      <c r="J282" s="91"/>
      <c r="K282" s="91"/>
      <c r="L282" s="91"/>
      <c r="M282" s="37"/>
      <c r="N282" s="36"/>
      <c r="O282" s="91"/>
    </row>
    <row r="283" spans="1:15" ht="15.75" customHeight="1">
      <c r="A283" s="118"/>
      <c r="B283" s="37"/>
      <c r="C283" s="37"/>
      <c r="D283" s="37"/>
      <c r="E283" s="37"/>
      <c r="F283" s="37"/>
      <c r="G283" s="37"/>
      <c r="H283" s="37"/>
      <c r="I283" s="91"/>
      <c r="J283" s="91"/>
      <c r="K283" s="91"/>
      <c r="L283" s="91"/>
      <c r="M283" s="37"/>
      <c r="N283" s="36"/>
      <c r="O283" s="91"/>
    </row>
  </sheetData>
  <mergeCells count="3">
    <mergeCell ref="A3:N3"/>
    <mergeCell ref="A4:N4"/>
    <mergeCell ref="A191:N191"/>
  </mergeCells>
  <conditionalFormatting sqref="C5">
    <cfRule type="notContainsBlanks" dxfId="6" priority="7">
      <formula>LEN(TRIM(C5))&gt;0</formula>
    </cfRule>
  </conditionalFormatting>
  <conditionalFormatting sqref="D5">
    <cfRule type="notContainsBlanks" dxfId="5" priority="6">
      <formula>LEN(TRIM(D5))&gt;0</formula>
    </cfRule>
  </conditionalFormatting>
  <conditionalFormatting sqref="E5">
    <cfRule type="notContainsBlanks" dxfId="4" priority="5">
      <formula>LEN(TRIM(E5))&gt;0</formula>
    </cfRule>
  </conditionalFormatting>
  <conditionalFormatting sqref="F5">
    <cfRule type="notContainsBlanks" dxfId="3" priority="4">
      <formula>LEN(TRIM(F5))&gt;0</formula>
    </cfRule>
  </conditionalFormatting>
  <conditionalFormatting sqref="G5">
    <cfRule type="notContainsBlanks" dxfId="2" priority="3">
      <formula>LEN(TRIM(G5))&gt;0</formula>
    </cfRule>
  </conditionalFormatting>
  <conditionalFormatting sqref="K5">
    <cfRule type="notContainsBlanks" dxfId="1" priority="2">
      <formula>LEN(TRIM(K5))&gt;0</formula>
    </cfRule>
  </conditionalFormatting>
  <conditionalFormatting sqref="M5">
    <cfRule type="notContainsBlanks" dxfId="0" priority="1">
      <formula>LEN(TRIM(M5))&gt;0</formula>
    </cfRule>
  </conditionalFormatting>
  <hyperlinks>
    <hyperlink ref="A6" r:id="rId1" xr:uid="{00000000-0004-0000-0B00-000000000000}"/>
    <hyperlink ref="A7" r:id="rId2" xr:uid="{00000000-0004-0000-0B00-000001000000}"/>
    <hyperlink ref="A8" r:id="rId3" xr:uid="{00000000-0004-0000-0B00-000002000000}"/>
    <hyperlink ref="A9" r:id="rId4" xr:uid="{00000000-0004-0000-0B00-000003000000}"/>
    <hyperlink ref="A14" r:id="rId5" xr:uid="{00000000-0004-0000-0B00-000004000000}"/>
    <hyperlink ref="A15" r:id="rId6" xr:uid="{00000000-0004-0000-0B00-000005000000}"/>
    <hyperlink ref="A16" r:id="rId7" xr:uid="{00000000-0004-0000-0B00-000006000000}"/>
    <hyperlink ref="A17" r:id="rId8" xr:uid="{00000000-0004-0000-0B00-000007000000}"/>
    <hyperlink ref="A18" r:id="rId9" xr:uid="{00000000-0004-0000-0B00-000008000000}"/>
    <hyperlink ref="A19" r:id="rId10" xr:uid="{00000000-0004-0000-0B00-000009000000}"/>
    <hyperlink ref="A20" r:id="rId11" xr:uid="{00000000-0004-0000-0B00-00000A000000}"/>
    <hyperlink ref="A21" r:id="rId12" xr:uid="{00000000-0004-0000-0B00-00000B000000}"/>
    <hyperlink ref="A22" r:id="rId13" xr:uid="{00000000-0004-0000-0B00-00000C000000}"/>
    <hyperlink ref="A23" r:id="rId14" xr:uid="{00000000-0004-0000-0B00-00000D000000}"/>
    <hyperlink ref="A24" r:id="rId15" xr:uid="{00000000-0004-0000-0B00-00000E000000}"/>
    <hyperlink ref="A25" r:id="rId16" xr:uid="{00000000-0004-0000-0B00-00000F000000}"/>
    <hyperlink ref="A26" r:id="rId17" xr:uid="{00000000-0004-0000-0B00-000010000000}"/>
    <hyperlink ref="A27" r:id="rId18" xr:uid="{00000000-0004-0000-0B00-000011000000}"/>
    <hyperlink ref="A28" r:id="rId19" xr:uid="{00000000-0004-0000-0B00-000012000000}"/>
    <hyperlink ref="A29" r:id="rId20" xr:uid="{00000000-0004-0000-0B00-000013000000}"/>
    <hyperlink ref="A30" r:id="rId21" xr:uid="{00000000-0004-0000-0B00-000014000000}"/>
    <hyperlink ref="A31" r:id="rId22" xr:uid="{00000000-0004-0000-0B00-000015000000}"/>
    <hyperlink ref="A32" r:id="rId23" xr:uid="{00000000-0004-0000-0B00-000016000000}"/>
    <hyperlink ref="A33" r:id="rId24" xr:uid="{00000000-0004-0000-0B00-000017000000}"/>
    <hyperlink ref="A34" r:id="rId25" xr:uid="{00000000-0004-0000-0B00-000018000000}"/>
    <hyperlink ref="A35" r:id="rId26" xr:uid="{00000000-0004-0000-0B00-000019000000}"/>
    <hyperlink ref="A36" r:id="rId27" xr:uid="{00000000-0004-0000-0B00-00001A000000}"/>
    <hyperlink ref="A37" r:id="rId28" xr:uid="{00000000-0004-0000-0B00-00001B000000}"/>
    <hyperlink ref="A38" r:id="rId29" xr:uid="{00000000-0004-0000-0B00-00001C000000}"/>
    <hyperlink ref="A39" r:id="rId30" xr:uid="{00000000-0004-0000-0B00-00001D000000}"/>
    <hyperlink ref="A40" r:id="rId31" xr:uid="{00000000-0004-0000-0B00-00001E000000}"/>
    <hyperlink ref="A41" r:id="rId32" xr:uid="{00000000-0004-0000-0B00-00001F000000}"/>
    <hyperlink ref="A42" r:id="rId33" xr:uid="{00000000-0004-0000-0B00-000020000000}"/>
    <hyperlink ref="A43" r:id="rId34" xr:uid="{00000000-0004-0000-0B00-000021000000}"/>
    <hyperlink ref="A44" r:id="rId35" xr:uid="{00000000-0004-0000-0B00-000022000000}"/>
    <hyperlink ref="A45" r:id="rId36" xr:uid="{00000000-0004-0000-0B00-000023000000}"/>
    <hyperlink ref="A46" r:id="rId37" xr:uid="{00000000-0004-0000-0B00-000024000000}"/>
    <hyperlink ref="A47" r:id="rId38" xr:uid="{00000000-0004-0000-0B00-000025000000}"/>
    <hyperlink ref="A48" r:id="rId39" xr:uid="{00000000-0004-0000-0B00-000026000000}"/>
    <hyperlink ref="A49" r:id="rId40" xr:uid="{00000000-0004-0000-0B00-000027000000}"/>
    <hyperlink ref="A50" r:id="rId41" xr:uid="{00000000-0004-0000-0B00-000028000000}"/>
    <hyperlink ref="A51" r:id="rId42" xr:uid="{00000000-0004-0000-0B00-000029000000}"/>
    <hyperlink ref="A52" r:id="rId43" xr:uid="{00000000-0004-0000-0B00-00002A000000}"/>
    <hyperlink ref="A53" r:id="rId44" xr:uid="{00000000-0004-0000-0B00-00002B000000}"/>
    <hyperlink ref="A54" r:id="rId45" xr:uid="{00000000-0004-0000-0B00-00002C000000}"/>
    <hyperlink ref="A55" r:id="rId46" xr:uid="{00000000-0004-0000-0B00-00002D000000}"/>
    <hyperlink ref="A56" r:id="rId47" xr:uid="{00000000-0004-0000-0B00-00002E000000}"/>
    <hyperlink ref="A57" r:id="rId48" xr:uid="{00000000-0004-0000-0B00-00002F000000}"/>
    <hyperlink ref="A58" r:id="rId49" xr:uid="{00000000-0004-0000-0B00-000030000000}"/>
    <hyperlink ref="A59" r:id="rId50" xr:uid="{00000000-0004-0000-0B00-000031000000}"/>
    <hyperlink ref="A60" r:id="rId51" xr:uid="{00000000-0004-0000-0B00-000032000000}"/>
    <hyperlink ref="A61" r:id="rId52" xr:uid="{00000000-0004-0000-0B00-000033000000}"/>
    <hyperlink ref="A62" r:id="rId53" xr:uid="{00000000-0004-0000-0B00-000034000000}"/>
    <hyperlink ref="A63" r:id="rId54" xr:uid="{00000000-0004-0000-0B00-000035000000}"/>
    <hyperlink ref="A64" r:id="rId55" xr:uid="{00000000-0004-0000-0B00-000036000000}"/>
    <hyperlink ref="A65" r:id="rId56" xr:uid="{00000000-0004-0000-0B00-000037000000}"/>
    <hyperlink ref="A66" r:id="rId57" xr:uid="{00000000-0004-0000-0B00-000038000000}"/>
    <hyperlink ref="A67" r:id="rId58" xr:uid="{00000000-0004-0000-0B00-000039000000}"/>
    <hyperlink ref="A68" r:id="rId59" xr:uid="{00000000-0004-0000-0B00-00003A000000}"/>
    <hyperlink ref="A69" r:id="rId60" xr:uid="{00000000-0004-0000-0B00-00003B000000}"/>
    <hyperlink ref="A70" r:id="rId61" xr:uid="{00000000-0004-0000-0B00-00003C000000}"/>
    <hyperlink ref="A71" r:id="rId62" xr:uid="{00000000-0004-0000-0B00-00003D000000}"/>
    <hyperlink ref="A72" r:id="rId63" xr:uid="{00000000-0004-0000-0B00-00003E000000}"/>
    <hyperlink ref="A73" r:id="rId64" xr:uid="{00000000-0004-0000-0B00-00003F000000}"/>
    <hyperlink ref="A74" r:id="rId65" xr:uid="{00000000-0004-0000-0B00-000040000000}"/>
    <hyperlink ref="A75" r:id="rId66" xr:uid="{00000000-0004-0000-0B00-000041000000}"/>
    <hyperlink ref="A76" r:id="rId67" xr:uid="{00000000-0004-0000-0B00-000042000000}"/>
    <hyperlink ref="A77" r:id="rId68" xr:uid="{00000000-0004-0000-0B00-000043000000}"/>
    <hyperlink ref="A78" r:id="rId69" xr:uid="{00000000-0004-0000-0B00-000044000000}"/>
    <hyperlink ref="A79" r:id="rId70" xr:uid="{00000000-0004-0000-0B00-000045000000}"/>
    <hyperlink ref="A80" r:id="rId71" xr:uid="{00000000-0004-0000-0B00-000046000000}"/>
    <hyperlink ref="A81" r:id="rId72" xr:uid="{00000000-0004-0000-0B00-000047000000}"/>
    <hyperlink ref="A82" r:id="rId73" xr:uid="{00000000-0004-0000-0B00-000048000000}"/>
    <hyperlink ref="A83" r:id="rId74" xr:uid="{00000000-0004-0000-0B00-000049000000}"/>
    <hyperlink ref="A84" r:id="rId75" xr:uid="{00000000-0004-0000-0B00-00004A000000}"/>
    <hyperlink ref="A85" r:id="rId76" xr:uid="{00000000-0004-0000-0B00-00004B000000}"/>
    <hyperlink ref="A86" r:id="rId77" xr:uid="{00000000-0004-0000-0B00-00004C000000}"/>
    <hyperlink ref="A87" r:id="rId78" xr:uid="{00000000-0004-0000-0B00-00004D000000}"/>
    <hyperlink ref="A88" r:id="rId79" xr:uid="{00000000-0004-0000-0B00-00004E000000}"/>
    <hyperlink ref="A89" r:id="rId80" xr:uid="{00000000-0004-0000-0B00-00004F000000}"/>
    <hyperlink ref="A90" r:id="rId81" xr:uid="{00000000-0004-0000-0B00-000050000000}"/>
    <hyperlink ref="A91" r:id="rId82" xr:uid="{00000000-0004-0000-0B00-000051000000}"/>
    <hyperlink ref="A92" r:id="rId83" xr:uid="{00000000-0004-0000-0B00-000052000000}"/>
    <hyperlink ref="A93" r:id="rId84" xr:uid="{00000000-0004-0000-0B00-000053000000}"/>
    <hyperlink ref="A94" r:id="rId85" xr:uid="{00000000-0004-0000-0B00-000054000000}"/>
    <hyperlink ref="A95" r:id="rId86" xr:uid="{00000000-0004-0000-0B00-000055000000}"/>
    <hyperlink ref="A96" r:id="rId87" xr:uid="{00000000-0004-0000-0B00-000056000000}"/>
    <hyperlink ref="A97" r:id="rId88" xr:uid="{00000000-0004-0000-0B00-000057000000}"/>
    <hyperlink ref="A98" r:id="rId89" xr:uid="{00000000-0004-0000-0B00-000058000000}"/>
    <hyperlink ref="A99" r:id="rId90" xr:uid="{00000000-0004-0000-0B00-000059000000}"/>
    <hyperlink ref="A100" r:id="rId91" xr:uid="{00000000-0004-0000-0B00-00005A000000}"/>
    <hyperlink ref="A101" r:id="rId92" xr:uid="{00000000-0004-0000-0B00-00005B000000}"/>
    <hyperlink ref="A102" r:id="rId93" xr:uid="{00000000-0004-0000-0B00-00005C000000}"/>
    <hyperlink ref="A103" r:id="rId94" xr:uid="{00000000-0004-0000-0B00-00005D000000}"/>
    <hyperlink ref="A104" r:id="rId95" xr:uid="{00000000-0004-0000-0B00-00005E000000}"/>
    <hyperlink ref="A105" r:id="rId96" xr:uid="{00000000-0004-0000-0B00-00005F000000}"/>
    <hyperlink ref="A106" r:id="rId97" xr:uid="{00000000-0004-0000-0B00-000060000000}"/>
    <hyperlink ref="A107" r:id="rId98" xr:uid="{00000000-0004-0000-0B00-000061000000}"/>
    <hyperlink ref="A108" r:id="rId99" xr:uid="{00000000-0004-0000-0B00-000062000000}"/>
    <hyperlink ref="A109" r:id="rId100" xr:uid="{00000000-0004-0000-0B00-000063000000}"/>
    <hyperlink ref="A110" r:id="rId101" xr:uid="{00000000-0004-0000-0B00-000064000000}"/>
    <hyperlink ref="A111" r:id="rId102" xr:uid="{00000000-0004-0000-0B00-000065000000}"/>
    <hyperlink ref="A112" r:id="rId103" xr:uid="{00000000-0004-0000-0B00-000066000000}"/>
    <hyperlink ref="A113" r:id="rId104" xr:uid="{00000000-0004-0000-0B00-000067000000}"/>
    <hyperlink ref="A114" r:id="rId105" xr:uid="{00000000-0004-0000-0B00-000068000000}"/>
    <hyperlink ref="A115" r:id="rId106" location="Brown_Mountain_Power_Station" xr:uid="{00000000-0004-0000-0B00-000069000000}"/>
    <hyperlink ref="A116" r:id="rId107" xr:uid="{00000000-0004-0000-0B00-00006A000000}"/>
    <hyperlink ref="A117" r:id="rId108" xr:uid="{00000000-0004-0000-0B00-00006B000000}"/>
    <hyperlink ref="A118" r:id="rId109" location="Power_station" xr:uid="{00000000-0004-0000-0B00-00006C000000}"/>
    <hyperlink ref="A119" r:id="rId110" xr:uid="{00000000-0004-0000-0B00-00006D000000}"/>
    <hyperlink ref="A120" r:id="rId111" xr:uid="{00000000-0004-0000-0B00-00006E000000}"/>
    <hyperlink ref="A121" r:id="rId112" xr:uid="{00000000-0004-0000-0B00-00006F000000}"/>
    <hyperlink ref="A122" r:id="rId113" location="Murray_1_Power_Station" xr:uid="{00000000-0004-0000-0B00-000070000000}"/>
    <hyperlink ref="A123" r:id="rId114" location="Murray_1_Power_Station" xr:uid="{00000000-0004-0000-0B00-000071000000}"/>
    <hyperlink ref="A124" r:id="rId115" xr:uid="{00000000-0004-0000-0B00-000072000000}"/>
    <hyperlink ref="A125" r:id="rId116" xr:uid="{00000000-0004-0000-0B00-000073000000}"/>
    <hyperlink ref="A126" r:id="rId117" xr:uid="{00000000-0004-0000-0B00-000074000000}"/>
    <hyperlink ref="A127" r:id="rId118" xr:uid="{00000000-0004-0000-0B00-000075000000}"/>
    <hyperlink ref="A128" r:id="rId119" xr:uid="{00000000-0004-0000-0B00-000076000000}"/>
    <hyperlink ref="A129" r:id="rId120" xr:uid="{00000000-0004-0000-0B00-000077000000}"/>
    <hyperlink ref="A130" r:id="rId121" xr:uid="{00000000-0004-0000-0B00-000078000000}"/>
    <hyperlink ref="A131" r:id="rId122" xr:uid="{00000000-0004-0000-0B00-000079000000}"/>
    <hyperlink ref="A132" r:id="rId123" xr:uid="{00000000-0004-0000-0B00-00007A000000}"/>
    <hyperlink ref="A133" r:id="rId124" xr:uid="{00000000-0004-0000-0B00-00007B000000}"/>
    <hyperlink ref="A134" r:id="rId125" xr:uid="{00000000-0004-0000-0B00-00007C000000}"/>
    <hyperlink ref="A135" r:id="rId126" xr:uid="{00000000-0004-0000-0B00-00007D000000}"/>
    <hyperlink ref="A136" r:id="rId127" xr:uid="{00000000-0004-0000-0B00-00007E000000}"/>
    <hyperlink ref="A137" r:id="rId128" xr:uid="{00000000-0004-0000-0B00-00007F000000}"/>
    <hyperlink ref="A138" r:id="rId129" xr:uid="{00000000-0004-0000-0B00-000080000000}"/>
    <hyperlink ref="A139" r:id="rId130" xr:uid="{00000000-0004-0000-0B00-000081000000}"/>
    <hyperlink ref="A140" r:id="rId131" xr:uid="{00000000-0004-0000-0B00-000082000000}"/>
    <hyperlink ref="A141" r:id="rId132" xr:uid="{00000000-0004-0000-0B00-000083000000}"/>
    <hyperlink ref="A142" r:id="rId133" xr:uid="{00000000-0004-0000-0B00-000084000000}"/>
    <hyperlink ref="A143" r:id="rId134" xr:uid="{00000000-0004-0000-0B00-000085000000}"/>
    <hyperlink ref="A144" r:id="rId135" xr:uid="{00000000-0004-0000-0B00-000086000000}"/>
    <hyperlink ref="A145" r:id="rId136" xr:uid="{00000000-0004-0000-0B00-000087000000}"/>
    <hyperlink ref="A146" r:id="rId137" xr:uid="{00000000-0004-0000-0B00-000088000000}"/>
    <hyperlink ref="A147" r:id="rId138" xr:uid="{00000000-0004-0000-0B00-000089000000}"/>
    <hyperlink ref="A148" r:id="rId139" xr:uid="{00000000-0004-0000-0B00-00008A000000}"/>
    <hyperlink ref="A149" r:id="rId140" xr:uid="{00000000-0004-0000-0B00-00008B000000}"/>
    <hyperlink ref="A150" r:id="rId141" xr:uid="{00000000-0004-0000-0B00-00008C000000}"/>
    <hyperlink ref="A151" r:id="rId142" xr:uid="{00000000-0004-0000-0B00-00008D000000}"/>
    <hyperlink ref="A152" r:id="rId143" xr:uid="{00000000-0004-0000-0B00-00008E000000}"/>
    <hyperlink ref="A153" r:id="rId144" xr:uid="{00000000-0004-0000-0B00-00008F000000}"/>
    <hyperlink ref="A154" r:id="rId145" xr:uid="{00000000-0004-0000-0B00-000090000000}"/>
    <hyperlink ref="A155" r:id="rId146" xr:uid="{00000000-0004-0000-0B00-000091000000}"/>
    <hyperlink ref="A156" r:id="rId147" xr:uid="{00000000-0004-0000-0B00-000092000000}"/>
    <hyperlink ref="A157" r:id="rId148" xr:uid="{00000000-0004-0000-0B00-000093000000}"/>
    <hyperlink ref="A158" r:id="rId149" xr:uid="{00000000-0004-0000-0B00-000094000000}"/>
    <hyperlink ref="A159" r:id="rId150" xr:uid="{00000000-0004-0000-0B00-000095000000}"/>
    <hyperlink ref="A160" r:id="rId151" xr:uid="{00000000-0004-0000-0B00-000096000000}"/>
    <hyperlink ref="A161" r:id="rId152" xr:uid="{00000000-0004-0000-0B00-000097000000}"/>
    <hyperlink ref="A162" r:id="rId153" xr:uid="{00000000-0004-0000-0B00-000098000000}"/>
    <hyperlink ref="A163" r:id="rId154" xr:uid="{00000000-0004-0000-0B00-000099000000}"/>
    <hyperlink ref="A164" r:id="rId155" xr:uid="{00000000-0004-0000-0B00-00009A000000}"/>
    <hyperlink ref="A165" r:id="rId156" xr:uid="{00000000-0004-0000-0B00-00009B000000}"/>
    <hyperlink ref="A166" r:id="rId157" xr:uid="{00000000-0004-0000-0B00-00009C000000}"/>
    <hyperlink ref="A167" r:id="rId158" xr:uid="{00000000-0004-0000-0B00-00009D000000}"/>
    <hyperlink ref="A168" r:id="rId159" xr:uid="{00000000-0004-0000-0B00-00009E000000}"/>
    <hyperlink ref="A169" r:id="rId160" xr:uid="{00000000-0004-0000-0B00-00009F000000}"/>
    <hyperlink ref="A170" r:id="rId161" xr:uid="{00000000-0004-0000-0B00-0000A0000000}"/>
    <hyperlink ref="A171" r:id="rId162" xr:uid="{00000000-0004-0000-0B00-0000A1000000}"/>
    <hyperlink ref="A172" r:id="rId163" xr:uid="{00000000-0004-0000-0B00-0000A2000000}"/>
    <hyperlink ref="A173" r:id="rId164" xr:uid="{00000000-0004-0000-0B00-0000A3000000}"/>
    <hyperlink ref="A174" r:id="rId165" xr:uid="{00000000-0004-0000-0B00-0000A4000000}"/>
    <hyperlink ref="A175" r:id="rId166" xr:uid="{00000000-0004-0000-0B00-0000A5000000}"/>
    <hyperlink ref="A176" r:id="rId167" xr:uid="{00000000-0004-0000-0B00-0000A6000000}"/>
    <hyperlink ref="A177" r:id="rId168" xr:uid="{00000000-0004-0000-0B00-0000A7000000}"/>
    <hyperlink ref="A178" r:id="rId169" xr:uid="{00000000-0004-0000-0B00-0000A8000000}"/>
    <hyperlink ref="A179" r:id="rId170" display="http://globalenergyobservatory.org/geoid/41460" xr:uid="{00000000-0004-0000-0B00-0000A9000000}"/>
    <hyperlink ref="A180" r:id="rId171" display="http://globalenergyobservatory.org/geoid/41452" xr:uid="{00000000-0004-0000-0B00-0000AA000000}"/>
    <hyperlink ref="A181" r:id="rId172" display="http://globalenergyobservatory.org/geoid/41461" xr:uid="{00000000-0004-0000-0B00-0000AB000000}"/>
    <hyperlink ref="A183" r:id="rId173" xr:uid="{00000000-0004-0000-0B00-0000AD000000}"/>
    <hyperlink ref="A184" r:id="rId174" display="Kenyir (Sultan Mahmud) Hydroelectric Power Project Malaysia" xr:uid="{00000000-0004-0000-0B00-0000AE000000}"/>
    <hyperlink ref="A185" r:id="rId175" display="https://www.smec.com/what-we-do/projects/Ulu-Jelai-Hydroelectric-Project" xr:uid="{00000000-0004-0000-0B00-0000AF000000}"/>
    <hyperlink ref="A186" r:id="rId176" xr:uid="{00000000-0004-0000-0B00-0000B0000000}"/>
    <hyperlink ref="A187" r:id="rId177" xr:uid="{00000000-0004-0000-0B00-0000B1000000}"/>
    <hyperlink ref="A188" r:id="rId178" xr:uid="{00000000-0004-0000-0B00-0000B2000000}"/>
    <hyperlink ref="A189" r:id="rId179" xr:uid="{00000000-0004-0000-0B00-0000B3000000}"/>
    <hyperlink ref="A190" r:id="rId180" xr:uid="{00000000-0004-0000-0B00-0000B4000000}"/>
    <hyperlink ref="A182" r:id="rId181" display="Cameron Highlands (Sultan Abu Bakar) Hydroelectric Power Project Malaysia" xr:uid="{00000000-0004-0000-0B00-0000AC000000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 SHEET</vt:lpstr>
      <vt:lpstr>SI TABLE 4.1</vt:lpstr>
      <vt:lpstr>SI TABLE 4.2</vt:lpstr>
      <vt:lpstr>SI TABLE 4.3</vt:lpstr>
      <vt:lpstr>SI TABLE 4.4</vt:lpstr>
      <vt:lpstr>SI TABLE 4.5</vt:lpstr>
      <vt:lpstr>SI TABLE 4.6</vt:lpstr>
      <vt:lpstr>SI TABLE 4.7</vt:lpstr>
      <vt:lpstr>SI TABLE 4.8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2022-04-24T21:13:47Z</dcterms:created>
  <dcterms:modified xsi:type="dcterms:W3CDTF">2022-09-14T13:06:04Z</dcterms:modified>
</cp:coreProperties>
</file>