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ARTELLIF\OneDrive - The University of Melbourne\Desktop\"/>
    </mc:Choice>
  </mc:AlternateContent>
  <xr:revisionPtr revIDLastSave="0" documentId="13_ncr:1_{36F077D5-59F1-43D5-85A7-B676FF2DB377}" xr6:coauthVersionLast="47" xr6:coauthVersionMax="47" xr10:uidLastSave="{00000000-0000-0000-0000-000000000000}"/>
  <bookViews>
    <workbookView xWindow="-110" yWindow="-110" windowWidth="38620" windowHeight="21220" activeTab="4" xr2:uid="{AA796C1B-4EDC-4A53-B4BD-0B2DCEB6D1A6}"/>
  </bookViews>
  <sheets>
    <sheet name="AA stock solutions" sheetId="2" r:id="rId1"/>
    <sheet name="AA solutions" sheetId="1" r:id="rId2"/>
    <sheet name="18N 6% AcOH cook" sheetId="5" r:id="rId3"/>
    <sheet name="Liquid Robot Data" sheetId="3" r:id="rId4"/>
    <sheet name="108N 6% AcOH without V, L and I" sheetId="4" r:id="rId5"/>
    <sheet name="Sugar-Yeast diet recipe" sheetId="6"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5" l="1"/>
  <c r="C36" i="4"/>
  <c r="C30" i="4"/>
  <c r="C28" i="4"/>
  <c r="C27" i="4"/>
  <c r="C26" i="4"/>
  <c r="C25" i="4"/>
  <c r="C19" i="4" s="1"/>
  <c r="C10" i="4"/>
  <c r="C8" i="4"/>
  <c r="C4" i="4"/>
  <c r="N63" i="3"/>
  <c r="M63" i="3"/>
  <c r="N62" i="3"/>
  <c r="M62" i="3"/>
  <c r="O62" i="3" s="1"/>
  <c r="F62" i="3" s="1"/>
  <c r="G62" i="3" s="1"/>
  <c r="N61" i="3"/>
  <c r="M61" i="3"/>
  <c r="N60" i="3"/>
  <c r="M60" i="3"/>
  <c r="N59" i="3"/>
  <c r="M59" i="3"/>
  <c r="N58" i="3"/>
  <c r="M58" i="3"/>
  <c r="N57" i="3"/>
  <c r="M57" i="3"/>
  <c r="N56" i="3"/>
  <c r="M56" i="3"/>
  <c r="O56" i="3" s="1"/>
  <c r="F56" i="3" s="1"/>
  <c r="G56" i="3" s="1"/>
  <c r="N55" i="3"/>
  <c r="M55" i="3"/>
  <c r="N54" i="3"/>
  <c r="M54" i="3"/>
  <c r="O54" i="3" s="1"/>
  <c r="F54" i="3" s="1"/>
  <c r="G54" i="3" s="1"/>
  <c r="N53" i="3"/>
  <c r="M53" i="3"/>
  <c r="L53" i="3"/>
  <c r="N52" i="3"/>
  <c r="O52" i="3" s="1"/>
  <c r="F52" i="3" s="1"/>
  <c r="G52" i="3" s="1"/>
  <c r="M52" i="3"/>
  <c r="L52" i="3"/>
  <c r="N51" i="3"/>
  <c r="M51" i="3"/>
  <c r="L51" i="3"/>
  <c r="O51" i="3" s="1"/>
  <c r="F51" i="3" s="1"/>
  <c r="G51" i="3" s="1"/>
  <c r="N50" i="3"/>
  <c r="M50" i="3"/>
  <c r="L50" i="3"/>
  <c r="O50" i="3" s="1"/>
  <c r="N49" i="3"/>
  <c r="M49" i="3"/>
  <c r="L49" i="3"/>
  <c r="N48" i="3"/>
  <c r="M48" i="3"/>
  <c r="L48" i="3"/>
  <c r="O48" i="3" s="1"/>
  <c r="N47" i="3"/>
  <c r="M47" i="3"/>
  <c r="O47" i="3" s="1"/>
  <c r="F47" i="3" s="1"/>
  <c r="G47" i="3" s="1"/>
  <c r="L47" i="3"/>
  <c r="N46" i="3"/>
  <c r="M46" i="3"/>
  <c r="L46" i="3"/>
  <c r="O45" i="3"/>
  <c r="F45" i="3" s="1"/>
  <c r="G45" i="3" s="1"/>
  <c r="N45" i="3"/>
  <c r="M45" i="3"/>
  <c r="L45" i="3"/>
  <c r="N44" i="3"/>
  <c r="M44" i="3"/>
  <c r="L44" i="3"/>
  <c r="O43" i="3"/>
  <c r="N43" i="3"/>
  <c r="M43" i="3"/>
  <c r="L43" i="3"/>
  <c r="P43" i="3" s="1"/>
  <c r="F43" i="3"/>
  <c r="G43" i="3" s="1"/>
  <c r="N42" i="3"/>
  <c r="M42" i="3"/>
  <c r="L42" i="3"/>
  <c r="N41" i="3"/>
  <c r="M41" i="3"/>
  <c r="L41" i="3"/>
  <c r="N40" i="3"/>
  <c r="M40" i="3"/>
  <c r="L40" i="3"/>
  <c r="N39" i="3"/>
  <c r="M39" i="3"/>
  <c r="L39" i="3"/>
  <c r="N38" i="3"/>
  <c r="M38" i="3"/>
  <c r="L38" i="3"/>
  <c r="O38" i="3" s="1"/>
  <c r="N37" i="3"/>
  <c r="M37" i="3"/>
  <c r="L37" i="3"/>
  <c r="N29" i="3"/>
  <c r="M29" i="3"/>
  <c r="O29" i="3" s="1"/>
  <c r="F29" i="3" s="1"/>
  <c r="G29" i="3" s="1"/>
  <c r="N28" i="3"/>
  <c r="M28" i="3"/>
  <c r="O28" i="3" s="1"/>
  <c r="N27" i="3"/>
  <c r="M27" i="3"/>
  <c r="N26" i="3"/>
  <c r="M26" i="3"/>
  <c r="O26" i="3" s="1"/>
  <c r="N25" i="3"/>
  <c r="M25" i="3"/>
  <c r="N24" i="3"/>
  <c r="M24" i="3"/>
  <c r="O24" i="3" s="1"/>
  <c r="N23" i="3"/>
  <c r="M23" i="3"/>
  <c r="O23" i="3" s="1"/>
  <c r="F23" i="3" s="1"/>
  <c r="G23" i="3" s="1"/>
  <c r="N22" i="3"/>
  <c r="M22" i="3"/>
  <c r="O22" i="3" s="1"/>
  <c r="N21" i="3"/>
  <c r="M21" i="3"/>
  <c r="N20" i="3"/>
  <c r="M20" i="3"/>
  <c r="O20" i="3" s="1"/>
  <c r="N19" i="3"/>
  <c r="M19" i="3"/>
  <c r="L19" i="3"/>
  <c r="O18" i="3"/>
  <c r="N18" i="3"/>
  <c r="M18" i="3"/>
  <c r="L18" i="3"/>
  <c r="P18" i="3" s="1"/>
  <c r="F18" i="3"/>
  <c r="G18" i="3" s="1"/>
  <c r="N17" i="3"/>
  <c r="M17" i="3"/>
  <c r="L17" i="3"/>
  <c r="N16" i="3"/>
  <c r="M16" i="3"/>
  <c r="L16" i="3"/>
  <c r="N15" i="3"/>
  <c r="O15" i="3" s="1"/>
  <c r="F15" i="3" s="1"/>
  <c r="G15" i="3" s="1"/>
  <c r="M15" i="3"/>
  <c r="L15" i="3"/>
  <c r="N14" i="3"/>
  <c r="M14" i="3"/>
  <c r="L14" i="3"/>
  <c r="N13" i="3"/>
  <c r="M13" i="3"/>
  <c r="L13" i="3"/>
  <c r="O13" i="3" s="1"/>
  <c r="N12" i="3"/>
  <c r="M12" i="3"/>
  <c r="L12" i="3"/>
  <c r="O12" i="3" s="1"/>
  <c r="F12" i="3" s="1"/>
  <c r="G12" i="3" s="1"/>
  <c r="N11" i="3"/>
  <c r="M11" i="3"/>
  <c r="L11" i="3"/>
  <c r="O11" i="3" s="1"/>
  <c r="N10" i="3"/>
  <c r="M10" i="3"/>
  <c r="L10" i="3"/>
  <c r="N9" i="3"/>
  <c r="M9" i="3"/>
  <c r="L9" i="3"/>
  <c r="O8" i="3"/>
  <c r="F8" i="3" s="1"/>
  <c r="G8" i="3" s="1"/>
  <c r="N8" i="3"/>
  <c r="M8" i="3"/>
  <c r="L8" i="3"/>
  <c r="N7" i="3"/>
  <c r="M7" i="3"/>
  <c r="L7" i="3"/>
  <c r="O6" i="3"/>
  <c r="N6" i="3"/>
  <c r="M6" i="3"/>
  <c r="L6" i="3"/>
  <c r="P6" i="3" s="1"/>
  <c r="F6" i="3"/>
  <c r="G6" i="3" s="1"/>
  <c r="N5" i="3"/>
  <c r="M5" i="3"/>
  <c r="L5" i="3"/>
  <c r="N4" i="3"/>
  <c r="M4" i="3"/>
  <c r="L4" i="3"/>
  <c r="N3" i="3"/>
  <c r="N31" i="3" s="1"/>
  <c r="M3" i="3"/>
  <c r="M31" i="3" s="1"/>
  <c r="L3" i="3"/>
  <c r="L31" i="3" s="1"/>
  <c r="C32" i="2"/>
  <c r="E32" i="2" s="1"/>
  <c r="E31" i="2"/>
  <c r="C31" i="2"/>
  <c r="F25" i="2"/>
  <c r="C24" i="2"/>
  <c r="E24" i="2" s="1"/>
  <c r="F24" i="2" s="1"/>
  <c r="C23" i="2"/>
  <c r="E23" i="2" s="1"/>
  <c r="F23" i="2" s="1"/>
  <c r="C22" i="2"/>
  <c r="E22" i="2" s="1"/>
  <c r="F22" i="2" s="1"/>
  <c r="C21" i="2"/>
  <c r="E21" i="2" s="1"/>
  <c r="F21" i="2" s="1"/>
  <c r="C20" i="2"/>
  <c r="E20" i="2" s="1"/>
  <c r="F20" i="2" s="1"/>
  <c r="F19" i="2"/>
  <c r="C18" i="2"/>
  <c r="E18" i="2" s="1"/>
  <c r="F18" i="2" s="1"/>
  <c r="F17" i="2"/>
  <c r="C16" i="2"/>
  <c r="E16" i="2" s="1"/>
  <c r="F16" i="2" s="1"/>
  <c r="C13" i="2"/>
  <c r="E13" i="2" s="1"/>
  <c r="F13" i="2" s="1"/>
  <c r="C12" i="2"/>
  <c r="E12" i="2" s="1"/>
  <c r="F12" i="2" s="1"/>
  <c r="C11" i="2"/>
  <c r="E11" i="2" s="1"/>
  <c r="F11" i="2" s="1"/>
  <c r="C10" i="2"/>
  <c r="E10" i="2" s="1"/>
  <c r="F10" i="2" s="1"/>
  <c r="C9" i="2"/>
  <c r="E9" i="2" s="1"/>
  <c r="F9" i="2" s="1"/>
  <c r="F8" i="2"/>
  <c r="C7" i="2"/>
  <c r="E7" i="2" s="1"/>
  <c r="F7" i="2" s="1"/>
  <c r="F6" i="2"/>
  <c r="C5" i="2"/>
  <c r="E5" i="2" s="1"/>
  <c r="F5" i="2" s="1"/>
  <c r="C4" i="2"/>
  <c r="E4" i="2" s="1"/>
  <c r="F4" i="2" s="1"/>
  <c r="E23" i="1"/>
  <c r="J23" i="1" s="1"/>
  <c r="J22" i="1"/>
  <c r="H22" i="1"/>
  <c r="E22" i="1"/>
  <c r="G22" i="1" s="1"/>
  <c r="E21" i="1"/>
  <c r="J21" i="1" s="1"/>
  <c r="E20" i="1"/>
  <c r="G20" i="1" s="1"/>
  <c r="E19" i="1"/>
  <c r="J19" i="1" s="1"/>
  <c r="J18" i="1"/>
  <c r="I18" i="1"/>
  <c r="H18" i="1"/>
  <c r="E18" i="1"/>
  <c r="G18" i="1" s="1"/>
  <c r="E17" i="1"/>
  <c r="J17" i="1" s="1"/>
  <c r="E16" i="1"/>
  <c r="G16" i="1" s="1"/>
  <c r="E15" i="1"/>
  <c r="J15" i="1" s="1"/>
  <c r="E14" i="1"/>
  <c r="G14" i="1" s="1"/>
  <c r="E12" i="1"/>
  <c r="J12" i="1" s="1"/>
  <c r="J11" i="1"/>
  <c r="E11" i="1"/>
  <c r="G11" i="1" s="1"/>
  <c r="E10" i="1"/>
  <c r="J10" i="1" s="1"/>
  <c r="E9" i="1"/>
  <c r="G9" i="1" s="1"/>
  <c r="E8" i="1"/>
  <c r="J8" i="1" s="1"/>
  <c r="J7" i="1"/>
  <c r="I7" i="1"/>
  <c r="H7" i="1"/>
  <c r="E7" i="1"/>
  <c r="G7" i="1" s="1"/>
  <c r="E6" i="1"/>
  <c r="J6" i="1" s="1"/>
  <c r="E5" i="1"/>
  <c r="G5" i="1" s="1"/>
  <c r="E4" i="1"/>
  <c r="J4" i="1" s="1"/>
  <c r="E3" i="1"/>
  <c r="G3" i="1" s="1"/>
  <c r="P20" i="3" l="1"/>
  <c r="F20" i="3"/>
  <c r="G20" i="3" s="1"/>
  <c r="F26" i="3"/>
  <c r="G26" i="3" s="1"/>
  <c r="P26" i="3"/>
  <c r="P59" i="3"/>
  <c r="P9" i="3"/>
  <c r="F13" i="3"/>
  <c r="G13" i="3" s="1"/>
  <c r="P13" i="3"/>
  <c r="P21" i="3"/>
  <c r="P27" i="3"/>
  <c r="P50" i="3"/>
  <c r="F50" i="3"/>
  <c r="G50" i="3" s="1"/>
  <c r="P60" i="3"/>
  <c r="P14" i="3"/>
  <c r="F22" i="3"/>
  <c r="G22" i="3" s="1"/>
  <c r="P22" i="3"/>
  <c r="P28" i="3"/>
  <c r="F28" i="3"/>
  <c r="G28" i="3" s="1"/>
  <c r="P7" i="3"/>
  <c r="P4" i="3"/>
  <c r="F11" i="3"/>
  <c r="G11" i="3" s="1"/>
  <c r="P11" i="3"/>
  <c r="P40" i="3"/>
  <c r="P24" i="3"/>
  <c r="F24" i="3"/>
  <c r="G24" i="3" s="1"/>
  <c r="F48" i="3"/>
  <c r="G48" i="3" s="1"/>
  <c r="P48" i="3"/>
  <c r="P19" i="3"/>
  <c r="P5" i="3"/>
  <c r="P16" i="3"/>
  <c r="P25" i="3"/>
  <c r="F38" i="3"/>
  <c r="G38" i="3" s="1"/>
  <c r="P38" i="3"/>
  <c r="P53" i="3"/>
  <c r="P45" i="3"/>
  <c r="O10" i="3"/>
  <c r="F10" i="3" s="1"/>
  <c r="G10" i="3" s="1"/>
  <c r="P52" i="3"/>
  <c r="P47" i="3"/>
  <c r="P54" i="3"/>
  <c r="P56" i="3"/>
  <c r="P12" i="3"/>
  <c r="O21" i="3"/>
  <c r="F21" i="3" s="1"/>
  <c r="G21" i="3" s="1"/>
  <c r="P8" i="3"/>
  <c r="P15" i="3"/>
  <c r="O58" i="3"/>
  <c r="F58" i="3" s="1"/>
  <c r="G58" i="3" s="1"/>
  <c r="O60" i="3"/>
  <c r="F60" i="3" s="1"/>
  <c r="G60" i="3" s="1"/>
  <c r="O5" i="3"/>
  <c r="F5" i="3" s="1"/>
  <c r="G5" i="3" s="1"/>
  <c r="O42" i="3"/>
  <c r="F42" i="3" s="1"/>
  <c r="G42" i="3" s="1"/>
  <c r="P62" i="3"/>
  <c r="O37" i="3"/>
  <c r="F37" i="3" s="1"/>
  <c r="G37" i="3" s="1"/>
  <c r="O49" i="3"/>
  <c r="F49" i="3" s="1"/>
  <c r="G49" i="3" s="1"/>
  <c r="O7" i="3"/>
  <c r="F7" i="3" s="1"/>
  <c r="G7" i="3" s="1"/>
  <c r="O19" i="3"/>
  <c r="F19" i="3" s="1"/>
  <c r="G19" i="3" s="1"/>
  <c r="O27" i="3"/>
  <c r="F27" i="3" s="1"/>
  <c r="G27" i="3" s="1"/>
  <c r="O14" i="3"/>
  <c r="F14" i="3" s="1"/>
  <c r="G14" i="3" s="1"/>
  <c r="P23" i="3"/>
  <c r="O39" i="3"/>
  <c r="F39" i="3" s="1"/>
  <c r="G39" i="3" s="1"/>
  <c r="O9" i="3"/>
  <c r="F9" i="3" s="1"/>
  <c r="G9" i="3" s="1"/>
  <c r="O46" i="3"/>
  <c r="F46" i="3" s="1"/>
  <c r="G46" i="3" s="1"/>
  <c r="P51" i="3"/>
  <c r="O40" i="3"/>
  <c r="F40" i="3" s="1"/>
  <c r="G40" i="3" s="1"/>
  <c r="O25" i="3"/>
  <c r="F25" i="3" s="1"/>
  <c r="G25" i="3" s="1"/>
  <c r="O44" i="3"/>
  <c r="F44" i="3" s="1"/>
  <c r="G44" i="3" s="1"/>
  <c r="P29" i="3"/>
  <c r="O4" i="3"/>
  <c r="F4" i="3" s="1"/>
  <c r="G4" i="3" s="1"/>
  <c r="O16" i="3"/>
  <c r="F16" i="3" s="1"/>
  <c r="G16" i="3" s="1"/>
  <c r="O41" i="3"/>
  <c r="F41" i="3" s="1"/>
  <c r="G41" i="3" s="1"/>
  <c r="O53" i="3"/>
  <c r="F53" i="3" s="1"/>
  <c r="G53" i="3" s="1"/>
  <c r="O55" i="3"/>
  <c r="F55" i="3" s="1"/>
  <c r="G55" i="3" s="1"/>
  <c r="O57" i="3"/>
  <c r="F57" i="3" s="1"/>
  <c r="G57" i="3" s="1"/>
  <c r="O59" i="3"/>
  <c r="F59" i="3" s="1"/>
  <c r="G59" i="3" s="1"/>
  <c r="O61" i="3"/>
  <c r="F61" i="3" s="1"/>
  <c r="G61" i="3" s="1"/>
  <c r="O63" i="3"/>
  <c r="F63" i="3" s="1"/>
  <c r="G63" i="3" s="1"/>
  <c r="O3" i="3"/>
  <c r="O17" i="3"/>
  <c r="F17" i="3" s="1"/>
  <c r="G17" i="3" s="1"/>
  <c r="H14" i="1"/>
  <c r="I14" i="1"/>
  <c r="J14" i="1"/>
  <c r="H16" i="1"/>
  <c r="J16" i="1"/>
  <c r="H20" i="1"/>
  <c r="I20" i="1"/>
  <c r="J20" i="1"/>
  <c r="I16" i="1"/>
  <c r="I22" i="1"/>
  <c r="H3" i="1"/>
  <c r="I3" i="1"/>
  <c r="J3" i="1"/>
  <c r="H9" i="1"/>
  <c r="I9" i="1"/>
  <c r="H5" i="1"/>
  <c r="J9" i="1"/>
  <c r="I5" i="1"/>
  <c r="J5" i="1"/>
  <c r="H11" i="1"/>
  <c r="I11" i="1"/>
  <c r="H25" i="1"/>
  <c r="F27" i="2"/>
  <c r="E27" i="2"/>
  <c r="F3" i="1"/>
  <c r="F5" i="1"/>
  <c r="F7" i="1"/>
  <c r="F9" i="1"/>
  <c r="F11" i="1"/>
  <c r="F14" i="1"/>
  <c r="F16" i="1"/>
  <c r="F18" i="1"/>
  <c r="F20" i="1"/>
  <c r="F22" i="1"/>
  <c r="G23" i="1"/>
  <c r="F4" i="1"/>
  <c r="F10" i="1"/>
  <c r="F17" i="1"/>
  <c r="F19" i="1"/>
  <c r="G4" i="1"/>
  <c r="G10" i="1"/>
  <c r="G21" i="1"/>
  <c r="H4" i="1"/>
  <c r="H6" i="1"/>
  <c r="H8" i="1"/>
  <c r="H10" i="1"/>
  <c r="H12" i="1"/>
  <c r="H15" i="1"/>
  <c r="H17" i="1"/>
  <c r="H19" i="1"/>
  <c r="H21" i="1"/>
  <c r="H23" i="1"/>
  <c r="F8" i="1"/>
  <c r="F15" i="1"/>
  <c r="F21" i="1"/>
  <c r="G6" i="1"/>
  <c r="G12" i="1"/>
  <c r="G19" i="1"/>
  <c r="I4" i="1"/>
  <c r="I6" i="1"/>
  <c r="I8" i="1"/>
  <c r="I10" i="1"/>
  <c r="I12" i="1"/>
  <c r="I15" i="1"/>
  <c r="I17" i="1"/>
  <c r="I19" i="1"/>
  <c r="I21" i="1"/>
  <c r="I23" i="1"/>
  <c r="F6" i="1"/>
  <c r="F12" i="1"/>
  <c r="F23" i="1"/>
  <c r="G8" i="1"/>
  <c r="G15" i="1"/>
  <c r="G17" i="1"/>
  <c r="P44" i="3" l="1"/>
  <c r="F3" i="3"/>
  <c r="G3" i="3" s="1"/>
  <c r="O31" i="3"/>
  <c r="P3" i="3"/>
  <c r="P63" i="3"/>
  <c r="P57" i="3"/>
  <c r="P46" i="3"/>
  <c r="P10" i="3"/>
  <c r="P39" i="3"/>
  <c r="P49" i="3"/>
  <c r="P61" i="3"/>
  <c r="P42" i="3"/>
  <c r="P41" i="3"/>
  <c r="P55" i="3"/>
  <c r="P37" i="3"/>
  <c r="P17" i="3"/>
  <c r="P58" i="3"/>
</calcChain>
</file>

<file path=xl/sharedStrings.xml><?xml version="1.0" encoding="utf-8"?>
<sst xmlns="http://schemas.openxmlformats.org/spreadsheetml/2006/main" count="438" uniqueCount="174">
  <si>
    <t>mol_FLYaa</t>
  </si>
  <si>
    <t>Essentials</t>
  </si>
  <si>
    <t>108N Concentration (g/L)</t>
  </si>
  <si>
    <t>Single AA Solution Concentration (mg/mL)</t>
  </si>
  <si>
    <t>1L 108N (mL)</t>
  </si>
  <si>
    <t>72mL 108N (µL)</t>
  </si>
  <si>
    <t>6mL vial 108N (µL)</t>
  </si>
  <si>
    <r>
      <t>50% BCAA 6mL vial (</t>
    </r>
    <r>
      <rPr>
        <b/>
        <sz val="11"/>
        <color theme="1"/>
        <rFont val="Calibri"/>
        <family val="2"/>
      </rPr>
      <t>µ</t>
    </r>
    <r>
      <rPr>
        <b/>
        <sz val="11"/>
        <color theme="1"/>
        <rFont val="Calibri"/>
        <family val="2"/>
        <scheme val="minor"/>
      </rPr>
      <t>L)</t>
    </r>
  </si>
  <si>
    <r>
      <t>75% BCAA 6mL vial (</t>
    </r>
    <r>
      <rPr>
        <b/>
        <sz val="11"/>
        <color theme="1"/>
        <rFont val="Calibri"/>
        <family val="2"/>
      </rPr>
      <t>µ</t>
    </r>
    <r>
      <rPr>
        <b/>
        <sz val="11"/>
        <color theme="1"/>
        <rFont val="Calibri"/>
        <family val="2"/>
        <scheme val="minor"/>
      </rPr>
      <t>L)</t>
    </r>
  </si>
  <si>
    <t>Notes</t>
  </si>
  <si>
    <t>Phe</t>
  </si>
  <si>
    <t>F</t>
  </si>
  <si>
    <t>His</t>
  </si>
  <si>
    <t>H</t>
  </si>
  <si>
    <t>Ile</t>
  </si>
  <si>
    <t>I*</t>
  </si>
  <si>
    <t>Added HCl</t>
  </si>
  <si>
    <t>Lys</t>
  </si>
  <si>
    <t>K</t>
  </si>
  <si>
    <t>Leu</t>
  </si>
  <si>
    <t>L*</t>
  </si>
  <si>
    <t>Met</t>
  </si>
  <si>
    <t>M</t>
  </si>
  <si>
    <t>Arg</t>
  </si>
  <si>
    <t>R</t>
  </si>
  <si>
    <t>Thr</t>
  </si>
  <si>
    <t>T</t>
  </si>
  <si>
    <t>Val</t>
  </si>
  <si>
    <t>V</t>
  </si>
  <si>
    <t>Trp</t>
  </si>
  <si>
    <t>W</t>
  </si>
  <si>
    <t>NON-Essentials</t>
  </si>
  <si>
    <t>Ala</t>
  </si>
  <si>
    <t>A</t>
  </si>
  <si>
    <t>Cys</t>
  </si>
  <si>
    <t>C**</t>
  </si>
  <si>
    <t>Asp</t>
  </si>
  <si>
    <t>D</t>
  </si>
  <si>
    <t>Glu</t>
  </si>
  <si>
    <t>E***</t>
  </si>
  <si>
    <t>Common Stock Solutions</t>
  </si>
  <si>
    <t>Gly</t>
  </si>
  <si>
    <t>G</t>
  </si>
  <si>
    <t>Asn</t>
  </si>
  <si>
    <t>N</t>
  </si>
  <si>
    <t>Pro</t>
  </si>
  <si>
    <t>P</t>
  </si>
  <si>
    <t>Gln</t>
  </si>
  <si>
    <t>Q</t>
  </si>
  <si>
    <t>Ser</t>
  </si>
  <si>
    <t>S</t>
  </si>
  <si>
    <t>Tyr</t>
  </si>
  <si>
    <t>Y*</t>
  </si>
  <si>
    <t>stock</t>
  </si>
  <si>
    <t>FLY amino acid ratio</t>
  </si>
  <si>
    <t>ml</t>
  </si>
  <si>
    <t>1L 100N</t>
  </si>
  <si>
    <t>1L 108N</t>
  </si>
  <si>
    <t>ESSENTIALS</t>
  </si>
  <si>
    <t>in 30.26 mL</t>
  </si>
  <si>
    <t>in 32.68 mL</t>
  </si>
  <si>
    <t>g</t>
  </si>
  <si>
    <t>NON-ESSENTIALS</t>
  </si>
  <si>
    <t>total (g)</t>
  </si>
  <si>
    <t>common solutions</t>
  </si>
  <si>
    <t>E</t>
  </si>
  <si>
    <t>C</t>
  </si>
  <si>
    <t>* ile, leu and tyr are excluded from the solutions as their solubility is too low. They must be added individually to bottle at start of each cook (before autoclaving). See example recipes for final additions</t>
  </si>
  <si>
    <t>** for Yaa, FLYaa and FAaa, cys precipitates out over time. Best to omit from stock and add to medium as a separate (50mg/ml) soln. (final conc 0.26g/l, 0.37g/l, 0.76 g/l in Yaa, FLYaa, FAaa respectively)</t>
  </si>
  <si>
    <t>*** E is added separately. Done for flexibility so if an amino acid or a group of amino acids are omitted, E can be adjusted to compensate for loss of N. See example recipes for amount of stock to add</t>
  </si>
  <si>
    <t>- these solutions are close to saturation so patience is required!</t>
  </si>
  <si>
    <t>- adjust final pH of aa solutions using NaOH or HCl to about pH 4.5 (note that if using glutamate (free acid), it will only go into solution at the indicated conc with NaOH)</t>
  </si>
  <si>
    <t>- filter sterilise into sterile tubes or bottles</t>
  </si>
  <si>
    <t>- store at room temp or 4C away from light</t>
  </si>
  <si>
    <t>- add to media after autoclaving</t>
  </si>
  <si>
    <t>- addition of these solutions as 10x stocks (as indicated) would yield aa solutions that have a total biologically-available N content of:</t>
  </si>
  <si>
    <t>all aa solution</t>
  </si>
  <si>
    <t>330.5mM</t>
  </si>
  <si>
    <t>ess aa solution</t>
  </si>
  <si>
    <t>142.4mM</t>
  </si>
  <si>
    <t>to add at other concentrations, see aa &amp; sugar conc tab</t>
  </si>
  <si>
    <t>Volumes (µL) per 6mL (max. 350µL per 6mL)</t>
  </si>
  <si>
    <t>Volumes (µL) per 72mL media(12x 6mL vials with max. 350µL per vial)</t>
  </si>
  <si>
    <t>Diet No.</t>
  </si>
  <si>
    <t>Ratio (L:I:V)</t>
  </si>
  <si>
    <t>Leucine</t>
  </si>
  <si>
    <t>Isoleucine</t>
  </si>
  <si>
    <t>Valine</t>
  </si>
  <si>
    <t>Water</t>
  </si>
  <si>
    <t>Total Volume</t>
  </si>
  <si>
    <t>50:50:50</t>
  </si>
  <si>
    <t>50:50:75</t>
  </si>
  <si>
    <t>50:50:100</t>
  </si>
  <si>
    <t>50:75:50</t>
  </si>
  <si>
    <t>50:75:75</t>
  </si>
  <si>
    <t>50:75:100</t>
  </si>
  <si>
    <t>50:100:50</t>
  </si>
  <si>
    <t>50:100:75</t>
  </si>
  <si>
    <t>50:100:100</t>
  </si>
  <si>
    <t>75:50:50</t>
  </si>
  <si>
    <t>75:50:75</t>
  </si>
  <si>
    <t>75:50:100</t>
  </si>
  <si>
    <t>75:75:50</t>
  </si>
  <si>
    <t>75:75:75</t>
  </si>
  <si>
    <t>75:75:100</t>
  </si>
  <si>
    <t>75:100:50</t>
  </si>
  <si>
    <t>75:100:75</t>
  </si>
  <si>
    <t>75:100:100</t>
  </si>
  <si>
    <t>100:50:50</t>
  </si>
  <si>
    <t>100:50:75</t>
  </si>
  <si>
    <t>100:50:100</t>
  </si>
  <si>
    <t>100:75:50</t>
  </si>
  <si>
    <t>100:75:75</t>
  </si>
  <si>
    <t>100:75:100</t>
  </si>
  <si>
    <t>100:100:50</t>
  </si>
  <si>
    <t>100:100:75</t>
  </si>
  <si>
    <t>100:100:100</t>
  </si>
  <si>
    <t>Total Volume:</t>
  </si>
  <si>
    <t xml:space="preserve">NOTE: If using leucine, a greater volume is required, the below calculations can be used for any 3 other AA </t>
  </si>
  <si>
    <t>Ratio (AA1:AA2:AA3)</t>
  </si>
  <si>
    <t>AA 1</t>
  </si>
  <si>
    <t>AA 2</t>
  </si>
  <si>
    <t>AA 3</t>
  </si>
  <si>
    <t>1500mL</t>
  </si>
  <si>
    <t>mM biologically available N</t>
  </si>
  <si>
    <t>108N</t>
  </si>
  <si>
    <t>Agar</t>
  </si>
  <si>
    <t>Before autoclave</t>
  </si>
  <si>
    <t>Sucrose</t>
  </si>
  <si>
    <t>Cholesterol</t>
  </si>
  <si>
    <t>mL</t>
  </si>
  <si>
    <t>CaCl2</t>
  </si>
  <si>
    <t>1000x</t>
  </si>
  <si>
    <t>MgSO4</t>
  </si>
  <si>
    <t>CuSO4</t>
  </si>
  <si>
    <t>FeSO4</t>
  </si>
  <si>
    <t>MnCl2</t>
  </si>
  <si>
    <t>ZnSO4</t>
  </si>
  <si>
    <t>Total</t>
  </si>
  <si>
    <t>Buffer</t>
  </si>
  <si>
    <t>After autoclave</t>
  </si>
  <si>
    <t>Nucl/lipid soln</t>
  </si>
  <si>
    <t>FLYaa soln</t>
  </si>
  <si>
    <t>EAA (w/o val)</t>
  </si>
  <si>
    <t>NEAA (w/o cys)</t>
  </si>
  <si>
    <t>Glutamate (100mg/ml)</t>
  </si>
  <si>
    <t>Cys (50mg/ml)</t>
  </si>
  <si>
    <t>Vitamins</t>
  </si>
  <si>
    <t>Folate</t>
  </si>
  <si>
    <t>Propionic Acid</t>
  </si>
  <si>
    <t>Nipagin</t>
  </si>
  <si>
    <t>Acetic Acid</t>
  </si>
  <si>
    <t>Sugar-Yeast diet</t>
  </si>
  <si>
    <r>
      <t>H</t>
    </r>
    <r>
      <rPr>
        <vertAlign val="subscript"/>
        <sz val="10"/>
        <color rgb="FF000000"/>
        <rFont val="Arial"/>
        <family val="2"/>
      </rPr>
      <t>2</t>
    </r>
    <r>
      <rPr>
        <sz val="10"/>
        <color rgb="FF000000"/>
        <rFont val="Arial"/>
        <family val="2"/>
      </rPr>
      <t>O</t>
    </r>
  </si>
  <si>
    <t>1000 mL</t>
  </si>
  <si>
    <t>4.75 g</t>
  </si>
  <si>
    <t>Dry yeast</t>
  </si>
  <si>
    <t>10.7 g</t>
  </si>
  <si>
    <t>Glucose (dextrose)</t>
  </si>
  <si>
    <t>47.6 g</t>
  </si>
  <si>
    <t>Raw sugar</t>
  </si>
  <si>
    <t>23.8 g</t>
  </si>
  <si>
    <t>Semolina</t>
  </si>
  <si>
    <t>59.5 g</t>
  </si>
  <si>
    <t>Propionic acid</t>
  </si>
  <si>
    <t>3.6 mL</t>
  </si>
  <si>
    <t>7.1 mL</t>
  </si>
  <si>
    <t>Potassium tartrate</t>
  </si>
  <si>
    <t>7.1 g</t>
  </si>
  <si>
    <t>Calcium chloride</t>
  </si>
  <si>
    <t>0.45 g</t>
  </si>
  <si>
    <t>1000mL</t>
  </si>
  <si>
    <t>EAA</t>
  </si>
  <si>
    <r>
      <t xml:space="preserve">* Levels of V, L and I are varied based on the previous tab to create the diet array tested on </t>
    </r>
    <r>
      <rPr>
        <i/>
        <sz val="11"/>
        <color theme="1"/>
        <rFont val="Calibri"/>
        <family val="2"/>
        <scheme val="minor"/>
      </rPr>
      <t>Bcat2</t>
    </r>
    <r>
      <rPr>
        <sz val="11"/>
        <color theme="1"/>
        <rFont val="Calibri"/>
        <family val="2"/>
        <scheme val="minor"/>
      </rPr>
      <t xml:space="preserve"> mutants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</si>
</sst>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8" formatCode="0.0"/>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Calibri"/>
      <family val="2"/>
    </font>
    <font>
      <b/>
      <sz val="12"/>
      <name val="Arial"/>
      <family val="2"/>
    </font>
    <font>
      <b/>
      <sz val="10"/>
      <name val="Arial"/>
      <family val="2"/>
    </font>
    <font>
      <i/>
      <sz val="10"/>
      <name val="Arial"/>
      <family val="2"/>
    </font>
    <font>
      <sz val="10"/>
      <color rgb="FFFF0000"/>
      <name val="Arial"/>
      <family val="2"/>
    </font>
    <font>
      <sz val="10"/>
      <color theme="6" tint="0.79998168889431442"/>
      <name val="Arial"/>
      <family val="2"/>
    </font>
    <font>
      <sz val="10"/>
      <color rgb="FF969696"/>
      <name val="Arial"/>
      <family val="2"/>
    </font>
    <font>
      <sz val="10"/>
      <color rgb="FFFFFFFF"/>
      <name val="Arial"/>
      <family val="2"/>
    </font>
    <font>
      <sz val="10"/>
      <color rgb="FF000000"/>
      <name val="Arial"/>
      <family val="2"/>
    </font>
    <font>
      <vertAlign val="subscript"/>
      <sz val="10"/>
      <color rgb="FF000000"/>
      <name val="Arial"/>
      <family val="2"/>
    </font>
    <font>
      <i/>
      <sz val="11"/>
      <color theme="1"/>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rgb="FFC0C0C0"/>
        <bgColor rgb="FFBFBFBF"/>
      </patternFill>
    </fill>
    <fill>
      <patternFill patternType="solid">
        <fgColor rgb="FFBFBFBF"/>
        <bgColor rgb="FFC0C0C0"/>
      </patternFill>
    </fill>
    <fill>
      <patternFill patternType="solid">
        <fgColor theme="0"/>
        <bgColor indexed="64"/>
      </patternFill>
    </fill>
    <fill>
      <patternFill patternType="solid">
        <fgColor rgb="FF00B050"/>
        <bgColor indexed="64"/>
      </patternFill>
    </fill>
    <fill>
      <patternFill patternType="solid">
        <fgColor rgb="FFEBF1DE"/>
        <bgColor rgb="FFF2F2F2"/>
      </patternFill>
    </fill>
    <fill>
      <patternFill patternType="solid">
        <fgColor theme="9" tint="0.59999389629810485"/>
        <bgColor indexed="64"/>
      </patternFill>
    </fill>
    <fill>
      <patternFill patternType="solid">
        <fgColor theme="0" tint="-0.249977111117893"/>
        <bgColor indexed="64"/>
      </patternFill>
    </fill>
    <fill>
      <patternFill patternType="solid">
        <fgColor rgb="FF000000"/>
        <bgColor rgb="FF003300"/>
      </patternFill>
    </fill>
    <fill>
      <patternFill patternType="solid">
        <fgColor theme="4" tint="0.79998168889431442"/>
        <bgColor indexed="64"/>
      </patternFill>
    </fill>
    <fill>
      <patternFill patternType="solid">
        <fgColor theme="0" tint="-0.249977111117893"/>
        <bgColor rgb="FFFFFF00"/>
      </patternFill>
    </fill>
    <fill>
      <patternFill patternType="solid">
        <fgColor rgb="FFA5A5A5"/>
        <bgColor indexed="64"/>
      </patternFill>
    </fill>
    <fill>
      <patternFill patternType="solid">
        <fgColor rgb="FFEDEDED"/>
        <bgColor indexed="64"/>
      </patternFill>
    </fill>
  </fills>
  <borders count="10">
    <border>
      <left/>
      <right/>
      <top/>
      <bottom/>
      <diagonal/>
    </border>
    <border>
      <left style="medium">
        <color auto="1"/>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A5A5A5"/>
      </left>
      <right style="medium">
        <color rgb="FFA5A5A5"/>
      </right>
      <top/>
      <bottom style="medium">
        <color rgb="FFA5A5A5"/>
      </bottom>
      <diagonal/>
    </border>
    <border>
      <left/>
      <right style="medium">
        <color rgb="FFA5A5A5"/>
      </right>
      <top/>
      <bottom style="medium">
        <color rgb="FFA5A5A5"/>
      </bottom>
      <diagonal/>
    </border>
  </borders>
  <cellStyleXfs count="1">
    <xf numFmtId="0" fontId="0" fillId="0" borderId="0"/>
  </cellStyleXfs>
  <cellXfs count="79">
    <xf numFmtId="0" fontId="0" fillId="0" borderId="0" xfId="0"/>
    <xf numFmtId="0" fontId="2" fillId="2" borderId="0" xfId="0" applyFont="1" applyFill="1"/>
    <xf numFmtId="0" fontId="0" fillId="2" borderId="0" xfId="0" applyFill="1"/>
    <xf numFmtId="0" fontId="0" fillId="2" borderId="0" xfId="0" applyFill="1" applyAlignment="1">
      <alignment wrapText="1"/>
    </xf>
    <xf numFmtId="0" fontId="1" fillId="0" borderId="0" xfId="0" applyFont="1"/>
    <xf numFmtId="0" fontId="1" fillId="0" borderId="0" xfId="0" applyFont="1" applyAlignment="1">
      <alignment wrapText="1"/>
    </xf>
    <xf numFmtId="0" fontId="0" fillId="0" borderId="1" xfId="0" applyBorder="1"/>
    <xf numFmtId="0" fontId="0" fillId="3" borderId="0" xfId="0" applyFill="1"/>
    <xf numFmtId="0" fontId="0" fillId="0" borderId="0" xfId="0" applyAlignment="1">
      <alignment wrapText="1"/>
    </xf>
    <xf numFmtId="164" fontId="0" fillId="0" borderId="0" xfId="0" applyNumberFormat="1"/>
    <xf numFmtId="0" fontId="1" fillId="0" borderId="1" xfId="0" applyFont="1" applyBorder="1"/>
    <xf numFmtId="0" fontId="5" fillId="3" borderId="0" xfId="0" applyFont="1" applyFill="1"/>
    <xf numFmtId="0" fontId="5" fillId="0" borderId="0" xfId="0" applyFont="1"/>
    <xf numFmtId="0" fontId="4" fillId="4" borderId="0" xfId="0" applyFont="1" applyFill="1" applyAlignment="1">
      <alignment horizontal="left"/>
    </xf>
    <xf numFmtId="0" fontId="4" fillId="0" borderId="0" xfId="0" applyFont="1" applyAlignment="1">
      <alignment horizontal="left"/>
    </xf>
    <xf numFmtId="0" fontId="5" fillId="0" borderId="0" xfId="0" applyFont="1" applyAlignment="1">
      <alignment horizontal="right"/>
    </xf>
    <xf numFmtId="0" fontId="5" fillId="0" borderId="0" xfId="0" applyFont="1" applyAlignment="1">
      <alignment horizontal="center" vertical="center"/>
    </xf>
    <xf numFmtId="0" fontId="0" fillId="0" borderId="0" xfId="0" applyAlignment="1">
      <alignment horizontal="left"/>
    </xf>
    <xf numFmtId="0" fontId="0" fillId="0" borderId="0" xfId="0" applyAlignment="1">
      <alignment horizontal="right"/>
    </xf>
    <xf numFmtId="0" fontId="6" fillId="0" borderId="0" xfId="0" applyFont="1" applyAlignment="1">
      <alignment horizontal="center" vertical="center"/>
    </xf>
    <xf numFmtId="0" fontId="7" fillId="0" borderId="0" xfId="0" applyFont="1"/>
    <xf numFmtId="2" fontId="0" fillId="0" borderId="2" xfId="0" applyNumberFormat="1" applyBorder="1"/>
    <xf numFmtId="0" fontId="0" fillId="0" borderId="2" xfId="0" applyBorder="1"/>
    <xf numFmtId="165" fontId="0" fillId="0" borderId="0" xfId="0" applyNumberFormat="1" applyAlignment="1">
      <alignment horizontal="center" vertical="center"/>
    </xf>
    <xf numFmtId="165" fontId="7" fillId="0" borderId="0" xfId="0" applyNumberFormat="1" applyFont="1" applyAlignment="1">
      <alignment horizontal="center" vertical="center"/>
    </xf>
    <xf numFmtId="2" fontId="0" fillId="0" borderId="0" xfId="0" applyNumberFormat="1"/>
    <xf numFmtId="2" fontId="0" fillId="0" borderId="0" xfId="0" applyNumberFormat="1" applyAlignment="1">
      <alignment horizontal="right"/>
    </xf>
    <xf numFmtId="2" fontId="8" fillId="0" borderId="2" xfId="0" applyNumberFormat="1" applyFont="1" applyBorder="1"/>
    <xf numFmtId="0" fontId="8" fillId="0" borderId="2" xfId="0" applyFont="1" applyBorder="1"/>
    <xf numFmtId="0" fontId="0" fillId="0" borderId="0" xfId="0" applyAlignment="1">
      <alignment horizontal="center" vertical="center"/>
    </xf>
    <xf numFmtId="165" fontId="5" fillId="0" borderId="0" xfId="0" applyNumberFormat="1" applyFont="1" applyAlignment="1">
      <alignment horizontal="center" vertical="center"/>
    </xf>
    <xf numFmtId="0" fontId="5" fillId="0" borderId="0" xfId="0" applyFont="1" applyAlignment="1">
      <alignment horizontal="center"/>
    </xf>
    <xf numFmtId="0" fontId="0" fillId="4" borderId="3" xfId="0" applyFill="1" applyBorder="1"/>
    <xf numFmtId="0" fontId="0" fillId="0" borderId="4" xfId="0" applyBorder="1"/>
    <xf numFmtId="0" fontId="0" fillId="4" borderId="0" xfId="0" applyFill="1"/>
    <xf numFmtId="0" fontId="9" fillId="0" borderId="0" xfId="0" applyFont="1"/>
    <xf numFmtId="165" fontId="0" fillId="0" borderId="0" xfId="0" applyNumberFormat="1" applyFill="1" applyAlignment="1">
      <alignment horizontal="center" vertical="center"/>
    </xf>
    <xf numFmtId="165" fontId="0" fillId="0" borderId="0" xfId="0" applyNumberFormat="1"/>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4" xfId="0" applyFont="1" applyFill="1" applyBorder="1" applyAlignment="1">
      <alignment horizontal="center"/>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1" fillId="5" borderId="4" xfId="0" applyFont="1" applyFill="1" applyBorder="1" applyAlignment="1">
      <alignment horizontal="center" wrapText="1"/>
    </xf>
    <xf numFmtId="0" fontId="1" fillId="0" borderId="2" xfId="0" applyFont="1" applyBorder="1"/>
    <xf numFmtId="49" fontId="1" fillId="0" borderId="2" xfId="0" applyNumberFormat="1" applyFont="1" applyBorder="1"/>
    <xf numFmtId="0" fontId="1" fillId="0" borderId="7" xfId="0" applyFont="1" applyBorder="1"/>
    <xf numFmtId="0" fontId="0" fillId="0" borderId="2" xfId="0" applyBorder="1" applyAlignment="1">
      <alignment horizontal="left"/>
    </xf>
    <xf numFmtId="49" fontId="0" fillId="0" borderId="2" xfId="0" applyNumberFormat="1" applyBorder="1"/>
    <xf numFmtId="1" fontId="0" fillId="0" borderId="2" xfId="0" applyNumberFormat="1" applyBorder="1"/>
    <xf numFmtId="49" fontId="0" fillId="0" borderId="0" xfId="0" applyNumberFormat="1"/>
    <xf numFmtId="0" fontId="0" fillId="6" borderId="0" xfId="0" applyFill="1" applyAlignment="1">
      <alignment horizontal="center"/>
    </xf>
    <xf numFmtId="0" fontId="0" fillId="0" borderId="0" xfId="0" applyAlignment="1">
      <alignment horizontal="center" wrapText="1"/>
    </xf>
    <xf numFmtId="0" fontId="0" fillId="0" borderId="0" xfId="0" applyAlignment="1">
      <alignment horizontal="right" wrapText="1"/>
    </xf>
    <xf numFmtId="0" fontId="5" fillId="7" borderId="2" xfId="0" applyFont="1" applyFill="1" applyBorder="1" applyAlignment="1">
      <alignment horizontal="center" vertical="center" wrapText="1"/>
    </xf>
    <xf numFmtId="0" fontId="0" fillId="3" borderId="2" xfId="0" applyFill="1" applyBorder="1" applyAlignment="1">
      <alignment horizontal="right"/>
    </xf>
    <xf numFmtId="0" fontId="0" fillId="3" borderId="2" xfId="0" applyFill="1" applyBorder="1"/>
    <xf numFmtId="0" fontId="0" fillId="3" borderId="2" xfId="0" applyFill="1" applyBorder="1" applyAlignment="1">
      <alignment horizontal="center"/>
    </xf>
    <xf numFmtId="0" fontId="0" fillId="8" borderId="0" xfId="0" applyFill="1" applyAlignment="1">
      <alignment horizontal="center" vertical="center" textRotation="180" wrapText="1"/>
    </xf>
    <xf numFmtId="0" fontId="0" fillId="0" borderId="2" xfId="0" applyBorder="1" applyAlignment="1">
      <alignment horizontal="right"/>
    </xf>
    <xf numFmtId="0" fontId="0" fillId="0" borderId="0" xfId="0" applyAlignment="1">
      <alignment horizontal="center"/>
    </xf>
    <xf numFmtId="2" fontId="0" fillId="9" borderId="2" xfId="0" applyNumberFormat="1" applyFill="1" applyBorder="1" applyAlignment="1">
      <alignment horizontal="center"/>
    </xf>
    <xf numFmtId="2" fontId="0" fillId="3" borderId="2" xfId="0" applyNumberFormat="1" applyFill="1" applyBorder="1" applyAlignment="1">
      <alignment horizontal="center"/>
    </xf>
    <xf numFmtId="0" fontId="0" fillId="0" borderId="2" xfId="0" applyBorder="1" applyAlignment="1">
      <alignment horizontal="center"/>
    </xf>
    <xf numFmtId="0" fontId="10" fillId="10" borderId="2" xfId="0" applyFont="1" applyFill="1" applyBorder="1" applyAlignment="1">
      <alignment horizontal="right"/>
    </xf>
    <xf numFmtId="0" fontId="10" fillId="10" borderId="2" xfId="0" applyFont="1" applyFill="1" applyBorder="1"/>
    <xf numFmtId="2" fontId="10" fillId="10" borderId="0" xfId="0" applyNumberFormat="1" applyFont="1" applyFill="1" applyAlignment="1">
      <alignment horizontal="center"/>
    </xf>
    <xf numFmtId="0" fontId="0" fillId="11" borderId="0" xfId="0" applyFill="1" applyAlignment="1">
      <alignment horizontal="center" vertical="center" textRotation="180" wrapText="1"/>
    </xf>
    <xf numFmtId="0" fontId="0" fillId="12" borderId="2" xfId="0" applyFill="1" applyBorder="1" applyAlignment="1">
      <alignment horizontal="right"/>
    </xf>
    <xf numFmtId="0" fontId="0" fillId="5" borderId="2" xfId="0" applyFill="1" applyBorder="1"/>
    <xf numFmtId="2" fontId="0" fillId="5" borderId="2" xfId="0" applyNumberFormat="1" applyFill="1" applyBorder="1" applyAlignment="1">
      <alignment horizontal="center"/>
    </xf>
    <xf numFmtId="0" fontId="11" fillId="13" borderId="2" xfId="0" applyFont="1" applyFill="1" applyBorder="1" applyAlignment="1">
      <alignment horizontal="center" vertical="center"/>
    </xf>
    <xf numFmtId="0" fontId="11" fillId="14" borderId="8" xfId="0" applyFont="1" applyFill="1" applyBorder="1" applyAlignment="1">
      <alignment vertical="center"/>
    </xf>
    <xf numFmtId="0" fontId="11" fillId="14" borderId="9" xfId="0" applyFont="1" applyFill="1" applyBorder="1" applyAlignment="1">
      <alignment horizontal="right" vertical="center"/>
    </xf>
    <xf numFmtId="0" fontId="11" fillId="0" borderId="8" xfId="0" applyFont="1" applyBorder="1" applyAlignment="1">
      <alignment vertical="center"/>
    </xf>
    <xf numFmtId="0" fontId="11" fillId="0" borderId="9" xfId="0" applyFont="1" applyBorder="1" applyAlignment="1">
      <alignment horizontal="right" vertical="center"/>
    </xf>
    <xf numFmtId="0" fontId="0" fillId="9" borderId="2" xfId="0" applyFill="1" applyBorder="1" applyAlignment="1">
      <alignment horizontal="right"/>
    </xf>
    <xf numFmtId="0" fontId="0" fillId="9" borderId="2" xfId="0" applyFill="1" applyBorder="1"/>
    <xf numFmtId="168" fontId="0" fillId="9" borderId="2"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Felipe\Postdoc%20Monash\Results\Holidic%20Cook\Holidic%20cook.xlsx" TargetMode="External"/><Relationship Id="rId1" Type="http://schemas.openxmlformats.org/officeDocument/2006/relationships/externalLinkPath" Target="file:///C:\Felipe\Postdoc%20Monash\Results\Holidic%20Cook\Holidic%20c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dium_1000ml"/>
      <sheetName val="trace elemt_ buffer_vit_nucl ac"/>
      <sheetName val="aa ratios"/>
      <sheetName val="stocks_amino acid solns"/>
      <sheetName val="aa _ sugar addition calculator"/>
      <sheetName val="FLYaa different N diets"/>
      <sheetName val="ordering"/>
    </sheetNames>
    <sheetDataSet>
      <sheetData sheetId="0"/>
      <sheetData sheetId="1"/>
      <sheetData sheetId="2">
        <row r="6">
          <cell r="AF6">
            <v>1.008886150104116</v>
          </cell>
        </row>
        <row r="7">
          <cell r="AF7">
            <v>0.65422391086060061</v>
          </cell>
        </row>
        <row r="9">
          <cell r="AF9">
            <v>1.3653493624317958</v>
          </cell>
        </row>
        <row r="11">
          <cell r="AF11">
            <v>0.603506848852289</v>
          </cell>
        </row>
        <row r="12">
          <cell r="AF12">
            <v>1.6314108659297255</v>
          </cell>
        </row>
        <row r="13">
          <cell r="AF13">
            <v>1.107209203058531</v>
          </cell>
        </row>
        <row r="14">
          <cell r="AF14">
            <v>1.2006735486620068</v>
          </cell>
        </row>
        <row r="15">
          <cell r="AF15">
            <v>0.32137052573577746</v>
          </cell>
        </row>
        <row r="18">
          <cell r="AF18">
            <v>1.101677123630177</v>
          </cell>
        </row>
        <row r="20">
          <cell r="AF20">
            <v>1.172160123434671</v>
          </cell>
        </row>
        <row r="22">
          <cell r="AF22">
            <v>0.76760576998254182</v>
          </cell>
        </row>
        <row r="23">
          <cell r="AF23">
            <v>1.029961473028886</v>
          </cell>
        </row>
        <row r="24">
          <cell r="AF24">
            <v>0.97832983070241963</v>
          </cell>
        </row>
        <row r="25">
          <cell r="AF25">
            <v>1.1213481840039208</v>
          </cell>
        </row>
        <row r="26">
          <cell r="AF26">
            <v>1.3782372875780762</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884D-2F87-4574-A7D5-F3D776D52A13}">
  <dimension ref="A1:S48"/>
  <sheetViews>
    <sheetView workbookViewId="0">
      <selection activeCell="F4" sqref="F4:F25"/>
    </sheetView>
  </sheetViews>
  <sheetFormatPr defaultRowHeight="14.5" x14ac:dyDescent="0.35"/>
  <sheetData>
    <row r="1" spans="1:19" ht="15.5" x14ac:dyDescent="0.35">
      <c r="A1" s="6"/>
      <c r="B1" s="13" t="s">
        <v>54</v>
      </c>
      <c r="C1" s="11"/>
      <c r="D1" s="7"/>
      <c r="F1" s="14"/>
      <c r="G1" s="12"/>
      <c r="J1" s="14"/>
      <c r="K1" s="12"/>
    </row>
    <row r="2" spans="1:19" x14ac:dyDescent="0.35">
      <c r="A2" s="6"/>
      <c r="C2" s="15">
        <v>200</v>
      </c>
      <c r="D2" t="s">
        <v>55</v>
      </c>
      <c r="E2" s="16" t="s">
        <v>56</v>
      </c>
      <c r="F2" s="16" t="s">
        <v>57</v>
      </c>
      <c r="G2" s="15"/>
      <c r="K2" s="15"/>
    </row>
    <row r="3" spans="1:19" x14ac:dyDescent="0.35">
      <c r="A3" s="6"/>
      <c r="B3" s="17" t="s">
        <v>58</v>
      </c>
      <c r="C3" s="18"/>
      <c r="E3" s="19" t="s">
        <v>59</v>
      </c>
      <c r="F3" s="19" t="s">
        <v>60</v>
      </c>
      <c r="L3" s="20"/>
      <c r="M3" s="20"/>
      <c r="N3" s="20"/>
      <c r="P3" s="20"/>
      <c r="Q3" s="20"/>
      <c r="R3" s="20"/>
      <c r="S3" s="20"/>
    </row>
    <row r="4" spans="1:19" x14ac:dyDescent="0.35">
      <c r="A4" s="6" t="s">
        <v>10</v>
      </c>
      <c r="B4" s="7" t="s">
        <v>11</v>
      </c>
      <c r="C4" s="21">
        <f>('[1]aa ratios'!AF6/60.61)*C$2</f>
        <v>3.3291079033298665</v>
      </c>
      <c r="D4" s="22" t="s">
        <v>61</v>
      </c>
      <c r="E4" s="23">
        <f>C4*30.26/200</f>
        <v>0.50369402577380884</v>
      </c>
      <c r="F4" s="23">
        <f>E4*1.08</f>
        <v>0.54398954783571363</v>
      </c>
      <c r="G4" t="s">
        <v>61</v>
      </c>
      <c r="L4" s="23"/>
      <c r="M4" s="23"/>
      <c r="N4" s="23"/>
      <c r="P4" s="23"/>
      <c r="Q4" s="23"/>
      <c r="R4" s="23"/>
      <c r="S4" s="23"/>
    </row>
    <row r="5" spans="1:19" x14ac:dyDescent="0.35">
      <c r="A5" s="6" t="s">
        <v>12</v>
      </c>
      <c r="B5" s="7" t="s">
        <v>13</v>
      </c>
      <c r="C5" s="21">
        <f>('[1]aa ratios'!AF7/60.61)*C$2</f>
        <v>2.1587985839320263</v>
      </c>
      <c r="D5" s="22" t="s">
        <v>61</v>
      </c>
      <c r="E5" s="23">
        <f t="shared" ref="E5:E24" si="0">C5*30.26/200</f>
        <v>0.32662622574891559</v>
      </c>
      <c r="F5" s="23">
        <f t="shared" ref="F5:F25" si="1">E5*1.08</f>
        <v>0.35275632380882888</v>
      </c>
      <c r="G5" t="s">
        <v>61</v>
      </c>
      <c r="L5" s="23"/>
      <c r="M5" s="23"/>
      <c r="N5" s="23"/>
      <c r="P5" s="23"/>
      <c r="Q5" s="23"/>
      <c r="R5" s="23"/>
      <c r="S5" s="23"/>
    </row>
    <row r="6" spans="1:19" x14ac:dyDescent="0.35">
      <c r="A6" s="6" t="s">
        <v>14</v>
      </c>
      <c r="B6" s="7" t="s">
        <v>15</v>
      </c>
      <c r="C6" s="21"/>
      <c r="D6" s="22"/>
      <c r="E6" s="36">
        <v>0.56000000000000005</v>
      </c>
      <c r="F6" s="36">
        <f t="shared" si="1"/>
        <v>0.60480000000000012</v>
      </c>
      <c r="G6" t="s">
        <v>61</v>
      </c>
      <c r="L6" s="23"/>
      <c r="M6" s="23"/>
      <c r="N6" s="23"/>
      <c r="P6" s="23"/>
      <c r="Q6" s="23"/>
      <c r="R6" s="23"/>
      <c r="S6" s="23"/>
    </row>
    <row r="7" spans="1:19" x14ac:dyDescent="0.35">
      <c r="A7" s="6" t="s">
        <v>17</v>
      </c>
      <c r="B7" s="7" t="s">
        <v>18</v>
      </c>
      <c r="C7" s="21">
        <f>('[1]aa ratios'!AF9/60.61)*C$2</f>
        <v>4.5053600476218305</v>
      </c>
      <c r="D7" s="22" t="s">
        <v>61</v>
      </c>
      <c r="E7" s="36">
        <f t="shared" si="0"/>
        <v>0.68166097520518287</v>
      </c>
      <c r="F7" s="36">
        <f t="shared" si="1"/>
        <v>0.73619385322159758</v>
      </c>
      <c r="G7" t="s">
        <v>61</v>
      </c>
      <c r="L7" s="23"/>
      <c r="M7" s="23"/>
      <c r="N7" s="23"/>
      <c r="P7" s="23"/>
      <c r="Q7" s="23"/>
      <c r="R7" s="23"/>
      <c r="S7" s="23"/>
    </row>
    <row r="8" spans="1:19" x14ac:dyDescent="0.35">
      <c r="A8" s="6" t="s">
        <v>19</v>
      </c>
      <c r="B8" s="7" t="s">
        <v>20</v>
      </c>
      <c r="C8" s="21"/>
      <c r="D8" s="22"/>
      <c r="E8" s="36">
        <v>1.02</v>
      </c>
      <c r="F8" s="36">
        <f t="shared" si="1"/>
        <v>1.1016000000000001</v>
      </c>
      <c r="G8" t="s">
        <v>61</v>
      </c>
      <c r="L8" s="23"/>
      <c r="M8" s="23"/>
      <c r="N8" s="23"/>
      <c r="P8" s="23"/>
      <c r="Q8" s="23"/>
      <c r="R8" s="23"/>
      <c r="S8" s="23"/>
    </row>
    <row r="9" spans="1:19" x14ac:dyDescent="0.35">
      <c r="A9" s="6" t="s">
        <v>21</v>
      </c>
      <c r="B9" s="7" t="s">
        <v>22</v>
      </c>
      <c r="C9" s="21">
        <f>('[1]aa ratios'!AF11/60.61)*C$2</f>
        <v>1.9914431574073224</v>
      </c>
      <c r="D9" s="22" t="s">
        <v>61</v>
      </c>
      <c r="E9" s="36">
        <f t="shared" si="0"/>
        <v>0.30130534971572787</v>
      </c>
      <c r="F9" s="36">
        <f t="shared" si="1"/>
        <v>0.32540977769298612</v>
      </c>
      <c r="G9" t="s">
        <v>61</v>
      </c>
      <c r="L9" s="23"/>
      <c r="M9" s="23"/>
      <c r="N9" s="23"/>
      <c r="P9" s="23"/>
      <c r="Q9" s="23"/>
      <c r="R9" s="23"/>
      <c r="S9" s="23"/>
    </row>
    <row r="10" spans="1:19" x14ac:dyDescent="0.35">
      <c r="A10" s="6" t="s">
        <v>23</v>
      </c>
      <c r="B10" s="7" t="s">
        <v>24</v>
      </c>
      <c r="C10" s="21">
        <f>('[1]aa ratios'!AF12/60.61)*C$2</f>
        <v>5.3833059426818197</v>
      </c>
      <c r="D10" s="22" t="s">
        <v>61</v>
      </c>
      <c r="E10" s="36">
        <f t="shared" si="0"/>
        <v>0.81449418912775939</v>
      </c>
      <c r="F10" s="36">
        <f t="shared" si="1"/>
        <v>0.87965372425798016</v>
      </c>
      <c r="G10" t="s">
        <v>61</v>
      </c>
      <c r="L10" s="23"/>
      <c r="M10" s="23"/>
      <c r="N10" s="23"/>
      <c r="P10" s="23"/>
      <c r="Q10" s="23"/>
      <c r="R10" s="23"/>
      <c r="S10" s="23"/>
    </row>
    <row r="11" spans="1:19" x14ac:dyDescent="0.35">
      <c r="A11" s="6" t="s">
        <v>25</v>
      </c>
      <c r="B11" s="7" t="s">
        <v>26</v>
      </c>
      <c r="C11" s="21">
        <f>('[1]aa ratios'!AF13/60.61)*C$2</f>
        <v>3.6535528891553573</v>
      </c>
      <c r="D11" s="22" t="s">
        <v>61</v>
      </c>
      <c r="E11" s="36">
        <f t="shared" si="0"/>
        <v>0.55278255212920557</v>
      </c>
      <c r="F11" s="36">
        <f t="shared" si="1"/>
        <v>0.59700515629954209</v>
      </c>
      <c r="G11" t="s">
        <v>61</v>
      </c>
      <c r="L11" s="23"/>
      <c r="M11" s="23"/>
      <c r="N11" s="23"/>
      <c r="P11" s="23"/>
      <c r="Q11" s="23"/>
      <c r="R11" s="23"/>
      <c r="S11" s="23"/>
    </row>
    <row r="12" spans="1:19" x14ac:dyDescent="0.35">
      <c r="A12" s="6" t="s">
        <v>27</v>
      </c>
      <c r="B12" s="7" t="s">
        <v>28</v>
      </c>
      <c r="C12" s="21">
        <f>('[1]aa ratios'!AF14/60.61)*C$2</f>
        <v>3.9619651828477376</v>
      </c>
      <c r="D12" s="22" t="s">
        <v>61</v>
      </c>
      <c r="E12" s="36">
        <f t="shared" si="0"/>
        <v>0.59944533216486273</v>
      </c>
      <c r="F12" s="36">
        <f t="shared" si="1"/>
        <v>0.64740095873805181</v>
      </c>
      <c r="G12" t="s">
        <v>61</v>
      </c>
      <c r="L12" s="23"/>
      <c r="M12" s="23"/>
      <c r="N12" s="23"/>
      <c r="P12" s="23"/>
      <c r="Q12" s="23"/>
      <c r="R12" s="24"/>
      <c r="S12" s="23"/>
    </row>
    <row r="13" spans="1:19" x14ac:dyDescent="0.35">
      <c r="A13" s="6" t="s">
        <v>29</v>
      </c>
      <c r="B13" s="7" t="s">
        <v>30</v>
      </c>
      <c r="C13" s="21">
        <f>('[1]aa ratios'!AF15/60.61)*C$2</f>
        <v>1.0604538054307127</v>
      </c>
      <c r="D13" s="22" t="s">
        <v>61</v>
      </c>
      <c r="E13" s="36">
        <f t="shared" si="0"/>
        <v>0.16044666076166686</v>
      </c>
      <c r="F13" s="36">
        <f t="shared" si="1"/>
        <v>0.17328239362260023</v>
      </c>
      <c r="G13" t="s">
        <v>61</v>
      </c>
      <c r="L13" s="23"/>
      <c r="M13" s="23"/>
      <c r="N13" s="23"/>
      <c r="P13" s="23"/>
      <c r="Q13" s="23"/>
      <c r="R13" s="23"/>
      <c r="S13" s="23"/>
    </row>
    <row r="14" spans="1:19" x14ac:dyDescent="0.35">
      <c r="A14" s="6"/>
      <c r="C14" s="25"/>
      <c r="E14" s="36"/>
      <c r="F14" s="36"/>
      <c r="L14" s="23"/>
      <c r="M14" s="23"/>
      <c r="N14" s="23"/>
      <c r="P14" s="23"/>
      <c r="Q14" s="23"/>
      <c r="R14" s="23"/>
      <c r="S14" s="23"/>
    </row>
    <row r="15" spans="1:19" x14ac:dyDescent="0.35">
      <c r="A15" s="6"/>
      <c r="B15" t="s">
        <v>62</v>
      </c>
      <c r="C15" s="26"/>
      <c r="E15" s="36"/>
      <c r="F15" s="36"/>
      <c r="L15" s="23"/>
      <c r="M15" s="23"/>
      <c r="N15" s="23"/>
      <c r="P15" s="23"/>
      <c r="Q15" s="23"/>
      <c r="R15" s="23"/>
      <c r="S15" s="23"/>
    </row>
    <row r="16" spans="1:19" x14ac:dyDescent="0.35">
      <c r="A16" s="6" t="s">
        <v>32</v>
      </c>
      <c r="B16" s="7" t="s">
        <v>33</v>
      </c>
      <c r="C16" s="21">
        <f>('[1]aa ratios'!AF18/60.61)*C$2</f>
        <v>3.6352982135956999</v>
      </c>
      <c r="D16" s="22" t="s">
        <v>61</v>
      </c>
      <c r="E16" s="36">
        <f t="shared" si="0"/>
        <v>0.55002061971702942</v>
      </c>
      <c r="F16" s="36">
        <f t="shared" si="1"/>
        <v>0.59402226929439184</v>
      </c>
      <c r="G16" t="s">
        <v>61</v>
      </c>
      <c r="L16" s="23"/>
      <c r="M16" s="23"/>
      <c r="N16" s="23"/>
      <c r="P16" s="23"/>
      <c r="Q16" s="23"/>
      <c r="R16" s="23"/>
      <c r="S16" s="23"/>
    </row>
    <row r="17" spans="1:19" x14ac:dyDescent="0.35">
      <c r="A17" s="6" t="s">
        <v>34</v>
      </c>
      <c r="B17" s="7" t="s">
        <v>35</v>
      </c>
      <c r="C17" s="27"/>
      <c r="D17" s="28"/>
      <c r="E17" s="36">
        <v>0.17</v>
      </c>
      <c r="F17" s="36">
        <f t="shared" si="1"/>
        <v>0.18360000000000001</v>
      </c>
      <c r="G17" t="s">
        <v>61</v>
      </c>
      <c r="L17" s="23"/>
      <c r="M17" s="23"/>
      <c r="N17" s="23"/>
      <c r="P17" s="23"/>
      <c r="Q17" s="23"/>
      <c r="R17" s="23"/>
      <c r="S17" s="23"/>
    </row>
    <row r="18" spans="1:19" x14ac:dyDescent="0.35">
      <c r="A18" s="6" t="s">
        <v>36</v>
      </c>
      <c r="B18" s="7" t="s">
        <v>37</v>
      </c>
      <c r="C18" s="21">
        <f>('[1]aa ratios'!AF20/60.61)*C$2</f>
        <v>3.8678769953297181</v>
      </c>
      <c r="D18" s="22" t="s">
        <v>61</v>
      </c>
      <c r="E18" s="36">
        <f t="shared" si="0"/>
        <v>0.58520978939338641</v>
      </c>
      <c r="F18" s="36">
        <f t="shared" si="1"/>
        <v>0.63202657254485739</v>
      </c>
      <c r="G18" t="s">
        <v>61</v>
      </c>
      <c r="L18" s="23"/>
      <c r="M18" s="23"/>
      <c r="N18" s="23"/>
      <c r="P18" s="23"/>
      <c r="Q18" s="23"/>
      <c r="R18" s="23"/>
      <c r="S18" s="23"/>
    </row>
    <row r="19" spans="1:19" x14ac:dyDescent="0.35">
      <c r="A19" s="6" t="s">
        <v>38</v>
      </c>
      <c r="B19" s="7" t="s">
        <v>39</v>
      </c>
      <c r="C19" s="21"/>
      <c r="D19" s="22"/>
      <c r="E19" s="36">
        <v>0.75900000000000001</v>
      </c>
      <c r="F19" s="36">
        <f t="shared" si="1"/>
        <v>0.81972000000000012</v>
      </c>
      <c r="G19" t="s">
        <v>61</v>
      </c>
      <c r="L19" s="23"/>
      <c r="M19" s="23"/>
      <c r="N19" s="23"/>
      <c r="P19" s="23"/>
      <c r="Q19" s="23"/>
      <c r="R19" s="23"/>
      <c r="S19" s="24"/>
    </row>
    <row r="20" spans="1:19" x14ac:dyDescent="0.35">
      <c r="A20" s="6" t="s">
        <v>41</v>
      </c>
      <c r="B20" s="7" t="s">
        <v>42</v>
      </c>
      <c r="C20" s="21">
        <f>('[1]aa ratios'!AF22/60.61)*C$2</f>
        <v>2.5329344002063747</v>
      </c>
      <c r="D20" s="22" t="s">
        <v>61</v>
      </c>
      <c r="E20" s="36">
        <f t="shared" si="0"/>
        <v>0.38323297475122453</v>
      </c>
      <c r="F20" s="36">
        <f t="shared" si="1"/>
        <v>0.41389161273132252</v>
      </c>
      <c r="G20" t="s">
        <v>61</v>
      </c>
      <c r="L20" s="24"/>
      <c r="M20" s="24"/>
      <c r="N20" s="24"/>
      <c r="P20" s="23"/>
      <c r="Q20" s="24"/>
      <c r="R20" s="23"/>
      <c r="S20" s="23"/>
    </row>
    <row r="21" spans="1:19" x14ac:dyDescent="0.35">
      <c r="A21" s="6" t="s">
        <v>43</v>
      </c>
      <c r="B21" s="7" t="s">
        <v>44</v>
      </c>
      <c r="C21" s="21">
        <f>('[1]aa ratios'!AF23/60.61)*C$2</f>
        <v>3.3986519486186633</v>
      </c>
      <c r="D21" s="22" t="s">
        <v>61</v>
      </c>
      <c r="E21" s="36">
        <f t="shared" si="0"/>
        <v>0.51421603982600383</v>
      </c>
      <c r="F21" s="36">
        <f t="shared" si="1"/>
        <v>0.55535332301208418</v>
      </c>
      <c r="G21" t="s">
        <v>61</v>
      </c>
      <c r="L21" s="23"/>
      <c r="M21" s="23"/>
      <c r="N21" s="23"/>
      <c r="P21" s="23"/>
      <c r="Q21" s="23"/>
      <c r="R21" s="23"/>
      <c r="S21" s="23"/>
    </row>
    <row r="22" spans="1:19" x14ac:dyDescent="0.35">
      <c r="A22" s="6" t="s">
        <v>45</v>
      </c>
      <c r="B22" s="7" t="s">
        <v>46</v>
      </c>
      <c r="C22" s="21">
        <f>('[1]aa ratios'!AF24/60.61)*C$2</f>
        <v>3.2282786032087762</v>
      </c>
      <c r="D22" s="22" t="s">
        <v>61</v>
      </c>
      <c r="E22" s="36">
        <f t="shared" si="0"/>
        <v>0.48843855266548786</v>
      </c>
      <c r="F22" s="36">
        <f t="shared" si="1"/>
        <v>0.52751363687872688</v>
      </c>
      <c r="G22" t="s">
        <v>61</v>
      </c>
      <c r="L22" s="23"/>
      <c r="M22" s="23"/>
      <c r="N22" s="23"/>
      <c r="P22" s="23"/>
      <c r="Q22" s="23"/>
      <c r="R22" s="23"/>
      <c r="S22" s="23"/>
    </row>
    <row r="23" spans="1:19" x14ac:dyDescent="0.35">
      <c r="A23" s="6" t="s">
        <v>47</v>
      </c>
      <c r="B23" s="7" t="s">
        <v>48</v>
      </c>
      <c r="C23" s="21">
        <f>('[1]aa ratios'!AF25/60.61)*C$2</f>
        <v>3.7002084936608504</v>
      </c>
      <c r="D23" s="22" t="s">
        <v>61</v>
      </c>
      <c r="E23" s="36">
        <f t="shared" si="0"/>
        <v>0.55984154509088668</v>
      </c>
      <c r="F23" s="36">
        <f t="shared" si="1"/>
        <v>0.60462886869815768</v>
      </c>
      <c r="G23" t="s">
        <v>61</v>
      </c>
      <c r="L23" s="23"/>
      <c r="M23" s="23"/>
      <c r="N23" s="23"/>
      <c r="P23" s="23"/>
      <c r="Q23" s="23"/>
      <c r="R23" s="23"/>
      <c r="S23" s="23"/>
    </row>
    <row r="24" spans="1:19" x14ac:dyDescent="0.35">
      <c r="A24" s="6" t="s">
        <v>49</v>
      </c>
      <c r="B24" s="7" t="s">
        <v>50</v>
      </c>
      <c r="C24" s="21">
        <f>('[1]aa ratios'!AF26/60.61)*C$2</f>
        <v>4.5478874363242907</v>
      </c>
      <c r="D24" s="22" t="s">
        <v>61</v>
      </c>
      <c r="E24" s="36">
        <f t="shared" si="0"/>
        <v>0.68809536911586522</v>
      </c>
      <c r="F24" s="36">
        <f t="shared" si="1"/>
        <v>0.74314299864513444</v>
      </c>
      <c r="G24" t="s">
        <v>61</v>
      </c>
      <c r="L24" s="24"/>
      <c r="M24" s="24"/>
      <c r="N24" s="24"/>
      <c r="P24" s="24"/>
      <c r="Q24" s="23"/>
      <c r="R24" s="23"/>
      <c r="S24" s="23"/>
    </row>
    <row r="25" spans="1:19" x14ac:dyDescent="0.35">
      <c r="A25" s="6" t="s">
        <v>51</v>
      </c>
      <c r="B25" s="7" t="s">
        <v>52</v>
      </c>
      <c r="C25" s="21"/>
      <c r="D25" s="22"/>
      <c r="E25" s="36">
        <v>0.46</v>
      </c>
      <c r="F25" s="36">
        <f t="shared" si="1"/>
        <v>0.49680000000000007</v>
      </c>
      <c r="G25" t="s">
        <v>61</v>
      </c>
      <c r="L25" s="23"/>
      <c r="M25" s="23"/>
      <c r="N25" s="23"/>
      <c r="P25" s="23"/>
      <c r="Q25" s="23"/>
      <c r="R25" s="23"/>
      <c r="S25" s="23"/>
    </row>
    <row r="26" spans="1:19" x14ac:dyDescent="0.35">
      <c r="A26" s="6"/>
      <c r="E26" s="29"/>
      <c r="F26" s="23"/>
    </row>
    <row r="27" spans="1:19" x14ac:dyDescent="0.35">
      <c r="A27" s="6"/>
      <c r="D27" t="s">
        <v>63</v>
      </c>
      <c r="E27" s="30">
        <f>SUM(E4:E25)</f>
        <v>10.678510201187013</v>
      </c>
      <c r="F27" s="30">
        <f>SUM(F4:F25)</f>
        <v>11.532791017281978</v>
      </c>
      <c r="L27" s="23"/>
      <c r="M27" s="23"/>
      <c r="N27" s="23"/>
      <c r="P27" s="23"/>
      <c r="Q27" s="23"/>
      <c r="R27" s="23"/>
      <c r="S27" s="23"/>
    </row>
    <row r="28" spans="1:19" x14ac:dyDescent="0.35">
      <c r="A28" s="6"/>
      <c r="B28" s="18" t="s">
        <v>64</v>
      </c>
      <c r="C28" s="12" t="s">
        <v>53</v>
      </c>
      <c r="E28" s="16"/>
      <c r="F28" s="29"/>
      <c r="L28" s="16"/>
      <c r="M28" s="16"/>
      <c r="N28" s="16"/>
      <c r="P28" s="31"/>
      <c r="Q28" s="31"/>
      <c r="R28" s="31"/>
      <c r="S28" s="31"/>
    </row>
    <row r="29" spans="1:19" x14ac:dyDescent="0.35">
      <c r="A29" s="6"/>
      <c r="B29" s="18"/>
      <c r="C29" s="12"/>
      <c r="E29" s="16"/>
    </row>
    <row r="30" spans="1:19" x14ac:dyDescent="0.35">
      <c r="A30" s="6"/>
      <c r="C30" s="12">
        <v>200</v>
      </c>
      <c r="D30" t="s">
        <v>55</v>
      </c>
    </row>
    <row r="31" spans="1:19" x14ac:dyDescent="0.35">
      <c r="A31" s="6" t="s">
        <v>38</v>
      </c>
      <c r="B31" s="32" t="s">
        <v>65</v>
      </c>
      <c r="C31" s="33">
        <f>C30/10</f>
        <v>20</v>
      </c>
      <c r="D31" s="22" t="s">
        <v>61</v>
      </c>
      <c r="E31" t="str">
        <f>"makes "&amp;(C31*1000)/C30&amp;"mg/ml stock (If using the free acid, this will only be soluble by adding NaOH)"</f>
        <v>makes 100mg/ml stock (If using the free acid, this will only be soluble by adding NaOH)</v>
      </c>
      <c r="L31" s="26"/>
      <c r="M31" s="18"/>
    </row>
    <row r="32" spans="1:19" x14ac:dyDescent="0.35">
      <c r="A32" s="6" t="s">
        <v>34</v>
      </c>
      <c r="B32" s="34" t="s">
        <v>66</v>
      </c>
      <c r="C32" s="22">
        <f>C30/20</f>
        <v>10</v>
      </c>
      <c r="D32" s="22" t="s">
        <v>61</v>
      </c>
      <c r="E32" t="str">
        <f>"makes "&amp;C32*1000/C30&amp;"mg/ml stock (Use L-Cysteine hydrochloride)"</f>
        <v>makes 50mg/ml stock (Use L-Cysteine hydrochloride)</v>
      </c>
      <c r="L32" s="26"/>
      <c r="M32" s="18"/>
    </row>
    <row r="33" spans="1:13" x14ac:dyDescent="0.35">
      <c r="A33" s="6"/>
      <c r="L33" s="26"/>
      <c r="M33" s="18"/>
    </row>
    <row r="34" spans="1:13" x14ac:dyDescent="0.35">
      <c r="A34" s="6"/>
      <c r="D34" s="18"/>
      <c r="L34" s="26"/>
      <c r="M34" s="18"/>
    </row>
    <row r="35" spans="1:13" x14ac:dyDescent="0.35">
      <c r="A35" s="6"/>
      <c r="B35" t="s">
        <v>67</v>
      </c>
    </row>
    <row r="36" spans="1:13" x14ac:dyDescent="0.35">
      <c r="A36" s="6"/>
      <c r="B36" t="s">
        <v>68</v>
      </c>
      <c r="D36" s="18"/>
    </row>
    <row r="37" spans="1:13" x14ac:dyDescent="0.35">
      <c r="A37" s="6"/>
      <c r="B37" t="s">
        <v>69</v>
      </c>
      <c r="D37" s="18"/>
      <c r="G37" s="35"/>
    </row>
    <row r="38" spans="1:13" x14ac:dyDescent="0.35">
      <c r="A38" s="6"/>
      <c r="D38" s="18"/>
      <c r="G38" s="35"/>
    </row>
    <row r="39" spans="1:13" x14ac:dyDescent="0.35">
      <c r="A39" s="6"/>
      <c r="B39" t="s">
        <v>70</v>
      </c>
      <c r="D39" s="18"/>
      <c r="G39" s="35"/>
    </row>
    <row r="40" spans="1:13" x14ac:dyDescent="0.35">
      <c r="A40" s="6"/>
      <c r="B40" t="s">
        <v>71</v>
      </c>
      <c r="D40" s="18"/>
      <c r="G40" s="35"/>
    </row>
    <row r="41" spans="1:13" x14ac:dyDescent="0.35">
      <c r="A41" s="6"/>
      <c r="B41" t="s">
        <v>72</v>
      </c>
      <c r="D41" s="18"/>
      <c r="G41" s="35"/>
    </row>
    <row r="42" spans="1:13" x14ac:dyDescent="0.35">
      <c r="A42" s="6"/>
      <c r="B42" t="s">
        <v>73</v>
      </c>
      <c r="D42" s="18"/>
      <c r="G42" s="35"/>
    </row>
    <row r="43" spans="1:13" x14ac:dyDescent="0.35">
      <c r="A43" s="6"/>
      <c r="B43" t="s">
        <v>74</v>
      </c>
      <c r="G43" s="35"/>
    </row>
    <row r="44" spans="1:13" x14ac:dyDescent="0.35">
      <c r="A44" s="6"/>
      <c r="G44" s="35"/>
    </row>
    <row r="45" spans="1:13" x14ac:dyDescent="0.35">
      <c r="A45" s="6"/>
      <c r="B45" t="s">
        <v>75</v>
      </c>
      <c r="G45" s="35"/>
    </row>
    <row r="46" spans="1:13" x14ac:dyDescent="0.35">
      <c r="A46" s="6"/>
      <c r="D46" s="18" t="s">
        <v>76</v>
      </c>
      <c r="E46" t="s">
        <v>77</v>
      </c>
      <c r="G46" s="35"/>
    </row>
    <row r="47" spans="1:13" x14ac:dyDescent="0.35">
      <c r="A47" s="6"/>
      <c r="D47" s="18" t="s">
        <v>78</v>
      </c>
      <c r="E47" t="s">
        <v>79</v>
      </c>
      <c r="G47" s="35"/>
    </row>
    <row r="48" spans="1:13" x14ac:dyDescent="0.35">
      <c r="A48" s="6"/>
      <c r="C48" t="s">
        <v>80</v>
      </c>
      <c r="G48" s="3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A7DBB-B21C-4A83-A7A3-B4903C5D8C34}">
  <dimension ref="A1:K25"/>
  <sheetViews>
    <sheetView workbookViewId="0">
      <selection activeCell="S11" sqref="S11"/>
    </sheetView>
  </sheetViews>
  <sheetFormatPr defaultRowHeight="14.5" x14ac:dyDescent="0.35"/>
  <cols>
    <col min="7" max="7" width="9.36328125" bestFit="1" customWidth="1"/>
  </cols>
  <sheetData>
    <row r="1" spans="1:11" ht="15.5" x14ac:dyDescent="0.35">
      <c r="A1" s="1" t="s">
        <v>0</v>
      </c>
      <c r="B1" s="2"/>
      <c r="C1" s="2"/>
      <c r="D1" s="3"/>
      <c r="E1" s="2"/>
      <c r="F1" s="2"/>
      <c r="G1" s="2"/>
      <c r="H1" s="2"/>
      <c r="I1" s="2"/>
      <c r="J1" s="2"/>
      <c r="K1" s="2"/>
    </row>
    <row r="2" spans="1:11" ht="72.5" x14ac:dyDescent="0.35">
      <c r="A2" s="4" t="s">
        <v>1</v>
      </c>
      <c r="C2" s="5" t="s">
        <v>2</v>
      </c>
      <c r="D2" s="5"/>
      <c r="E2" s="5" t="s">
        <v>3</v>
      </c>
      <c r="F2" s="5" t="s">
        <v>4</v>
      </c>
      <c r="G2" s="5" t="s">
        <v>5</v>
      </c>
      <c r="H2" s="5" t="s">
        <v>6</v>
      </c>
      <c r="I2" s="5" t="s">
        <v>7</v>
      </c>
      <c r="J2" s="5" t="s">
        <v>8</v>
      </c>
      <c r="K2" s="5" t="s">
        <v>9</v>
      </c>
    </row>
    <row r="3" spans="1:11" x14ac:dyDescent="0.35">
      <c r="A3" s="6" t="s">
        <v>10</v>
      </c>
      <c r="B3" s="7" t="s">
        <v>11</v>
      </c>
      <c r="C3" s="37">
        <v>0.54398954783571363</v>
      </c>
      <c r="D3" s="8"/>
      <c r="E3" s="9">
        <f>($C3*6000)/100</f>
        <v>32.639372870142815</v>
      </c>
      <c r="F3">
        <f>(C3*1000)/E3</f>
        <v>16.666666666666668</v>
      </c>
      <c r="G3" s="9">
        <f t="shared" ref="G3:G4" si="0">($C3*72000)/$E3</f>
        <v>1200</v>
      </c>
      <c r="H3" s="9">
        <f>($C3*6000)/$E3</f>
        <v>100</v>
      </c>
      <c r="I3" s="9">
        <f>($C3*6000*0.5)/$E3</f>
        <v>50</v>
      </c>
      <c r="J3" s="9">
        <f>($C3*6000*0.75)/$E3</f>
        <v>75</v>
      </c>
    </row>
    <row r="4" spans="1:11" x14ac:dyDescent="0.35">
      <c r="A4" s="6" t="s">
        <v>12</v>
      </c>
      <c r="B4" s="7" t="s">
        <v>13</v>
      </c>
      <c r="C4" s="37">
        <v>0.35275632380882888</v>
      </c>
      <c r="D4" s="8"/>
      <c r="E4" s="9">
        <f t="shared" ref="E4:E6" si="1">($C4*6000)/100</f>
        <v>21.165379428529732</v>
      </c>
      <c r="F4">
        <f t="shared" ref="F4:F23" si="2">(C4*1000)/E4</f>
        <v>16.666666666666668</v>
      </c>
      <c r="G4" s="9">
        <f t="shared" si="0"/>
        <v>1200</v>
      </c>
      <c r="H4" s="9">
        <f t="shared" ref="H4:H23" si="3">($C4*6000)/$E4</f>
        <v>100</v>
      </c>
      <c r="I4" s="9">
        <f t="shared" ref="I4:I23" si="4">($C4*6000*0.5)/$E4</f>
        <v>50</v>
      </c>
      <c r="J4" s="9">
        <f t="shared" ref="J4:J23" si="5">($C4*6000*0.75)/$E4</f>
        <v>75</v>
      </c>
    </row>
    <row r="5" spans="1:11" x14ac:dyDescent="0.35">
      <c r="A5" s="6" t="s">
        <v>14</v>
      </c>
      <c r="B5" s="7" t="s">
        <v>15</v>
      </c>
      <c r="C5" s="37">
        <v>0.60480000000000012</v>
      </c>
      <c r="D5" s="8"/>
      <c r="E5" s="9">
        <f t="shared" si="1"/>
        <v>36.288000000000004</v>
      </c>
      <c r="F5">
        <f t="shared" si="2"/>
        <v>16.666666666666668</v>
      </c>
      <c r="G5" s="9">
        <f>($C5*72000)/$E5</f>
        <v>1200</v>
      </c>
      <c r="H5" s="9">
        <f t="shared" si="3"/>
        <v>100</v>
      </c>
      <c r="I5" s="9">
        <f t="shared" si="4"/>
        <v>50</v>
      </c>
      <c r="J5" s="9">
        <f t="shared" si="5"/>
        <v>75</v>
      </c>
      <c r="K5" t="s">
        <v>16</v>
      </c>
    </row>
    <row r="6" spans="1:11" x14ac:dyDescent="0.35">
      <c r="A6" s="6" t="s">
        <v>17</v>
      </c>
      <c r="B6" s="7" t="s">
        <v>18</v>
      </c>
      <c r="C6" s="37">
        <v>0.73619385322159758</v>
      </c>
      <c r="D6" s="8"/>
      <c r="E6" s="9">
        <f t="shared" si="1"/>
        <v>44.171631193295852</v>
      </c>
      <c r="F6">
        <f t="shared" si="2"/>
        <v>16.666666666666668</v>
      </c>
      <c r="G6" s="9">
        <f t="shared" ref="G6:G23" si="6">($C6*72000)/$E6</f>
        <v>1200</v>
      </c>
      <c r="H6" s="9">
        <f t="shared" si="3"/>
        <v>100</v>
      </c>
      <c r="I6" s="9">
        <f t="shared" si="4"/>
        <v>50</v>
      </c>
      <c r="J6" s="9">
        <f t="shared" si="5"/>
        <v>75</v>
      </c>
    </row>
    <row r="7" spans="1:11" x14ac:dyDescent="0.35">
      <c r="A7" s="6" t="s">
        <v>19</v>
      </c>
      <c r="B7" s="7" t="s">
        <v>20</v>
      </c>
      <c r="C7" s="37">
        <v>1.1016000000000001</v>
      </c>
      <c r="D7" s="8"/>
      <c r="E7" s="9">
        <f>($C7*6000)/125</f>
        <v>52.876800000000003</v>
      </c>
      <c r="F7">
        <f t="shared" si="2"/>
        <v>20.833333333333336</v>
      </c>
      <c r="G7" s="9">
        <f t="shared" si="6"/>
        <v>1500.0000000000002</v>
      </c>
      <c r="H7" s="9">
        <f t="shared" si="3"/>
        <v>125</v>
      </c>
      <c r="I7" s="9">
        <f t="shared" si="4"/>
        <v>62.5</v>
      </c>
      <c r="J7" s="9">
        <f t="shared" si="5"/>
        <v>93.750000000000014</v>
      </c>
      <c r="K7" t="s">
        <v>16</v>
      </c>
    </row>
    <row r="8" spans="1:11" x14ac:dyDescent="0.35">
      <c r="A8" s="6" t="s">
        <v>21</v>
      </c>
      <c r="B8" s="7" t="s">
        <v>22</v>
      </c>
      <c r="C8" s="37">
        <v>0.32540977769298612</v>
      </c>
      <c r="D8" s="8"/>
      <c r="E8" s="9">
        <f>($C8*6000)/100</f>
        <v>19.524586661579168</v>
      </c>
      <c r="F8">
        <f t="shared" si="2"/>
        <v>16.666666666666664</v>
      </c>
      <c r="G8" s="9">
        <f t="shared" si="6"/>
        <v>1200</v>
      </c>
      <c r="H8" s="9">
        <f t="shared" si="3"/>
        <v>100</v>
      </c>
      <c r="I8" s="9">
        <f t="shared" si="4"/>
        <v>50</v>
      </c>
      <c r="J8" s="9">
        <f t="shared" si="5"/>
        <v>75</v>
      </c>
    </row>
    <row r="9" spans="1:11" x14ac:dyDescent="0.35">
      <c r="A9" s="6" t="s">
        <v>23</v>
      </c>
      <c r="B9" s="7" t="s">
        <v>24</v>
      </c>
      <c r="C9" s="37">
        <v>0.87965372425798016</v>
      </c>
      <c r="D9" s="8"/>
      <c r="E9" s="9">
        <f t="shared" ref="E9:E23" si="7">($C9*6000)/100</f>
        <v>52.779223455478814</v>
      </c>
      <c r="F9">
        <f t="shared" si="2"/>
        <v>16.666666666666664</v>
      </c>
      <c r="G9" s="9">
        <f t="shared" si="6"/>
        <v>1200</v>
      </c>
      <c r="H9" s="9">
        <f t="shared" si="3"/>
        <v>100</v>
      </c>
      <c r="I9" s="9">
        <f t="shared" si="4"/>
        <v>50</v>
      </c>
      <c r="J9" s="9">
        <f t="shared" si="5"/>
        <v>75</v>
      </c>
    </row>
    <row r="10" spans="1:11" x14ac:dyDescent="0.35">
      <c r="A10" s="6" t="s">
        <v>25</v>
      </c>
      <c r="B10" s="7" t="s">
        <v>26</v>
      </c>
      <c r="C10" s="37">
        <v>0.59700515629954209</v>
      </c>
      <c r="D10" s="8"/>
      <c r="E10" s="9">
        <f t="shared" si="7"/>
        <v>35.820309377972528</v>
      </c>
      <c r="F10">
        <f t="shared" si="2"/>
        <v>16.666666666666668</v>
      </c>
      <c r="G10" s="9">
        <f t="shared" si="6"/>
        <v>1199.9999999999998</v>
      </c>
      <c r="H10" s="9">
        <f t="shared" si="3"/>
        <v>100</v>
      </c>
      <c r="I10" s="9">
        <f t="shared" si="4"/>
        <v>50</v>
      </c>
      <c r="J10" s="9">
        <f t="shared" si="5"/>
        <v>75</v>
      </c>
    </row>
    <row r="11" spans="1:11" x14ac:dyDescent="0.35">
      <c r="A11" s="6" t="s">
        <v>27</v>
      </c>
      <c r="B11" s="7" t="s">
        <v>28</v>
      </c>
      <c r="C11" s="37">
        <v>0.64740095873805181</v>
      </c>
      <c r="D11" s="8"/>
      <c r="E11" s="9">
        <f t="shared" si="7"/>
        <v>38.844057524283109</v>
      </c>
      <c r="F11">
        <f t="shared" si="2"/>
        <v>16.666666666666668</v>
      </c>
      <c r="G11" s="9">
        <f t="shared" si="6"/>
        <v>1200</v>
      </c>
      <c r="H11" s="9">
        <f t="shared" si="3"/>
        <v>100</v>
      </c>
      <c r="I11" s="9">
        <f t="shared" si="4"/>
        <v>50</v>
      </c>
      <c r="J11" s="9">
        <f t="shared" si="5"/>
        <v>75</v>
      </c>
      <c r="K11" t="s">
        <v>16</v>
      </c>
    </row>
    <row r="12" spans="1:11" x14ac:dyDescent="0.35">
      <c r="A12" s="6" t="s">
        <v>29</v>
      </c>
      <c r="B12" s="7" t="s">
        <v>30</v>
      </c>
      <c r="C12" s="37">
        <v>0.17328239362260023</v>
      </c>
      <c r="D12" s="8"/>
      <c r="E12" s="9">
        <f t="shared" si="7"/>
        <v>10.396943617356014</v>
      </c>
      <c r="F12">
        <f t="shared" si="2"/>
        <v>16.666666666666668</v>
      </c>
      <c r="G12" s="9">
        <f t="shared" si="6"/>
        <v>1200</v>
      </c>
      <c r="H12" s="9">
        <f t="shared" si="3"/>
        <v>100</v>
      </c>
      <c r="I12" s="9">
        <f t="shared" si="4"/>
        <v>50</v>
      </c>
      <c r="J12" s="9">
        <f t="shared" si="5"/>
        <v>75</v>
      </c>
    </row>
    <row r="13" spans="1:11" x14ac:dyDescent="0.35">
      <c r="A13" s="10" t="s">
        <v>31</v>
      </c>
      <c r="D13" s="8"/>
      <c r="E13" s="9"/>
      <c r="G13" s="9"/>
      <c r="H13" s="9"/>
      <c r="I13" s="9"/>
      <c r="J13" s="9"/>
    </row>
    <row r="14" spans="1:11" x14ac:dyDescent="0.35">
      <c r="A14" s="6" t="s">
        <v>32</v>
      </c>
      <c r="B14" s="7" t="s">
        <v>33</v>
      </c>
      <c r="C14" s="37">
        <v>0.59402226929439184</v>
      </c>
      <c r="D14" s="8"/>
      <c r="E14" s="9">
        <f t="shared" si="7"/>
        <v>35.64133615766351</v>
      </c>
      <c r="F14">
        <f t="shared" si="2"/>
        <v>16.666666666666668</v>
      </c>
      <c r="G14" s="9">
        <f t="shared" si="6"/>
        <v>1200</v>
      </c>
      <c r="H14" s="9">
        <f t="shared" si="3"/>
        <v>100</v>
      </c>
      <c r="I14" s="9">
        <f t="shared" si="4"/>
        <v>50</v>
      </c>
      <c r="J14" s="9">
        <f t="shared" si="5"/>
        <v>75</v>
      </c>
    </row>
    <row r="15" spans="1:11" x14ac:dyDescent="0.35">
      <c r="A15" s="6" t="s">
        <v>34</v>
      </c>
      <c r="B15" s="7" t="s">
        <v>35</v>
      </c>
      <c r="C15" s="37">
        <v>0.18360000000000001</v>
      </c>
      <c r="D15" s="8"/>
      <c r="E15" s="9">
        <f t="shared" si="7"/>
        <v>11.016000000000002</v>
      </c>
      <c r="F15">
        <f t="shared" si="2"/>
        <v>16.666666666666664</v>
      </c>
      <c r="G15" s="9">
        <f t="shared" si="6"/>
        <v>1199.9999999999998</v>
      </c>
      <c r="H15" s="9">
        <f t="shared" si="3"/>
        <v>100</v>
      </c>
      <c r="I15" s="9">
        <f t="shared" si="4"/>
        <v>50</v>
      </c>
      <c r="J15" s="9">
        <f t="shared" si="5"/>
        <v>74.999999999999986</v>
      </c>
    </row>
    <row r="16" spans="1:11" x14ac:dyDescent="0.35">
      <c r="A16" s="6" t="s">
        <v>36</v>
      </c>
      <c r="B16" s="7" t="s">
        <v>37</v>
      </c>
      <c r="C16" s="37">
        <v>0.63202657254485739</v>
      </c>
      <c r="D16" s="8"/>
      <c r="E16" s="9">
        <f t="shared" si="7"/>
        <v>37.921594352691443</v>
      </c>
      <c r="F16">
        <f t="shared" si="2"/>
        <v>16.666666666666664</v>
      </c>
      <c r="G16" s="9">
        <f t="shared" si="6"/>
        <v>1200</v>
      </c>
      <c r="H16" s="9">
        <f t="shared" si="3"/>
        <v>100</v>
      </c>
      <c r="I16" s="9">
        <f t="shared" si="4"/>
        <v>50</v>
      </c>
      <c r="J16" s="9">
        <f t="shared" si="5"/>
        <v>75</v>
      </c>
    </row>
    <row r="17" spans="1:11" x14ac:dyDescent="0.35">
      <c r="A17" s="6" t="s">
        <v>38</v>
      </c>
      <c r="B17" s="7" t="s">
        <v>39</v>
      </c>
      <c r="C17" s="37">
        <v>0.81972000000000012</v>
      </c>
      <c r="D17" s="8"/>
      <c r="E17" s="9">
        <f t="shared" si="7"/>
        <v>49.183200000000006</v>
      </c>
      <c r="F17">
        <f t="shared" si="2"/>
        <v>16.666666666666668</v>
      </c>
      <c r="G17" s="9">
        <f t="shared" si="6"/>
        <v>1200</v>
      </c>
      <c r="H17" s="9">
        <f t="shared" si="3"/>
        <v>100</v>
      </c>
      <c r="I17" s="9">
        <f t="shared" si="4"/>
        <v>50</v>
      </c>
      <c r="J17" s="9">
        <f t="shared" si="5"/>
        <v>75</v>
      </c>
      <c r="K17" t="s">
        <v>40</v>
      </c>
    </row>
    <row r="18" spans="1:11" x14ac:dyDescent="0.35">
      <c r="A18" s="6" t="s">
        <v>41</v>
      </c>
      <c r="B18" s="7" t="s">
        <v>42</v>
      </c>
      <c r="C18" s="37">
        <v>0.41389161273132252</v>
      </c>
      <c r="D18" s="8"/>
      <c r="E18" s="9">
        <f t="shared" si="7"/>
        <v>24.833496763879353</v>
      </c>
      <c r="F18">
        <f t="shared" si="2"/>
        <v>16.666666666666668</v>
      </c>
      <c r="G18" s="9">
        <f t="shared" si="6"/>
        <v>1200</v>
      </c>
      <c r="H18" s="9">
        <f t="shared" si="3"/>
        <v>100</v>
      </c>
      <c r="I18" s="9">
        <f t="shared" si="4"/>
        <v>50</v>
      </c>
      <c r="J18" s="9">
        <f t="shared" si="5"/>
        <v>75</v>
      </c>
    </row>
    <row r="19" spans="1:11" x14ac:dyDescent="0.35">
      <c r="A19" s="6" t="s">
        <v>43</v>
      </c>
      <c r="B19" s="7" t="s">
        <v>44</v>
      </c>
      <c r="C19" s="37">
        <v>0.55535332301208418</v>
      </c>
      <c r="D19" s="8"/>
      <c r="E19" s="9">
        <f t="shared" si="7"/>
        <v>33.321199380725055</v>
      </c>
      <c r="F19">
        <f t="shared" si="2"/>
        <v>16.666666666666664</v>
      </c>
      <c r="G19" s="9">
        <f t="shared" si="6"/>
        <v>1200</v>
      </c>
      <c r="H19" s="9">
        <f t="shared" si="3"/>
        <v>99.999999999999986</v>
      </c>
      <c r="I19" s="9">
        <f t="shared" si="4"/>
        <v>49.999999999999993</v>
      </c>
      <c r="J19" s="9">
        <f t="shared" si="5"/>
        <v>75</v>
      </c>
    </row>
    <row r="20" spans="1:11" x14ac:dyDescent="0.35">
      <c r="A20" s="6" t="s">
        <v>45</v>
      </c>
      <c r="B20" s="7" t="s">
        <v>46</v>
      </c>
      <c r="C20" s="37">
        <v>0.52751363687872688</v>
      </c>
      <c r="D20" s="8"/>
      <c r="E20" s="9">
        <f t="shared" si="7"/>
        <v>31.65081821272361</v>
      </c>
      <c r="F20">
        <f t="shared" si="2"/>
        <v>16.666666666666668</v>
      </c>
      <c r="G20" s="9">
        <f t="shared" si="6"/>
        <v>1200</v>
      </c>
      <c r="H20" s="9">
        <f t="shared" si="3"/>
        <v>100</v>
      </c>
      <c r="I20" s="9">
        <f t="shared" si="4"/>
        <v>50</v>
      </c>
      <c r="J20" s="9">
        <f t="shared" si="5"/>
        <v>75</v>
      </c>
    </row>
    <row r="21" spans="1:11" x14ac:dyDescent="0.35">
      <c r="A21" s="6" t="s">
        <v>47</v>
      </c>
      <c r="B21" s="7" t="s">
        <v>48</v>
      </c>
      <c r="C21" s="37">
        <v>0.60462886869815768</v>
      </c>
      <c r="D21" s="8"/>
      <c r="E21" s="9">
        <f t="shared" si="7"/>
        <v>36.277732121889464</v>
      </c>
      <c r="F21">
        <f t="shared" si="2"/>
        <v>16.666666666666664</v>
      </c>
      <c r="G21" s="9">
        <f t="shared" si="6"/>
        <v>1200</v>
      </c>
      <c r="H21" s="9">
        <f t="shared" si="3"/>
        <v>100</v>
      </c>
      <c r="I21" s="9">
        <f t="shared" si="4"/>
        <v>50</v>
      </c>
      <c r="J21" s="9">
        <f t="shared" si="5"/>
        <v>75</v>
      </c>
    </row>
    <row r="22" spans="1:11" x14ac:dyDescent="0.35">
      <c r="A22" s="6" t="s">
        <v>49</v>
      </c>
      <c r="B22" s="7" t="s">
        <v>50</v>
      </c>
      <c r="C22" s="37">
        <v>0.74314299864513444</v>
      </c>
      <c r="D22" s="8"/>
      <c r="E22" s="9">
        <f t="shared" si="7"/>
        <v>44.588579918708064</v>
      </c>
      <c r="F22">
        <f t="shared" si="2"/>
        <v>16.666666666666668</v>
      </c>
      <c r="G22" s="9">
        <f t="shared" si="6"/>
        <v>1200</v>
      </c>
      <c r="H22" s="9">
        <f t="shared" si="3"/>
        <v>100</v>
      </c>
      <c r="I22" s="9">
        <f t="shared" si="4"/>
        <v>50</v>
      </c>
      <c r="J22" s="9">
        <f t="shared" si="5"/>
        <v>75</v>
      </c>
    </row>
    <row r="23" spans="1:11" x14ac:dyDescent="0.35">
      <c r="A23" s="6" t="s">
        <v>51</v>
      </c>
      <c r="B23" s="7" t="s">
        <v>52</v>
      </c>
      <c r="C23" s="37">
        <v>0.49680000000000007</v>
      </c>
      <c r="D23" s="8"/>
      <c r="E23" s="9">
        <f t="shared" si="7"/>
        <v>29.808000000000007</v>
      </c>
      <c r="F23">
        <f t="shared" si="2"/>
        <v>16.666666666666664</v>
      </c>
      <c r="G23" s="9">
        <f t="shared" si="6"/>
        <v>1200</v>
      </c>
      <c r="H23" s="9">
        <f t="shared" si="3"/>
        <v>100</v>
      </c>
      <c r="I23" s="9">
        <f t="shared" si="4"/>
        <v>50</v>
      </c>
      <c r="J23" s="9">
        <f t="shared" si="5"/>
        <v>75</v>
      </c>
    </row>
    <row r="24" spans="1:11" x14ac:dyDescent="0.35">
      <c r="D24" s="8"/>
      <c r="I24" s="9"/>
      <c r="J24" s="9"/>
    </row>
    <row r="25" spans="1:11" x14ac:dyDescent="0.35">
      <c r="D25" s="8"/>
      <c r="H25" s="9">
        <f>SUM(H5,H7,H11,(H18*0.25))</f>
        <v>350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F5C2-F9B3-4B89-8E13-DB835F28DB3E}">
  <dimension ref="A1:E38"/>
  <sheetViews>
    <sheetView workbookViewId="0">
      <selection activeCell="K9" sqref="K9"/>
    </sheetView>
  </sheetViews>
  <sheetFormatPr defaultRowHeight="14.5" x14ac:dyDescent="0.35"/>
  <cols>
    <col min="2" max="2" width="19.90625" bestFit="1" customWidth="1"/>
  </cols>
  <sheetData>
    <row r="1" spans="1:5" x14ac:dyDescent="0.35">
      <c r="C1" s="51" t="s">
        <v>171</v>
      </c>
    </row>
    <row r="2" spans="1:5" ht="29" x14ac:dyDescent="0.35">
      <c r="A2" s="52"/>
      <c r="B2" s="53" t="s">
        <v>124</v>
      </c>
      <c r="C2" s="54" t="s">
        <v>125</v>
      </c>
    </row>
    <row r="3" spans="1:5" x14ac:dyDescent="0.35">
      <c r="A3" s="52"/>
      <c r="B3" s="52"/>
      <c r="C3" s="52"/>
    </row>
    <row r="4" spans="1:5" x14ac:dyDescent="0.35">
      <c r="A4" s="55" t="s">
        <v>126</v>
      </c>
      <c r="B4" s="56"/>
      <c r="C4" s="57">
        <v>7</v>
      </c>
      <c r="D4" t="s">
        <v>61</v>
      </c>
      <c r="E4" s="58" t="s">
        <v>127</v>
      </c>
    </row>
    <row r="5" spans="1:5" x14ac:dyDescent="0.35">
      <c r="A5" s="59"/>
      <c r="B5" s="22"/>
      <c r="C5" s="60"/>
      <c r="E5" s="58"/>
    </row>
    <row r="6" spans="1:5" x14ac:dyDescent="0.35">
      <c r="A6" s="55" t="s">
        <v>14</v>
      </c>
      <c r="B6" s="56"/>
      <c r="C6" s="78">
        <v>0.6</v>
      </c>
      <c r="D6" t="s">
        <v>61</v>
      </c>
      <c r="E6" s="58"/>
    </row>
    <row r="7" spans="1:5" x14ac:dyDescent="0.35">
      <c r="A7" s="76" t="s">
        <v>19</v>
      </c>
      <c r="B7" s="77"/>
      <c r="C7" s="78">
        <v>1.1000000000000001</v>
      </c>
      <c r="D7" t="s">
        <v>61</v>
      </c>
      <c r="E7" s="58"/>
    </row>
    <row r="8" spans="1:5" x14ac:dyDescent="0.35">
      <c r="A8" s="55" t="s">
        <v>51</v>
      </c>
      <c r="B8" s="56"/>
      <c r="C8" s="78">
        <v>0.5</v>
      </c>
      <c r="D8" t="s">
        <v>61</v>
      </c>
      <c r="E8" s="58"/>
    </row>
    <row r="9" spans="1:5" x14ac:dyDescent="0.35">
      <c r="A9" s="59"/>
      <c r="B9" s="22"/>
      <c r="C9" s="60"/>
      <c r="E9" s="58"/>
    </row>
    <row r="10" spans="1:5" x14ac:dyDescent="0.35">
      <c r="A10" s="55" t="s">
        <v>128</v>
      </c>
      <c r="B10" s="56"/>
      <c r="C10" s="62">
        <v>17.13</v>
      </c>
      <c r="D10" t="s">
        <v>61</v>
      </c>
      <c r="E10" s="58"/>
    </row>
    <row r="11" spans="1:5" x14ac:dyDescent="0.35">
      <c r="A11" s="59"/>
      <c r="B11" s="22"/>
      <c r="C11" s="60"/>
      <c r="E11" s="58"/>
    </row>
    <row r="12" spans="1:5" x14ac:dyDescent="0.35">
      <c r="A12" s="55" t="s">
        <v>129</v>
      </c>
      <c r="B12" s="56"/>
      <c r="C12" s="57">
        <v>15</v>
      </c>
      <c r="D12" t="s">
        <v>130</v>
      </c>
      <c r="E12" s="58"/>
    </row>
    <row r="13" spans="1:5" x14ac:dyDescent="0.35">
      <c r="A13" s="59"/>
      <c r="B13" s="22"/>
      <c r="C13" s="60"/>
      <c r="E13" s="58"/>
    </row>
    <row r="14" spans="1:5" x14ac:dyDescent="0.35">
      <c r="A14" s="55" t="s">
        <v>131</v>
      </c>
      <c r="B14" s="56" t="s">
        <v>132</v>
      </c>
      <c r="C14" s="57">
        <v>1</v>
      </c>
      <c r="D14" t="s">
        <v>130</v>
      </c>
      <c r="E14" s="58"/>
    </row>
    <row r="15" spans="1:5" x14ac:dyDescent="0.35">
      <c r="A15" s="55" t="s">
        <v>133</v>
      </c>
      <c r="B15" s="56" t="s">
        <v>132</v>
      </c>
      <c r="C15" s="57">
        <v>1</v>
      </c>
      <c r="D15" t="s">
        <v>130</v>
      </c>
      <c r="E15" s="58"/>
    </row>
    <row r="16" spans="1:5" x14ac:dyDescent="0.35">
      <c r="A16" s="55" t="s">
        <v>134</v>
      </c>
      <c r="B16" s="56" t="s">
        <v>132</v>
      </c>
      <c r="C16" s="57">
        <v>1</v>
      </c>
      <c r="D16" t="s">
        <v>130</v>
      </c>
      <c r="E16" s="58"/>
    </row>
    <row r="17" spans="1:5" x14ac:dyDescent="0.35">
      <c r="A17" s="55" t="s">
        <v>135</v>
      </c>
      <c r="B17" s="56" t="s">
        <v>132</v>
      </c>
      <c r="C17" s="57">
        <v>1</v>
      </c>
      <c r="D17" t="s">
        <v>130</v>
      </c>
      <c r="E17" s="58"/>
    </row>
    <row r="18" spans="1:5" x14ac:dyDescent="0.35">
      <c r="A18" s="55" t="s">
        <v>136</v>
      </c>
      <c r="B18" s="56" t="s">
        <v>132</v>
      </c>
      <c r="C18" s="57">
        <v>1</v>
      </c>
      <c r="D18" t="s">
        <v>130</v>
      </c>
      <c r="E18" s="58"/>
    </row>
    <row r="19" spans="1:5" x14ac:dyDescent="0.35">
      <c r="A19" s="55" t="s">
        <v>137</v>
      </c>
      <c r="B19" s="56" t="s">
        <v>132</v>
      </c>
      <c r="C19" s="57">
        <v>1</v>
      </c>
      <c r="D19" t="s">
        <v>130</v>
      </c>
      <c r="E19" s="58"/>
    </row>
    <row r="20" spans="1:5" x14ac:dyDescent="0.35">
      <c r="A20" s="59"/>
      <c r="B20" s="22"/>
      <c r="C20" s="63"/>
    </row>
    <row r="21" spans="1:5" x14ac:dyDescent="0.35">
      <c r="A21" s="64" t="s">
        <v>138</v>
      </c>
      <c r="B21" s="65"/>
      <c r="C21" s="66">
        <f>1000-(C23+C25+C27+C28+C29+C30+C32+C34+C36+C38)</f>
        <v>771.74</v>
      </c>
    </row>
    <row r="22" spans="1:5" x14ac:dyDescent="0.35">
      <c r="A22" s="59"/>
      <c r="B22" s="22"/>
      <c r="C22" s="63"/>
    </row>
    <row r="23" spans="1:5" x14ac:dyDescent="0.35">
      <c r="A23" s="55" t="s">
        <v>139</v>
      </c>
      <c r="B23" s="56"/>
      <c r="C23" s="57">
        <v>100</v>
      </c>
      <c r="D23" t="s">
        <v>130</v>
      </c>
      <c r="E23" s="67" t="s">
        <v>140</v>
      </c>
    </row>
    <row r="24" spans="1:5" x14ac:dyDescent="0.35">
      <c r="A24" s="59"/>
      <c r="B24" s="22"/>
      <c r="C24" s="63"/>
      <c r="E24" s="67"/>
    </row>
    <row r="25" spans="1:5" x14ac:dyDescent="0.35">
      <c r="A25" s="55" t="s">
        <v>141</v>
      </c>
      <c r="B25" s="56"/>
      <c r="C25" s="57">
        <v>8</v>
      </c>
      <c r="D25" t="s">
        <v>130</v>
      </c>
      <c r="E25" s="67"/>
    </row>
    <row r="26" spans="1:5" x14ac:dyDescent="0.35">
      <c r="A26" s="59"/>
      <c r="B26" s="22"/>
      <c r="C26" s="63"/>
      <c r="E26" s="67"/>
    </row>
    <row r="27" spans="1:5" x14ac:dyDescent="0.35">
      <c r="A27" s="68" t="s">
        <v>142</v>
      </c>
      <c r="B27" s="56" t="s">
        <v>172</v>
      </c>
      <c r="C27" s="62">
        <v>32.68</v>
      </c>
      <c r="D27" t="s">
        <v>130</v>
      </c>
      <c r="E27" s="67"/>
    </row>
    <row r="28" spans="1:5" x14ac:dyDescent="0.35">
      <c r="A28" s="59"/>
      <c r="B28" s="56" t="s">
        <v>144</v>
      </c>
      <c r="C28" s="62">
        <v>32.68</v>
      </c>
      <c r="D28" t="s">
        <v>130</v>
      </c>
      <c r="E28" s="67"/>
    </row>
    <row r="29" spans="1:5" x14ac:dyDescent="0.35">
      <c r="A29" s="59"/>
      <c r="B29" s="56" t="s">
        <v>145</v>
      </c>
      <c r="C29" s="62">
        <v>8.1999999999999993</v>
      </c>
      <c r="D29" t="s">
        <v>130</v>
      </c>
      <c r="E29" s="67"/>
    </row>
    <row r="30" spans="1:5" x14ac:dyDescent="0.35">
      <c r="A30" s="59"/>
      <c r="B30" s="56" t="s">
        <v>146</v>
      </c>
      <c r="C30" s="62">
        <v>3.7</v>
      </c>
      <c r="D30" t="s">
        <v>130</v>
      </c>
      <c r="E30" s="67"/>
    </row>
    <row r="31" spans="1:5" x14ac:dyDescent="0.35">
      <c r="A31" s="59"/>
      <c r="B31" s="69"/>
      <c r="C31" s="70"/>
      <c r="E31" s="67"/>
    </row>
    <row r="32" spans="1:5" x14ac:dyDescent="0.35">
      <c r="A32" s="55" t="s">
        <v>147</v>
      </c>
      <c r="B32" s="56"/>
      <c r="C32" s="57">
        <v>21</v>
      </c>
      <c r="D32" t="s">
        <v>130</v>
      </c>
      <c r="E32" s="67"/>
    </row>
    <row r="33" spans="1:5" x14ac:dyDescent="0.35">
      <c r="A33" s="59"/>
      <c r="B33" s="22"/>
      <c r="C33" s="60"/>
      <c r="E33" s="67"/>
    </row>
    <row r="34" spans="1:5" x14ac:dyDescent="0.35">
      <c r="A34" s="55" t="s">
        <v>148</v>
      </c>
      <c r="B34" s="56"/>
      <c r="C34" s="57">
        <v>1</v>
      </c>
      <c r="D34" t="s">
        <v>130</v>
      </c>
      <c r="E34" s="67"/>
    </row>
    <row r="35" spans="1:5" x14ac:dyDescent="0.35">
      <c r="A35" s="59"/>
      <c r="B35" s="22"/>
      <c r="C35" s="60"/>
      <c r="E35" s="67"/>
    </row>
    <row r="36" spans="1:5" x14ac:dyDescent="0.35">
      <c r="A36" s="55" t="s">
        <v>149</v>
      </c>
      <c r="B36" s="56"/>
      <c r="C36" s="57">
        <v>6</v>
      </c>
      <c r="D36" t="s">
        <v>130</v>
      </c>
      <c r="E36" s="67"/>
    </row>
    <row r="37" spans="1:5" x14ac:dyDescent="0.35">
      <c r="A37" s="59"/>
      <c r="B37" s="22"/>
      <c r="C37" s="60"/>
      <c r="E37" s="67"/>
    </row>
    <row r="38" spans="1:5" x14ac:dyDescent="0.35">
      <c r="A38" s="55" t="s">
        <v>150</v>
      </c>
      <c r="B38" s="56"/>
      <c r="C38" s="57">
        <v>15</v>
      </c>
      <c r="D38" t="s">
        <v>130</v>
      </c>
      <c r="E38" s="67"/>
    </row>
  </sheetData>
  <mergeCells count="2">
    <mergeCell ref="E4:E19"/>
    <mergeCell ref="E23:E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6CFEC-0C5A-4AEF-8569-9C02A31BABD6}">
  <dimension ref="A1:P63"/>
  <sheetViews>
    <sheetView workbookViewId="0">
      <selection sqref="A1:P64"/>
    </sheetView>
  </sheetViews>
  <sheetFormatPr defaultRowHeight="14.5" x14ac:dyDescent="0.35"/>
  <sheetData>
    <row r="1" spans="1:16" x14ac:dyDescent="0.35">
      <c r="A1" s="38" t="s">
        <v>81</v>
      </c>
      <c r="B1" s="39"/>
      <c r="C1" s="39"/>
      <c r="D1" s="39"/>
      <c r="E1" s="39"/>
      <c r="F1" s="39"/>
      <c r="G1" s="40"/>
      <c r="J1" s="41" t="s">
        <v>82</v>
      </c>
      <c r="K1" s="42"/>
      <c r="L1" s="42"/>
      <c r="M1" s="42"/>
      <c r="N1" s="42"/>
      <c r="O1" s="42"/>
      <c r="P1" s="43"/>
    </row>
    <row r="2" spans="1:16" x14ac:dyDescent="0.35">
      <c r="A2" s="44" t="s">
        <v>83</v>
      </c>
      <c r="B2" s="45" t="s">
        <v>84</v>
      </c>
      <c r="C2" s="46" t="s">
        <v>85</v>
      </c>
      <c r="D2" s="46" t="s">
        <v>86</v>
      </c>
      <c r="E2" s="46" t="s">
        <v>87</v>
      </c>
      <c r="F2" s="46" t="s">
        <v>88</v>
      </c>
      <c r="G2" s="44" t="s">
        <v>89</v>
      </c>
      <c r="J2" s="44" t="s">
        <v>83</v>
      </c>
      <c r="K2" s="45" t="s">
        <v>84</v>
      </c>
      <c r="L2" s="46" t="s">
        <v>85</v>
      </c>
      <c r="M2" s="46" t="s">
        <v>86</v>
      </c>
      <c r="N2" s="46" t="s">
        <v>87</v>
      </c>
      <c r="O2" s="46" t="s">
        <v>88</v>
      </c>
      <c r="P2" s="44" t="s">
        <v>89</v>
      </c>
    </row>
    <row r="3" spans="1:16" x14ac:dyDescent="0.35">
      <c r="A3" s="47">
        <v>1</v>
      </c>
      <c r="B3" s="48" t="s">
        <v>90</v>
      </c>
      <c r="C3" s="49">
        <v>75</v>
      </c>
      <c r="D3" s="49">
        <v>50</v>
      </c>
      <c r="E3" s="49">
        <v>50</v>
      </c>
      <c r="F3" s="49">
        <f>O3/12</f>
        <v>175</v>
      </c>
      <c r="G3" s="49">
        <f>SUM(C3:F3)</f>
        <v>350</v>
      </c>
      <c r="J3" s="47">
        <v>1</v>
      </c>
      <c r="K3" s="48" t="s">
        <v>90</v>
      </c>
      <c r="L3" s="22">
        <f>C3*12</f>
        <v>900</v>
      </c>
      <c r="M3" s="22">
        <f>D3*12</f>
        <v>600</v>
      </c>
      <c r="N3" s="22">
        <f>E3*12</f>
        <v>600</v>
      </c>
      <c r="O3" s="22">
        <f>4200-(L3+M3+N3)</f>
        <v>2100</v>
      </c>
      <c r="P3" s="22">
        <f>SUM(L3:O3)</f>
        <v>4200</v>
      </c>
    </row>
    <row r="4" spans="1:16" x14ac:dyDescent="0.35">
      <c r="A4" s="47">
        <v>2</v>
      </c>
      <c r="B4" s="48" t="s">
        <v>91</v>
      </c>
      <c r="C4" s="49">
        <v>75</v>
      </c>
      <c r="D4" s="49">
        <v>50</v>
      </c>
      <c r="E4" s="49">
        <v>75</v>
      </c>
      <c r="F4" s="49">
        <f t="shared" ref="F4:F29" si="0">O4/12</f>
        <v>150</v>
      </c>
      <c r="G4" s="49">
        <f t="shared" ref="G4:G29" si="1">SUM(C4:F4)</f>
        <v>350</v>
      </c>
      <c r="J4" s="47">
        <v>2</v>
      </c>
      <c r="K4" s="48" t="s">
        <v>91</v>
      </c>
      <c r="L4" s="22">
        <f t="shared" ref="L4:N19" si="2">C4*12</f>
        <v>900</v>
      </c>
      <c r="M4" s="22">
        <f t="shared" si="2"/>
        <v>600</v>
      </c>
      <c r="N4" s="22">
        <f t="shared" si="2"/>
        <v>900</v>
      </c>
      <c r="O4" s="22">
        <f t="shared" ref="O4:O29" si="3">4200-(L4+M4+N4)</f>
        <v>1800</v>
      </c>
      <c r="P4" s="22">
        <f t="shared" ref="P4:P29" si="4">SUM(L4:O4)</f>
        <v>4200</v>
      </c>
    </row>
    <row r="5" spans="1:16" x14ac:dyDescent="0.35">
      <c r="A5" s="47">
        <v>3</v>
      </c>
      <c r="B5" s="48" t="s">
        <v>92</v>
      </c>
      <c r="C5" s="49">
        <v>75</v>
      </c>
      <c r="D5" s="49">
        <v>50</v>
      </c>
      <c r="E5" s="49">
        <v>100</v>
      </c>
      <c r="F5" s="49">
        <f t="shared" si="0"/>
        <v>125</v>
      </c>
      <c r="G5" s="49">
        <f t="shared" si="1"/>
        <v>350</v>
      </c>
      <c r="J5" s="47">
        <v>3</v>
      </c>
      <c r="K5" s="48" t="s">
        <v>92</v>
      </c>
      <c r="L5" s="22">
        <f t="shared" si="2"/>
        <v>900</v>
      </c>
      <c r="M5" s="22">
        <f t="shared" si="2"/>
        <v>600</v>
      </c>
      <c r="N5" s="22">
        <f t="shared" si="2"/>
        <v>1200</v>
      </c>
      <c r="O5" s="22">
        <f t="shared" si="3"/>
        <v>1500</v>
      </c>
      <c r="P5" s="22">
        <f t="shared" si="4"/>
        <v>4200</v>
      </c>
    </row>
    <row r="6" spans="1:16" x14ac:dyDescent="0.35">
      <c r="A6" s="47">
        <v>4</v>
      </c>
      <c r="B6" s="48" t="s">
        <v>93</v>
      </c>
      <c r="C6" s="49">
        <v>75</v>
      </c>
      <c r="D6" s="49">
        <v>75</v>
      </c>
      <c r="E6" s="49">
        <v>50</v>
      </c>
      <c r="F6" s="49">
        <f t="shared" si="0"/>
        <v>150</v>
      </c>
      <c r="G6" s="49">
        <f t="shared" si="1"/>
        <v>350</v>
      </c>
      <c r="J6" s="47">
        <v>4</v>
      </c>
      <c r="K6" s="48" t="s">
        <v>93</v>
      </c>
      <c r="L6" s="22">
        <f t="shared" si="2"/>
        <v>900</v>
      </c>
      <c r="M6" s="22">
        <f t="shared" si="2"/>
        <v>900</v>
      </c>
      <c r="N6" s="22">
        <f t="shared" si="2"/>
        <v>600</v>
      </c>
      <c r="O6" s="22">
        <f t="shared" si="3"/>
        <v>1800</v>
      </c>
      <c r="P6" s="22">
        <f t="shared" si="4"/>
        <v>4200</v>
      </c>
    </row>
    <row r="7" spans="1:16" x14ac:dyDescent="0.35">
      <c r="A7" s="47">
        <v>5</v>
      </c>
      <c r="B7" s="48" t="s">
        <v>94</v>
      </c>
      <c r="C7" s="49">
        <v>75</v>
      </c>
      <c r="D7" s="49">
        <v>75</v>
      </c>
      <c r="E7" s="49">
        <v>75</v>
      </c>
      <c r="F7" s="49">
        <f t="shared" si="0"/>
        <v>125</v>
      </c>
      <c r="G7" s="49">
        <f t="shared" si="1"/>
        <v>350</v>
      </c>
      <c r="J7" s="47">
        <v>5</v>
      </c>
      <c r="K7" s="48" t="s">
        <v>94</v>
      </c>
      <c r="L7" s="22">
        <f t="shared" si="2"/>
        <v>900</v>
      </c>
      <c r="M7" s="22">
        <f t="shared" si="2"/>
        <v>900</v>
      </c>
      <c r="N7" s="22">
        <f t="shared" si="2"/>
        <v>900</v>
      </c>
      <c r="O7" s="22">
        <f t="shared" si="3"/>
        <v>1500</v>
      </c>
      <c r="P7" s="22">
        <f t="shared" si="4"/>
        <v>4200</v>
      </c>
    </row>
    <row r="8" spans="1:16" x14ac:dyDescent="0.35">
      <c r="A8" s="47">
        <v>6</v>
      </c>
      <c r="B8" s="48" t="s">
        <v>95</v>
      </c>
      <c r="C8" s="49">
        <v>75</v>
      </c>
      <c r="D8" s="49">
        <v>75</v>
      </c>
      <c r="E8" s="49">
        <v>100</v>
      </c>
      <c r="F8" s="49">
        <f t="shared" si="0"/>
        <v>100</v>
      </c>
      <c r="G8" s="49">
        <f t="shared" si="1"/>
        <v>350</v>
      </c>
      <c r="J8" s="47">
        <v>6</v>
      </c>
      <c r="K8" s="48" t="s">
        <v>95</v>
      </c>
      <c r="L8" s="22">
        <f t="shared" si="2"/>
        <v>900</v>
      </c>
      <c r="M8" s="22">
        <f t="shared" si="2"/>
        <v>900</v>
      </c>
      <c r="N8" s="22">
        <f t="shared" si="2"/>
        <v>1200</v>
      </c>
      <c r="O8" s="22">
        <f t="shared" si="3"/>
        <v>1200</v>
      </c>
      <c r="P8" s="22">
        <f t="shared" si="4"/>
        <v>4200</v>
      </c>
    </row>
    <row r="9" spans="1:16" x14ac:dyDescent="0.35">
      <c r="A9" s="47">
        <v>7</v>
      </c>
      <c r="B9" s="48" t="s">
        <v>96</v>
      </c>
      <c r="C9" s="49">
        <v>75</v>
      </c>
      <c r="D9" s="49">
        <v>100</v>
      </c>
      <c r="E9" s="49">
        <v>50</v>
      </c>
      <c r="F9" s="49">
        <f t="shared" si="0"/>
        <v>125</v>
      </c>
      <c r="G9" s="49">
        <f t="shared" si="1"/>
        <v>350</v>
      </c>
      <c r="J9" s="47">
        <v>7</v>
      </c>
      <c r="K9" s="48" t="s">
        <v>96</v>
      </c>
      <c r="L9" s="22">
        <f t="shared" si="2"/>
        <v>900</v>
      </c>
      <c r="M9" s="22">
        <f t="shared" si="2"/>
        <v>1200</v>
      </c>
      <c r="N9" s="22">
        <f t="shared" si="2"/>
        <v>600</v>
      </c>
      <c r="O9" s="22">
        <f t="shared" si="3"/>
        <v>1500</v>
      </c>
      <c r="P9" s="22">
        <f t="shared" si="4"/>
        <v>4200</v>
      </c>
    </row>
    <row r="10" spans="1:16" x14ac:dyDescent="0.35">
      <c r="A10" s="47">
        <v>8</v>
      </c>
      <c r="B10" s="48" t="s">
        <v>97</v>
      </c>
      <c r="C10" s="49">
        <v>75</v>
      </c>
      <c r="D10" s="49">
        <v>100</v>
      </c>
      <c r="E10" s="49">
        <v>75</v>
      </c>
      <c r="F10" s="49">
        <f t="shared" si="0"/>
        <v>100</v>
      </c>
      <c r="G10" s="49">
        <f t="shared" si="1"/>
        <v>350</v>
      </c>
      <c r="J10" s="47">
        <v>8</v>
      </c>
      <c r="K10" s="48" t="s">
        <v>97</v>
      </c>
      <c r="L10" s="22">
        <f t="shared" si="2"/>
        <v>900</v>
      </c>
      <c r="M10" s="22">
        <f t="shared" si="2"/>
        <v>1200</v>
      </c>
      <c r="N10" s="22">
        <f t="shared" si="2"/>
        <v>900</v>
      </c>
      <c r="O10" s="22">
        <f t="shared" si="3"/>
        <v>1200</v>
      </c>
      <c r="P10" s="22">
        <f t="shared" si="4"/>
        <v>4200</v>
      </c>
    </row>
    <row r="11" spans="1:16" x14ac:dyDescent="0.35">
      <c r="A11" s="47">
        <v>9</v>
      </c>
      <c r="B11" s="48" t="s">
        <v>98</v>
      </c>
      <c r="C11" s="49">
        <v>75</v>
      </c>
      <c r="D11" s="49">
        <v>100</v>
      </c>
      <c r="E11" s="49">
        <v>100</v>
      </c>
      <c r="F11" s="49">
        <f t="shared" si="0"/>
        <v>75</v>
      </c>
      <c r="G11" s="49">
        <f t="shared" si="1"/>
        <v>350</v>
      </c>
      <c r="J11" s="47">
        <v>9</v>
      </c>
      <c r="K11" s="48" t="s">
        <v>98</v>
      </c>
      <c r="L11" s="22">
        <f t="shared" si="2"/>
        <v>900</v>
      </c>
      <c r="M11" s="22">
        <f t="shared" si="2"/>
        <v>1200</v>
      </c>
      <c r="N11" s="22">
        <f t="shared" si="2"/>
        <v>1200</v>
      </c>
      <c r="O11" s="22">
        <f t="shared" si="3"/>
        <v>900</v>
      </c>
      <c r="P11" s="22">
        <f t="shared" si="4"/>
        <v>4200</v>
      </c>
    </row>
    <row r="12" spans="1:16" x14ac:dyDescent="0.35">
      <c r="A12" s="47">
        <v>10</v>
      </c>
      <c r="B12" s="48" t="s">
        <v>99</v>
      </c>
      <c r="C12" s="49">
        <v>100</v>
      </c>
      <c r="D12" s="49">
        <v>50</v>
      </c>
      <c r="E12" s="49">
        <v>50</v>
      </c>
      <c r="F12" s="49">
        <f t="shared" si="0"/>
        <v>150</v>
      </c>
      <c r="G12" s="49">
        <f t="shared" si="1"/>
        <v>350</v>
      </c>
      <c r="J12" s="47">
        <v>10</v>
      </c>
      <c r="K12" s="48" t="s">
        <v>99</v>
      </c>
      <c r="L12" s="22">
        <f>C13*12</f>
        <v>1200</v>
      </c>
      <c r="M12" s="22">
        <f t="shared" si="2"/>
        <v>600</v>
      </c>
      <c r="N12" s="22">
        <f t="shared" si="2"/>
        <v>600</v>
      </c>
      <c r="O12" s="22">
        <f t="shared" si="3"/>
        <v>1800</v>
      </c>
      <c r="P12" s="22">
        <f t="shared" si="4"/>
        <v>4200</v>
      </c>
    </row>
    <row r="13" spans="1:16" x14ac:dyDescent="0.35">
      <c r="A13" s="47">
        <v>11</v>
      </c>
      <c r="B13" s="48" t="s">
        <v>100</v>
      </c>
      <c r="C13" s="49">
        <v>100</v>
      </c>
      <c r="D13" s="49">
        <v>50</v>
      </c>
      <c r="E13" s="49">
        <v>75</v>
      </c>
      <c r="F13" s="49">
        <f t="shared" si="0"/>
        <v>125</v>
      </c>
      <c r="G13" s="49">
        <f t="shared" si="1"/>
        <v>350</v>
      </c>
      <c r="J13" s="47">
        <v>11</v>
      </c>
      <c r="K13" s="48" t="s">
        <v>100</v>
      </c>
      <c r="L13" s="22">
        <f t="shared" ref="L13:L19" si="5">C14*12</f>
        <v>1200</v>
      </c>
      <c r="M13" s="22">
        <f t="shared" si="2"/>
        <v>600</v>
      </c>
      <c r="N13" s="22">
        <f t="shared" si="2"/>
        <v>900</v>
      </c>
      <c r="O13" s="22">
        <f t="shared" si="3"/>
        <v>1500</v>
      </c>
      <c r="P13" s="22">
        <f t="shared" si="4"/>
        <v>4200</v>
      </c>
    </row>
    <row r="14" spans="1:16" x14ac:dyDescent="0.35">
      <c r="A14" s="47">
        <v>12</v>
      </c>
      <c r="B14" s="48" t="s">
        <v>101</v>
      </c>
      <c r="C14" s="49">
        <v>100</v>
      </c>
      <c r="D14" s="49">
        <v>50</v>
      </c>
      <c r="E14" s="49">
        <v>100</v>
      </c>
      <c r="F14" s="49">
        <f t="shared" si="0"/>
        <v>100</v>
      </c>
      <c r="G14" s="49">
        <f t="shared" si="1"/>
        <v>350</v>
      </c>
      <c r="J14" s="47">
        <v>12</v>
      </c>
      <c r="K14" s="48" t="s">
        <v>101</v>
      </c>
      <c r="L14" s="22">
        <f t="shared" si="5"/>
        <v>1200</v>
      </c>
      <c r="M14" s="22">
        <f t="shared" si="2"/>
        <v>600</v>
      </c>
      <c r="N14" s="22">
        <f t="shared" si="2"/>
        <v>1200</v>
      </c>
      <c r="O14" s="22">
        <f t="shared" si="3"/>
        <v>1200</v>
      </c>
      <c r="P14" s="22">
        <f t="shared" si="4"/>
        <v>4200</v>
      </c>
    </row>
    <row r="15" spans="1:16" x14ac:dyDescent="0.35">
      <c r="A15" s="47">
        <v>13</v>
      </c>
      <c r="B15" s="48" t="s">
        <v>102</v>
      </c>
      <c r="C15" s="49">
        <v>100</v>
      </c>
      <c r="D15" s="49">
        <v>75</v>
      </c>
      <c r="E15" s="49">
        <v>50</v>
      </c>
      <c r="F15" s="49">
        <f t="shared" si="0"/>
        <v>125</v>
      </c>
      <c r="G15" s="49">
        <f t="shared" si="1"/>
        <v>350</v>
      </c>
      <c r="J15" s="47">
        <v>13</v>
      </c>
      <c r="K15" s="48" t="s">
        <v>102</v>
      </c>
      <c r="L15" s="22">
        <f t="shared" si="5"/>
        <v>1200</v>
      </c>
      <c r="M15" s="22">
        <f t="shared" si="2"/>
        <v>900</v>
      </c>
      <c r="N15" s="22">
        <f t="shared" si="2"/>
        <v>600</v>
      </c>
      <c r="O15" s="22">
        <f t="shared" si="3"/>
        <v>1500</v>
      </c>
      <c r="P15" s="22">
        <f t="shared" si="4"/>
        <v>4200</v>
      </c>
    </row>
    <row r="16" spans="1:16" x14ac:dyDescent="0.35">
      <c r="A16" s="47">
        <v>14</v>
      </c>
      <c r="B16" s="48" t="s">
        <v>103</v>
      </c>
      <c r="C16" s="49">
        <v>100</v>
      </c>
      <c r="D16" s="49">
        <v>75</v>
      </c>
      <c r="E16" s="49">
        <v>75</v>
      </c>
      <c r="F16" s="49">
        <f t="shared" si="0"/>
        <v>100</v>
      </c>
      <c r="G16" s="49">
        <f t="shared" si="1"/>
        <v>350</v>
      </c>
      <c r="J16" s="47">
        <v>14</v>
      </c>
      <c r="K16" s="48" t="s">
        <v>103</v>
      </c>
      <c r="L16" s="22">
        <f t="shared" si="5"/>
        <v>1200</v>
      </c>
      <c r="M16" s="22">
        <f t="shared" si="2"/>
        <v>900</v>
      </c>
      <c r="N16" s="22">
        <f t="shared" si="2"/>
        <v>900</v>
      </c>
      <c r="O16" s="22">
        <f t="shared" si="3"/>
        <v>1200</v>
      </c>
      <c r="P16" s="22">
        <f t="shared" si="4"/>
        <v>4200</v>
      </c>
    </row>
    <row r="17" spans="1:16" x14ac:dyDescent="0.35">
      <c r="A17" s="47">
        <v>15</v>
      </c>
      <c r="B17" s="48" t="s">
        <v>104</v>
      </c>
      <c r="C17" s="49">
        <v>100</v>
      </c>
      <c r="D17" s="49">
        <v>75</v>
      </c>
      <c r="E17" s="49">
        <v>100</v>
      </c>
      <c r="F17" s="49">
        <f t="shared" si="0"/>
        <v>75</v>
      </c>
      <c r="G17" s="49">
        <f t="shared" si="1"/>
        <v>350</v>
      </c>
      <c r="J17" s="47">
        <v>15</v>
      </c>
      <c r="K17" s="48" t="s">
        <v>104</v>
      </c>
      <c r="L17" s="22">
        <f t="shared" si="5"/>
        <v>1200</v>
      </c>
      <c r="M17" s="22">
        <f t="shared" si="2"/>
        <v>900</v>
      </c>
      <c r="N17" s="22">
        <f t="shared" si="2"/>
        <v>1200</v>
      </c>
      <c r="O17" s="22">
        <f t="shared" si="3"/>
        <v>900</v>
      </c>
      <c r="P17" s="22">
        <f t="shared" si="4"/>
        <v>4200</v>
      </c>
    </row>
    <row r="18" spans="1:16" x14ac:dyDescent="0.35">
      <c r="A18" s="47">
        <v>16</v>
      </c>
      <c r="B18" s="48" t="s">
        <v>105</v>
      </c>
      <c r="C18" s="49">
        <v>100</v>
      </c>
      <c r="D18" s="49">
        <v>100</v>
      </c>
      <c r="E18" s="49">
        <v>50</v>
      </c>
      <c r="F18" s="49">
        <f t="shared" si="0"/>
        <v>100</v>
      </c>
      <c r="G18" s="49">
        <f t="shared" si="1"/>
        <v>350</v>
      </c>
      <c r="J18" s="47">
        <v>16</v>
      </c>
      <c r="K18" s="48" t="s">
        <v>105</v>
      </c>
      <c r="L18" s="22">
        <f t="shared" si="5"/>
        <v>1200</v>
      </c>
      <c r="M18" s="22">
        <f t="shared" si="2"/>
        <v>1200</v>
      </c>
      <c r="N18" s="22">
        <f t="shared" si="2"/>
        <v>600</v>
      </c>
      <c r="O18" s="22">
        <f t="shared" si="3"/>
        <v>1200</v>
      </c>
      <c r="P18" s="22">
        <f t="shared" si="4"/>
        <v>4200</v>
      </c>
    </row>
    <row r="19" spans="1:16" x14ac:dyDescent="0.35">
      <c r="A19" s="47">
        <v>17</v>
      </c>
      <c r="B19" s="48" t="s">
        <v>106</v>
      </c>
      <c r="C19" s="49">
        <v>100</v>
      </c>
      <c r="D19" s="49">
        <v>100</v>
      </c>
      <c r="E19" s="49">
        <v>75</v>
      </c>
      <c r="F19" s="49">
        <f t="shared" si="0"/>
        <v>75</v>
      </c>
      <c r="G19" s="49">
        <f t="shared" si="1"/>
        <v>350</v>
      </c>
      <c r="J19" s="47">
        <v>17</v>
      </c>
      <c r="K19" s="48" t="s">
        <v>106</v>
      </c>
      <c r="L19" s="22">
        <f t="shared" si="5"/>
        <v>1200</v>
      </c>
      <c r="M19" s="22">
        <f t="shared" si="2"/>
        <v>1200</v>
      </c>
      <c r="N19" s="22">
        <f t="shared" si="2"/>
        <v>900</v>
      </c>
      <c r="O19" s="22">
        <f t="shared" si="3"/>
        <v>900</v>
      </c>
      <c r="P19" s="22">
        <f t="shared" si="4"/>
        <v>4200</v>
      </c>
    </row>
    <row r="20" spans="1:16" x14ac:dyDescent="0.35">
      <c r="A20" s="47">
        <v>18</v>
      </c>
      <c r="B20" s="48" t="s">
        <v>107</v>
      </c>
      <c r="C20" s="49">
        <v>100</v>
      </c>
      <c r="D20" s="49">
        <v>100</v>
      </c>
      <c r="E20" s="49">
        <v>100</v>
      </c>
      <c r="F20" s="49">
        <f t="shared" si="0"/>
        <v>50</v>
      </c>
      <c r="G20" s="49">
        <f t="shared" si="1"/>
        <v>350</v>
      </c>
      <c r="J20" s="47">
        <v>18</v>
      </c>
      <c r="K20" s="48" t="s">
        <v>107</v>
      </c>
      <c r="L20" s="22">
        <v>1200</v>
      </c>
      <c r="M20" s="22">
        <f t="shared" ref="M20:N45" si="6">D20*12</f>
        <v>1200</v>
      </c>
      <c r="N20" s="22">
        <f t="shared" si="6"/>
        <v>1200</v>
      </c>
      <c r="O20" s="22">
        <f t="shared" si="3"/>
        <v>600</v>
      </c>
      <c r="P20" s="22">
        <f t="shared" si="4"/>
        <v>4200</v>
      </c>
    </row>
    <row r="21" spans="1:16" x14ac:dyDescent="0.35">
      <c r="A21" s="47">
        <v>19</v>
      </c>
      <c r="B21" s="48" t="s">
        <v>108</v>
      </c>
      <c r="C21" s="49">
        <v>125</v>
      </c>
      <c r="D21" s="49">
        <v>50</v>
      </c>
      <c r="E21" s="49">
        <v>50</v>
      </c>
      <c r="F21" s="49">
        <f t="shared" si="0"/>
        <v>125</v>
      </c>
      <c r="G21" s="49">
        <f t="shared" si="1"/>
        <v>350</v>
      </c>
      <c r="J21" s="47">
        <v>19</v>
      </c>
      <c r="K21" s="48" t="s">
        <v>108</v>
      </c>
      <c r="L21" s="22">
        <v>1500</v>
      </c>
      <c r="M21" s="22">
        <f t="shared" si="6"/>
        <v>600</v>
      </c>
      <c r="N21" s="22">
        <f t="shared" si="6"/>
        <v>600</v>
      </c>
      <c r="O21" s="22">
        <f t="shared" si="3"/>
        <v>1500</v>
      </c>
      <c r="P21" s="22">
        <f t="shared" si="4"/>
        <v>4200</v>
      </c>
    </row>
    <row r="22" spans="1:16" x14ac:dyDescent="0.35">
      <c r="A22" s="47">
        <v>20</v>
      </c>
      <c r="B22" s="48" t="s">
        <v>109</v>
      </c>
      <c r="C22" s="49">
        <v>125</v>
      </c>
      <c r="D22" s="49">
        <v>50</v>
      </c>
      <c r="E22" s="49">
        <v>75</v>
      </c>
      <c r="F22" s="49">
        <f t="shared" si="0"/>
        <v>100</v>
      </c>
      <c r="G22" s="49">
        <f t="shared" si="1"/>
        <v>350</v>
      </c>
      <c r="J22" s="47">
        <v>20</v>
      </c>
      <c r="K22" s="48" t="s">
        <v>109</v>
      </c>
      <c r="L22" s="22">
        <v>1500</v>
      </c>
      <c r="M22" s="22">
        <f t="shared" si="6"/>
        <v>600</v>
      </c>
      <c r="N22" s="22">
        <f t="shared" si="6"/>
        <v>900</v>
      </c>
      <c r="O22" s="22">
        <f t="shared" si="3"/>
        <v>1200</v>
      </c>
      <c r="P22" s="22">
        <f t="shared" si="4"/>
        <v>4200</v>
      </c>
    </row>
    <row r="23" spans="1:16" x14ac:dyDescent="0.35">
      <c r="A23" s="47">
        <v>21</v>
      </c>
      <c r="B23" s="48" t="s">
        <v>110</v>
      </c>
      <c r="C23" s="49">
        <v>125</v>
      </c>
      <c r="D23" s="49">
        <v>50</v>
      </c>
      <c r="E23" s="49">
        <v>100</v>
      </c>
      <c r="F23" s="49">
        <f t="shared" si="0"/>
        <v>75</v>
      </c>
      <c r="G23" s="49">
        <f t="shared" si="1"/>
        <v>350</v>
      </c>
      <c r="J23" s="47">
        <v>21</v>
      </c>
      <c r="K23" s="48" t="s">
        <v>110</v>
      </c>
      <c r="L23" s="22">
        <v>1500</v>
      </c>
      <c r="M23" s="22">
        <f t="shared" si="6"/>
        <v>600</v>
      </c>
      <c r="N23" s="22">
        <f t="shared" si="6"/>
        <v>1200</v>
      </c>
      <c r="O23" s="22">
        <f t="shared" si="3"/>
        <v>900</v>
      </c>
      <c r="P23" s="22">
        <f t="shared" si="4"/>
        <v>4200</v>
      </c>
    </row>
    <row r="24" spans="1:16" x14ac:dyDescent="0.35">
      <c r="A24" s="47">
        <v>22</v>
      </c>
      <c r="B24" s="48" t="s">
        <v>111</v>
      </c>
      <c r="C24" s="49">
        <v>125</v>
      </c>
      <c r="D24" s="49">
        <v>75</v>
      </c>
      <c r="E24" s="49">
        <v>50</v>
      </c>
      <c r="F24" s="49">
        <f t="shared" si="0"/>
        <v>100</v>
      </c>
      <c r="G24" s="49">
        <f t="shared" si="1"/>
        <v>350</v>
      </c>
      <c r="J24" s="47">
        <v>22</v>
      </c>
      <c r="K24" s="48" t="s">
        <v>111</v>
      </c>
      <c r="L24" s="22">
        <v>1500</v>
      </c>
      <c r="M24" s="22">
        <f t="shared" si="6"/>
        <v>900</v>
      </c>
      <c r="N24" s="22">
        <f t="shared" si="6"/>
        <v>600</v>
      </c>
      <c r="O24" s="22">
        <f t="shared" si="3"/>
        <v>1200</v>
      </c>
      <c r="P24" s="22">
        <f t="shared" si="4"/>
        <v>4200</v>
      </c>
    </row>
    <row r="25" spans="1:16" x14ac:dyDescent="0.35">
      <c r="A25" s="47">
        <v>23</v>
      </c>
      <c r="B25" s="48" t="s">
        <v>112</v>
      </c>
      <c r="C25" s="49">
        <v>125</v>
      </c>
      <c r="D25" s="49">
        <v>75</v>
      </c>
      <c r="E25" s="49">
        <v>75</v>
      </c>
      <c r="F25" s="49">
        <f t="shared" si="0"/>
        <v>75</v>
      </c>
      <c r="G25" s="49">
        <f t="shared" si="1"/>
        <v>350</v>
      </c>
      <c r="J25" s="47">
        <v>23</v>
      </c>
      <c r="K25" s="48" t="s">
        <v>112</v>
      </c>
      <c r="L25" s="22">
        <v>1500</v>
      </c>
      <c r="M25" s="22">
        <f t="shared" si="6"/>
        <v>900</v>
      </c>
      <c r="N25" s="22">
        <f t="shared" si="6"/>
        <v>900</v>
      </c>
      <c r="O25" s="22">
        <f t="shared" si="3"/>
        <v>900</v>
      </c>
      <c r="P25" s="22">
        <f t="shared" si="4"/>
        <v>4200</v>
      </c>
    </row>
    <row r="26" spans="1:16" x14ac:dyDescent="0.35">
      <c r="A26" s="47">
        <v>24</v>
      </c>
      <c r="B26" s="48" t="s">
        <v>113</v>
      </c>
      <c r="C26" s="49">
        <v>125</v>
      </c>
      <c r="D26" s="49">
        <v>75</v>
      </c>
      <c r="E26" s="49">
        <v>100</v>
      </c>
      <c r="F26" s="49">
        <f t="shared" si="0"/>
        <v>50</v>
      </c>
      <c r="G26" s="49">
        <f t="shared" si="1"/>
        <v>350</v>
      </c>
      <c r="J26" s="47">
        <v>24</v>
      </c>
      <c r="K26" s="48" t="s">
        <v>113</v>
      </c>
      <c r="L26" s="22">
        <v>1500</v>
      </c>
      <c r="M26" s="22">
        <f t="shared" si="6"/>
        <v>900</v>
      </c>
      <c r="N26" s="22">
        <f t="shared" si="6"/>
        <v>1200</v>
      </c>
      <c r="O26" s="22">
        <f t="shared" si="3"/>
        <v>600</v>
      </c>
      <c r="P26" s="22">
        <f t="shared" si="4"/>
        <v>4200</v>
      </c>
    </row>
    <row r="27" spans="1:16" x14ac:dyDescent="0.35">
      <c r="A27" s="47">
        <v>25</v>
      </c>
      <c r="B27" s="48" t="s">
        <v>114</v>
      </c>
      <c r="C27" s="49">
        <v>125</v>
      </c>
      <c r="D27" s="49">
        <v>100</v>
      </c>
      <c r="E27" s="49">
        <v>50</v>
      </c>
      <c r="F27" s="49">
        <f t="shared" si="0"/>
        <v>75</v>
      </c>
      <c r="G27" s="49">
        <f t="shared" si="1"/>
        <v>350</v>
      </c>
      <c r="J27" s="47">
        <v>25</v>
      </c>
      <c r="K27" s="48" t="s">
        <v>114</v>
      </c>
      <c r="L27" s="22">
        <v>1500</v>
      </c>
      <c r="M27" s="22">
        <f t="shared" si="6"/>
        <v>1200</v>
      </c>
      <c r="N27" s="22">
        <f t="shared" si="6"/>
        <v>600</v>
      </c>
      <c r="O27" s="22">
        <f t="shared" si="3"/>
        <v>900</v>
      </c>
      <c r="P27" s="22">
        <f t="shared" si="4"/>
        <v>4200</v>
      </c>
    </row>
    <row r="28" spans="1:16" x14ac:dyDescent="0.35">
      <c r="A28" s="47">
        <v>26</v>
      </c>
      <c r="B28" s="48" t="s">
        <v>115</v>
      </c>
      <c r="C28" s="49">
        <v>125</v>
      </c>
      <c r="D28" s="49">
        <v>100</v>
      </c>
      <c r="E28" s="49">
        <v>75</v>
      </c>
      <c r="F28" s="49">
        <f t="shared" si="0"/>
        <v>50</v>
      </c>
      <c r="G28" s="49">
        <f t="shared" si="1"/>
        <v>350</v>
      </c>
      <c r="J28" s="47">
        <v>26</v>
      </c>
      <c r="K28" s="48" t="s">
        <v>115</v>
      </c>
      <c r="L28" s="22">
        <v>1500</v>
      </c>
      <c r="M28" s="22">
        <f t="shared" si="6"/>
        <v>1200</v>
      </c>
      <c r="N28" s="22">
        <f t="shared" si="6"/>
        <v>900</v>
      </c>
      <c r="O28" s="22">
        <f t="shared" si="3"/>
        <v>600</v>
      </c>
      <c r="P28" s="22">
        <f t="shared" si="4"/>
        <v>4200</v>
      </c>
    </row>
    <row r="29" spans="1:16" x14ac:dyDescent="0.35">
      <c r="A29" s="47">
        <v>27</v>
      </c>
      <c r="B29" s="48" t="s">
        <v>116</v>
      </c>
      <c r="C29" s="49">
        <v>125</v>
      </c>
      <c r="D29" s="49">
        <v>100</v>
      </c>
      <c r="E29" s="49">
        <v>100</v>
      </c>
      <c r="F29" s="49">
        <f t="shared" si="0"/>
        <v>25</v>
      </c>
      <c r="G29" s="49">
        <f t="shared" si="1"/>
        <v>350</v>
      </c>
      <c r="J29" s="47">
        <v>27</v>
      </c>
      <c r="K29" s="48" t="s">
        <v>116</v>
      </c>
      <c r="L29" s="22">
        <v>1500</v>
      </c>
      <c r="M29" s="22">
        <f t="shared" si="6"/>
        <v>1200</v>
      </c>
      <c r="N29" s="22">
        <f t="shared" si="6"/>
        <v>1200</v>
      </c>
      <c r="O29" s="22">
        <f t="shared" si="3"/>
        <v>300</v>
      </c>
      <c r="P29" s="22">
        <f t="shared" si="4"/>
        <v>4200</v>
      </c>
    </row>
    <row r="31" spans="1:16" x14ac:dyDescent="0.35">
      <c r="K31" s="50" t="s">
        <v>117</v>
      </c>
      <c r="L31">
        <f>SUM(L3:L29)</f>
        <v>32400</v>
      </c>
      <c r="M31">
        <f t="shared" ref="M31:O31" si="7">SUM(M3:M29)</f>
        <v>24300</v>
      </c>
      <c r="N31">
        <f t="shared" si="7"/>
        <v>24300</v>
      </c>
      <c r="O31">
        <f t="shared" si="7"/>
        <v>32400</v>
      </c>
    </row>
    <row r="33" spans="1:16" x14ac:dyDescent="0.35">
      <c r="A33" t="s">
        <v>118</v>
      </c>
    </row>
    <row r="35" spans="1:16" x14ac:dyDescent="0.35">
      <c r="A35" s="38" t="s">
        <v>81</v>
      </c>
      <c r="B35" s="39"/>
      <c r="C35" s="39"/>
      <c r="D35" s="39"/>
      <c r="E35" s="39"/>
      <c r="F35" s="39"/>
      <c r="G35" s="40"/>
      <c r="J35" s="41" t="s">
        <v>82</v>
      </c>
      <c r="K35" s="42"/>
      <c r="L35" s="42"/>
      <c r="M35" s="42"/>
      <c r="N35" s="42"/>
      <c r="O35" s="42"/>
      <c r="P35" s="43"/>
    </row>
    <row r="36" spans="1:16" x14ac:dyDescent="0.35">
      <c r="A36" s="44" t="s">
        <v>83</v>
      </c>
      <c r="B36" s="45" t="s">
        <v>119</v>
      </c>
      <c r="C36" s="46" t="s">
        <v>120</v>
      </c>
      <c r="D36" s="46" t="s">
        <v>121</v>
      </c>
      <c r="E36" s="46" t="s">
        <v>122</v>
      </c>
      <c r="F36" s="46" t="s">
        <v>88</v>
      </c>
      <c r="G36" s="44" t="s">
        <v>89</v>
      </c>
      <c r="J36" s="44" t="s">
        <v>83</v>
      </c>
      <c r="K36" s="45" t="s">
        <v>84</v>
      </c>
      <c r="L36" s="46" t="s">
        <v>85</v>
      </c>
      <c r="M36" s="46" t="s">
        <v>86</v>
      </c>
      <c r="N36" s="46" t="s">
        <v>87</v>
      </c>
      <c r="O36" s="46" t="s">
        <v>88</v>
      </c>
      <c r="P36" s="44" t="s">
        <v>89</v>
      </c>
    </row>
    <row r="37" spans="1:16" x14ac:dyDescent="0.35">
      <c r="A37" s="47">
        <v>1</v>
      </c>
      <c r="B37" s="48" t="s">
        <v>90</v>
      </c>
      <c r="C37" s="49">
        <v>50</v>
      </c>
      <c r="D37" s="49">
        <v>50</v>
      </c>
      <c r="E37" s="49">
        <v>50</v>
      </c>
      <c r="F37" s="49">
        <f>O37/12</f>
        <v>200</v>
      </c>
      <c r="G37" s="49">
        <f>SUM(C37:F37)</f>
        <v>350</v>
      </c>
      <c r="J37" s="47">
        <v>1</v>
      </c>
      <c r="K37" s="48" t="s">
        <v>90</v>
      </c>
      <c r="L37" s="22">
        <f>C37*12</f>
        <v>600</v>
      </c>
      <c r="M37" s="22">
        <f>D37*12</f>
        <v>600</v>
      </c>
      <c r="N37" s="22">
        <f>E37*12</f>
        <v>600</v>
      </c>
      <c r="O37" s="22">
        <f>4200-(L37+M37+N37)</f>
        <v>2400</v>
      </c>
      <c r="P37" s="22">
        <f>SUM(L37:O37)</f>
        <v>4200</v>
      </c>
    </row>
    <row r="38" spans="1:16" x14ac:dyDescent="0.35">
      <c r="A38" s="47">
        <v>2</v>
      </c>
      <c r="B38" s="48" t="s">
        <v>91</v>
      </c>
      <c r="C38" s="49">
        <v>50</v>
      </c>
      <c r="D38" s="49">
        <v>50</v>
      </c>
      <c r="E38" s="49">
        <v>75</v>
      </c>
      <c r="F38" s="49">
        <f t="shared" ref="F38:F63" si="8">O38/12</f>
        <v>175</v>
      </c>
      <c r="G38" s="49">
        <f t="shared" ref="G38:G63" si="9">SUM(C38:F38)</f>
        <v>350</v>
      </c>
      <c r="J38" s="47">
        <v>2</v>
      </c>
      <c r="K38" s="48" t="s">
        <v>91</v>
      </c>
      <c r="L38" s="22">
        <f t="shared" ref="L38:N53" si="10">C38*12</f>
        <v>600</v>
      </c>
      <c r="M38" s="22">
        <f t="shared" si="10"/>
        <v>600</v>
      </c>
      <c r="N38" s="22">
        <f t="shared" si="10"/>
        <v>900</v>
      </c>
      <c r="O38" s="22">
        <f t="shared" ref="O38:O63" si="11">4200-(L38+M38+N38)</f>
        <v>2100</v>
      </c>
      <c r="P38" s="22">
        <f t="shared" ref="P38:P63" si="12">SUM(L38:O38)</f>
        <v>4200</v>
      </c>
    </row>
    <row r="39" spans="1:16" x14ac:dyDescent="0.35">
      <c r="A39" s="47">
        <v>3</v>
      </c>
      <c r="B39" s="48" t="s">
        <v>92</v>
      </c>
      <c r="C39" s="49">
        <v>50</v>
      </c>
      <c r="D39" s="49">
        <v>50</v>
      </c>
      <c r="E39" s="49">
        <v>100</v>
      </c>
      <c r="F39" s="49">
        <f t="shared" si="8"/>
        <v>150</v>
      </c>
      <c r="G39" s="49">
        <f t="shared" si="9"/>
        <v>350</v>
      </c>
      <c r="J39" s="47">
        <v>3</v>
      </c>
      <c r="K39" s="48" t="s">
        <v>92</v>
      </c>
      <c r="L39" s="22">
        <f t="shared" si="10"/>
        <v>600</v>
      </c>
      <c r="M39" s="22">
        <f t="shared" si="10"/>
        <v>600</v>
      </c>
      <c r="N39" s="22">
        <f t="shared" si="10"/>
        <v>1200</v>
      </c>
      <c r="O39" s="22">
        <f t="shared" si="11"/>
        <v>1800</v>
      </c>
      <c r="P39" s="22">
        <f t="shared" si="12"/>
        <v>4200</v>
      </c>
    </row>
    <row r="40" spans="1:16" x14ac:dyDescent="0.35">
      <c r="A40" s="47">
        <v>4</v>
      </c>
      <c r="B40" s="48" t="s">
        <v>93</v>
      </c>
      <c r="C40" s="49">
        <v>50</v>
      </c>
      <c r="D40" s="49">
        <v>75</v>
      </c>
      <c r="E40" s="49">
        <v>50</v>
      </c>
      <c r="F40" s="49">
        <f t="shared" si="8"/>
        <v>175</v>
      </c>
      <c r="G40" s="49">
        <f t="shared" si="9"/>
        <v>350</v>
      </c>
      <c r="J40" s="47">
        <v>4</v>
      </c>
      <c r="K40" s="48" t="s">
        <v>93</v>
      </c>
      <c r="L40" s="22">
        <f t="shared" si="10"/>
        <v>600</v>
      </c>
      <c r="M40" s="22">
        <f t="shared" si="10"/>
        <v>900</v>
      </c>
      <c r="N40" s="22">
        <f t="shared" si="10"/>
        <v>600</v>
      </c>
      <c r="O40" s="22">
        <f t="shared" si="11"/>
        <v>2100</v>
      </c>
      <c r="P40" s="22">
        <f t="shared" si="12"/>
        <v>4200</v>
      </c>
    </row>
    <row r="41" spans="1:16" x14ac:dyDescent="0.35">
      <c r="A41" s="47">
        <v>5</v>
      </c>
      <c r="B41" s="48" t="s">
        <v>94</v>
      </c>
      <c r="C41" s="49">
        <v>50</v>
      </c>
      <c r="D41" s="49">
        <v>75</v>
      </c>
      <c r="E41" s="49">
        <v>75</v>
      </c>
      <c r="F41" s="49">
        <f t="shared" si="8"/>
        <v>150</v>
      </c>
      <c r="G41" s="49">
        <f t="shared" si="9"/>
        <v>350</v>
      </c>
      <c r="J41" s="47">
        <v>5</v>
      </c>
      <c r="K41" s="48" t="s">
        <v>94</v>
      </c>
      <c r="L41" s="22">
        <f t="shared" si="10"/>
        <v>600</v>
      </c>
      <c r="M41" s="22">
        <f t="shared" si="10"/>
        <v>900</v>
      </c>
      <c r="N41" s="22">
        <f t="shared" si="10"/>
        <v>900</v>
      </c>
      <c r="O41" s="22">
        <f t="shared" si="11"/>
        <v>1800</v>
      </c>
      <c r="P41" s="22">
        <f t="shared" si="12"/>
        <v>4200</v>
      </c>
    </row>
    <row r="42" spans="1:16" x14ac:dyDescent="0.35">
      <c r="A42" s="47">
        <v>6</v>
      </c>
      <c r="B42" s="48" t="s">
        <v>95</v>
      </c>
      <c r="C42" s="49">
        <v>50</v>
      </c>
      <c r="D42" s="49">
        <v>75</v>
      </c>
      <c r="E42" s="49">
        <v>100</v>
      </c>
      <c r="F42" s="49">
        <f t="shared" si="8"/>
        <v>125</v>
      </c>
      <c r="G42" s="49">
        <f t="shared" si="9"/>
        <v>350</v>
      </c>
      <c r="J42" s="47">
        <v>6</v>
      </c>
      <c r="K42" s="48" t="s">
        <v>95</v>
      </c>
      <c r="L42" s="22">
        <f t="shared" si="10"/>
        <v>600</v>
      </c>
      <c r="M42" s="22">
        <f t="shared" si="10"/>
        <v>900</v>
      </c>
      <c r="N42" s="22">
        <f t="shared" si="10"/>
        <v>1200</v>
      </c>
      <c r="O42" s="22">
        <f t="shared" si="11"/>
        <v>1500</v>
      </c>
      <c r="P42" s="22">
        <f t="shared" si="12"/>
        <v>4200</v>
      </c>
    </row>
    <row r="43" spans="1:16" x14ac:dyDescent="0.35">
      <c r="A43" s="47">
        <v>7</v>
      </c>
      <c r="B43" s="48" t="s">
        <v>96</v>
      </c>
      <c r="C43" s="49">
        <v>50</v>
      </c>
      <c r="D43" s="49">
        <v>100</v>
      </c>
      <c r="E43" s="49">
        <v>50</v>
      </c>
      <c r="F43" s="49">
        <f t="shared" si="8"/>
        <v>150</v>
      </c>
      <c r="G43" s="49">
        <f t="shared" si="9"/>
        <v>350</v>
      </c>
      <c r="J43" s="47">
        <v>7</v>
      </c>
      <c r="K43" s="48" t="s">
        <v>96</v>
      </c>
      <c r="L43" s="22">
        <f t="shared" si="10"/>
        <v>600</v>
      </c>
      <c r="M43" s="22">
        <f t="shared" si="10"/>
        <v>1200</v>
      </c>
      <c r="N43" s="22">
        <f t="shared" si="10"/>
        <v>600</v>
      </c>
      <c r="O43" s="22">
        <f t="shared" si="11"/>
        <v>1800</v>
      </c>
      <c r="P43" s="22">
        <f t="shared" si="12"/>
        <v>4200</v>
      </c>
    </row>
    <row r="44" spans="1:16" x14ac:dyDescent="0.35">
      <c r="A44" s="47">
        <v>8</v>
      </c>
      <c r="B44" s="48" t="s">
        <v>97</v>
      </c>
      <c r="C44" s="49">
        <v>50</v>
      </c>
      <c r="D44" s="49">
        <v>100</v>
      </c>
      <c r="E44" s="49">
        <v>75</v>
      </c>
      <c r="F44" s="49">
        <f t="shared" si="8"/>
        <v>125</v>
      </c>
      <c r="G44" s="49">
        <f t="shared" si="9"/>
        <v>350</v>
      </c>
      <c r="J44" s="47">
        <v>8</v>
      </c>
      <c r="K44" s="48" t="s">
        <v>97</v>
      </c>
      <c r="L44" s="22">
        <f t="shared" si="10"/>
        <v>600</v>
      </c>
      <c r="M44" s="22">
        <f t="shared" si="10"/>
        <v>1200</v>
      </c>
      <c r="N44" s="22">
        <f t="shared" si="10"/>
        <v>900</v>
      </c>
      <c r="O44" s="22">
        <f t="shared" si="11"/>
        <v>1500</v>
      </c>
      <c r="P44" s="22">
        <f t="shared" si="12"/>
        <v>4200</v>
      </c>
    </row>
    <row r="45" spans="1:16" x14ac:dyDescent="0.35">
      <c r="A45" s="47">
        <v>9</v>
      </c>
      <c r="B45" s="48" t="s">
        <v>98</v>
      </c>
      <c r="C45" s="49">
        <v>50</v>
      </c>
      <c r="D45" s="49">
        <v>100</v>
      </c>
      <c r="E45" s="49">
        <v>100</v>
      </c>
      <c r="F45" s="49">
        <f t="shared" si="8"/>
        <v>100</v>
      </c>
      <c r="G45" s="49">
        <f t="shared" si="9"/>
        <v>350</v>
      </c>
      <c r="J45" s="47">
        <v>9</v>
      </c>
      <c r="K45" s="48" t="s">
        <v>98</v>
      </c>
      <c r="L45" s="22">
        <f t="shared" si="10"/>
        <v>600</v>
      </c>
      <c r="M45" s="22">
        <f t="shared" si="10"/>
        <v>1200</v>
      </c>
      <c r="N45" s="22">
        <f t="shared" si="10"/>
        <v>1200</v>
      </c>
      <c r="O45" s="22">
        <f t="shared" si="11"/>
        <v>1200</v>
      </c>
      <c r="P45" s="22">
        <f t="shared" si="12"/>
        <v>4200</v>
      </c>
    </row>
    <row r="46" spans="1:16" x14ac:dyDescent="0.35">
      <c r="A46" s="47">
        <v>10</v>
      </c>
      <c r="B46" s="48" t="s">
        <v>99</v>
      </c>
      <c r="C46" s="49">
        <v>75</v>
      </c>
      <c r="D46" s="49">
        <v>50</v>
      </c>
      <c r="E46" s="49">
        <v>50</v>
      </c>
      <c r="F46" s="49">
        <f t="shared" si="8"/>
        <v>175</v>
      </c>
      <c r="G46" s="49">
        <f t="shared" si="9"/>
        <v>350</v>
      </c>
      <c r="J46" s="47">
        <v>10</v>
      </c>
      <c r="K46" s="48" t="s">
        <v>99</v>
      </c>
      <c r="L46" s="22">
        <f>C47*12</f>
        <v>900</v>
      </c>
      <c r="M46" s="22">
        <f t="shared" si="10"/>
        <v>600</v>
      </c>
      <c r="N46" s="22">
        <f t="shared" si="10"/>
        <v>600</v>
      </c>
      <c r="O46" s="22">
        <f t="shared" si="11"/>
        <v>2100</v>
      </c>
      <c r="P46" s="22">
        <f t="shared" si="12"/>
        <v>4200</v>
      </c>
    </row>
    <row r="47" spans="1:16" x14ac:dyDescent="0.35">
      <c r="A47" s="47">
        <v>11</v>
      </c>
      <c r="B47" s="48" t="s">
        <v>100</v>
      </c>
      <c r="C47" s="49">
        <v>75</v>
      </c>
      <c r="D47" s="49">
        <v>50</v>
      </c>
      <c r="E47" s="49">
        <v>75</v>
      </c>
      <c r="F47" s="49">
        <f t="shared" si="8"/>
        <v>150</v>
      </c>
      <c r="G47" s="49">
        <f t="shared" si="9"/>
        <v>350</v>
      </c>
      <c r="J47" s="47">
        <v>11</v>
      </c>
      <c r="K47" s="48" t="s">
        <v>100</v>
      </c>
      <c r="L47" s="22">
        <f t="shared" ref="L47:L53" si="13">C48*12</f>
        <v>900</v>
      </c>
      <c r="M47" s="22">
        <f t="shared" si="10"/>
        <v>600</v>
      </c>
      <c r="N47" s="22">
        <f t="shared" si="10"/>
        <v>900</v>
      </c>
      <c r="O47" s="22">
        <f t="shared" si="11"/>
        <v>1800</v>
      </c>
      <c r="P47" s="22">
        <f t="shared" si="12"/>
        <v>4200</v>
      </c>
    </row>
    <row r="48" spans="1:16" x14ac:dyDescent="0.35">
      <c r="A48" s="47">
        <v>12</v>
      </c>
      <c r="B48" s="48" t="s">
        <v>101</v>
      </c>
      <c r="C48" s="49">
        <v>75</v>
      </c>
      <c r="D48" s="49">
        <v>50</v>
      </c>
      <c r="E48" s="49">
        <v>100</v>
      </c>
      <c r="F48" s="49">
        <f t="shared" si="8"/>
        <v>125</v>
      </c>
      <c r="G48" s="49">
        <f t="shared" si="9"/>
        <v>350</v>
      </c>
      <c r="J48" s="47">
        <v>12</v>
      </c>
      <c r="K48" s="48" t="s">
        <v>101</v>
      </c>
      <c r="L48" s="22">
        <f t="shared" si="13"/>
        <v>900</v>
      </c>
      <c r="M48" s="22">
        <f t="shared" si="10"/>
        <v>600</v>
      </c>
      <c r="N48" s="22">
        <f t="shared" si="10"/>
        <v>1200</v>
      </c>
      <c r="O48" s="22">
        <f t="shared" si="11"/>
        <v>1500</v>
      </c>
      <c r="P48" s="22">
        <f t="shared" si="12"/>
        <v>4200</v>
      </c>
    </row>
    <row r="49" spans="1:16" x14ac:dyDescent="0.35">
      <c r="A49" s="47">
        <v>13</v>
      </c>
      <c r="B49" s="48" t="s">
        <v>102</v>
      </c>
      <c r="C49" s="49">
        <v>75</v>
      </c>
      <c r="D49" s="49">
        <v>75</v>
      </c>
      <c r="E49" s="49">
        <v>50</v>
      </c>
      <c r="F49" s="49">
        <f t="shared" si="8"/>
        <v>150</v>
      </c>
      <c r="G49" s="49">
        <f t="shared" si="9"/>
        <v>350</v>
      </c>
      <c r="J49" s="47">
        <v>13</v>
      </c>
      <c r="K49" s="48" t="s">
        <v>102</v>
      </c>
      <c r="L49" s="22">
        <f t="shared" si="13"/>
        <v>900</v>
      </c>
      <c r="M49" s="22">
        <f t="shared" si="10"/>
        <v>900</v>
      </c>
      <c r="N49" s="22">
        <f t="shared" si="10"/>
        <v>600</v>
      </c>
      <c r="O49" s="22">
        <f t="shared" si="11"/>
        <v>1800</v>
      </c>
      <c r="P49" s="22">
        <f t="shared" si="12"/>
        <v>4200</v>
      </c>
    </row>
    <row r="50" spans="1:16" x14ac:dyDescent="0.35">
      <c r="A50" s="47">
        <v>14</v>
      </c>
      <c r="B50" s="48" t="s">
        <v>103</v>
      </c>
      <c r="C50" s="49">
        <v>75</v>
      </c>
      <c r="D50" s="49">
        <v>75</v>
      </c>
      <c r="E50" s="49">
        <v>75</v>
      </c>
      <c r="F50" s="49">
        <f t="shared" si="8"/>
        <v>125</v>
      </c>
      <c r="G50" s="49">
        <f t="shared" si="9"/>
        <v>350</v>
      </c>
      <c r="J50" s="47">
        <v>14</v>
      </c>
      <c r="K50" s="48" t="s">
        <v>103</v>
      </c>
      <c r="L50" s="22">
        <f t="shared" si="13"/>
        <v>900</v>
      </c>
      <c r="M50" s="22">
        <f t="shared" si="10"/>
        <v>900</v>
      </c>
      <c r="N50" s="22">
        <f t="shared" si="10"/>
        <v>900</v>
      </c>
      <c r="O50" s="22">
        <f t="shared" si="11"/>
        <v>1500</v>
      </c>
      <c r="P50" s="22">
        <f t="shared" si="12"/>
        <v>4200</v>
      </c>
    </row>
    <row r="51" spans="1:16" x14ac:dyDescent="0.35">
      <c r="A51" s="47">
        <v>15</v>
      </c>
      <c r="B51" s="48" t="s">
        <v>104</v>
      </c>
      <c r="C51" s="49">
        <v>75</v>
      </c>
      <c r="D51" s="49">
        <v>75</v>
      </c>
      <c r="E51" s="49">
        <v>100</v>
      </c>
      <c r="F51" s="49">
        <f t="shared" si="8"/>
        <v>100</v>
      </c>
      <c r="G51" s="49">
        <f t="shared" si="9"/>
        <v>350</v>
      </c>
      <c r="J51" s="47">
        <v>15</v>
      </c>
      <c r="K51" s="48" t="s">
        <v>104</v>
      </c>
      <c r="L51" s="22">
        <f t="shared" si="13"/>
        <v>900</v>
      </c>
      <c r="M51" s="22">
        <f t="shared" si="10"/>
        <v>900</v>
      </c>
      <c r="N51" s="22">
        <f t="shared" si="10"/>
        <v>1200</v>
      </c>
      <c r="O51" s="22">
        <f t="shared" si="11"/>
        <v>1200</v>
      </c>
      <c r="P51" s="22">
        <f t="shared" si="12"/>
        <v>4200</v>
      </c>
    </row>
    <row r="52" spans="1:16" x14ac:dyDescent="0.35">
      <c r="A52" s="47">
        <v>16</v>
      </c>
      <c r="B52" s="48" t="s">
        <v>105</v>
      </c>
      <c r="C52" s="49">
        <v>75</v>
      </c>
      <c r="D52" s="49">
        <v>100</v>
      </c>
      <c r="E52" s="49">
        <v>50</v>
      </c>
      <c r="F52" s="49">
        <f t="shared" si="8"/>
        <v>125</v>
      </c>
      <c r="G52" s="49">
        <f t="shared" si="9"/>
        <v>350</v>
      </c>
      <c r="J52" s="47">
        <v>16</v>
      </c>
      <c r="K52" s="48" t="s">
        <v>105</v>
      </c>
      <c r="L52" s="22">
        <f t="shared" si="13"/>
        <v>900</v>
      </c>
      <c r="M52" s="22">
        <f t="shared" si="10"/>
        <v>1200</v>
      </c>
      <c r="N52" s="22">
        <f t="shared" si="10"/>
        <v>600</v>
      </c>
      <c r="O52" s="22">
        <f t="shared" si="11"/>
        <v>1500</v>
      </c>
      <c r="P52" s="22">
        <f t="shared" si="12"/>
        <v>4200</v>
      </c>
    </row>
    <row r="53" spans="1:16" x14ac:dyDescent="0.35">
      <c r="A53" s="47">
        <v>17</v>
      </c>
      <c r="B53" s="48" t="s">
        <v>106</v>
      </c>
      <c r="C53" s="49">
        <v>75</v>
      </c>
      <c r="D53" s="49">
        <v>100</v>
      </c>
      <c r="E53" s="49">
        <v>75</v>
      </c>
      <c r="F53" s="49">
        <f t="shared" si="8"/>
        <v>100</v>
      </c>
      <c r="G53" s="49">
        <f t="shared" si="9"/>
        <v>350</v>
      </c>
      <c r="J53" s="47">
        <v>17</v>
      </c>
      <c r="K53" s="48" t="s">
        <v>106</v>
      </c>
      <c r="L53" s="22">
        <f t="shared" si="13"/>
        <v>900</v>
      </c>
      <c r="M53" s="22">
        <f t="shared" si="10"/>
        <v>1200</v>
      </c>
      <c r="N53" s="22">
        <f t="shared" si="10"/>
        <v>900</v>
      </c>
      <c r="O53" s="22">
        <f t="shared" si="11"/>
        <v>1200</v>
      </c>
      <c r="P53" s="22">
        <f t="shared" si="12"/>
        <v>4200</v>
      </c>
    </row>
    <row r="54" spans="1:16" x14ac:dyDescent="0.35">
      <c r="A54" s="47">
        <v>18</v>
      </c>
      <c r="B54" s="48" t="s">
        <v>107</v>
      </c>
      <c r="C54" s="49">
        <v>75</v>
      </c>
      <c r="D54" s="49">
        <v>100</v>
      </c>
      <c r="E54" s="49">
        <v>100</v>
      </c>
      <c r="F54" s="49">
        <f t="shared" si="8"/>
        <v>75</v>
      </c>
      <c r="G54" s="49">
        <f t="shared" si="9"/>
        <v>350</v>
      </c>
      <c r="J54" s="47">
        <v>18</v>
      </c>
      <c r="K54" s="48" t="s">
        <v>107</v>
      </c>
      <c r="L54" s="22">
        <v>900</v>
      </c>
      <c r="M54" s="22">
        <f t="shared" ref="M54:N64" si="14">D54*12</f>
        <v>1200</v>
      </c>
      <c r="N54" s="22">
        <f t="shared" si="14"/>
        <v>1200</v>
      </c>
      <c r="O54" s="22">
        <f t="shared" si="11"/>
        <v>900</v>
      </c>
      <c r="P54" s="22">
        <f t="shared" si="12"/>
        <v>4200</v>
      </c>
    </row>
    <row r="55" spans="1:16" x14ac:dyDescent="0.35">
      <c r="A55" s="47">
        <v>19</v>
      </c>
      <c r="B55" s="48" t="s">
        <v>108</v>
      </c>
      <c r="C55" s="49">
        <v>100</v>
      </c>
      <c r="D55" s="49">
        <v>50</v>
      </c>
      <c r="E55" s="49">
        <v>50</v>
      </c>
      <c r="F55" s="49">
        <f t="shared" si="8"/>
        <v>150</v>
      </c>
      <c r="G55" s="49">
        <f t="shared" si="9"/>
        <v>350</v>
      </c>
      <c r="J55" s="47">
        <v>19</v>
      </c>
      <c r="K55" s="48" t="s">
        <v>108</v>
      </c>
      <c r="L55" s="22">
        <v>1200</v>
      </c>
      <c r="M55" s="22">
        <f t="shared" si="14"/>
        <v>600</v>
      </c>
      <c r="N55" s="22">
        <f t="shared" si="14"/>
        <v>600</v>
      </c>
      <c r="O55" s="22">
        <f t="shared" si="11"/>
        <v>1800</v>
      </c>
      <c r="P55" s="22">
        <f t="shared" si="12"/>
        <v>4200</v>
      </c>
    </row>
    <row r="56" spans="1:16" x14ac:dyDescent="0.35">
      <c r="A56" s="47">
        <v>20</v>
      </c>
      <c r="B56" s="48" t="s">
        <v>109</v>
      </c>
      <c r="C56" s="49">
        <v>100</v>
      </c>
      <c r="D56" s="49">
        <v>50</v>
      </c>
      <c r="E56" s="49">
        <v>75</v>
      </c>
      <c r="F56" s="49">
        <f t="shared" si="8"/>
        <v>125</v>
      </c>
      <c r="G56" s="49">
        <f t="shared" si="9"/>
        <v>350</v>
      </c>
      <c r="J56" s="47">
        <v>20</v>
      </c>
      <c r="K56" s="48" t="s">
        <v>109</v>
      </c>
      <c r="L56" s="22">
        <v>1200</v>
      </c>
      <c r="M56" s="22">
        <f t="shared" si="14"/>
        <v>600</v>
      </c>
      <c r="N56" s="22">
        <f t="shared" si="14"/>
        <v>900</v>
      </c>
      <c r="O56" s="22">
        <f t="shared" si="11"/>
        <v>1500</v>
      </c>
      <c r="P56" s="22">
        <f t="shared" si="12"/>
        <v>4200</v>
      </c>
    </row>
    <row r="57" spans="1:16" x14ac:dyDescent="0.35">
      <c r="A57" s="47">
        <v>21</v>
      </c>
      <c r="B57" s="48" t="s">
        <v>110</v>
      </c>
      <c r="C57" s="49">
        <v>100</v>
      </c>
      <c r="D57" s="49">
        <v>50</v>
      </c>
      <c r="E57" s="49">
        <v>100</v>
      </c>
      <c r="F57" s="49">
        <f t="shared" si="8"/>
        <v>100</v>
      </c>
      <c r="G57" s="49">
        <f t="shared" si="9"/>
        <v>350</v>
      </c>
      <c r="J57" s="47">
        <v>21</v>
      </c>
      <c r="K57" s="48" t="s">
        <v>110</v>
      </c>
      <c r="L57" s="22">
        <v>1200</v>
      </c>
      <c r="M57" s="22">
        <f t="shared" si="14"/>
        <v>600</v>
      </c>
      <c r="N57" s="22">
        <f t="shared" si="14"/>
        <v>1200</v>
      </c>
      <c r="O57" s="22">
        <f t="shared" si="11"/>
        <v>1200</v>
      </c>
      <c r="P57" s="22">
        <f t="shared" si="12"/>
        <v>4200</v>
      </c>
    </row>
    <row r="58" spans="1:16" x14ac:dyDescent="0.35">
      <c r="A58" s="47">
        <v>22</v>
      </c>
      <c r="B58" s="48" t="s">
        <v>111</v>
      </c>
      <c r="C58" s="49">
        <v>100</v>
      </c>
      <c r="D58" s="49">
        <v>75</v>
      </c>
      <c r="E58" s="49">
        <v>50</v>
      </c>
      <c r="F58" s="49">
        <f t="shared" si="8"/>
        <v>125</v>
      </c>
      <c r="G58" s="49">
        <f t="shared" si="9"/>
        <v>350</v>
      </c>
      <c r="J58" s="47">
        <v>22</v>
      </c>
      <c r="K58" s="48" t="s">
        <v>111</v>
      </c>
      <c r="L58" s="22">
        <v>1200</v>
      </c>
      <c r="M58" s="22">
        <f t="shared" si="14"/>
        <v>900</v>
      </c>
      <c r="N58" s="22">
        <f t="shared" si="14"/>
        <v>600</v>
      </c>
      <c r="O58" s="22">
        <f t="shared" si="11"/>
        <v>1500</v>
      </c>
      <c r="P58" s="22">
        <f t="shared" si="12"/>
        <v>4200</v>
      </c>
    </row>
    <row r="59" spans="1:16" x14ac:dyDescent="0.35">
      <c r="A59" s="47">
        <v>23</v>
      </c>
      <c r="B59" s="48" t="s">
        <v>112</v>
      </c>
      <c r="C59" s="49">
        <v>100</v>
      </c>
      <c r="D59" s="49">
        <v>75</v>
      </c>
      <c r="E59" s="49">
        <v>75</v>
      </c>
      <c r="F59" s="49">
        <f t="shared" si="8"/>
        <v>100</v>
      </c>
      <c r="G59" s="49">
        <f t="shared" si="9"/>
        <v>350</v>
      </c>
      <c r="J59" s="47">
        <v>23</v>
      </c>
      <c r="K59" s="48" t="s">
        <v>112</v>
      </c>
      <c r="L59" s="22">
        <v>1200</v>
      </c>
      <c r="M59" s="22">
        <f t="shared" si="14"/>
        <v>900</v>
      </c>
      <c r="N59" s="22">
        <f t="shared" si="14"/>
        <v>900</v>
      </c>
      <c r="O59" s="22">
        <f t="shared" si="11"/>
        <v>1200</v>
      </c>
      <c r="P59" s="22">
        <f t="shared" si="12"/>
        <v>4200</v>
      </c>
    </row>
    <row r="60" spans="1:16" x14ac:dyDescent="0.35">
      <c r="A60" s="47">
        <v>24</v>
      </c>
      <c r="B60" s="48" t="s">
        <v>113</v>
      </c>
      <c r="C60" s="49">
        <v>100</v>
      </c>
      <c r="D60" s="49">
        <v>75</v>
      </c>
      <c r="E60" s="49">
        <v>100</v>
      </c>
      <c r="F60" s="49">
        <f t="shared" si="8"/>
        <v>75</v>
      </c>
      <c r="G60" s="49">
        <f t="shared" si="9"/>
        <v>350</v>
      </c>
      <c r="J60" s="47">
        <v>24</v>
      </c>
      <c r="K60" s="48" t="s">
        <v>113</v>
      </c>
      <c r="L60" s="22">
        <v>1200</v>
      </c>
      <c r="M60" s="22">
        <f t="shared" si="14"/>
        <v>900</v>
      </c>
      <c r="N60" s="22">
        <f t="shared" si="14"/>
        <v>1200</v>
      </c>
      <c r="O60" s="22">
        <f t="shared" si="11"/>
        <v>900</v>
      </c>
      <c r="P60" s="22">
        <f t="shared" si="12"/>
        <v>4200</v>
      </c>
    </row>
    <row r="61" spans="1:16" x14ac:dyDescent="0.35">
      <c r="A61" s="47">
        <v>25</v>
      </c>
      <c r="B61" s="48" t="s">
        <v>114</v>
      </c>
      <c r="C61" s="49">
        <v>100</v>
      </c>
      <c r="D61" s="49">
        <v>100</v>
      </c>
      <c r="E61" s="49">
        <v>50</v>
      </c>
      <c r="F61" s="49">
        <f t="shared" si="8"/>
        <v>100</v>
      </c>
      <c r="G61" s="49">
        <f t="shared" si="9"/>
        <v>350</v>
      </c>
      <c r="J61" s="47">
        <v>25</v>
      </c>
      <c r="K61" s="48" t="s">
        <v>114</v>
      </c>
      <c r="L61" s="22">
        <v>1200</v>
      </c>
      <c r="M61" s="22">
        <f t="shared" si="14"/>
        <v>1200</v>
      </c>
      <c r="N61" s="22">
        <f t="shared" si="14"/>
        <v>600</v>
      </c>
      <c r="O61" s="22">
        <f t="shared" si="11"/>
        <v>1200</v>
      </c>
      <c r="P61" s="22">
        <f t="shared" si="12"/>
        <v>4200</v>
      </c>
    </row>
    <row r="62" spans="1:16" x14ac:dyDescent="0.35">
      <c r="A62" s="47">
        <v>26</v>
      </c>
      <c r="B62" s="48" t="s">
        <v>115</v>
      </c>
      <c r="C62" s="49">
        <v>100</v>
      </c>
      <c r="D62" s="49">
        <v>100</v>
      </c>
      <c r="E62" s="49">
        <v>75</v>
      </c>
      <c r="F62" s="49">
        <f t="shared" si="8"/>
        <v>75</v>
      </c>
      <c r="G62" s="49">
        <f t="shared" si="9"/>
        <v>350</v>
      </c>
      <c r="J62" s="47">
        <v>26</v>
      </c>
      <c r="K62" s="48" t="s">
        <v>115</v>
      </c>
      <c r="L62" s="22">
        <v>1200</v>
      </c>
      <c r="M62" s="22">
        <f t="shared" si="14"/>
        <v>1200</v>
      </c>
      <c r="N62" s="22">
        <f t="shared" si="14"/>
        <v>900</v>
      </c>
      <c r="O62" s="22">
        <f t="shared" si="11"/>
        <v>900</v>
      </c>
      <c r="P62" s="22">
        <f t="shared" si="12"/>
        <v>4200</v>
      </c>
    </row>
    <row r="63" spans="1:16" x14ac:dyDescent="0.35">
      <c r="A63" s="47">
        <v>27</v>
      </c>
      <c r="B63" s="48" t="s">
        <v>116</v>
      </c>
      <c r="C63" s="49">
        <v>100</v>
      </c>
      <c r="D63" s="49">
        <v>100</v>
      </c>
      <c r="E63" s="49">
        <v>100</v>
      </c>
      <c r="F63" s="49">
        <f t="shared" si="8"/>
        <v>50</v>
      </c>
      <c r="G63" s="49">
        <f t="shared" si="9"/>
        <v>350</v>
      </c>
      <c r="J63" s="47">
        <v>27</v>
      </c>
      <c r="K63" s="48" t="s">
        <v>116</v>
      </c>
      <c r="L63" s="22">
        <v>1200</v>
      </c>
      <c r="M63" s="22">
        <f t="shared" si="14"/>
        <v>1200</v>
      </c>
      <c r="N63" s="22">
        <f t="shared" si="14"/>
        <v>1200</v>
      </c>
      <c r="O63" s="22">
        <f t="shared" si="11"/>
        <v>600</v>
      </c>
      <c r="P63" s="22">
        <f t="shared" si="12"/>
        <v>4200</v>
      </c>
    </row>
  </sheetData>
  <mergeCells count="4">
    <mergeCell ref="A1:G1"/>
    <mergeCell ref="J1:P1"/>
    <mergeCell ref="A35:G35"/>
    <mergeCell ref="J35:P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65D3-A1A1-48ED-B35B-ED29EAE5EE7C}">
  <dimension ref="A1:E41"/>
  <sheetViews>
    <sheetView tabSelected="1" workbookViewId="0">
      <selection activeCell="K16" sqref="K16"/>
    </sheetView>
  </sheetViews>
  <sheetFormatPr defaultRowHeight="14.5" x14ac:dyDescent="0.35"/>
  <cols>
    <col min="1" max="1" width="12.7265625" bestFit="1" customWidth="1"/>
    <col min="2" max="2" width="19.90625" bestFit="1" customWidth="1"/>
    <col min="3" max="3" width="7.36328125" bestFit="1" customWidth="1"/>
  </cols>
  <sheetData>
    <row r="1" spans="1:5" x14ac:dyDescent="0.35">
      <c r="C1" s="51" t="s">
        <v>123</v>
      </c>
    </row>
    <row r="2" spans="1:5" ht="29" x14ac:dyDescent="0.35">
      <c r="A2" s="52"/>
      <c r="B2" s="53" t="s">
        <v>124</v>
      </c>
      <c r="C2" s="54" t="s">
        <v>125</v>
      </c>
    </row>
    <row r="3" spans="1:5" x14ac:dyDescent="0.35">
      <c r="A3" s="52"/>
      <c r="B3" s="52"/>
      <c r="C3" s="52"/>
    </row>
    <row r="4" spans="1:5" x14ac:dyDescent="0.35">
      <c r="A4" s="55" t="s">
        <v>126</v>
      </c>
      <c r="B4" s="56"/>
      <c r="C4" s="57">
        <f>7*1.5</f>
        <v>10.5</v>
      </c>
      <c r="D4" t="s">
        <v>61</v>
      </c>
      <c r="E4" s="58" t="s">
        <v>127</v>
      </c>
    </row>
    <row r="5" spans="1:5" x14ac:dyDescent="0.35">
      <c r="A5" s="59"/>
      <c r="B5" s="22"/>
      <c r="C5" s="60"/>
      <c r="E5" s="58"/>
    </row>
    <row r="6" spans="1:5" x14ac:dyDescent="0.35">
      <c r="A6" s="55" t="s">
        <v>51</v>
      </c>
      <c r="B6" s="56"/>
      <c r="C6" s="61">
        <v>0.75</v>
      </c>
      <c r="D6" t="s">
        <v>61</v>
      </c>
      <c r="E6" s="58"/>
    </row>
    <row r="7" spans="1:5" x14ac:dyDescent="0.35">
      <c r="A7" s="59"/>
      <c r="B7" s="22"/>
      <c r="C7" s="60"/>
      <c r="E7" s="58"/>
    </row>
    <row r="8" spans="1:5" x14ac:dyDescent="0.35">
      <c r="A8" s="55" t="s">
        <v>128</v>
      </c>
      <c r="B8" s="56"/>
      <c r="C8" s="62">
        <f>1.5*17.13</f>
        <v>25.695</v>
      </c>
      <c r="D8" t="s">
        <v>61</v>
      </c>
      <c r="E8" s="58"/>
    </row>
    <row r="9" spans="1:5" x14ac:dyDescent="0.35">
      <c r="A9" s="59"/>
      <c r="B9" s="22"/>
      <c r="C9" s="60"/>
      <c r="E9" s="58"/>
    </row>
    <row r="10" spans="1:5" x14ac:dyDescent="0.35">
      <c r="A10" s="55" t="s">
        <v>129</v>
      </c>
      <c r="B10" s="56"/>
      <c r="C10" s="57">
        <f>1.5*15</f>
        <v>22.5</v>
      </c>
      <c r="D10" t="s">
        <v>130</v>
      </c>
      <c r="E10" s="58"/>
    </row>
    <row r="11" spans="1:5" x14ac:dyDescent="0.35">
      <c r="A11" s="59"/>
      <c r="B11" s="22"/>
      <c r="C11" s="60"/>
      <c r="E11" s="58"/>
    </row>
    <row r="12" spans="1:5" x14ac:dyDescent="0.35">
      <c r="A12" s="55" t="s">
        <v>131</v>
      </c>
      <c r="B12" s="56" t="s">
        <v>132</v>
      </c>
      <c r="C12" s="57">
        <v>1.5</v>
      </c>
      <c r="D12" t="s">
        <v>130</v>
      </c>
      <c r="E12" s="58"/>
    </row>
    <row r="13" spans="1:5" x14ac:dyDescent="0.35">
      <c r="A13" s="55" t="s">
        <v>133</v>
      </c>
      <c r="B13" s="56" t="s">
        <v>132</v>
      </c>
      <c r="C13" s="57">
        <v>1.5</v>
      </c>
      <c r="D13" t="s">
        <v>130</v>
      </c>
      <c r="E13" s="58"/>
    </row>
    <row r="14" spans="1:5" x14ac:dyDescent="0.35">
      <c r="A14" s="55" t="s">
        <v>134</v>
      </c>
      <c r="B14" s="56" t="s">
        <v>132</v>
      </c>
      <c r="C14" s="57">
        <v>1.5</v>
      </c>
      <c r="D14" t="s">
        <v>130</v>
      </c>
      <c r="E14" s="58"/>
    </row>
    <row r="15" spans="1:5" x14ac:dyDescent="0.35">
      <c r="A15" s="55" t="s">
        <v>135</v>
      </c>
      <c r="B15" s="56" t="s">
        <v>132</v>
      </c>
      <c r="C15" s="57">
        <v>1.5</v>
      </c>
      <c r="D15" t="s">
        <v>130</v>
      </c>
      <c r="E15" s="58"/>
    </row>
    <row r="16" spans="1:5" x14ac:dyDescent="0.35">
      <c r="A16" s="55" t="s">
        <v>136</v>
      </c>
      <c r="B16" s="56" t="s">
        <v>132</v>
      </c>
      <c r="C16" s="57">
        <v>1.5</v>
      </c>
      <c r="D16" t="s">
        <v>130</v>
      </c>
      <c r="E16" s="58"/>
    </row>
    <row r="17" spans="1:5" x14ac:dyDescent="0.35">
      <c r="A17" s="55" t="s">
        <v>137</v>
      </c>
      <c r="B17" s="56" t="s">
        <v>132</v>
      </c>
      <c r="C17" s="57">
        <v>1.5</v>
      </c>
      <c r="D17" t="s">
        <v>130</v>
      </c>
      <c r="E17" s="58"/>
    </row>
    <row r="18" spans="1:5" x14ac:dyDescent="0.35">
      <c r="A18" s="59"/>
      <c r="B18" s="22"/>
      <c r="C18" s="63"/>
    </row>
    <row r="19" spans="1:5" x14ac:dyDescent="0.35">
      <c r="A19" s="64" t="s">
        <v>138</v>
      </c>
      <c r="B19" s="65"/>
      <c r="C19" s="66">
        <f>1500-(C21+C23+C25+C26+C27+C28+C30+C32+C34+C36+C38)</f>
        <v>1153.1100000000001</v>
      </c>
    </row>
    <row r="20" spans="1:5" x14ac:dyDescent="0.35">
      <c r="A20" s="59"/>
      <c r="B20" s="22"/>
      <c r="C20" s="63"/>
    </row>
    <row r="21" spans="1:5" x14ac:dyDescent="0.35">
      <c r="A21" s="55" t="s">
        <v>139</v>
      </c>
      <c r="B21" s="56"/>
      <c r="C21" s="57">
        <v>150</v>
      </c>
      <c r="D21" t="s">
        <v>130</v>
      </c>
      <c r="E21" s="67" t="s">
        <v>140</v>
      </c>
    </row>
    <row r="22" spans="1:5" x14ac:dyDescent="0.35">
      <c r="A22" s="59"/>
      <c r="B22" s="22"/>
      <c r="C22" s="63"/>
      <c r="E22" s="67"/>
    </row>
    <row r="23" spans="1:5" x14ac:dyDescent="0.35">
      <c r="A23" s="55" t="s">
        <v>141</v>
      </c>
      <c r="B23" s="56"/>
      <c r="C23" s="57">
        <v>12</v>
      </c>
      <c r="D23" t="s">
        <v>130</v>
      </c>
      <c r="E23" s="67"/>
    </row>
    <row r="24" spans="1:5" x14ac:dyDescent="0.35">
      <c r="A24" s="59"/>
      <c r="B24" s="22"/>
      <c r="C24" s="63"/>
      <c r="E24" s="67"/>
    </row>
    <row r="25" spans="1:5" x14ac:dyDescent="0.35">
      <c r="A25" s="68" t="s">
        <v>142</v>
      </c>
      <c r="B25" s="56" t="s">
        <v>143</v>
      </c>
      <c r="C25" s="62">
        <f>32.68*1.5</f>
        <v>49.019999999999996</v>
      </c>
      <c r="D25" t="s">
        <v>130</v>
      </c>
      <c r="E25" s="67"/>
    </row>
    <row r="26" spans="1:5" x14ac:dyDescent="0.35">
      <c r="A26" s="59"/>
      <c r="B26" s="56" t="s">
        <v>144</v>
      </c>
      <c r="C26" s="62">
        <f>32.68*1.5</f>
        <v>49.019999999999996</v>
      </c>
      <c r="D26" t="s">
        <v>130</v>
      </c>
      <c r="E26" s="67"/>
    </row>
    <row r="27" spans="1:5" x14ac:dyDescent="0.35">
      <c r="A27" s="59"/>
      <c r="B27" s="56" t="s">
        <v>145</v>
      </c>
      <c r="C27" s="62">
        <f>1.5*8.2</f>
        <v>12.299999999999999</v>
      </c>
      <c r="D27" t="s">
        <v>130</v>
      </c>
      <c r="E27" s="67"/>
    </row>
    <row r="28" spans="1:5" x14ac:dyDescent="0.35">
      <c r="A28" s="59"/>
      <c r="B28" s="56" t="s">
        <v>146</v>
      </c>
      <c r="C28" s="62">
        <f>1.5*3.7</f>
        <v>5.5500000000000007</v>
      </c>
      <c r="D28" t="s">
        <v>130</v>
      </c>
      <c r="E28" s="67"/>
    </row>
    <row r="29" spans="1:5" x14ac:dyDescent="0.35">
      <c r="A29" s="59"/>
      <c r="B29" s="69"/>
      <c r="C29" s="70"/>
      <c r="E29" s="67"/>
    </row>
    <row r="30" spans="1:5" x14ac:dyDescent="0.35">
      <c r="A30" s="55" t="s">
        <v>147</v>
      </c>
      <c r="B30" s="56"/>
      <c r="C30" s="57">
        <f>1.5*21</f>
        <v>31.5</v>
      </c>
      <c r="D30" t="s">
        <v>130</v>
      </c>
      <c r="E30" s="67"/>
    </row>
    <row r="31" spans="1:5" x14ac:dyDescent="0.35">
      <c r="A31" s="59"/>
      <c r="B31" s="22"/>
      <c r="C31" s="60"/>
      <c r="E31" s="67"/>
    </row>
    <row r="32" spans="1:5" x14ac:dyDescent="0.35">
      <c r="A32" s="55" t="s">
        <v>148</v>
      </c>
      <c r="B32" s="56"/>
      <c r="C32" s="57">
        <v>1.5</v>
      </c>
      <c r="D32" t="s">
        <v>130</v>
      </c>
      <c r="E32" s="67"/>
    </row>
    <row r="33" spans="1:5" x14ac:dyDescent="0.35">
      <c r="A33" s="59"/>
      <c r="B33" s="22"/>
      <c r="C33" s="60"/>
      <c r="E33" s="67"/>
    </row>
    <row r="34" spans="1:5" x14ac:dyDescent="0.35">
      <c r="A34" s="55" t="s">
        <v>149</v>
      </c>
      <c r="B34" s="56"/>
      <c r="C34" s="57">
        <v>9</v>
      </c>
      <c r="D34" t="s">
        <v>130</v>
      </c>
      <c r="E34" s="67"/>
    </row>
    <row r="35" spans="1:5" x14ac:dyDescent="0.35">
      <c r="A35" s="59"/>
      <c r="B35" s="22"/>
      <c r="C35" s="60"/>
      <c r="E35" s="67"/>
    </row>
    <row r="36" spans="1:5" x14ac:dyDescent="0.35">
      <c r="A36" s="55" t="s">
        <v>150</v>
      </c>
      <c r="B36" s="56"/>
      <c r="C36" s="57">
        <f>1.5*15</f>
        <v>22.5</v>
      </c>
      <c r="D36" t="s">
        <v>130</v>
      </c>
      <c r="E36" s="67"/>
    </row>
    <row r="37" spans="1:5" x14ac:dyDescent="0.35">
      <c r="E37" s="67"/>
    </row>
    <row r="38" spans="1:5" x14ac:dyDescent="0.35">
      <c r="A38" s="55" t="s">
        <v>151</v>
      </c>
      <c r="B38" s="56"/>
      <c r="C38" s="57">
        <v>4.5</v>
      </c>
      <c r="D38" t="s">
        <v>130</v>
      </c>
      <c r="E38" s="67"/>
    </row>
    <row r="41" spans="1:5" x14ac:dyDescent="0.35">
      <c r="A41" t="s">
        <v>173</v>
      </c>
    </row>
  </sheetData>
  <mergeCells count="2">
    <mergeCell ref="E4:E17"/>
    <mergeCell ref="E21:E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3581-31F9-45E5-8505-6AE3BC47810C}">
  <dimension ref="A1:B11"/>
  <sheetViews>
    <sheetView workbookViewId="0">
      <selection activeCell="J22" sqref="J22"/>
    </sheetView>
  </sheetViews>
  <sheetFormatPr defaultRowHeight="14.5" x14ac:dyDescent="0.35"/>
  <cols>
    <col min="1" max="1" width="16.1796875" bestFit="1" customWidth="1"/>
  </cols>
  <sheetData>
    <row r="1" spans="1:2" x14ac:dyDescent="0.35">
      <c r="A1" s="71" t="s">
        <v>152</v>
      </c>
      <c r="B1" s="71"/>
    </row>
    <row r="2" spans="1:2" ht="16" thickBot="1" x14ac:dyDescent="0.4">
      <c r="A2" s="72" t="s">
        <v>153</v>
      </c>
      <c r="B2" s="73" t="s">
        <v>154</v>
      </c>
    </row>
    <row r="3" spans="1:2" ht="15" thickBot="1" x14ac:dyDescent="0.4">
      <c r="A3" s="74" t="s">
        <v>126</v>
      </c>
      <c r="B3" s="75" t="s">
        <v>155</v>
      </c>
    </row>
    <row r="4" spans="1:2" ht="15" thickBot="1" x14ac:dyDescent="0.4">
      <c r="A4" s="72" t="s">
        <v>156</v>
      </c>
      <c r="B4" s="73" t="s">
        <v>157</v>
      </c>
    </row>
    <row r="5" spans="1:2" ht="15" thickBot="1" x14ac:dyDescent="0.4">
      <c r="A5" s="74" t="s">
        <v>158</v>
      </c>
      <c r="B5" s="75" t="s">
        <v>159</v>
      </c>
    </row>
    <row r="6" spans="1:2" ht="15" thickBot="1" x14ac:dyDescent="0.4">
      <c r="A6" s="72" t="s">
        <v>160</v>
      </c>
      <c r="B6" s="73" t="s">
        <v>161</v>
      </c>
    </row>
    <row r="7" spans="1:2" ht="15" thickBot="1" x14ac:dyDescent="0.4">
      <c r="A7" s="74" t="s">
        <v>162</v>
      </c>
      <c r="B7" s="75" t="s">
        <v>163</v>
      </c>
    </row>
    <row r="8" spans="1:2" ht="15" thickBot="1" x14ac:dyDescent="0.4">
      <c r="A8" s="72" t="s">
        <v>164</v>
      </c>
      <c r="B8" s="73" t="s">
        <v>165</v>
      </c>
    </row>
    <row r="9" spans="1:2" ht="15" thickBot="1" x14ac:dyDescent="0.4">
      <c r="A9" s="74" t="s">
        <v>150</v>
      </c>
      <c r="B9" s="75" t="s">
        <v>166</v>
      </c>
    </row>
    <row r="10" spans="1:2" ht="15" thickBot="1" x14ac:dyDescent="0.4">
      <c r="A10" s="72" t="s">
        <v>167</v>
      </c>
      <c r="B10" s="73" t="s">
        <v>168</v>
      </c>
    </row>
    <row r="11" spans="1:2" ht="15" thickBot="1" x14ac:dyDescent="0.4">
      <c r="A11" s="74" t="s">
        <v>169</v>
      </c>
      <c r="B11" s="75" t="s">
        <v>170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AA stock solutions</vt:lpstr>
      <vt:lpstr>AA solutions</vt:lpstr>
      <vt:lpstr>18N 6% AcOH cook</vt:lpstr>
      <vt:lpstr>Liquid Robot Data</vt:lpstr>
      <vt:lpstr>108N 6% AcOH without V, L and I</vt:lpstr>
      <vt:lpstr>Sugar-Yeast diet recipe</vt:lpstr>
    </vt:vector>
  </TitlesOfParts>
  <Company>The University of Melbourne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Martelli Soares Da Silva</dc:creator>
  <cp:lastModifiedBy>Felipe Martelli Soares Da Silva</cp:lastModifiedBy>
  <dcterms:created xsi:type="dcterms:W3CDTF">2023-10-05T23:03:26Z</dcterms:created>
  <dcterms:modified xsi:type="dcterms:W3CDTF">2023-10-05T23:17:58Z</dcterms:modified>
</cp:coreProperties>
</file>