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eamarkha/Documents/Data_analysis/analysis/B73_RT_compare_analysis/"/>
    </mc:Choice>
  </mc:AlternateContent>
  <xr:revisionPtr revIDLastSave="0" documentId="13_ncr:1_{55AF8DC9-6A69-E74C-AFFA-80148CEE8D74}" xr6:coauthVersionLast="47" xr6:coauthVersionMax="47" xr10:uidLastSave="{00000000-0000-0000-0000-000000000000}"/>
  <bookViews>
    <workbookView xWindow="20500" yWindow="500" windowWidth="32260" windowHeight="21900" xr2:uid="{45B9D9B1-4B78-6C4E-94C5-A5A7CA873BB2}"/>
  </bookViews>
  <sheets>
    <sheet name="Table_S1" sheetId="9" r:id="rId1"/>
    <sheet name="Table_S2" sheetId="12" r:id="rId2"/>
    <sheet name="Table_S3" sheetId="13" r:id="rId3"/>
    <sheet name="Table_S4" sheetId="15" r:id="rId4"/>
    <sheet name="Table_S5" sheetId="14" r:id="rId5"/>
    <sheet name="Table_S6" sheetId="1" r:id="rId6"/>
    <sheet name="Table_S7" sheetId="16" r:id="rId7"/>
    <sheet name="Table_S8"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K1" i="16" l="1"/>
  <c r="F5" i="9" l="1"/>
  <c r="I5" i="13"/>
  <c r="M1" i="13"/>
  <c r="M6" i="13" s="1"/>
  <c r="K1" i="12"/>
  <c r="K6" i="12" s="1"/>
  <c r="H10" i="13"/>
  <c r="G10" i="13"/>
  <c r="F10" i="13"/>
  <c r="E10" i="13"/>
  <c r="H9" i="13"/>
  <c r="G9" i="13"/>
  <c r="F9" i="13"/>
  <c r="E9" i="13"/>
  <c r="H8" i="13"/>
  <c r="G8" i="13"/>
  <c r="F8" i="13"/>
  <c r="E8" i="13"/>
  <c r="H7" i="13"/>
  <c r="G7" i="13"/>
  <c r="F7" i="13"/>
  <c r="E7" i="13"/>
  <c r="H6" i="13"/>
  <c r="G6" i="13"/>
  <c r="F6" i="13"/>
  <c r="E6" i="13"/>
  <c r="H5" i="13"/>
  <c r="G5" i="13"/>
  <c r="F5" i="13"/>
  <c r="E5" i="13"/>
  <c r="F10" i="12"/>
  <c r="E10" i="12"/>
  <c r="F9" i="12"/>
  <c r="E9" i="12"/>
  <c r="F8" i="12"/>
  <c r="E8" i="12"/>
  <c r="F7" i="12"/>
  <c r="E7" i="12"/>
  <c r="F6" i="12"/>
  <c r="E6" i="12"/>
  <c r="F5" i="12"/>
  <c r="E5" i="12"/>
  <c r="K5" i="12" l="1"/>
  <c r="K10" i="12"/>
  <c r="K9" i="12"/>
  <c r="K8" i="12"/>
  <c r="K7" i="12"/>
  <c r="M5" i="13"/>
  <c r="M10" i="13"/>
  <c r="M9" i="13"/>
  <c r="M8" i="13"/>
  <c r="M7" i="13"/>
  <c r="F16" i="9" l="1"/>
  <c r="F15" i="9"/>
  <c r="F14" i="9"/>
  <c r="F13" i="9"/>
  <c r="F12" i="9"/>
  <c r="F11" i="9"/>
  <c r="F10" i="9"/>
  <c r="F9" i="9"/>
  <c r="F8" i="9"/>
  <c r="F7" i="9"/>
  <c r="F6" i="9"/>
  <c r="E16" i="9"/>
  <c r="E15" i="9"/>
  <c r="E14" i="9"/>
  <c r="E13" i="9"/>
  <c r="E12" i="9"/>
  <c r="E11" i="9"/>
  <c r="E10" i="9"/>
  <c r="E9" i="9"/>
  <c r="E8" i="9"/>
  <c r="E7" i="9"/>
  <c r="E6" i="9"/>
  <c r="E5" i="9"/>
  <c r="K12" i="9" l="1"/>
  <c r="K5" i="9"/>
  <c r="K6" i="9"/>
  <c r="K7" i="9"/>
  <c r="K8" i="9"/>
  <c r="K9" i="9"/>
  <c r="K10" i="9"/>
  <c r="K11" i="9"/>
  <c r="K13" i="9"/>
  <c r="K14" i="9"/>
  <c r="K15" i="9"/>
  <c r="K16" i="9"/>
</calcChain>
</file>

<file path=xl/sharedStrings.xml><?xml version="1.0" encoding="utf-8"?>
<sst xmlns="http://schemas.openxmlformats.org/spreadsheetml/2006/main" count="328" uniqueCount="164">
  <si>
    <t>E</t>
  </si>
  <si>
    <t>EM</t>
  </si>
  <si>
    <t>M</t>
  </si>
  <si>
    <t>L</t>
  </si>
  <si>
    <t>ML</t>
  </si>
  <si>
    <t>G1</t>
  </si>
  <si>
    <t>Fraction</t>
  </si>
  <si>
    <t>Biorep</t>
  </si>
  <si>
    <t># inital  mapped reads</t>
  </si>
  <si>
    <t># reads after duplicates removed</t>
  </si>
  <si>
    <t># reads after scaffold and mappability droplist reads removed</t>
  </si>
  <si>
    <t>br1</t>
  </si>
  <si>
    <t>br2</t>
  </si>
  <si>
    <t>br3</t>
  </si>
  <si>
    <t>S</t>
  </si>
  <si>
    <t>Method</t>
  </si>
  <si>
    <t>S/G1</t>
  </si>
  <si>
    <t>EdU-S/G1</t>
  </si>
  <si>
    <t>Repli-seq</t>
  </si>
  <si>
    <t>Early</t>
  </si>
  <si>
    <t>Mid</t>
  </si>
  <si>
    <t>Late</t>
  </si>
  <si>
    <t>Theoretical coverage using final reads</t>
  </si>
  <si>
    <t># filtered reads (properly paired, MAPQ≥6)</t>
  </si>
  <si>
    <t>CACTA</t>
  </si>
  <si>
    <t>LINE</t>
  </si>
  <si>
    <t>Copia</t>
  </si>
  <si>
    <t>Gypsy</t>
  </si>
  <si>
    <t>HAT</t>
  </si>
  <si>
    <t>Helitron</t>
  </si>
  <si>
    <t>Mutator</t>
  </si>
  <si>
    <t>Genes</t>
  </si>
  <si>
    <t># inital mapped read</t>
  </si>
  <si>
    <t xml:space="preserve"># trimmed reads </t>
  </si>
  <si>
    <t># total reads from sequencing run</t>
  </si>
  <si>
    <t># trimmed reads</t>
  </si>
  <si>
    <t xml:space="preserve"># total reads Primary and Seminal merged sequencing run </t>
  </si>
  <si>
    <t># total reads from Seminal root sample</t>
  </si>
  <si>
    <t># total reads from Primary root sample</t>
  </si>
  <si>
    <t>Family</t>
  </si>
  <si>
    <t>Number of elements in each family</t>
  </si>
  <si>
    <t>Number of base pairs covered by each family</t>
  </si>
  <si>
    <t xml:space="preserve">Percent of genome covered by each family </t>
  </si>
  <si>
    <t>Median S/G1 RT value</t>
  </si>
  <si>
    <t>Median 
EdU-S/G1-29X RT value</t>
  </si>
  <si>
    <t>Median 
EdU-S/G1-6X RT value</t>
  </si>
  <si>
    <t>Median 
EdU-S/G1-16X RT value</t>
  </si>
  <si>
    <t>&lt;1%</t>
  </si>
  <si>
    <t>BioSample Accession</t>
  </si>
  <si>
    <t>2017 Repli-seq Repliscan Segmentation</t>
  </si>
  <si>
    <t>Pif-Harbinger</t>
  </si>
  <si>
    <t>unknown LTR</t>
  </si>
  <si>
    <t>Tc-1 Mariner</t>
  </si>
  <si>
    <t xml:space="preserve"># total reads </t>
  </si>
  <si>
    <r>
      <t xml:space="preserve">Supplementary Table 1 Mapping statistics for Repli-seq experiment. </t>
    </r>
    <r>
      <rPr>
        <sz val="12"/>
        <color theme="1"/>
        <rFont val="Arial"/>
        <family val="2"/>
      </rPr>
      <t>The number of reads sequenced, mapped and filtered for the current Repli-seq experiment, along with the theoretical coverage from the final number of retained reads. Note that the order of the MAPQ filtering and PCR duplicate removal steps are reversed compared to the S/G1 methods (see Table S2, S3). Note: the number of reads are counted as singles, i.e. both reads in a pair are counted.</t>
    </r>
  </si>
  <si>
    <r>
      <t>Supplementary Table 2 Mapping statistics for EdU-S/G1 experiment.</t>
    </r>
    <r>
      <rPr>
        <sz val="12"/>
        <color theme="1"/>
        <rFont val="Arial"/>
        <family val="2"/>
      </rPr>
      <t xml:space="preserve"> The number of reads sequenced, mapped and filtered for the EdU-S/G1 experiment, along with the theoretical coverage from the final number of retained reads. EdU-S/G1 libraries were sequenced twice to increase coverage and the reads merged. Note: the number of reads are counted as singles, i.e. both reads in a pair are counted.</t>
    </r>
  </si>
  <si>
    <r>
      <t xml:space="preserve">Supplementary Table 3. Mapping statistics for S/G1 experiment. </t>
    </r>
    <r>
      <rPr>
        <sz val="12"/>
        <color theme="1"/>
        <rFont val="Arial"/>
        <family val="2"/>
      </rPr>
      <t>The number of reads sequenced, mapped and filtered for the S/G1 experiment, along with the theoretical coverage from the final number of retained reads. For the S/G1 samples, the primary and seminal root tips were initially collected, sorted and sequenced separately. After finding no differences, the sequencing read fasta files from the two root tip types were merged. Note: the number of reads are counted as singles, i.e. both reads in a pair are counted.</t>
    </r>
  </si>
  <si>
    <t>Processed files</t>
  </si>
  <si>
    <t>GEO Accession</t>
  </si>
  <si>
    <r>
      <rPr>
        <b/>
        <sz val="12"/>
        <color theme="1"/>
        <rFont val="Arial"/>
        <family val="2"/>
      </rPr>
      <t>Supplementary Table 4.</t>
    </r>
    <r>
      <rPr>
        <sz val="12"/>
        <color theme="1"/>
        <rFont val="Arial"/>
        <family val="2"/>
      </rPr>
      <t xml:space="preserve"> </t>
    </r>
    <r>
      <rPr>
        <b/>
        <sz val="12"/>
        <color theme="1"/>
        <rFont val="Arial"/>
        <family val="2"/>
      </rPr>
      <t xml:space="preserve">NCBI accession numbers. </t>
    </r>
    <r>
      <rPr>
        <sz val="12"/>
        <color theme="1"/>
        <rFont val="Arial"/>
        <family val="2"/>
      </rPr>
      <t xml:space="preserve">The NCBI accession numbers for all sequencing data in this study, divided by method, cell cycle fraction, and biological replicate. The S/G1 primary and seminal root samples have separate accessions, but were merged for this analysis. </t>
    </r>
  </si>
  <si>
    <t>EdU-S/G1 average of bioreps</t>
  </si>
  <si>
    <t>EdU-S/G1 br1</t>
  </si>
  <si>
    <t>EdU-S/G1 br2</t>
  </si>
  <si>
    <t>EdU-S/G1 br3</t>
  </si>
  <si>
    <t>EdU-S/G1-16X average of bioreps</t>
  </si>
  <si>
    <t>EdU-S/G1-16X br1</t>
  </si>
  <si>
    <t>EdU-S/G1-16X br2</t>
  </si>
  <si>
    <t>EdU-S/G1-16X br3</t>
  </si>
  <si>
    <t>EdU-S/G1-6X average of bioreps</t>
  </si>
  <si>
    <t>EdU-S/G1-6X br1</t>
  </si>
  <si>
    <t>EdU-S/G1-6X br2</t>
  </si>
  <si>
    <t>EdU-S/G1-6X br3</t>
  </si>
  <si>
    <t>S/G1 average of bioreps</t>
  </si>
  <si>
    <t>S/G1 br1</t>
  </si>
  <si>
    <t>S/G1 br2</t>
  </si>
  <si>
    <t>S/G1 br3</t>
  </si>
  <si>
    <t>Repli-seq early S signal</t>
  </si>
  <si>
    <t>Repli-seq mid S signal</t>
  </si>
  <si>
    <t>Repli-seq late S signal</t>
  </si>
  <si>
    <t>GSE287085</t>
  </si>
  <si>
    <t>File Name</t>
  </si>
  <si>
    <t>GSE287085_B73_SG1_RT_avg.bw</t>
  </si>
  <si>
    <t>GSE287085_B73_SG1_RT_br1.bw</t>
  </si>
  <si>
    <t>GSE287085_B73_SG1_RT_br2.bw</t>
  </si>
  <si>
    <t>GSE287085_B73_SG1_RT_br3.bw</t>
  </si>
  <si>
    <r>
      <rPr>
        <b/>
        <sz val="12"/>
        <color theme="1"/>
        <rFont val="Arial"/>
        <family val="2"/>
      </rPr>
      <t>Supplementary Table 5.</t>
    </r>
    <r>
      <rPr>
        <sz val="12"/>
        <color theme="1"/>
        <rFont val="Arial"/>
        <family val="2"/>
      </rPr>
      <t xml:space="preserve"> </t>
    </r>
    <r>
      <rPr>
        <b/>
        <sz val="12"/>
        <color theme="1"/>
        <rFont val="Arial"/>
        <family val="2"/>
      </rPr>
      <t xml:space="preserve">GEO accession numbers. </t>
    </r>
    <r>
      <rPr>
        <sz val="12"/>
        <color theme="1"/>
        <rFont val="Arial"/>
        <family val="2"/>
      </rPr>
      <t>The GEO accession numbers for all processed files in this study.</t>
    </r>
  </si>
  <si>
    <t>RT classes</t>
  </si>
  <si>
    <t>SRR29860876</t>
  </si>
  <si>
    <t>BioProject Accession</t>
  </si>
  <si>
    <t>GSE288800</t>
  </si>
  <si>
    <t>PRJNA1136904</t>
  </si>
  <si>
    <t>PRJNA1137362</t>
  </si>
  <si>
    <t>SAMN42558965</t>
  </si>
  <si>
    <t>SAMN42558964</t>
  </si>
  <si>
    <t>SRR29860877</t>
  </si>
  <si>
    <t>SRR29860875</t>
  </si>
  <si>
    <t>SRR29860874</t>
  </si>
  <si>
    <t>SRR29860879</t>
  </si>
  <si>
    <t>SRR29860878</t>
  </si>
  <si>
    <t>SRR29881191, SRR29881197</t>
  </si>
  <si>
    <t>SRR29881200, SRR29881196</t>
  </si>
  <si>
    <t>SRR29881199, SRR29881195</t>
  </si>
  <si>
    <t>SAMN42585813, 
SAMN42585811</t>
  </si>
  <si>
    <t>SAMN42585812,
 SAMN42585810</t>
  </si>
  <si>
    <t>SRR29881194, SRR29881202</t>
  </si>
  <si>
    <t>SRR29881193, SRR29881201</t>
  </si>
  <si>
    <t>SRR29881192, SRR29881198</t>
  </si>
  <si>
    <t>GSE288800_B73_repliseq_E.bw</t>
  </si>
  <si>
    <t>GSE288800_B73_repliseq_M.bw</t>
  </si>
  <si>
    <t>GSE288800_B73_repliseq_L.bw</t>
  </si>
  <si>
    <t>GSE288800_ratio_segmentation.gff3.gz</t>
  </si>
  <si>
    <t>PRJNA1219493</t>
  </si>
  <si>
    <t>SRA Accession</t>
  </si>
  <si>
    <t>GSE287258</t>
  </si>
  <si>
    <t>GSE287258_B73_SG1_RT_avg.bw</t>
  </si>
  <si>
    <t>GSE287258_B73_SG1_16X_RT_avg.bw</t>
  </si>
  <si>
    <t>GSE287258_B73_SG1_16X_RT_br1.bw</t>
  </si>
  <si>
    <t>GSE287258_B73_SG1_16X_RT_br2.bw</t>
  </si>
  <si>
    <t>GSE287258_B73_SG1_16X_RT_br3.bw</t>
  </si>
  <si>
    <t>GSE287258_B73_SG1_6X_RT_avg.bw</t>
  </si>
  <si>
    <t>GSE287258_B73_SG1_6X_RT_br1.bw</t>
  </si>
  <si>
    <t>GSE287258_B73_SG1_6X_RT_br2.bw</t>
  </si>
  <si>
    <t>GSE287258_B73_SG1_6X_RT_br3.bw</t>
  </si>
  <si>
    <t>GSE287258_B73_SG1_RT_br1.bw</t>
  </si>
  <si>
    <t>GSE287258_B73_SG1_RT_br2.bw</t>
  </si>
  <si>
    <t>GSE287258_B73_SG1_RT_br3.bw</t>
  </si>
  <si>
    <t>SAMN46558928</t>
  </si>
  <si>
    <t>SAMN46558927</t>
  </si>
  <si>
    <t>SAMN46558926</t>
  </si>
  <si>
    <t>SAMN46558925</t>
  </si>
  <si>
    <t>SAMN46558924</t>
  </si>
  <si>
    <t>SAMN46558923</t>
  </si>
  <si>
    <t>SAMN46558922</t>
  </si>
  <si>
    <t>SAMN46558921</t>
  </si>
  <si>
    <t>SAMN46558920</t>
  </si>
  <si>
    <t>SAMN46558919</t>
  </si>
  <si>
    <t>SAMN46558918</t>
  </si>
  <si>
    <t>SAMN46558917</t>
  </si>
  <si>
    <t>2025 Repli-seq Repliscan Segmentation</t>
  </si>
  <si>
    <r>
      <t xml:space="preserve">Supplementary Table 8. Genes and TE superfamily summaries. </t>
    </r>
    <r>
      <rPr>
        <sz val="12"/>
        <color theme="1"/>
        <rFont val="Arial"/>
        <family val="2"/>
      </rPr>
      <t>For genes and each TE superfamily, a summary of the number of elements and coverage of the genome is listed, along with the median EdU-S/G1 (at 29X, 16X or 6X coverage) or S/G1 ratio values for the entire feature group from Figure 4.</t>
    </r>
  </si>
  <si>
    <t>RT class</t>
  </si>
  <si>
    <t>large</t>
  </si>
  <si>
    <t>Early Mid</t>
  </si>
  <si>
    <t>small</t>
  </si>
  <si>
    <t>Mid Late</t>
  </si>
  <si>
    <t>Genome</t>
  </si>
  <si>
    <t>Wilcoxon rank sum test statistic</t>
  </si>
  <si>
    <t>p-value</t>
  </si>
  <si>
    <t>Magnitude of effect</t>
  </si>
  <si>
    <t>Effect size ( r )</t>
  </si>
  <si>
    <r>
      <t>Supplementary Table 7. Wilcoxon  rank sum test results comparing EdU-S/G1 and S/G1 in different RT classes.</t>
    </r>
    <r>
      <rPr>
        <sz val="12"/>
        <color theme="1"/>
        <rFont val="Arial"/>
        <family val="2"/>
      </rPr>
      <t xml:space="preserve"> For each Replication Timing (RT) class perform a two-tailed paired Wilcoxon rank sum test comparing the RT ratio values between EdU-S/G1 and S/G1 methods. EdU-S/G1 data at 6X coverage was used. The Wilcoxon effect size (r) was also measured and mangnitude reported. These results indicate that although there is a statistically significance difference between the EdU-S/G1 and S/G1 methods in all RT classes and the genome, the effect is small, except in the Early and Late RT class.</t>
    </r>
  </si>
  <si>
    <t>SRS23988301</t>
  </si>
  <si>
    <t>SRS23988302</t>
  </si>
  <si>
    <t>SRS23988305</t>
  </si>
  <si>
    <t>SRS23988304</t>
  </si>
  <si>
    <t>SRS23988306</t>
  </si>
  <si>
    <t>SRS23988303</t>
  </si>
  <si>
    <t>SRS23988307</t>
  </si>
  <si>
    <t>SRS23988308</t>
  </si>
  <si>
    <t>SRS23988310</t>
  </si>
  <si>
    <t>SRS23988309</t>
  </si>
  <si>
    <t>SRS23988311</t>
  </si>
  <si>
    <t>SRS23988312</t>
  </si>
  <si>
    <r>
      <rPr>
        <b/>
        <sz val="12"/>
        <color theme="1"/>
        <rFont val="Arial"/>
        <family val="2"/>
      </rPr>
      <t>Supplementary Table 6.</t>
    </r>
    <r>
      <rPr>
        <sz val="12"/>
        <color theme="1"/>
        <rFont val="Arial"/>
        <family val="2"/>
      </rPr>
      <t xml:space="preserve"> </t>
    </r>
    <r>
      <rPr>
        <b/>
        <sz val="12"/>
        <color theme="1"/>
        <rFont val="Arial"/>
        <family val="2"/>
      </rPr>
      <t>Comparison between previously published and current Repli-seq RT class segmentation.</t>
    </r>
    <r>
      <rPr>
        <sz val="12"/>
        <color theme="1"/>
        <rFont val="Arial"/>
        <family val="2"/>
      </rPr>
      <t xml:space="preserve"> The previously published (2017)</t>
    </r>
    <r>
      <rPr>
        <vertAlign val="superscript"/>
        <sz val="12"/>
        <color theme="1"/>
        <rFont val="Arial"/>
        <family val="2"/>
      </rPr>
      <t>9</t>
    </r>
    <r>
      <rPr>
        <sz val="12"/>
        <color theme="1"/>
        <rFont val="Arial"/>
        <family val="2"/>
      </rPr>
      <t xml:space="preserve"> and current (2024) Repli-seq RT classifications (E, EM, M, ML, or L) identified by Repliscan were compared for each 10-kb bin in the genome. The count of bins that either were called the same RT class (diagonal values) or a different RT class (off diagonal values) are listed. The 2017 Repli-seq data was remapped to the B73 NAM v5 reference genome for comparison (see Methods).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</si>
</sst>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000"/>
    <numFmt numFmtId="166" formatCode="0.000"/>
  </numFmts>
  <fonts count="11" x14ac:knownFonts="1">
    <font>
      <sz val="12"/>
      <color theme="1"/>
      <name val="Calibri"/>
      <family val="2"/>
      <scheme val="minor"/>
    </font>
    <font>
      <sz val="12"/>
      <color theme="1"/>
      <name val="Calibri"/>
      <family val="2"/>
      <scheme val="minor"/>
    </font>
    <font>
      <sz val="8"/>
      <name val="Calibri"/>
      <family val="2"/>
      <scheme val="minor"/>
    </font>
    <font>
      <sz val="12"/>
      <color theme="1"/>
      <name val="Arial"/>
      <family val="2"/>
    </font>
    <font>
      <sz val="12"/>
      <color rgb="FF000000"/>
      <name val="Arial"/>
      <family val="2"/>
    </font>
    <font>
      <sz val="12"/>
      <color theme="1"/>
      <name val="Courier"/>
      <family val="1"/>
    </font>
    <font>
      <sz val="12"/>
      <color theme="0"/>
      <name val="Arial"/>
      <family val="2"/>
    </font>
    <font>
      <b/>
      <sz val="12"/>
      <color theme="1"/>
      <name val="Arial"/>
      <family val="2"/>
    </font>
    <font>
      <u/>
      <sz val="12"/>
      <color theme="10"/>
      <name val="Calibri"/>
      <family val="2"/>
      <scheme val="minor"/>
    </font>
    <font>
      <sz val="12"/>
      <color rgb="FF0000FF"/>
      <name val="Arial"/>
      <family val="2"/>
    </font>
    <font>
      <vertAlign val="superscript"/>
      <sz val="12"/>
      <color theme="1"/>
      <name val="Arial"/>
      <family val="2"/>
    </font>
  </fonts>
  <fills count="8">
    <fill>
      <patternFill patternType="none"/>
    </fill>
    <fill>
      <patternFill patternType="gray125"/>
    </fill>
    <fill>
      <patternFill patternType="solid">
        <fgColor rgb="FF2250F1"/>
        <bgColor indexed="64"/>
      </patternFill>
    </fill>
    <fill>
      <patternFill patternType="solid">
        <fgColor rgb="FF28C5CC"/>
        <bgColor indexed="64"/>
      </patternFill>
    </fill>
    <fill>
      <patternFill patternType="solid">
        <fgColor rgb="FF1A8A12"/>
        <bgColor indexed="64"/>
      </patternFill>
    </fill>
    <fill>
      <patternFill patternType="solid">
        <fgColor rgb="FFFFFD33"/>
        <bgColor indexed="64"/>
      </patternFill>
    </fill>
    <fill>
      <patternFill patternType="solid">
        <fgColor rgb="FFFB0018"/>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152">
    <xf numFmtId="0" fontId="0" fillId="0" borderId="0" xfId="0"/>
    <xf numFmtId="0" fontId="3" fillId="0" borderId="0" xfId="0" applyFont="1"/>
    <xf numFmtId="0" fontId="3" fillId="7" borderId="0" xfId="0" applyFont="1" applyFill="1"/>
    <xf numFmtId="164" fontId="3" fillId="7" borderId="1" xfId="1" applyNumberFormat="1" applyFont="1" applyFill="1" applyBorder="1"/>
    <xf numFmtId="164" fontId="3" fillId="7" borderId="14" xfId="1" applyNumberFormat="1" applyFont="1" applyFill="1" applyBorder="1"/>
    <xf numFmtId="164" fontId="3" fillId="7" borderId="15" xfId="1" applyNumberFormat="1" applyFont="1" applyFill="1" applyBorder="1"/>
    <xf numFmtId="164" fontId="3" fillId="7" borderId="16" xfId="1" applyNumberFormat="1" applyFont="1" applyFill="1" applyBorder="1"/>
    <xf numFmtId="164" fontId="3" fillId="7" borderId="17" xfId="1" applyNumberFormat="1" applyFont="1" applyFill="1" applyBorder="1"/>
    <xf numFmtId="164" fontId="3" fillId="7" borderId="18" xfId="1" applyNumberFormat="1" applyFont="1" applyFill="1" applyBorder="1"/>
    <xf numFmtId="0" fontId="3" fillId="7" borderId="2" xfId="0" applyFont="1" applyFill="1" applyBorder="1"/>
    <xf numFmtId="0" fontId="3" fillId="7" borderId="0" xfId="0" applyFont="1" applyFill="1" applyAlignment="1">
      <alignment horizontal="center"/>
    </xf>
    <xf numFmtId="0" fontId="4" fillId="7" borderId="3" xfId="0" applyFont="1" applyFill="1" applyBorder="1" applyAlignment="1">
      <alignment horizontal="center" wrapText="1"/>
    </xf>
    <xf numFmtId="0" fontId="3" fillId="7" borderId="14" xfId="0" applyFont="1" applyFill="1" applyBorder="1" applyAlignment="1">
      <alignment horizontal="center"/>
    </xf>
    <xf numFmtId="0" fontId="4" fillId="7" borderId="15" xfId="0" applyFont="1" applyFill="1" applyBorder="1" applyAlignment="1">
      <alignment horizontal="center"/>
    </xf>
    <xf numFmtId="164" fontId="3" fillId="7" borderId="22" xfId="1" applyNumberFormat="1" applyFont="1" applyFill="1" applyBorder="1"/>
    <xf numFmtId="1" fontId="3" fillId="7" borderId="24" xfId="0" applyNumberFormat="1" applyFont="1" applyFill="1" applyBorder="1" applyAlignment="1">
      <alignment horizontal="center"/>
    </xf>
    <xf numFmtId="0" fontId="3" fillId="7" borderId="16" xfId="0" applyFont="1" applyFill="1" applyBorder="1" applyAlignment="1">
      <alignment horizontal="center"/>
    </xf>
    <xf numFmtId="0" fontId="4" fillId="7" borderId="1" xfId="0" applyFont="1" applyFill="1" applyBorder="1" applyAlignment="1">
      <alignment horizontal="center"/>
    </xf>
    <xf numFmtId="164" fontId="3" fillId="7" borderId="2" xfId="1" applyNumberFormat="1" applyFont="1" applyFill="1" applyBorder="1"/>
    <xf numFmtId="1" fontId="3" fillId="7" borderId="25" xfId="0" applyNumberFormat="1" applyFont="1" applyFill="1" applyBorder="1" applyAlignment="1">
      <alignment horizontal="center"/>
    </xf>
    <xf numFmtId="0" fontId="3" fillId="7" borderId="17" xfId="0" applyFont="1" applyFill="1" applyBorder="1" applyAlignment="1">
      <alignment horizontal="center"/>
    </xf>
    <xf numFmtId="0" fontId="4" fillId="7" borderId="18" xfId="0" applyFont="1" applyFill="1" applyBorder="1" applyAlignment="1">
      <alignment horizontal="center"/>
    </xf>
    <xf numFmtId="164" fontId="3" fillId="7" borderId="23" xfId="1" applyNumberFormat="1" applyFont="1" applyFill="1" applyBorder="1"/>
    <xf numFmtId="1" fontId="3" fillId="7" borderId="26" xfId="0" applyNumberFormat="1" applyFont="1" applyFill="1" applyBorder="1" applyAlignment="1">
      <alignment horizontal="center"/>
    </xf>
    <xf numFmtId="0" fontId="4" fillId="7" borderId="0" xfId="0" applyFont="1" applyFill="1" applyAlignment="1">
      <alignment horizontal="center"/>
    </xf>
    <xf numFmtId="164" fontId="4" fillId="7" borderId="0" xfId="0" applyNumberFormat="1" applyFont="1" applyFill="1"/>
    <xf numFmtId="164" fontId="4" fillId="7" borderId="0" xfId="0" applyNumberFormat="1" applyFont="1" applyFill="1" applyAlignment="1">
      <alignment horizontal="center"/>
    </xf>
    <xf numFmtId="0" fontId="4" fillId="7" borderId="14" xfId="0" applyFont="1" applyFill="1" applyBorder="1" applyAlignment="1">
      <alignment horizontal="center"/>
    </xf>
    <xf numFmtId="164" fontId="4" fillId="7" borderId="15" xfId="0" applyNumberFormat="1" applyFont="1" applyFill="1" applyBorder="1"/>
    <xf numFmtId="0" fontId="4" fillId="7" borderId="16" xfId="0" applyFont="1" applyFill="1" applyBorder="1" applyAlignment="1">
      <alignment horizontal="center"/>
    </xf>
    <xf numFmtId="164" fontId="4" fillId="7" borderId="1" xfId="0" applyNumberFormat="1" applyFont="1" applyFill="1" applyBorder="1"/>
    <xf numFmtId="0" fontId="4" fillId="7" borderId="17" xfId="0" applyFont="1" applyFill="1" applyBorder="1" applyAlignment="1">
      <alignment horizontal="center"/>
    </xf>
    <xf numFmtId="164" fontId="4" fillId="7" borderId="18" xfId="0" applyNumberFormat="1" applyFont="1" applyFill="1" applyBorder="1"/>
    <xf numFmtId="164" fontId="4" fillId="7" borderId="15" xfId="1" applyNumberFormat="1" applyFont="1" applyFill="1" applyBorder="1"/>
    <xf numFmtId="164" fontId="4" fillId="7" borderId="1" xfId="1" applyNumberFormat="1" applyFont="1" applyFill="1" applyBorder="1"/>
    <xf numFmtId="164" fontId="4" fillId="7" borderId="18" xfId="1" applyNumberFormat="1" applyFont="1" applyFill="1" applyBorder="1"/>
    <xf numFmtId="0" fontId="3" fillId="7" borderId="0" xfId="0" applyFont="1" applyFill="1" applyAlignment="1">
      <alignment horizontal="center" vertical="center"/>
    </xf>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4" borderId="3" xfId="0" applyFont="1" applyFill="1" applyBorder="1" applyAlignment="1">
      <alignment horizontal="center" vertical="center"/>
    </xf>
    <xf numFmtId="0" fontId="3" fillId="5" borderId="3" xfId="0" applyFont="1" applyFill="1" applyBorder="1" applyAlignment="1">
      <alignment horizontal="center" vertical="center"/>
    </xf>
    <xf numFmtId="0" fontId="3" fillId="6"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3" borderId="12" xfId="0" applyFont="1" applyFill="1" applyBorder="1" applyAlignment="1">
      <alignment horizontal="center" vertical="center"/>
    </xf>
    <xf numFmtId="0" fontId="3" fillId="4" borderId="12" xfId="0" applyFont="1" applyFill="1" applyBorder="1" applyAlignment="1">
      <alignment horizontal="center" vertical="center"/>
    </xf>
    <xf numFmtId="0" fontId="3" fillId="5" borderId="12" xfId="0" applyFont="1" applyFill="1" applyBorder="1" applyAlignment="1">
      <alignment horizontal="center" vertical="center"/>
    </xf>
    <xf numFmtId="0" fontId="3" fillId="6" borderId="12" xfId="0" applyFont="1" applyFill="1" applyBorder="1" applyAlignment="1">
      <alignment horizontal="center" vertical="center"/>
    </xf>
    <xf numFmtId="0" fontId="3" fillId="7" borderId="3" xfId="0" applyFont="1" applyFill="1" applyBorder="1" applyAlignment="1">
      <alignment horizontal="center" vertical="center" wrapText="1"/>
    </xf>
    <xf numFmtId="2" fontId="3" fillId="7" borderId="15" xfId="0" applyNumberFormat="1" applyFont="1" applyFill="1" applyBorder="1" applyAlignment="1">
      <alignment horizontal="center" vertical="center"/>
    </xf>
    <xf numFmtId="2" fontId="3" fillId="7" borderId="1" xfId="0" applyNumberFormat="1" applyFont="1" applyFill="1" applyBorder="1" applyAlignment="1">
      <alignment horizontal="center" vertical="center"/>
    </xf>
    <xf numFmtId="2" fontId="3" fillId="7" borderId="18" xfId="0" applyNumberFormat="1" applyFont="1" applyFill="1" applyBorder="1" applyAlignment="1">
      <alignment horizontal="center" vertical="center"/>
    </xf>
    <xf numFmtId="9" fontId="3" fillId="7" borderId="15" xfId="2" applyFont="1" applyFill="1" applyBorder="1" applyAlignment="1">
      <alignment horizontal="center" vertical="center"/>
    </xf>
    <xf numFmtId="2" fontId="3" fillId="7" borderId="19" xfId="0" applyNumberFormat="1" applyFont="1" applyFill="1" applyBorder="1" applyAlignment="1">
      <alignment horizontal="center" vertical="center"/>
    </xf>
    <xf numFmtId="9" fontId="3" fillId="7" borderId="1" xfId="2" applyFont="1" applyFill="1" applyBorder="1" applyAlignment="1">
      <alignment horizontal="center" vertical="center"/>
    </xf>
    <xf numFmtId="2" fontId="3" fillId="7" borderId="20" xfId="0" applyNumberFormat="1" applyFont="1" applyFill="1" applyBorder="1" applyAlignment="1">
      <alignment horizontal="center" vertical="center"/>
    </xf>
    <xf numFmtId="9" fontId="3" fillId="7" borderId="18" xfId="2" applyFont="1" applyFill="1" applyBorder="1" applyAlignment="1">
      <alignment horizontal="center" vertical="center"/>
    </xf>
    <xf numFmtId="2" fontId="3" fillId="7" borderId="21" xfId="0" applyNumberFormat="1" applyFont="1" applyFill="1" applyBorder="1" applyAlignment="1">
      <alignment horizontal="center" vertical="center"/>
    </xf>
    <xf numFmtId="0" fontId="6" fillId="7" borderId="0" xfId="0" applyFont="1" applyFill="1" applyAlignment="1">
      <alignment horizontal="center"/>
    </xf>
    <xf numFmtId="0" fontId="4" fillId="7" borderId="0" xfId="0" applyFont="1" applyFill="1"/>
    <xf numFmtId="0" fontId="5" fillId="7" borderId="0" xfId="0" applyFont="1" applyFill="1"/>
    <xf numFmtId="0" fontId="4" fillId="7" borderId="0" xfId="0" applyFont="1" applyFill="1" applyAlignment="1">
      <alignment wrapText="1"/>
    </xf>
    <xf numFmtId="1" fontId="4" fillId="7" borderId="0" xfId="0" applyNumberFormat="1" applyFont="1" applyFill="1"/>
    <xf numFmtId="37" fontId="3" fillId="7" borderId="0" xfId="0" applyNumberFormat="1" applyFont="1" applyFill="1"/>
    <xf numFmtId="164" fontId="3" fillId="7" borderId="0" xfId="0" applyNumberFormat="1" applyFont="1" applyFill="1"/>
    <xf numFmtId="43" fontId="4" fillId="7" borderId="19" xfId="0" applyNumberFormat="1" applyFont="1" applyFill="1" applyBorder="1" applyAlignment="1">
      <alignment horizontal="center" vertical="center"/>
    </xf>
    <xf numFmtId="43" fontId="4" fillId="7" borderId="20" xfId="0" applyNumberFormat="1" applyFont="1" applyFill="1" applyBorder="1" applyAlignment="1">
      <alignment horizontal="center" vertical="center"/>
    </xf>
    <xf numFmtId="43" fontId="4" fillId="7" borderId="21" xfId="0" applyNumberFormat="1" applyFont="1" applyFill="1" applyBorder="1" applyAlignment="1">
      <alignment horizontal="center" vertical="center"/>
    </xf>
    <xf numFmtId="43" fontId="4" fillId="7" borderId="19" xfId="0" applyNumberFormat="1" applyFont="1" applyFill="1" applyBorder="1" applyAlignment="1">
      <alignment horizontal="center"/>
    </xf>
    <xf numFmtId="43" fontId="4" fillId="7" borderId="20" xfId="0" applyNumberFormat="1" applyFont="1" applyFill="1" applyBorder="1" applyAlignment="1">
      <alignment horizontal="center"/>
    </xf>
    <xf numFmtId="43" fontId="4" fillId="7" borderId="21" xfId="0" applyNumberFormat="1" applyFont="1" applyFill="1" applyBorder="1" applyAlignment="1">
      <alignment horizontal="center"/>
    </xf>
    <xf numFmtId="0" fontId="3" fillId="7" borderId="0" xfId="0" applyFont="1" applyFill="1" applyAlignment="1">
      <alignment wrapText="1"/>
    </xf>
    <xf numFmtId="0" fontId="3" fillId="0" borderId="1" xfId="0" applyFont="1" applyBorder="1"/>
    <xf numFmtId="0" fontId="3" fillId="7" borderId="1"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1" xfId="0" applyFont="1" applyFill="1" applyBorder="1"/>
    <xf numFmtId="0" fontId="3" fillId="7" borderId="0" xfId="0" applyFont="1" applyFill="1" applyAlignment="1">
      <alignment vertical="top" wrapText="1"/>
    </xf>
    <xf numFmtId="0" fontId="3" fillId="7" borderId="3"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18" xfId="0" applyFont="1" applyFill="1" applyBorder="1" applyAlignment="1">
      <alignment horizontal="center" vertical="center"/>
    </xf>
    <xf numFmtId="0" fontId="3" fillId="7" borderId="0" xfId="0" applyFont="1" applyFill="1" applyAlignment="1">
      <alignment vertical="center"/>
    </xf>
    <xf numFmtId="0" fontId="9" fillId="0" borderId="0" xfId="0" applyFont="1"/>
    <xf numFmtId="0" fontId="4" fillId="7" borderId="1" xfId="0" applyFont="1" applyFill="1" applyBorder="1"/>
    <xf numFmtId="0" fontId="3" fillId="7" borderId="29" xfId="0" applyFont="1" applyFill="1" applyBorder="1" applyAlignment="1">
      <alignment horizontal="center" vertical="center" wrapText="1"/>
    </xf>
    <xf numFmtId="0" fontId="3" fillId="0" borderId="1" xfId="0" applyFont="1" applyBorder="1" applyAlignment="1">
      <alignment horizontal="center" vertical="center"/>
    </xf>
    <xf numFmtId="0" fontId="3" fillId="7" borderId="14"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17" xfId="0" applyFont="1" applyFill="1" applyBorder="1" applyAlignment="1">
      <alignment horizontal="center" vertical="center"/>
    </xf>
    <xf numFmtId="0" fontId="3" fillId="7" borderId="30" xfId="0" applyFont="1" applyFill="1" applyBorder="1" applyAlignment="1">
      <alignment horizontal="center" vertical="center"/>
    </xf>
    <xf numFmtId="0" fontId="3" fillId="0" borderId="0" xfId="3" applyFont="1" applyAlignment="1">
      <alignment vertical="center"/>
    </xf>
    <xf numFmtId="0" fontId="3" fillId="0" borderId="15" xfId="0" applyFont="1" applyBorder="1" applyAlignment="1">
      <alignment horizontal="center" vertical="center"/>
    </xf>
    <xf numFmtId="0" fontId="3" fillId="0" borderId="31" xfId="3" applyFont="1" applyBorder="1" applyAlignment="1">
      <alignment horizontal="center" vertical="center"/>
    </xf>
    <xf numFmtId="0" fontId="3" fillId="0" borderId="20" xfId="3" applyFont="1" applyBorder="1" applyAlignment="1">
      <alignment horizontal="center" vertical="center"/>
    </xf>
    <xf numFmtId="0" fontId="3" fillId="0" borderId="21" xfId="3" applyFont="1" applyBorder="1" applyAlignment="1">
      <alignment horizontal="center" vertical="center"/>
    </xf>
    <xf numFmtId="0" fontId="3" fillId="7" borderId="3" xfId="0" applyFont="1" applyFill="1" applyBorder="1"/>
    <xf numFmtId="0" fontId="8" fillId="7" borderId="0" xfId="3" applyFill="1" applyBorder="1"/>
    <xf numFmtId="0" fontId="3" fillId="7" borderId="3" xfId="0" applyFont="1" applyFill="1" applyBorder="1" applyAlignment="1">
      <alignment horizontal="center"/>
    </xf>
    <xf numFmtId="0" fontId="3" fillId="7" borderId="14" xfId="0" applyFont="1" applyFill="1" applyBorder="1"/>
    <xf numFmtId="0" fontId="3" fillId="7" borderId="15" xfId="0" applyFont="1" applyFill="1" applyBorder="1"/>
    <xf numFmtId="0" fontId="3" fillId="7" borderId="16" xfId="0" applyFont="1" applyFill="1" applyBorder="1"/>
    <xf numFmtId="0" fontId="3" fillId="7" borderId="17" xfId="0" applyFont="1" applyFill="1" applyBorder="1"/>
    <xf numFmtId="0" fontId="4" fillId="7" borderId="18" xfId="0" applyFont="1" applyFill="1" applyBorder="1"/>
    <xf numFmtId="0" fontId="3" fillId="7" borderId="34" xfId="0" applyFont="1" applyFill="1" applyBorder="1"/>
    <xf numFmtId="0" fontId="3" fillId="7" borderId="30" xfId="0" applyFont="1" applyFill="1" applyBorder="1"/>
    <xf numFmtId="0" fontId="4" fillId="7" borderId="11" xfId="0" applyFont="1" applyFill="1" applyBorder="1"/>
    <xf numFmtId="0" fontId="3" fillId="7" borderId="18" xfId="0" applyFont="1" applyFill="1" applyBorder="1"/>
    <xf numFmtId="0" fontId="4" fillId="0" borderId="3" xfId="0" applyFont="1" applyBorder="1" applyAlignment="1">
      <alignment horizontal="center" wrapText="1" readingOrder="1"/>
    </xf>
    <xf numFmtId="0" fontId="3" fillId="7" borderId="0" xfId="0" applyFont="1" applyFill="1" applyAlignment="1">
      <alignment horizontal="center" wrapText="1"/>
    </xf>
    <xf numFmtId="0" fontId="3" fillId="7" borderId="3" xfId="0" applyFont="1" applyFill="1" applyBorder="1" applyAlignment="1">
      <alignment horizontal="center" wrapText="1"/>
    </xf>
    <xf numFmtId="0" fontId="7" fillId="7" borderId="0" xfId="0" applyFont="1" applyFill="1" applyAlignment="1">
      <alignment vertical="top"/>
    </xf>
    <xf numFmtId="0" fontId="4" fillId="0" borderId="14" xfId="0" applyFont="1" applyBorder="1" applyAlignment="1">
      <alignment horizontal="center" wrapText="1" readingOrder="1"/>
    </xf>
    <xf numFmtId="11" fontId="4" fillId="0" borderId="15" xfId="0" applyNumberFormat="1" applyFont="1" applyBorder="1" applyAlignment="1">
      <alignment horizontal="center" wrapText="1" readingOrder="1"/>
    </xf>
    <xf numFmtId="166" fontId="4" fillId="0" borderId="19" xfId="0" applyNumberFormat="1" applyFont="1" applyBorder="1" applyAlignment="1">
      <alignment horizontal="center" wrapText="1" readingOrder="1"/>
    </xf>
    <xf numFmtId="0" fontId="4" fillId="0" borderId="16" xfId="0" applyFont="1" applyBorder="1" applyAlignment="1">
      <alignment horizontal="center" wrapText="1" readingOrder="1"/>
    </xf>
    <xf numFmtId="11" fontId="4" fillId="0" borderId="1" xfId="0" applyNumberFormat="1" applyFont="1" applyBorder="1" applyAlignment="1">
      <alignment horizontal="center" wrapText="1" readingOrder="1"/>
    </xf>
    <xf numFmtId="166" fontId="4" fillId="0" borderId="20" xfId="0" applyNumberFormat="1" applyFont="1" applyBorder="1" applyAlignment="1">
      <alignment horizontal="center" wrapText="1" readingOrder="1"/>
    </xf>
    <xf numFmtId="0" fontId="4" fillId="0" borderId="17" xfId="0" applyFont="1" applyBorder="1" applyAlignment="1">
      <alignment horizontal="center" wrapText="1" readingOrder="1"/>
    </xf>
    <xf numFmtId="11" fontId="4" fillId="0" borderId="18" xfId="0" applyNumberFormat="1" applyFont="1" applyBorder="1" applyAlignment="1">
      <alignment horizontal="center" wrapText="1" readingOrder="1"/>
    </xf>
    <xf numFmtId="166" fontId="4" fillId="0" borderId="21" xfId="0" applyNumberFormat="1" applyFont="1" applyBorder="1" applyAlignment="1">
      <alignment horizontal="center" wrapText="1" readingOrder="1"/>
    </xf>
    <xf numFmtId="165" fontId="3" fillId="7" borderId="15" xfId="0" applyNumberFormat="1" applyFont="1" applyFill="1" applyBorder="1" applyAlignment="1">
      <alignment horizontal="center"/>
    </xf>
    <xf numFmtId="165" fontId="3" fillId="7" borderId="1" xfId="0" applyNumberFormat="1" applyFont="1" applyFill="1" applyBorder="1" applyAlignment="1">
      <alignment horizontal="center"/>
    </xf>
    <xf numFmtId="165" fontId="3" fillId="7" borderId="18" xfId="0" applyNumberFormat="1" applyFont="1" applyFill="1" applyBorder="1" applyAlignment="1">
      <alignment horizontal="center"/>
    </xf>
    <xf numFmtId="0" fontId="4"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7" fillId="7" borderId="28" xfId="0" applyFont="1" applyFill="1" applyBorder="1" applyAlignment="1">
      <alignment horizontal="left" vertical="top" wrapText="1"/>
    </xf>
    <xf numFmtId="0" fontId="3" fillId="7" borderId="0" xfId="0" applyFont="1" applyFill="1" applyAlignment="1">
      <alignment horizontal="left" vertical="center" wrapText="1"/>
    </xf>
    <xf numFmtId="0" fontId="3" fillId="7" borderId="32"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33"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18" xfId="0" applyFont="1" applyFill="1" applyBorder="1" applyAlignment="1">
      <alignment horizontal="center"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3" fillId="7" borderId="0" xfId="0" applyFont="1" applyFill="1" applyAlignment="1">
      <alignment horizontal="left" vertical="top" wrapText="1"/>
    </xf>
    <xf numFmtId="0" fontId="3" fillId="7" borderId="3"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colors>
    <mruColors>
      <color rgb="FFFB0018"/>
      <color rgb="FFCC66FF"/>
      <color rgb="FF1A8A12"/>
      <color rgb="FF2250F1"/>
      <color rgb="FF1838A9"/>
      <color rgb="FF6485F5"/>
      <color rgb="FF69D6DB"/>
      <color rgb="FF5FAD59"/>
      <color rgb="FFFFFE70"/>
      <color rgb="FF1C8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8" Type="http://schemas.openxmlformats.org/officeDocument/2006/relationships/hyperlink" Target="https://dataview.ncbi.nlm.nih.gov/object/SRR29881200" TargetMode="External"/><Relationship Id="rId3" Type="http://schemas.openxmlformats.org/officeDocument/2006/relationships/hyperlink" Target="https://dataview.ncbi.nlm.nih.gov/object/SRR29860874" TargetMode="External"/><Relationship Id="rId7" Type="http://schemas.openxmlformats.org/officeDocument/2006/relationships/hyperlink" Target="https://dataview.ncbi.nlm.nih.gov/object/SRR29881191" TargetMode="External"/><Relationship Id="rId2" Type="http://schemas.openxmlformats.org/officeDocument/2006/relationships/hyperlink" Target="https://dataview.ncbi.nlm.nih.gov/object/SRR29860875" TargetMode="External"/><Relationship Id="rId1" Type="http://schemas.openxmlformats.org/officeDocument/2006/relationships/hyperlink" Target="https://dataview.ncbi.nlm.nih.gov/object/SRR29860876" TargetMode="External"/><Relationship Id="rId6" Type="http://schemas.openxmlformats.org/officeDocument/2006/relationships/hyperlink" Target="https://dataview.ncbi.nlm.nih.gov/object/SRR29860877" TargetMode="External"/><Relationship Id="rId11" Type="http://schemas.openxmlformats.org/officeDocument/2006/relationships/hyperlink" Target="https://dataview.ncbi.nlm.nih.gov/object/SRR29881192" TargetMode="External"/><Relationship Id="rId5" Type="http://schemas.openxmlformats.org/officeDocument/2006/relationships/hyperlink" Target="https://dataview.ncbi.nlm.nih.gov/object/SRR29860878" TargetMode="External"/><Relationship Id="rId10" Type="http://schemas.openxmlformats.org/officeDocument/2006/relationships/hyperlink" Target="https://dataview.ncbi.nlm.nih.gov/object/SRR29881194" TargetMode="External"/><Relationship Id="rId4" Type="http://schemas.openxmlformats.org/officeDocument/2006/relationships/hyperlink" Target="https://dataview.ncbi.nlm.nih.gov/object/SRR29860879" TargetMode="External"/><Relationship Id="rId9" Type="http://schemas.openxmlformats.org/officeDocument/2006/relationships/hyperlink" Target="https://dataview.ncbi.nlm.nih.gov/object/SRR298811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066B-92EE-F74B-BA1F-2D54EC20D70B}">
  <dimension ref="B1:V33"/>
  <sheetViews>
    <sheetView tabSelected="1" zoomScaleNormal="100" workbookViewId="0"/>
  </sheetViews>
  <sheetFormatPr baseColWidth="10" defaultRowHeight="16" x14ac:dyDescent="0.2"/>
  <cols>
    <col min="1" max="1" width="5" style="2" customWidth="1"/>
    <col min="2" max="4" width="11" style="2" customWidth="1"/>
    <col min="5" max="10" width="16.83203125" style="2" customWidth="1"/>
    <col min="11" max="11" width="12.6640625" style="10" customWidth="1"/>
    <col min="12" max="13" width="18.33203125" style="2" customWidth="1"/>
    <col min="14" max="17" width="10.83203125" style="2"/>
    <col min="18" max="23" width="16.5" style="2" customWidth="1"/>
    <col min="24" max="16384" width="10.83203125" style="2"/>
  </cols>
  <sheetData>
    <row r="1" spans="2:22" x14ac:dyDescent="0.2">
      <c r="B1" s="24"/>
      <c r="C1" s="24"/>
      <c r="D1" s="24"/>
      <c r="E1" s="24"/>
      <c r="F1" s="64"/>
      <c r="G1" s="64"/>
      <c r="H1" s="64"/>
      <c r="I1" s="64"/>
      <c r="J1" s="64"/>
      <c r="K1" s="63">
        <v>2131846805</v>
      </c>
      <c r="L1" s="64"/>
      <c r="M1" s="65"/>
      <c r="N1" s="64"/>
      <c r="O1" s="64"/>
      <c r="P1" s="64"/>
      <c r="Q1" s="64"/>
      <c r="R1" s="64"/>
      <c r="S1" s="64"/>
      <c r="T1" s="64"/>
      <c r="U1" s="64"/>
      <c r="V1" s="64"/>
    </row>
    <row r="2" spans="2:22" x14ac:dyDescent="0.2">
      <c r="L2" s="64"/>
      <c r="M2" s="66"/>
      <c r="N2" s="64"/>
      <c r="O2" s="64"/>
      <c r="P2" s="64"/>
      <c r="Q2" s="64"/>
      <c r="R2" s="64"/>
      <c r="S2" s="64"/>
      <c r="T2" s="64"/>
      <c r="U2" s="64"/>
      <c r="V2" s="64"/>
    </row>
    <row r="3" spans="2:22" ht="68" customHeight="1" x14ac:dyDescent="0.2">
      <c r="B3" s="132" t="s">
        <v>54</v>
      </c>
      <c r="C3" s="132"/>
      <c r="D3" s="132"/>
      <c r="E3" s="132"/>
      <c r="F3" s="132"/>
      <c r="G3" s="132"/>
      <c r="H3" s="132"/>
      <c r="I3" s="132"/>
      <c r="J3" s="132"/>
      <c r="K3" s="132"/>
      <c r="L3" s="64"/>
      <c r="M3" s="64"/>
      <c r="N3" s="64"/>
      <c r="O3" s="64"/>
      <c r="P3" s="64"/>
      <c r="Q3" s="64"/>
      <c r="R3" s="25"/>
      <c r="S3" s="25"/>
      <c r="T3" s="25"/>
      <c r="U3" s="25"/>
      <c r="V3" s="25"/>
    </row>
    <row r="4" spans="2:22" ht="89" customHeight="1" thickBot="1" x14ac:dyDescent="0.25">
      <c r="B4" s="11" t="s">
        <v>15</v>
      </c>
      <c r="C4" s="11" t="s">
        <v>6</v>
      </c>
      <c r="D4" s="11" t="s">
        <v>7</v>
      </c>
      <c r="E4" s="11" t="s">
        <v>34</v>
      </c>
      <c r="F4" s="11" t="s">
        <v>33</v>
      </c>
      <c r="G4" s="11" t="s">
        <v>32</v>
      </c>
      <c r="H4" s="11" t="s">
        <v>23</v>
      </c>
      <c r="I4" s="11" t="s">
        <v>9</v>
      </c>
      <c r="J4" s="11" t="s">
        <v>10</v>
      </c>
      <c r="K4" s="11" t="s">
        <v>22</v>
      </c>
      <c r="L4" s="64"/>
      <c r="M4" s="64"/>
      <c r="N4" s="64"/>
      <c r="O4" s="64"/>
      <c r="P4" s="64"/>
      <c r="Q4" s="64"/>
      <c r="R4" s="25"/>
      <c r="S4" s="25"/>
      <c r="T4" s="25"/>
      <c r="U4" s="25"/>
      <c r="V4" s="25"/>
    </row>
    <row r="5" spans="2:22" x14ac:dyDescent="0.2">
      <c r="B5" s="12" t="s">
        <v>18</v>
      </c>
      <c r="C5" s="13" t="s">
        <v>5</v>
      </c>
      <c r="D5" s="13" t="s">
        <v>11</v>
      </c>
      <c r="E5" s="5">
        <f>2*156150667</f>
        <v>312301334</v>
      </c>
      <c r="F5" s="5">
        <f>2*156138729</f>
        <v>312277458</v>
      </c>
      <c r="G5" s="5">
        <v>312277458</v>
      </c>
      <c r="H5" s="5">
        <v>305607604</v>
      </c>
      <c r="I5" s="14">
        <v>228378424</v>
      </c>
      <c r="J5" s="5">
        <v>210903199</v>
      </c>
      <c r="K5" s="15">
        <f t="shared" ref="K5:K16" si="0">(150*J5)/$K$1</f>
        <v>14.839471474124052</v>
      </c>
      <c r="L5" s="64"/>
      <c r="M5" s="64"/>
      <c r="N5" s="64"/>
      <c r="O5" s="64"/>
      <c r="P5" s="64"/>
      <c r="Q5" s="64"/>
      <c r="R5" s="25"/>
      <c r="S5" s="25"/>
      <c r="T5" s="25"/>
      <c r="U5" s="25"/>
      <c r="V5" s="25"/>
    </row>
    <row r="6" spans="2:22" x14ac:dyDescent="0.2">
      <c r="B6" s="16" t="s">
        <v>18</v>
      </c>
      <c r="C6" s="17" t="s">
        <v>5</v>
      </c>
      <c r="D6" s="17" t="s">
        <v>12</v>
      </c>
      <c r="E6" s="3">
        <f>2*168764921</f>
        <v>337529842</v>
      </c>
      <c r="F6" s="3">
        <f>2*168753172</f>
        <v>337506344</v>
      </c>
      <c r="G6" s="3">
        <v>337506344</v>
      </c>
      <c r="H6" s="3">
        <v>327556256</v>
      </c>
      <c r="I6" s="18">
        <v>249160732</v>
      </c>
      <c r="J6" s="3">
        <v>230268702</v>
      </c>
      <c r="K6" s="19">
        <f t="shared" si="0"/>
        <v>16.202057867849469</v>
      </c>
      <c r="L6" s="64"/>
      <c r="M6" s="64"/>
      <c r="N6" s="64"/>
      <c r="O6" s="64"/>
      <c r="P6" s="64"/>
      <c r="Q6" s="64"/>
      <c r="R6" s="25"/>
      <c r="S6" s="25"/>
      <c r="T6" s="25"/>
      <c r="U6" s="25"/>
      <c r="V6" s="25"/>
    </row>
    <row r="7" spans="2:22" x14ac:dyDescent="0.2">
      <c r="B7" s="16" t="s">
        <v>18</v>
      </c>
      <c r="C7" s="17" t="s">
        <v>5</v>
      </c>
      <c r="D7" s="17" t="s">
        <v>13</v>
      </c>
      <c r="E7" s="3">
        <f>2*163814839</f>
        <v>327629678</v>
      </c>
      <c r="F7" s="3">
        <f>2*163805990</f>
        <v>327611980</v>
      </c>
      <c r="G7" s="3">
        <v>327611980</v>
      </c>
      <c r="H7" s="3">
        <v>320141962</v>
      </c>
      <c r="I7" s="18">
        <v>224000754</v>
      </c>
      <c r="J7" s="3">
        <v>206175195</v>
      </c>
      <c r="K7" s="19">
        <f t="shared" si="0"/>
        <v>14.506801885325901</v>
      </c>
      <c r="L7" s="67"/>
      <c r="M7" s="64"/>
      <c r="N7" s="64"/>
      <c r="O7" s="64"/>
      <c r="P7" s="64"/>
      <c r="Q7" s="64"/>
      <c r="R7" s="25"/>
      <c r="S7" s="25"/>
      <c r="T7" s="25"/>
      <c r="U7" s="25"/>
      <c r="V7" s="25"/>
    </row>
    <row r="8" spans="2:22" x14ac:dyDescent="0.2">
      <c r="B8" s="16" t="s">
        <v>18</v>
      </c>
      <c r="C8" s="17" t="s">
        <v>19</v>
      </c>
      <c r="D8" s="17" t="s">
        <v>11</v>
      </c>
      <c r="E8" s="3">
        <f>2*215052454</f>
        <v>430104908</v>
      </c>
      <c r="F8" s="3">
        <f>2*215038601</f>
        <v>430077202</v>
      </c>
      <c r="G8" s="3">
        <v>430077202</v>
      </c>
      <c r="H8" s="3">
        <v>420090706</v>
      </c>
      <c r="I8" s="18">
        <v>294830502</v>
      </c>
      <c r="J8" s="3">
        <v>282809475</v>
      </c>
      <c r="K8" s="19">
        <f t="shared" si="0"/>
        <v>19.898906971413457</v>
      </c>
      <c r="L8" s="67"/>
      <c r="M8" s="64"/>
      <c r="N8" s="64"/>
      <c r="O8" s="64"/>
      <c r="P8" s="64"/>
      <c r="Q8" s="64"/>
      <c r="R8" s="64"/>
      <c r="S8" s="64"/>
      <c r="T8" s="64"/>
      <c r="U8" s="64"/>
      <c r="V8" s="64"/>
    </row>
    <row r="9" spans="2:22" x14ac:dyDescent="0.2">
      <c r="B9" s="16" t="s">
        <v>18</v>
      </c>
      <c r="C9" s="17" t="s">
        <v>19</v>
      </c>
      <c r="D9" s="17" t="s">
        <v>12</v>
      </c>
      <c r="E9" s="3">
        <f>2*190378595</f>
        <v>380757190</v>
      </c>
      <c r="F9" s="3">
        <f>2*190368821</f>
        <v>380737642</v>
      </c>
      <c r="G9" s="3">
        <v>380737642</v>
      </c>
      <c r="H9" s="3">
        <v>370689120</v>
      </c>
      <c r="I9" s="18">
        <v>263483022</v>
      </c>
      <c r="J9" s="3">
        <v>253024841</v>
      </c>
      <c r="K9" s="19">
        <f t="shared" si="0"/>
        <v>17.803214593555186</v>
      </c>
      <c r="L9" s="67"/>
      <c r="M9" s="64"/>
      <c r="N9" s="64"/>
      <c r="O9" s="64"/>
      <c r="P9" s="64"/>
      <c r="Q9" s="64"/>
      <c r="R9" s="64"/>
      <c r="S9" s="64"/>
      <c r="T9" s="64"/>
      <c r="U9" s="64"/>
      <c r="V9" s="64"/>
    </row>
    <row r="10" spans="2:22" x14ac:dyDescent="0.2">
      <c r="B10" s="16" t="s">
        <v>18</v>
      </c>
      <c r="C10" s="17" t="s">
        <v>19</v>
      </c>
      <c r="D10" s="17" t="s">
        <v>13</v>
      </c>
      <c r="E10" s="3">
        <f>2*171852192</f>
        <v>343704384</v>
      </c>
      <c r="F10" s="3">
        <f>2*171844458</f>
        <v>343688916</v>
      </c>
      <c r="G10" s="3">
        <v>343688916</v>
      </c>
      <c r="H10" s="3">
        <v>331733624</v>
      </c>
      <c r="I10" s="18">
        <v>218893764</v>
      </c>
      <c r="J10" s="3">
        <v>210018124</v>
      </c>
      <c r="K10" s="19">
        <f t="shared" si="0"/>
        <v>14.77719624417384</v>
      </c>
      <c r="L10" s="67"/>
      <c r="M10" s="64"/>
      <c r="N10" s="64"/>
      <c r="O10" s="64"/>
      <c r="P10" s="64"/>
      <c r="Q10" s="64"/>
      <c r="R10" s="25"/>
      <c r="S10" s="25"/>
      <c r="T10" s="25"/>
      <c r="U10" s="25"/>
      <c r="V10" s="25"/>
    </row>
    <row r="11" spans="2:22" x14ac:dyDescent="0.2">
      <c r="B11" s="16" t="s">
        <v>18</v>
      </c>
      <c r="C11" s="17" t="s">
        <v>20</v>
      </c>
      <c r="D11" s="17" t="s">
        <v>11</v>
      </c>
      <c r="E11" s="3">
        <f>2*168698334</f>
        <v>337396668</v>
      </c>
      <c r="F11" s="3">
        <f>2*168676077</f>
        <v>337352154</v>
      </c>
      <c r="G11" s="3">
        <v>337352154</v>
      </c>
      <c r="H11" s="3">
        <v>329367108</v>
      </c>
      <c r="I11" s="18">
        <v>237854108</v>
      </c>
      <c r="J11" s="3">
        <v>228654829</v>
      </c>
      <c r="K11" s="19">
        <f t="shared" si="0"/>
        <v>16.088503296558404</v>
      </c>
      <c r="L11" s="67"/>
      <c r="M11" s="64"/>
      <c r="N11" s="64"/>
      <c r="O11" s="64"/>
      <c r="P11" s="64"/>
      <c r="Q11" s="64"/>
      <c r="R11" s="25"/>
      <c r="S11" s="25"/>
      <c r="T11" s="25"/>
      <c r="U11" s="25"/>
      <c r="V11" s="25"/>
    </row>
    <row r="12" spans="2:22" x14ac:dyDescent="0.2">
      <c r="B12" s="16" t="s">
        <v>18</v>
      </c>
      <c r="C12" s="17" t="s">
        <v>20</v>
      </c>
      <c r="D12" s="17" t="s">
        <v>12</v>
      </c>
      <c r="E12" s="3">
        <f>2*197462890</f>
        <v>394925780</v>
      </c>
      <c r="F12" s="3">
        <f>2*197453188</f>
        <v>394906376</v>
      </c>
      <c r="G12" s="3">
        <v>394906376</v>
      </c>
      <c r="H12" s="3">
        <v>385962950</v>
      </c>
      <c r="I12" s="18">
        <v>283915946</v>
      </c>
      <c r="J12" s="3">
        <v>273287748</v>
      </c>
      <c r="K12" s="19">
        <f t="shared" si="0"/>
        <v>19.228943704517267</v>
      </c>
      <c r="L12" s="67"/>
      <c r="M12" s="64"/>
      <c r="N12" s="64"/>
      <c r="O12" s="64"/>
      <c r="P12" s="64"/>
      <c r="Q12" s="64"/>
      <c r="R12" s="25"/>
      <c r="S12" s="25"/>
      <c r="T12" s="25"/>
      <c r="U12" s="25"/>
      <c r="V12" s="25"/>
    </row>
    <row r="13" spans="2:22" x14ac:dyDescent="0.2">
      <c r="B13" s="16" t="s">
        <v>18</v>
      </c>
      <c r="C13" s="17" t="s">
        <v>20</v>
      </c>
      <c r="D13" s="17" t="s">
        <v>13</v>
      </c>
      <c r="E13" s="3">
        <f>2*163027556</f>
        <v>326055112</v>
      </c>
      <c r="F13" s="3">
        <f>2*163019730</f>
        <v>326039460</v>
      </c>
      <c r="G13" s="3">
        <v>326039460</v>
      </c>
      <c r="H13" s="3">
        <v>314916088</v>
      </c>
      <c r="I13" s="18">
        <v>220338354</v>
      </c>
      <c r="J13" s="3">
        <v>211898866</v>
      </c>
      <c r="K13" s="19">
        <f t="shared" si="0"/>
        <v>14.909528126248265</v>
      </c>
      <c r="L13" s="67"/>
      <c r="M13" s="64"/>
      <c r="N13" s="64"/>
      <c r="O13" s="64"/>
      <c r="P13" s="64"/>
      <c r="Q13" s="64"/>
      <c r="R13" s="25"/>
      <c r="S13" s="25"/>
      <c r="T13" s="25"/>
      <c r="U13" s="25"/>
      <c r="V13" s="25"/>
    </row>
    <row r="14" spans="2:22" x14ac:dyDescent="0.2">
      <c r="B14" s="16" t="s">
        <v>18</v>
      </c>
      <c r="C14" s="17" t="s">
        <v>21</v>
      </c>
      <c r="D14" s="17" t="s">
        <v>11</v>
      </c>
      <c r="E14" s="3">
        <f>2*176413573</f>
        <v>352827146</v>
      </c>
      <c r="F14" s="3">
        <f>2*176397975</f>
        <v>352795950</v>
      </c>
      <c r="G14" s="3">
        <v>352795950</v>
      </c>
      <c r="H14" s="3">
        <v>343642974</v>
      </c>
      <c r="I14" s="18">
        <v>253608762</v>
      </c>
      <c r="J14" s="3">
        <v>207607524</v>
      </c>
      <c r="K14" s="19">
        <f t="shared" si="0"/>
        <v>14.607582743263768</v>
      </c>
      <c r="L14" s="67"/>
      <c r="M14" s="64"/>
      <c r="N14" s="64"/>
      <c r="O14" s="64"/>
      <c r="P14" s="64"/>
      <c r="Q14" s="64"/>
      <c r="R14" s="25"/>
      <c r="S14" s="25"/>
      <c r="T14" s="25"/>
      <c r="U14" s="25"/>
      <c r="V14" s="25"/>
    </row>
    <row r="15" spans="2:22" x14ac:dyDescent="0.2">
      <c r="B15" s="16" t="s">
        <v>18</v>
      </c>
      <c r="C15" s="17" t="s">
        <v>21</v>
      </c>
      <c r="D15" s="17" t="s">
        <v>12</v>
      </c>
      <c r="E15" s="3">
        <f>2*179131768</f>
        <v>358263536</v>
      </c>
      <c r="F15" s="3">
        <f>2*179121831</f>
        <v>358243662</v>
      </c>
      <c r="G15" s="3">
        <v>358243662</v>
      </c>
      <c r="H15" s="3">
        <v>348604844</v>
      </c>
      <c r="I15" s="18">
        <v>262028226</v>
      </c>
      <c r="J15" s="3">
        <v>222087088</v>
      </c>
      <c r="K15" s="19">
        <f t="shared" si="0"/>
        <v>15.62638700016721</v>
      </c>
      <c r="L15" s="67"/>
      <c r="M15" s="67"/>
      <c r="N15" s="64"/>
      <c r="O15" s="64"/>
      <c r="P15" s="64"/>
      <c r="Q15" s="64"/>
      <c r="R15" s="25"/>
      <c r="S15" s="25"/>
      <c r="T15" s="25"/>
      <c r="U15" s="25"/>
      <c r="V15" s="25"/>
    </row>
    <row r="16" spans="2:22" ht="17" thickBot="1" x14ac:dyDescent="0.25">
      <c r="B16" s="20" t="s">
        <v>18</v>
      </c>
      <c r="C16" s="21" t="s">
        <v>21</v>
      </c>
      <c r="D16" s="21" t="s">
        <v>13</v>
      </c>
      <c r="E16" s="8">
        <f>2*163659876</f>
        <v>327319752</v>
      </c>
      <c r="F16" s="8">
        <f>2*163650539</f>
        <v>327301078</v>
      </c>
      <c r="G16" s="8">
        <v>327301078</v>
      </c>
      <c r="H16" s="8">
        <v>318679078</v>
      </c>
      <c r="I16" s="22">
        <v>218862668</v>
      </c>
      <c r="J16" s="8">
        <v>180678602</v>
      </c>
      <c r="K16" s="23">
        <f t="shared" si="0"/>
        <v>12.71282262704613</v>
      </c>
      <c r="L16" s="67"/>
      <c r="M16" s="64"/>
      <c r="N16" s="64"/>
      <c r="O16" s="64"/>
      <c r="P16" s="64"/>
      <c r="Q16" s="64"/>
      <c r="R16" s="64"/>
      <c r="S16" s="64"/>
      <c r="T16" s="64"/>
      <c r="U16" s="64"/>
      <c r="V16" s="64"/>
    </row>
    <row r="17" spans="2:22" x14ac:dyDescent="0.2">
      <c r="B17" s="10"/>
      <c r="C17" s="24"/>
      <c r="D17" s="24"/>
      <c r="L17" s="64"/>
      <c r="M17" s="64"/>
      <c r="N17" s="64"/>
      <c r="O17" s="64"/>
      <c r="P17" s="64"/>
      <c r="Q17" s="64"/>
      <c r="R17" s="64"/>
      <c r="S17" s="64"/>
      <c r="T17" s="64"/>
      <c r="U17" s="64"/>
      <c r="V17" s="64"/>
    </row>
    <row r="18" spans="2:22" x14ac:dyDescent="0.2">
      <c r="L18" s="64"/>
      <c r="M18" s="64"/>
      <c r="N18" s="64"/>
      <c r="O18" s="64"/>
      <c r="P18" s="64"/>
      <c r="Q18" s="64"/>
      <c r="R18" s="64"/>
      <c r="S18" s="64"/>
      <c r="T18" s="64"/>
      <c r="U18" s="64"/>
      <c r="V18" s="64"/>
    </row>
    <row r="19" spans="2:22" ht="89" customHeight="1" x14ac:dyDescent="0.2">
      <c r="L19" s="64"/>
      <c r="M19" s="64"/>
      <c r="N19" s="64"/>
      <c r="O19" s="64"/>
      <c r="P19" s="64"/>
      <c r="Q19" s="64"/>
      <c r="R19" s="25"/>
      <c r="S19" s="25"/>
      <c r="T19" s="25"/>
      <c r="U19" s="25"/>
      <c r="V19" s="25"/>
    </row>
    <row r="20" spans="2:22" x14ac:dyDescent="0.2">
      <c r="L20" s="64"/>
      <c r="M20" s="64"/>
      <c r="N20" s="64"/>
      <c r="O20" s="64"/>
      <c r="P20" s="64"/>
      <c r="Q20" s="64"/>
      <c r="R20" s="64"/>
      <c r="S20" s="64"/>
      <c r="T20" s="64"/>
      <c r="U20" s="64"/>
      <c r="V20" s="64"/>
    </row>
    <row r="21" spans="2:22" x14ac:dyDescent="0.2">
      <c r="L21" s="64"/>
      <c r="M21" s="64"/>
      <c r="N21" s="64"/>
      <c r="O21" s="64"/>
      <c r="P21" s="64"/>
      <c r="Q21" s="64"/>
      <c r="R21" s="64"/>
      <c r="S21" s="64"/>
      <c r="T21" s="64"/>
      <c r="U21" s="64"/>
      <c r="V21" s="64"/>
    </row>
    <row r="22" spans="2:22" x14ac:dyDescent="0.2">
      <c r="L22" s="64"/>
      <c r="M22" s="64"/>
      <c r="N22" s="64"/>
      <c r="O22" s="64"/>
      <c r="P22" s="64"/>
      <c r="Q22" s="64"/>
      <c r="R22" s="64"/>
      <c r="S22" s="64"/>
      <c r="T22" s="64"/>
      <c r="U22" s="64"/>
      <c r="V22" s="64"/>
    </row>
    <row r="23" spans="2:22" x14ac:dyDescent="0.2">
      <c r="L23" s="64"/>
      <c r="M23" s="64"/>
      <c r="N23" s="64"/>
      <c r="O23" s="64"/>
      <c r="P23" s="64"/>
      <c r="Q23" s="64"/>
      <c r="R23" s="64"/>
      <c r="S23" s="64"/>
      <c r="T23" s="64"/>
      <c r="U23" s="64"/>
      <c r="V23" s="64"/>
    </row>
    <row r="24" spans="2:22" x14ac:dyDescent="0.2">
      <c r="L24" s="64"/>
      <c r="M24" s="64"/>
      <c r="N24" s="64"/>
      <c r="O24" s="64"/>
      <c r="P24" s="64"/>
      <c r="Q24" s="64"/>
      <c r="R24" s="64"/>
      <c r="S24" s="64"/>
      <c r="T24" s="64"/>
      <c r="U24" s="64"/>
      <c r="V24" s="64"/>
    </row>
    <row r="29" spans="2:22" ht="89" customHeight="1" x14ac:dyDescent="0.2"/>
    <row r="30" spans="2:22" x14ac:dyDescent="0.2">
      <c r="L30" s="68"/>
      <c r="M30" s="69"/>
    </row>
    <row r="33" spans="12:13" x14ac:dyDescent="0.2">
      <c r="L33" s="68"/>
      <c r="M33" s="68"/>
    </row>
  </sheetData>
  <mergeCells count="1">
    <mergeCell ref="B3:K3"/>
  </mergeCells>
  <phoneticPr fontId="2"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23D3-C3CF-7149-B7B0-EEC9B4EF808F}">
  <dimension ref="B1:V10"/>
  <sheetViews>
    <sheetView workbookViewId="0">
      <selection sqref="A1:XFD1048576"/>
    </sheetView>
  </sheetViews>
  <sheetFormatPr baseColWidth="10" defaultRowHeight="16" x14ac:dyDescent="0.2"/>
  <cols>
    <col min="1" max="1" width="5" style="2" customWidth="1"/>
    <col min="2" max="4" width="11" style="2" customWidth="1"/>
    <col min="5" max="10" width="16.83203125" style="2" customWidth="1"/>
    <col min="11" max="11" width="12.6640625" style="10" customWidth="1"/>
    <col min="12" max="13" width="18.33203125" style="2" customWidth="1"/>
    <col min="14" max="17" width="10.83203125" style="2"/>
    <col min="18" max="23" width="16.5" style="2" customWidth="1"/>
    <col min="24" max="16384" width="10.83203125" style="2"/>
  </cols>
  <sheetData>
    <row r="1" spans="2:22" x14ac:dyDescent="0.2">
      <c r="K1" s="63">
        <f>Table_S1!K1</f>
        <v>2131846805</v>
      </c>
    </row>
    <row r="3" spans="2:22" ht="62" customHeight="1" x14ac:dyDescent="0.2">
      <c r="B3" s="132" t="s">
        <v>55</v>
      </c>
      <c r="C3" s="132"/>
      <c r="D3" s="132"/>
      <c r="E3" s="132"/>
      <c r="F3" s="132"/>
      <c r="G3" s="132"/>
      <c r="H3" s="132"/>
      <c r="I3" s="132"/>
      <c r="J3" s="132"/>
      <c r="K3" s="132"/>
      <c r="L3" s="64"/>
      <c r="M3" s="64"/>
      <c r="N3" s="64"/>
      <c r="O3" s="64"/>
      <c r="P3" s="64"/>
      <c r="Q3" s="64"/>
      <c r="R3" s="64"/>
      <c r="S3" s="64"/>
      <c r="T3" s="64"/>
      <c r="U3" s="64"/>
      <c r="V3" s="64"/>
    </row>
    <row r="4" spans="2:22" ht="89" customHeight="1" thickBot="1" x14ac:dyDescent="0.25">
      <c r="B4" s="11" t="s">
        <v>15</v>
      </c>
      <c r="C4" s="11" t="s">
        <v>6</v>
      </c>
      <c r="D4" s="11" t="s">
        <v>7</v>
      </c>
      <c r="E4" s="11" t="s">
        <v>53</v>
      </c>
      <c r="F4" s="11" t="s">
        <v>33</v>
      </c>
      <c r="G4" s="11" t="s">
        <v>8</v>
      </c>
      <c r="H4" s="11" t="s">
        <v>9</v>
      </c>
      <c r="I4" s="11" t="s">
        <v>23</v>
      </c>
      <c r="J4" s="11" t="s">
        <v>10</v>
      </c>
      <c r="K4" s="11" t="s">
        <v>22</v>
      </c>
      <c r="L4" s="64"/>
      <c r="M4" s="64"/>
      <c r="N4" s="64"/>
      <c r="O4" s="64"/>
      <c r="P4" s="64"/>
      <c r="Q4" s="64"/>
      <c r="R4" s="25"/>
      <c r="S4" s="25"/>
      <c r="T4" s="25"/>
      <c r="U4" s="25"/>
      <c r="V4" s="25"/>
    </row>
    <row r="5" spans="2:22" x14ac:dyDescent="0.2">
      <c r="B5" s="27" t="s">
        <v>17</v>
      </c>
      <c r="C5" s="13" t="s">
        <v>5</v>
      </c>
      <c r="D5" s="13" t="s">
        <v>11</v>
      </c>
      <c r="E5" s="28">
        <f>2*258839104</f>
        <v>517678208</v>
      </c>
      <c r="F5" s="28">
        <f>2*258831507</f>
        <v>517663014</v>
      </c>
      <c r="G5" s="28">
        <v>517663014</v>
      </c>
      <c r="H5" s="28">
        <v>488936200</v>
      </c>
      <c r="I5" s="28">
        <v>399766648</v>
      </c>
      <c r="J5" s="28">
        <v>393359055</v>
      </c>
      <c r="K5" s="70">
        <f>(150*J5)/$K$1</f>
        <v>27.677344409369979</v>
      </c>
      <c r="L5" s="64"/>
      <c r="M5" s="64"/>
      <c r="N5" s="64"/>
      <c r="O5" s="64"/>
      <c r="P5" s="64"/>
      <c r="Q5" s="64"/>
      <c r="R5" s="64"/>
      <c r="S5" s="64"/>
      <c r="T5" s="64"/>
      <c r="U5" s="64"/>
      <c r="V5" s="64"/>
    </row>
    <row r="6" spans="2:22" x14ac:dyDescent="0.2">
      <c r="B6" s="29" t="s">
        <v>17</v>
      </c>
      <c r="C6" s="17" t="s">
        <v>5</v>
      </c>
      <c r="D6" s="17" t="s">
        <v>12</v>
      </c>
      <c r="E6" s="30">
        <f>2*307691453</f>
        <v>615382906</v>
      </c>
      <c r="F6" s="30">
        <f>2*307682941</f>
        <v>615365882</v>
      </c>
      <c r="G6" s="30">
        <v>615365882</v>
      </c>
      <c r="H6" s="30">
        <v>575936747</v>
      </c>
      <c r="I6" s="30">
        <v>471146400</v>
      </c>
      <c r="J6" s="30">
        <v>463575058</v>
      </c>
      <c r="K6" s="71">
        <f t="shared" ref="K6:K10" si="0">(150*J6)/$K$1</f>
        <v>32.617849714581155</v>
      </c>
      <c r="L6" s="64"/>
      <c r="M6" s="64"/>
      <c r="N6" s="64"/>
      <c r="O6" s="64"/>
      <c r="P6" s="64"/>
      <c r="Q6" s="64"/>
      <c r="R6" s="64"/>
      <c r="S6" s="64"/>
      <c r="T6" s="64"/>
      <c r="U6" s="64"/>
      <c r="V6" s="64"/>
    </row>
    <row r="7" spans="2:22" x14ac:dyDescent="0.2">
      <c r="B7" s="29" t="s">
        <v>17</v>
      </c>
      <c r="C7" s="17" t="s">
        <v>5</v>
      </c>
      <c r="D7" s="17" t="s">
        <v>13</v>
      </c>
      <c r="E7" s="30">
        <f>2*263343923</f>
        <v>526687846</v>
      </c>
      <c r="F7" s="30">
        <f>2*263335346</f>
        <v>526670692</v>
      </c>
      <c r="G7" s="30">
        <v>526670692</v>
      </c>
      <c r="H7" s="30">
        <v>493573460</v>
      </c>
      <c r="I7" s="30">
        <v>401668156</v>
      </c>
      <c r="J7" s="30">
        <v>395275293</v>
      </c>
      <c r="K7" s="71">
        <f t="shared" si="0"/>
        <v>27.812173844264574</v>
      </c>
      <c r="L7" s="64"/>
      <c r="M7" s="64"/>
      <c r="N7" s="64"/>
      <c r="O7" s="64"/>
      <c r="P7" s="64"/>
      <c r="Q7" s="64"/>
      <c r="R7" s="64"/>
      <c r="S7" s="64"/>
      <c r="T7" s="64"/>
      <c r="U7" s="64"/>
      <c r="V7" s="64"/>
    </row>
    <row r="8" spans="2:22" x14ac:dyDescent="0.2">
      <c r="B8" s="29" t="s">
        <v>17</v>
      </c>
      <c r="C8" s="17" t="s">
        <v>14</v>
      </c>
      <c r="D8" s="17" t="s">
        <v>11</v>
      </c>
      <c r="E8" s="30">
        <f>2*226431869</f>
        <v>452863738</v>
      </c>
      <c r="F8" s="30">
        <f>2*226425348</f>
        <v>452850696</v>
      </c>
      <c r="G8" s="30">
        <v>452850696</v>
      </c>
      <c r="H8" s="30">
        <v>428440227</v>
      </c>
      <c r="I8" s="30">
        <v>353102716</v>
      </c>
      <c r="J8" s="30">
        <v>348382313</v>
      </c>
      <c r="K8" s="71">
        <f t="shared" si="0"/>
        <v>24.512712089553734</v>
      </c>
      <c r="L8" s="64"/>
      <c r="M8" s="64"/>
      <c r="N8" s="64"/>
      <c r="O8" s="64"/>
      <c r="P8" s="64"/>
      <c r="Q8" s="64"/>
      <c r="R8" s="64"/>
      <c r="S8" s="64"/>
      <c r="T8" s="64"/>
      <c r="U8" s="64"/>
      <c r="V8" s="64"/>
    </row>
    <row r="9" spans="2:22" x14ac:dyDescent="0.2">
      <c r="B9" s="29" t="s">
        <v>17</v>
      </c>
      <c r="C9" s="17" t="s">
        <v>14</v>
      </c>
      <c r="D9" s="17" t="s">
        <v>12</v>
      </c>
      <c r="E9" s="30">
        <f>2*284790951</f>
        <v>569581902</v>
      </c>
      <c r="F9" s="30">
        <f>2*284782388</f>
        <v>569564776</v>
      </c>
      <c r="G9" s="30">
        <v>569564776</v>
      </c>
      <c r="H9" s="30">
        <v>532011640</v>
      </c>
      <c r="I9" s="30">
        <v>435732610</v>
      </c>
      <c r="J9" s="30">
        <v>429817102</v>
      </c>
      <c r="K9" s="71">
        <f t="shared" si="0"/>
        <v>30.242588327072593</v>
      </c>
      <c r="L9" s="64"/>
      <c r="M9" s="64"/>
      <c r="N9" s="64"/>
      <c r="O9" s="64"/>
      <c r="P9" s="64"/>
      <c r="Q9" s="64"/>
      <c r="R9" s="64"/>
      <c r="S9" s="64"/>
      <c r="T9" s="64"/>
      <c r="U9" s="64"/>
      <c r="V9" s="64"/>
    </row>
    <row r="10" spans="2:22" ht="17" thickBot="1" x14ac:dyDescent="0.25">
      <c r="B10" s="31" t="s">
        <v>17</v>
      </c>
      <c r="C10" s="21" t="s">
        <v>14</v>
      </c>
      <c r="D10" s="21" t="s">
        <v>13</v>
      </c>
      <c r="E10" s="32">
        <f>2*289229271</f>
        <v>578458542</v>
      </c>
      <c r="F10" s="32">
        <f>2*289220493</f>
        <v>578440986</v>
      </c>
      <c r="G10" s="32">
        <v>578440986</v>
      </c>
      <c r="H10" s="32">
        <v>540995516</v>
      </c>
      <c r="I10" s="32">
        <v>443968632</v>
      </c>
      <c r="J10" s="32">
        <v>438087607</v>
      </c>
      <c r="K10" s="72">
        <f t="shared" si="0"/>
        <v>30.8245137013961</v>
      </c>
    </row>
  </sheetData>
  <mergeCells count="1">
    <mergeCell ref="B3:K3"/>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C5E2-5148-1847-ADA5-5EEB5EE4D20F}">
  <dimension ref="B1:O17"/>
  <sheetViews>
    <sheetView workbookViewId="0"/>
  </sheetViews>
  <sheetFormatPr baseColWidth="10" defaultRowHeight="16" x14ac:dyDescent="0.2"/>
  <cols>
    <col min="1" max="1" width="5" style="2" customWidth="1"/>
    <col min="2" max="4" width="11" style="2" customWidth="1"/>
    <col min="5" max="12" width="16.83203125" style="2" customWidth="1"/>
    <col min="13" max="13" width="12.6640625" style="10" customWidth="1"/>
    <col min="14" max="15" width="18.33203125" style="2" customWidth="1"/>
    <col min="16" max="19" width="10.83203125" style="2"/>
    <col min="20" max="25" width="16.5" style="2" customWidth="1"/>
    <col min="26" max="16384" width="10.83203125" style="2"/>
  </cols>
  <sheetData>
    <row r="1" spans="2:15" x14ac:dyDescent="0.2">
      <c r="M1" s="63">
        <f>Table_S1!K1</f>
        <v>2131846805</v>
      </c>
    </row>
    <row r="2" spans="2:15" x14ac:dyDescent="0.2">
      <c r="B2" s="24"/>
      <c r="C2" s="24"/>
      <c r="D2" s="24"/>
      <c r="E2" s="25"/>
      <c r="F2" s="25"/>
      <c r="G2" s="25"/>
      <c r="H2" s="25"/>
      <c r="I2" s="25"/>
      <c r="J2" s="25"/>
      <c r="K2" s="25"/>
      <c r="L2" s="25"/>
      <c r="M2" s="26"/>
    </row>
    <row r="3" spans="2:15" ht="62" customHeight="1" x14ac:dyDescent="0.2">
      <c r="B3" s="132" t="s">
        <v>56</v>
      </c>
      <c r="C3" s="132"/>
      <c r="D3" s="132"/>
      <c r="E3" s="132"/>
      <c r="F3" s="132"/>
      <c r="G3" s="132"/>
      <c r="H3" s="132"/>
      <c r="I3" s="132"/>
      <c r="J3" s="132"/>
      <c r="K3" s="132"/>
      <c r="L3" s="132"/>
      <c r="M3" s="132"/>
    </row>
    <row r="4" spans="2:15" ht="89" customHeight="1" thickBot="1" x14ac:dyDescent="0.25">
      <c r="B4" s="11" t="s">
        <v>15</v>
      </c>
      <c r="C4" s="11" t="s">
        <v>6</v>
      </c>
      <c r="D4" s="11" t="s">
        <v>7</v>
      </c>
      <c r="E4" s="11" t="s">
        <v>38</v>
      </c>
      <c r="F4" s="11" t="s">
        <v>37</v>
      </c>
      <c r="G4" s="11" t="s">
        <v>36</v>
      </c>
      <c r="H4" s="11" t="s">
        <v>35</v>
      </c>
      <c r="I4" s="11" t="s">
        <v>8</v>
      </c>
      <c r="J4" s="11" t="s">
        <v>9</v>
      </c>
      <c r="K4" s="11" t="s">
        <v>23</v>
      </c>
      <c r="L4" s="11" t="s">
        <v>10</v>
      </c>
      <c r="M4" s="11" t="s">
        <v>22</v>
      </c>
    </row>
    <row r="5" spans="2:15" x14ac:dyDescent="0.2">
      <c r="B5" s="27" t="s">
        <v>16</v>
      </c>
      <c r="C5" s="13" t="s">
        <v>5</v>
      </c>
      <c r="D5" s="13" t="s">
        <v>11</v>
      </c>
      <c r="E5" s="5">
        <f>2*25201288</f>
        <v>50402576</v>
      </c>
      <c r="F5" s="5">
        <f>2*27531610</f>
        <v>55063220</v>
      </c>
      <c r="G5" s="5">
        <f>2*52732898</f>
        <v>105465796</v>
      </c>
      <c r="H5" s="33">
        <f>2*52721587</f>
        <v>105443174</v>
      </c>
      <c r="I5" s="33">
        <f>2*52721587</f>
        <v>105443174</v>
      </c>
      <c r="J5" s="5">
        <v>101885411</v>
      </c>
      <c r="K5" s="5">
        <v>82809488</v>
      </c>
      <c r="L5" s="5">
        <v>81455050</v>
      </c>
      <c r="M5" s="73">
        <f>(150*L5)/$M$1</f>
        <v>5.7313018324503853</v>
      </c>
      <c r="N5" s="68"/>
      <c r="O5" s="69"/>
    </row>
    <row r="6" spans="2:15" x14ac:dyDescent="0.2">
      <c r="B6" s="29" t="s">
        <v>16</v>
      </c>
      <c r="C6" s="17" t="s">
        <v>5</v>
      </c>
      <c r="D6" s="17" t="s">
        <v>12</v>
      </c>
      <c r="E6" s="3">
        <f>2*26652401</f>
        <v>53304802</v>
      </c>
      <c r="F6" s="3">
        <f>2*45523402</f>
        <v>91046804</v>
      </c>
      <c r="G6" s="3">
        <f>2*72175803</f>
        <v>144351606</v>
      </c>
      <c r="H6" s="34">
        <f>2*72169992</f>
        <v>144339984</v>
      </c>
      <c r="I6" s="3">
        <v>144339984</v>
      </c>
      <c r="J6" s="3">
        <v>139308895</v>
      </c>
      <c r="K6" s="3">
        <v>113887414</v>
      </c>
      <c r="L6" s="3">
        <v>112018801</v>
      </c>
      <c r="M6" s="74">
        <f t="shared" ref="M6:M10" si="0">(150*L6)/$M$1</f>
        <v>7.8818140734085249</v>
      </c>
    </row>
    <row r="7" spans="2:15" x14ac:dyDescent="0.2">
      <c r="B7" s="29" t="s">
        <v>16</v>
      </c>
      <c r="C7" s="17" t="s">
        <v>5</v>
      </c>
      <c r="D7" s="17" t="s">
        <v>13</v>
      </c>
      <c r="E7" s="3">
        <f>2*26487704</f>
        <v>52975408</v>
      </c>
      <c r="F7" s="3">
        <f>2*27119922</f>
        <v>54239844</v>
      </c>
      <c r="G7" s="3">
        <f>2*53607626</f>
        <v>107215252</v>
      </c>
      <c r="H7" s="34">
        <f>2*53591061</f>
        <v>107182122</v>
      </c>
      <c r="I7" s="3">
        <v>107182122</v>
      </c>
      <c r="J7" s="3">
        <v>103517072</v>
      </c>
      <c r="K7" s="3">
        <v>85214124</v>
      </c>
      <c r="L7" s="3">
        <v>83833647</v>
      </c>
      <c r="M7" s="74">
        <f t="shared" si="0"/>
        <v>5.8986635533597829</v>
      </c>
    </row>
    <row r="8" spans="2:15" x14ac:dyDescent="0.2">
      <c r="B8" s="29" t="s">
        <v>16</v>
      </c>
      <c r="C8" s="17" t="s">
        <v>14</v>
      </c>
      <c r="D8" s="17" t="s">
        <v>11</v>
      </c>
      <c r="E8" s="3">
        <f>2*25295695</f>
        <v>50591390</v>
      </c>
      <c r="F8" s="3">
        <f>2*25279550</f>
        <v>50559100</v>
      </c>
      <c r="G8" s="3">
        <f>2*50575245</f>
        <v>101150490</v>
      </c>
      <c r="H8" s="34">
        <f>2*50564431</f>
        <v>101128862</v>
      </c>
      <c r="I8" s="3">
        <v>101128862</v>
      </c>
      <c r="J8" s="3">
        <v>97775134</v>
      </c>
      <c r="K8" s="3">
        <v>79143242</v>
      </c>
      <c r="L8" s="3">
        <v>78013493</v>
      </c>
      <c r="M8" s="74">
        <f t="shared" si="0"/>
        <v>5.4891486210708278</v>
      </c>
      <c r="N8" s="68"/>
      <c r="O8" s="68"/>
    </row>
    <row r="9" spans="2:15" x14ac:dyDescent="0.2">
      <c r="B9" s="29" t="s">
        <v>16</v>
      </c>
      <c r="C9" s="17" t="s">
        <v>14</v>
      </c>
      <c r="D9" s="17" t="s">
        <v>12</v>
      </c>
      <c r="E9" s="3">
        <f>2*28499774</f>
        <v>56999548</v>
      </c>
      <c r="F9" s="3">
        <f>2*30809038</f>
        <v>61618076</v>
      </c>
      <c r="G9" s="3">
        <f>2*59308812</f>
        <v>118617624</v>
      </c>
      <c r="H9" s="34">
        <f>2*59297146</f>
        <v>118594292</v>
      </c>
      <c r="I9" s="3">
        <v>118594292</v>
      </c>
      <c r="J9" s="3">
        <v>114541914</v>
      </c>
      <c r="K9" s="3">
        <v>93313176</v>
      </c>
      <c r="L9" s="3">
        <v>92010181</v>
      </c>
      <c r="M9" s="74">
        <f t="shared" si="0"/>
        <v>6.4739769844766117</v>
      </c>
    </row>
    <row r="10" spans="2:15" ht="17" thickBot="1" x14ac:dyDescent="0.25">
      <c r="B10" s="31" t="s">
        <v>16</v>
      </c>
      <c r="C10" s="21" t="s">
        <v>14</v>
      </c>
      <c r="D10" s="21" t="s">
        <v>13</v>
      </c>
      <c r="E10" s="8">
        <f>2*26461746</f>
        <v>52923492</v>
      </c>
      <c r="F10" s="8">
        <f>2*27128501</f>
        <v>54257002</v>
      </c>
      <c r="G10" s="8">
        <f>2*53590247</f>
        <v>107180494</v>
      </c>
      <c r="H10" s="35">
        <f>2*53575934</f>
        <v>107151868</v>
      </c>
      <c r="I10" s="8">
        <v>107151868</v>
      </c>
      <c r="J10" s="8">
        <v>103415390</v>
      </c>
      <c r="K10" s="8">
        <v>85024502</v>
      </c>
      <c r="L10" s="8">
        <v>83839648</v>
      </c>
      <c r="M10" s="75">
        <f t="shared" si="0"/>
        <v>5.8990857928930778</v>
      </c>
    </row>
    <row r="13" spans="2:15" x14ac:dyDescent="0.2">
      <c r="E13" s="69"/>
      <c r="G13" s="69"/>
    </row>
    <row r="17" spans="9:9" x14ac:dyDescent="0.2">
      <c r="I17" s="69"/>
    </row>
  </sheetData>
  <mergeCells count="1">
    <mergeCell ref="B3:M3"/>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80773-CC3F-C849-A2BE-D79DDBF394BA}">
  <dimension ref="B3:G33"/>
  <sheetViews>
    <sheetView zoomScaleNormal="100" workbookViewId="0">
      <selection activeCell="A2" sqref="A2"/>
    </sheetView>
  </sheetViews>
  <sheetFormatPr baseColWidth="10" defaultRowHeight="16" x14ac:dyDescent="0.2"/>
  <cols>
    <col min="1" max="1" width="5" style="87" customWidth="1"/>
    <col min="2" max="4" width="14.5" style="87" customWidth="1"/>
    <col min="5" max="6" width="23.83203125" style="87" customWidth="1"/>
    <col min="7" max="7" width="31" style="87" customWidth="1"/>
    <col min="8" max="8" width="17.5" style="87" customWidth="1"/>
    <col min="9" max="10" width="20.83203125" style="87" customWidth="1"/>
    <col min="11" max="16384" width="10.83203125" style="87"/>
  </cols>
  <sheetData>
    <row r="3" spans="2:7" ht="50" customHeight="1" x14ac:dyDescent="0.2">
      <c r="B3" s="133" t="s">
        <v>59</v>
      </c>
      <c r="C3" s="133"/>
      <c r="D3" s="133"/>
      <c r="E3" s="133"/>
      <c r="F3" s="133"/>
      <c r="G3" s="133"/>
    </row>
    <row r="5" spans="2:7" ht="16" customHeight="1" thickBot="1" x14ac:dyDescent="0.25">
      <c r="B5" s="53" t="s">
        <v>15</v>
      </c>
      <c r="C5" s="53" t="s">
        <v>6</v>
      </c>
      <c r="D5" s="53" t="s">
        <v>7</v>
      </c>
      <c r="E5" s="53" t="s">
        <v>88</v>
      </c>
      <c r="F5" s="90" t="s">
        <v>48</v>
      </c>
      <c r="G5" s="82" t="s">
        <v>112</v>
      </c>
    </row>
    <row r="6" spans="2:7" ht="16" customHeight="1" x14ac:dyDescent="0.2">
      <c r="B6" s="92" t="s">
        <v>18</v>
      </c>
      <c r="C6" s="84" t="s">
        <v>5</v>
      </c>
      <c r="D6" s="84" t="s">
        <v>11</v>
      </c>
      <c r="E6" s="134" t="s">
        <v>111</v>
      </c>
      <c r="F6" s="97" t="s">
        <v>126</v>
      </c>
      <c r="G6" s="129" t="s">
        <v>151</v>
      </c>
    </row>
    <row r="7" spans="2:7" ht="16" customHeight="1" x14ac:dyDescent="0.2">
      <c r="B7" s="93" t="s">
        <v>18</v>
      </c>
      <c r="C7" s="85" t="s">
        <v>5</v>
      </c>
      <c r="D7" s="85" t="s">
        <v>12</v>
      </c>
      <c r="E7" s="135"/>
      <c r="F7" s="85" t="s">
        <v>127</v>
      </c>
      <c r="G7" s="130" t="s">
        <v>152</v>
      </c>
    </row>
    <row r="8" spans="2:7" ht="16" customHeight="1" x14ac:dyDescent="0.2">
      <c r="B8" s="93" t="s">
        <v>18</v>
      </c>
      <c r="C8" s="85" t="s">
        <v>5</v>
      </c>
      <c r="D8" s="85" t="s">
        <v>13</v>
      </c>
      <c r="E8" s="135"/>
      <c r="F8" s="85" t="s">
        <v>128</v>
      </c>
      <c r="G8" s="130" t="s">
        <v>156</v>
      </c>
    </row>
    <row r="9" spans="2:7" ht="16" customHeight="1" x14ac:dyDescent="0.2">
      <c r="B9" s="93" t="s">
        <v>18</v>
      </c>
      <c r="C9" s="85" t="s">
        <v>19</v>
      </c>
      <c r="D9" s="85" t="s">
        <v>11</v>
      </c>
      <c r="E9" s="135"/>
      <c r="F9" s="91" t="s">
        <v>129</v>
      </c>
      <c r="G9" s="130" t="s">
        <v>153</v>
      </c>
    </row>
    <row r="10" spans="2:7" ht="16" customHeight="1" x14ac:dyDescent="0.2">
      <c r="B10" s="93" t="s">
        <v>18</v>
      </c>
      <c r="C10" s="85" t="s">
        <v>19</v>
      </c>
      <c r="D10" s="85" t="s">
        <v>12</v>
      </c>
      <c r="E10" s="135"/>
      <c r="F10" s="85" t="s">
        <v>130</v>
      </c>
      <c r="G10" s="130" t="s">
        <v>154</v>
      </c>
    </row>
    <row r="11" spans="2:7" ht="16" customHeight="1" x14ac:dyDescent="0.2">
      <c r="B11" s="93" t="s">
        <v>18</v>
      </c>
      <c r="C11" s="85" t="s">
        <v>19</v>
      </c>
      <c r="D11" s="85" t="s">
        <v>13</v>
      </c>
      <c r="E11" s="135"/>
      <c r="F11" s="91" t="s">
        <v>131</v>
      </c>
      <c r="G11" s="130" t="s">
        <v>155</v>
      </c>
    </row>
    <row r="12" spans="2:7" ht="16" customHeight="1" x14ac:dyDescent="0.2">
      <c r="B12" s="93" t="s">
        <v>18</v>
      </c>
      <c r="C12" s="85" t="s">
        <v>20</v>
      </c>
      <c r="D12" s="85" t="s">
        <v>11</v>
      </c>
      <c r="E12" s="135"/>
      <c r="F12" s="85" t="s">
        <v>132</v>
      </c>
      <c r="G12" s="130" t="s">
        <v>157</v>
      </c>
    </row>
    <row r="13" spans="2:7" ht="16" customHeight="1" x14ac:dyDescent="0.2">
      <c r="B13" s="93" t="s">
        <v>18</v>
      </c>
      <c r="C13" s="85" t="s">
        <v>20</v>
      </c>
      <c r="D13" s="85" t="s">
        <v>12</v>
      </c>
      <c r="E13" s="135"/>
      <c r="F13" s="91" t="s">
        <v>133</v>
      </c>
      <c r="G13" s="130" t="s">
        <v>158</v>
      </c>
    </row>
    <row r="14" spans="2:7" ht="16" customHeight="1" x14ac:dyDescent="0.2">
      <c r="B14" s="93" t="s">
        <v>18</v>
      </c>
      <c r="C14" s="85" t="s">
        <v>20</v>
      </c>
      <c r="D14" s="85" t="s">
        <v>13</v>
      </c>
      <c r="E14" s="135"/>
      <c r="F14" s="91" t="s">
        <v>134</v>
      </c>
      <c r="G14" s="130" t="s">
        <v>159</v>
      </c>
    </row>
    <row r="15" spans="2:7" ht="16" customHeight="1" x14ac:dyDescent="0.2">
      <c r="B15" s="93" t="s">
        <v>18</v>
      </c>
      <c r="C15" s="85" t="s">
        <v>21</v>
      </c>
      <c r="D15" s="85" t="s">
        <v>11</v>
      </c>
      <c r="E15" s="135"/>
      <c r="F15" s="91" t="s">
        <v>135</v>
      </c>
      <c r="G15" s="130" t="s">
        <v>160</v>
      </c>
    </row>
    <row r="16" spans="2:7" ht="16" customHeight="1" x14ac:dyDescent="0.2">
      <c r="B16" s="93" t="s">
        <v>18</v>
      </c>
      <c r="C16" s="85" t="s">
        <v>21</v>
      </c>
      <c r="D16" s="85" t="s">
        <v>12</v>
      </c>
      <c r="E16" s="135"/>
      <c r="F16" s="85" t="s">
        <v>136</v>
      </c>
      <c r="G16" s="130" t="s">
        <v>161</v>
      </c>
    </row>
    <row r="17" spans="2:7" ht="16" customHeight="1" thickBot="1" x14ac:dyDescent="0.25">
      <c r="B17" s="94" t="s">
        <v>18</v>
      </c>
      <c r="C17" s="86" t="s">
        <v>21</v>
      </c>
      <c r="D17" s="86" t="s">
        <v>13</v>
      </c>
      <c r="E17" s="136"/>
      <c r="F17" s="86" t="s">
        <v>137</v>
      </c>
      <c r="G17" s="131" t="s">
        <v>162</v>
      </c>
    </row>
    <row r="18" spans="2:7" ht="16" customHeight="1" x14ac:dyDescent="0.2">
      <c r="B18" s="95" t="s">
        <v>17</v>
      </c>
      <c r="C18" s="83" t="s">
        <v>5</v>
      </c>
      <c r="D18" s="83" t="s">
        <v>11</v>
      </c>
      <c r="E18" s="137" t="s">
        <v>90</v>
      </c>
      <c r="F18" s="144" t="s">
        <v>92</v>
      </c>
      <c r="G18" s="98" t="s">
        <v>87</v>
      </c>
    </row>
    <row r="19" spans="2:7" ht="16" customHeight="1" x14ac:dyDescent="0.2">
      <c r="B19" s="93" t="s">
        <v>17</v>
      </c>
      <c r="C19" s="85" t="s">
        <v>5</v>
      </c>
      <c r="D19" s="85" t="s">
        <v>12</v>
      </c>
      <c r="E19" s="138"/>
      <c r="F19" s="141"/>
      <c r="G19" s="99" t="s">
        <v>95</v>
      </c>
    </row>
    <row r="20" spans="2:7" ht="16" customHeight="1" x14ac:dyDescent="0.2">
      <c r="B20" s="93" t="s">
        <v>17</v>
      </c>
      <c r="C20" s="85" t="s">
        <v>5</v>
      </c>
      <c r="D20" s="85" t="s">
        <v>13</v>
      </c>
      <c r="E20" s="138"/>
      <c r="F20" s="141"/>
      <c r="G20" s="99" t="s">
        <v>96</v>
      </c>
    </row>
    <row r="21" spans="2:7" ht="16" customHeight="1" x14ac:dyDescent="0.2">
      <c r="B21" s="93" t="s">
        <v>17</v>
      </c>
      <c r="C21" s="85" t="s">
        <v>14</v>
      </c>
      <c r="D21" s="85" t="s">
        <v>11</v>
      </c>
      <c r="E21" s="138"/>
      <c r="F21" s="141" t="s">
        <v>93</v>
      </c>
      <c r="G21" s="99" t="s">
        <v>97</v>
      </c>
    </row>
    <row r="22" spans="2:7" ht="16" customHeight="1" x14ac:dyDescent="0.2">
      <c r="B22" s="93" t="s">
        <v>17</v>
      </c>
      <c r="C22" s="85" t="s">
        <v>14</v>
      </c>
      <c r="D22" s="85" t="s">
        <v>12</v>
      </c>
      <c r="E22" s="138"/>
      <c r="F22" s="141"/>
      <c r="G22" s="99" t="s">
        <v>98</v>
      </c>
    </row>
    <row r="23" spans="2:7" ht="16" customHeight="1" thickBot="1" x14ac:dyDescent="0.25">
      <c r="B23" s="94" t="s">
        <v>17</v>
      </c>
      <c r="C23" s="86" t="s">
        <v>14</v>
      </c>
      <c r="D23" s="86" t="s">
        <v>13</v>
      </c>
      <c r="E23" s="139"/>
      <c r="F23" s="143"/>
      <c r="G23" s="100" t="s">
        <v>94</v>
      </c>
    </row>
    <row r="24" spans="2:7" ht="16" customHeight="1" x14ac:dyDescent="0.2">
      <c r="B24" s="95" t="s">
        <v>16</v>
      </c>
      <c r="C24" s="83" t="s">
        <v>5</v>
      </c>
      <c r="D24" s="83" t="s">
        <v>11</v>
      </c>
      <c r="E24" s="137" t="s">
        <v>91</v>
      </c>
      <c r="F24" s="140" t="s">
        <v>102</v>
      </c>
      <c r="G24" s="98" t="s">
        <v>99</v>
      </c>
    </row>
    <row r="25" spans="2:7" ht="16" customHeight="1" x14ac:dyDescent="0.2">
      <c r="B25" s="93" t="s">
        <v>16</v>
      </c>
      <c r="C25" s="85" t="s">
        <v>5</v>
      </c>
      <c r="D25" s="85" t="s">
        <v>12</v>
      </c>
      <c r="E25" s="138"/>
      <c r="F25" s="141"/>
      <c r="G25" s="99" t="s">
        <v>100</v>
      </c>
    </row>
    <row r="26" spans="2:7" ht="16" customHeight="1" x14ac:dyDescent="0.2">
      <c r="B26" s="93" t="s">
        <v>16</v>
      </c>
      <c r="C26" s="85" t="s">
        <v>5</v>
      </c>
      <c r="D26" s="85" t="s">
        <v>13</v>
      </c>
      <c r="E26" s="138"/>
      <c r="F26" s="141"/>
      <c r="G26" s="99" t="s">
        <v>101</v>
      </c>
    </row>
    <row r="27" spans="2:7" ht="16" customHeight="1" x14ac:dyDescent="0.2">
      <c r="B27" s="93" t="s">
        <v>16</v>
      </c>
      <c r="C27" s="85" t="s">
        <v>14</v>
      </c>
      <c r="D27" s="85" t="s">
        <v>11</v>
      </c>
      <c r="E27" s="138"/>
      <c r="F27" s="142" t="s">
        <v>103</v>
      </c>
      <c r="G27" s="99" t="s">
        <v>104</v>
      </c>
    </row>
    <row r="28" spans="2:7" ht="16" customHeight="1" x14ac:dyDescent="0.2">
      <c r="B28" s="93" t="s">
        <v>16</v>
      </c>
      <c r="C28" s="85" t="s">
        <v>14</v>
      </c>
      <c r="D28" s="85" t="s">
        <v>12</v>
      </c>
      <c r="E28" s="138"/>
      <c r="F28" s="141"/>
      <c r="G28" s="99" t="s">
        <v>105</v>
      </c>
    </row>
    <row r="29" spans="2:7" ht="16" customHeight="1" thickBot="1" x14ac:dyDescent="0.25">
      <c r="B29" s="94" t="s">
        <v>16</v>
      </c>
      <c r="C29" s="86" t="s">
        <v>14</v>
      </c>
      <c r="D29" s="86" t="s">
        <v>13</v>
      </c>
      <c r="E29" s="139"/>
      <c r="F29" s="143"/>
      <c r="G29" s="100" t="s">
        <v>106</v>
      </c>
    </row>
    <row r="30" spans="2:7" x14ac:dyDescent="0.2">
      <c r="G30" s="36"/>
    </row>
    <row r="33" spans="6:6" x14ac:dyDescent="0.2">
      <c r="F33" s="96"/>
    </row>
  </sheetData>
  <mergeCells count="8">
    <mergeCell ref="B3:G3"/>
    <mergeCell ref="E6:E17"/>
    <mergeCell ref="E18:E23"/>
    <mergeCell ref="E24:E29"/>
    <mergeCell ref="F24:F26"/>
    <mergeCell ref="F27:F29"/>
    <mergeCell ref="F18:F20"/>
    <mergeCell ref="F21:F23"/>
  </mergeCells>
  <hyperlinks>
    <hyperlink ref="G18" r:id="rId1" display="https://dataview.ncbi.nlm.nih.gov/object/SRR29860876" xr:uid="{C1E52532-1AF8-6D4A-B712-F2BDADC39612}"/>
    <hyperlink ref="G19" r:id="rId2" display="https://dataview.ncbi.nlm.nih.gov/object/SRR29860875" xr:uid="{140DDAEA-FD32-8349-99EB-A0C9E6C95892}"/>
    <hyperlink ref="G20" r:id="rId3" display="https://dataview.ncbi.nlm.nih.gov/object/SRR29860874" xr:uid="{C49C65F6-2C2B-C04B-AC6C-77D8416031C2}"/>
    <hyperlink ref="G21" r:id="rId4" display="https://dataview.ncbi.nlm.nih.gov/object/SRR29860879" xr:uid="{2E34A8DC-44B8-CB4B-A526-991F0E179D72}"/>
    <hyperlink ref="G22" r:id="rId5" display="https://dataview.ncbi.nlm.nih.gov/object/SRR29860878" xr:uid="{8BDAF256-75E2-3A4B-AF00-A1F414CEF39D}"/>
    <hyperlink ref="G23" r:id="rId6" display="https://dataview.ncbi.nlm.nih.gov/object/SRR29860877" xr:uid="{114872D0-01BC-4E43-9E7B-B29E3E9C790B}"/>
    <hyperlink ref="G24" r:id="rId7" display="https://dataview.ncbi.nlm.nih.gov/object/SRR29881191" xr:uid="{DA26DC16-B90E-AF47-8125-7A12DC5C253A}"/>
    <hyperlink ref="G25" r:id="rId8" display="https://dataview.ncbi.nlm.nih.gov/object/SRR29881200" xr:uid="{D7C05E93-41E8-DF47-935A-7ABD8FB756BE}"/>
    <hyperlink ref="G26" r:id="rId9" display="https://dataview.ncbi.nlm.nih.gov/object/SRR29881199" xr:uid="{48ED8A7E-834F-6940-9357-83055EED0CED}"/>
    <hyperlink ref="G27" r:id="rId10" display="https://dataview.ncbi.nlm.nih.gov/object/SRR29881194" xr:uid="{CD72CCBC-02A4-6A4C-AEF6-2B0CCC88E466}"/>
    <hyperlink ref="G29" r:id="rId11" display="https://dataview.ncbi.nlm.nih.gov/object/SRR29881192" xr:uid="{07035867-5B20-4949-99D8-B53405D2F467}"/>
  </hyperlink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7BD8-ABC9-8A40-B1A4-3D6CA6E43B07}">
  <dimension ref="B3:I38"/>
  <sheetViews>
    <sheetView zoomScaleNormal="100" workbookViewId="0">
      <selection activeCell="C22" sqref="C22:C25"/>
    </sheetView>
  </sheetViews>
  <sheetFormatPr baseColWidth="10" defaultRowHeight="16" x14ac:dyDescent="0.2"/>
  <cols>
    <col min="1" max="1" width="5" style="2" customWidth="1"/>
    <col min="2" max="2" width="33.83203125" style="2" customWidth="1"/>
    <col min="3" max="3" width="17.83203125" style="2" customWidth="1"/>
    <col min="4" max="4" width="44.1640625" style="2" customWidth="1"/>
    <col min="5" max="5" width="93.83203125" style="2" customWidth="1"/>
    <col min="6" max="9" width="10.83203125" style="2" customWidth="1"/>
    <col min="10" max="16384" width="10.83203125" style="2"/>
  </cols>
  <sheetData>
    <row r="3" spans="2:9" ht="32" customHeight="1" x14ac:dyDescent="0.2">
      <c r="B3" s="145" t="s">
        <v>85</v>
      </c>
      <c r="C3" s="145"/>
      <c r="D3" s="145"/>
      <c r="E3" s="81"/>
    </row>
    <row r="5" spans="2:9" ht="16" customHeight="1" thickBot="1" x14ac:dyDescent="0.25">
      <c r="B5" s="103" t="s">
        <v>57</v>
      </c>
      <c r="C5" s="103" t="s">
        <v>58</v>
      </c>
      <c r="D5" s="103" t="s">
        <v>80</v>
      </c>
    </row>
    <row r="6" spans="2:9" ht="16" customHeight="1" x14ac:dyDescent="0.2">
      <c r="B6" s="104" t="s">
        <v>76</v>
      </c>
      <c r="C6" s="134" t="s">
        <v>89</v>
      </c>
      <c r="D6" s="105" t="s">
        <v>107</v>
      </c>
      <c r="E6" s="102"/>
    </row>
    <row r="7" spans="2:9" ht="16" customHeight="1" x14ac:dyDescent="0.2">
      <c r="B7" s="106" t="s">
        <v>77</v>
      </c>
      <c r="C7" s="135"/>
      <c r="D7" s="80" t="s">
        <v>108</v>
      </c>
      <c r="E7" s="102"/>
      <c r="I7" s="88"/>
    </row>
    <row r="8" spans="2:9" ht="16" customHeight="1" x14ac:dyDescent="0.2">
      <c r="B8" s="106" t="s">
        <v>78</v>
      </c>
      <c r="C8" s="135"/>
      <c r="D8" s="80" t="s">
        <v>109</v>
      </c>
      <c r="E8" s="102"/>
    </row>
    <row r="9" spans="2:9" ht="16" customHeight="1" thickBot="1" x14ac:dyDescent="0.25">
      <c r="B9" s="109" t="s">
        <v>86</v>
      </c>
      <c r="C9" s="135"/>
      <c r="D9" s="101" t="s">
        <v>110</v>
      </c>
      <c r="E9" s="102"/>
    </row>
    <row r="10" spans="2:9" ht="16" customHeight="1" x14ac:dyDescent="0.2">
      <c r="B10" s="104" t="s">
        <v>60</v>
      </c>
      <c r="C10" s="134" t="s">
        <v>113</v>
      </c>
      <c r="D10" s="105" t="s">
        <v>114</v>
      </c>
      <c r="E10" s="102"/>
    </row>
    <row r="11" spans="2:9" ht="16" customHeight="1" x14ac:dyDescent="0.2">
      <c r="B11" s="106" t="s">
        <v>61</v>
      </c>
      <c r="C11" s="135"/>
      <c r="D11" s="80" t="s">
        <v>123</v>
      </c>
      <c r="E11" s="102"/>
    </row>
    <row r="12" spans="2:9" ht="16" customHeight="1" x14ac:dyDescent="0.2">
      <c r="B12" s="106" t="s">
        <v>62</v>
      </c>
      <c r="C12" s="135"/>
      <c r="D12" s="80" t="s">
        <v>124</v>
      </c>
      <c r="E12" s="102"/>
    </row>
    <row r="13" spans="2:9" ht="16" customHeight="1" x14ac:dyDescent="0.2">
      <c r="B13" s="106" t="s">
        <v>63</v>
      </c>
      <c r="C13" s="135"/>
      <c r="D13" s="80" t="s">
        <v>125</v>
      </c>
      <c r="E13" s="102"/>
    </row>
    <row r="14" spans="2:9" ht="16" customHeight="1" x14ac:dyDescent="0.2">
      <c r="B14" s="106" t="s">
        <v>64</v>
      </c>
      <c r="C14" s="135"/>
      <c r="D14" s="80" t="s">
        <v>115</v>
      </c>
      <c r="E14" s="102"/>
    </row>
    <row r="15" spans="2:9" ht="16" customHeight="1" x14ac:dyDescent="0.2">
      <c r="B15" s="106" t="s">
        <v>65</v>
      </c>
      <c r="C15" s="135"/>
      <c r="D15" s="80" t="s">
        <v>116</v>
      </c>
      <c r="E15" s="102"/>
    </row>
    <row r="16" spans="2:9" ht="16" customHeight="1" x14ac:dyDescent="0.2">
      <c r="B16" s="106" t="s">
        <v>66</v>
      </c>
      <c r="C16" s="135"/>
      <c r="D16" s="80" t="s">
        <v>117</v>
      </c>
      <c r="E16" s="102"/>
    </row>
    <row r="17" spans="2:5" ht="16" customHeight="1" x14ac:dyDescent="0.2">
      <c r="B17" s="106" t="s">
        <v>67</v>
      </c>
      <c r="C17" s="135"/>
      <c r="D17" s="80" t="s">
        <v>118</v>
      </c>
      <c r="E17" s="102"/>
    </row>
    <row r="18" spans="2:5" ht="16" customHeight="1" x14ac:dyDescent="0.2">
      <c r="B18" s="106" t="s">
        <v>68</v>
      </c>
      <c r="C18" s="135"/>
      <c r="D18" s="80" t="s">
        <v>119</v>
      </c>
      <c r="E18" s="102"/>
    </row>
    <row r="19" spans="2:5" ht="16" customHeight="1" x14ac:dyDescent="0.2">
      <c r="B19" s="106" t="s">
        <v>69</v>
      </c>
      <c r="C19" s="135"/>
      <c r="D19" s="80" t="s">
        <v>120</v>
      </c>
      <c r="E19" s="102"/>
    </row>
    <row r="20" spans="2:5" ht="16" customHeight="1" x14ac:dyDescent="0.2">
      <c r="B20" s="106" t="s">
        <v>70</v>
      </c>
      <c r="C20" s="135"/>
      <c r="D20" s="80" t="s">
        <v>121</v>
      </c>
      <c r="E20" s="102"/>
    </row>
    <row r="21" spans="2:5" ht="16" customHeight="1" thickBot="1" x14ac:dyDescent="0.25">
      <c r="B21" s="107" t="s">
        <v>71</v>
      </c>
      <c r="C21" s="136"/>
      <c r="D21" s="112" t="s">
        <v>122</v>
      </c>
      <c r="E21" s="102"/>
    </row>
    <row r="22" spans="2:5" ht="16" customHeight="1" x14ac:dyDescent="0.2">
      <c r="B22" s="110" t="s">
        <v>72</v>
      </c>
      <c r="C22" s="135" t="s">
        <v>79</v>
      </c>
      <c r="D22" s="111" t="s">
        <v>81</v>
      </c>
      <c r="E22" s="102"/>
    </row>
    <row r="23" spans="2:5" ht="16" customHeight="1" x14ac:dyDescent="0.2">
      <c r="B23" s="106" t="s">
        <v>73</v>
      </c>
      <c r="C23" s="135"/>
      <c r="D23" s="89" t="s">
        <v>82</v>
      </c>
      <c r="E23" s="102"/>
    </row>
    <row r="24" spans="2:5" ht="16" customHeight="1" x14ac:dyDescent="0.2">
      <c r="B24" s="106" t="s">
        <v>74</v>
      </c>
      <c r="C24" s="135"/>
      <c r="D24" s="89" t="s">
        <v>83</v>
      </c>
      <c r="E24" s="102"/>
    </row>
    <row r="25" spans="2:5" ht="16" customHeight="1" thickBot="1" x14ac:dyDescent="0.25">
      <c r="B25" s="107" t="s">
        <v>75</v>
      </c>
      <c r="C25" s="136"/>
      <c r="D25" s="108" t="s">
        <v>84</v>
      </c>
      <c r="E25" s="102"/>
    </row>
    <row r="26" spans="2:5" ht="16" customHeight="1" x14ac:dyDescent="0.2"/>
    <row r="27" spans="2:5" ht="16" customHeight="1" x14ac:dyDescent="0.2"/>
    <row r="28" spans="2:5" ht="16" customHeight="1" x14ac:dyDescent="0.2"/>
    <row r="29" spans="2:5" ht="16" customHeight="1" x14ac:dyDescent="0.2"/>
    <row r="30" spans="2:5" ht="16" customHeight="1" x14ac:dyDescent="0.2"/>
    <row r="31" spans="2:5" ht="16" customHeight="1" x14ac:dyDescent="0.2"/>
    <row r="32" spans="2:5" ht="16" customHeight="1" x14ac:dyDescent="0.2"/>
    <row r="33" spans="8:8" ht="16" customHeight="1" x14ac:dyDescent="0.2"/>
    <row r="34" spans="8:8" ht="16" customHeight="1" x14ac:dyDescent="0.2"/>
    <row r="35" spans="8:8" ht="16" customHeight="1" x14ac:dyDescent="0.2"/>
    <row r="36" spans="8:8" ht="16" customHeight="1" x14ac:dyDescent="0.2"/>
    <row r="37" spans="8:8" x14ac:dyDescent="0.2">
      <c r="H37" s="64"/>
    </row>
    <row r="38" spans="8:8" x14ac:dyDescent="0.2">
      <c r="H38" s="64"/>
    </row>
  </sheetData>
  <mergeCells count="4">
    <mergeCell ref="B3:D3"/>
    <mergeCell ref="C22:C25"/>
    <mergeCell ref="C6:C9"/>
    <mergeCell ref="C10:C21"/>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14DFA-61F0-6A41-BD78-BD5D4627D89B}">
  <dimension ref="A1:GI669"/>
  <sheetViews>
    <sheetView zoomScaleNormal="100" workbookViewId="0"/>
  </sheetViews>
  <sheetFormatPr baseColWidth="10" defaultRowHeight="16" x14ac:dyDescent="0.2"/>
  <cols>
    <col min="1" max="1" width="5" style="1" customWidth="1"/>
    <col min="2" max="2" width="15.1640625" style="1" customWidth="1"/>
    <col min="3" max="8" width="10.83203125" style="1"/>
    <col min="9" max="191" width="10.83203125" style="2"/>
    <col min="192" max="16384" width="10.83203125" style="1"/>
  </cols>
  <sheetData>
    <row r="1" spans="1:8" x14ac:dyDescent="0.2">
      <c r="A1" s="2"/>
      <c r="B1" s="2"/>
      <c r="C1" s="2"/>
      <c r="D1" s="2"/>
      <c r="E1" s="2"/>
      <c r="F1" s="2"/>
      <c r="G1" s="2"/>
      <c r="H1" s="2"/>
    </row>
    <row r="2" spans="1:8" x14ac:dyDescent="0.2">
      <c r="A2" s="2"/>
      <c r="B2" s="2"/>
      <c r="C2" s="2"/>
      <c r="D2" s="2"/>
      <c r="E2" s="2"/>
      <c r="F2" s="2"/>
      <c r="G2" s="2"/>
      <c r="H2" s="2"/>
    </row>
    <row r="3" spans="1:8" ht="126" customHeight="1" x14ac:dyDescent="0.2">
      <c r="A3" s="2"/>
      <c r="B3" s="145" t="s">
        <v>163</v>
      </c>
      <c r="C3" s="145"/>
      <c r="D3" s="145"/>
      <c r="E3" s="145"/>
      <c r="F3" s="145"/>
      <c r="G3" s="145"/>
      <c r="H3" s="145"/>
    </row>
    <row r="4" spans="1:8" x14ac:dyDescent="0.2">
      <c r="A4" s="2"/>
      <c r="B4" s="36"/>
      <c r="C4" s="36"/>
      <c r="D4" s="149" t="s">
        <v>49</v>
      </c>
      <c r="E4" s="150"/>
      <c r="F4" s="150"/>
      <c r="G4" s="150"/>
      <c r="H4" s="151"/>
    </row>
    <row r="5" spans="1:8" ht="17" thickBot="1" x14ac:dyDescent="0.25">
      <c r="A5" s="2"/>
      <c r="B5" s="36"/>
      <c r="C5" s="36"/>
      <c r="D5" s="43" t="s">
        <v>0</v>
      </c>
      <c r="E5" s="44" t="s">
        <v>1</v>
      </c>
      <c r="F5" s="45" t="s">
        <v>2</v>
      </c>
      <c r="G5" s="46" t="s">
        <v>4</v>
      </c>
      <c r="H5" s="47" t="s">
        <v>3</v>
      </c>
    </row>
    <row r="6" spans="1:8" ht="17" customHeight="1" x14ac:dyDescent="0.2">
      <c r="A6" s="2"/>
      <c r="B6" s="146" t="s">
        <v>138</v>
      </c>
      <c r="C6" s="48" t="s">
        <v>0</v>
      </c>
      <c r="D6" s="77">
        <v>48878</v>
      </c>
      <c r="E6" s="37">
        <v>9179</v>
      </c>
      <c r="F6" s="37">
        <v>326</v>
      </c>
      <c r="G6" s="37">
        <v>0</v>
      </c>
      <c r="H6" s="38">
        <v>0</v>
      </c>
    </row>
    <row r="7" spans="1:8" x14ac:dyDescent="0.2">
      <c r="A7" s="2"/>
      <c r="B7" s="147"/>
      <c r="C7" s="49" t="s">
        <v>1</v>
      </c>
      <c r="D7" s="39">
        <v>1731</v>
      </c>
      <c r="E7" s="77">
        <v>12215</v>
      </c>
      <c r="F7" s="1">
        <v>4552</v>
      </c>
      <c r="G7" s="1">
        <v>2</v>
      </c>
      <c r="H7" s="40">
        <v>0</v>
      </c>
    </row>
    <row r="8" spans="1:8" x14ac:dyDescent="0.2">
      <c r="A8" s="2"/>
      <c r="B8" s="147"/>
      <c r="C8" s="50" t="s">
        <v>2</v>
      </c>
      <c r="D8" s="39">
        <v>78</v>
      </c>
      <c r="E8" s="1">
        <v>3560</v>
      </c>
      <c r="F8" s="77">
        <v>59241</v>
      </c>
      <c r="G8" s="1">
        <v>6576</v>
      </c>
      <c r="H8" s="40">
        <v>248</v>
      </c>
    </row>
    <row r="9" spans="1:8" x14ac:dyDescent="0.2">
      <c r="A9" s="2"/>
      <c r="B9" s="147"/>
      <c r="C9" s="51" t="s">
        <v>4</v>
      </c>
      <c r="D9" s="39">
        <v>3</v>
      </c>
      <c r="E9" s="1">
        <v>10</v>
      </c>
      <c r="F9" s="1">
        <v>2052</v>
      </c>
      <c r="G9" s="77">
        <v>11566</v>
      </c>
      <c r="H9" s="40">
        <v>6227</v>
      </c>
    </row>
    <row r="10" spans="1:8" ht="17" thickBot="1" x14ac:dyDescent="0.25">
      <c r="A10" s="2"/>
      <c r="B10" s="148"/>
      <c r="C10" s="52" t="s">
        <v>3</v>
      </c>
      <c r="D10" s="41">
        <v>4</v>
      </c>
      <c r="E10" s="42">
        <v>1</v>
      </c>
      <c r="F10" s="42">
        <v>474</v>
      </c>
      <c r="G10" s="42">
        <v>1293</v>
      </c>
      <c r="H10" s="77">
        <v>41141</v>
      </c>
    </row>
    <row r="11" spans="1:8" x14ac:dyDescent="0.2">
      <c r="A11" s="2"/>
      <c r="B11" s="2"/>
      <c r="C11" s="2"/>
      <c r="D11" s="2"/>
      <c r="E11" s="2"/>
      <c r="F11" s="2"/>
      <c r="G11" s="2"/>
      <c r="H11" s="2"/>
    </row>
    <row r="12" spans="1:8" x14ac:dyDescent="0.2">
      <c r="A12" s="2"/>
      <c r="B12" s="2"/>
      <c r="C12" s="2"/>
      <c r="D12" s="2"/>
      <c r="E12" s="2"/>
      <c r="F12" s="2"/>
      <c r="G12" s="2"/>
      <c r="H12" s="2"/>
    </row>
    <row r="13" spans="1:8" x14ac:dyDescent="0.2">
      <c r="A13" s="2"/>
      <c r="B13" s="2"/>
      <c r="C13" s="2"/>
      <c r="D13" s="2"/>
      <c r="E13" s="2"/>
      <c r="F13" s="2"/>
      <c r="G13" s="2"/>
      <c r="H13" s="2"/>
    </row>
    <row r="14" spans="1:8" s="2" customFormat="1" x14ac:dyDescent="0.2"/>
    <row r="15" spans="1:8" s="2" customFormat="1" x14ac:dyDescent="0.2"/>
    <row r="16" spans="1:8" s="2" customFormat="1" x14ac:dyDescent="0.2"/>
    <row r="17" s="2" customFormat="1" x14ac:dyDescent="0.2"/>
    <row r="18" s="2" customFormat="1" x14ac:dyDescent="0.2"/>
    <row r="19" s="2" customFormat="1" ht="16" customHeigh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sheetData>
  <mergeCells count="3">
    <mergeCell ref="B6:B10"/>
    <mergeCell ref="D4:H4"/>
    <mergeCell ref="B3:H3"/>
  </mergeCells>
  <conditionalFormatting sqref="D6:H10">
    <cfRule type="colorScale" priority="5">
      <colorScale>
        <cfvo type="min"/>
        <cfvo type="max"/>
        <color theme="0"/>
        <color theme="0" tint="-0.499984740745262"/>
      </colorScale>
    </cfRule>
    <cfRule type="colorScale" priority="6">
      <colorScale>
        <cfvo type="min"/>
        <cfvo type="max"/>
        <color theme="0" tint="-4.9989318521683403E-2"/>
        <color theme="0" tint="-0.499984740745262"/>
      </colorScale>
    </cfRule>
    <cfRule type="colorScale" priority="7">
      <colorScale>
        <cfvo type="min"/>
        <cfvo type="max"/>
        <color rgb="FFFCFCFF"/>
        <color rgb="FF63BE7B"/>
      </colorScale>
    </cfRule>
    <cfRule type="colorScale" priority="9">
      <colorScale>
        <cfvo type="min"/>
        <cfvo type="max"/>
        <color rgb="FFFCFCFF"/>
        <color rgb="FF63BE7B"/>
      </colorScale>
    </cfRule>
  </conditionalFormatting>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9145-465B-8D4F-A677-666CC9934E2E}">
  <dimension ref="B1:V10"/>
  <sheetViews>
    <sheetView workbookViewId="0"/>
  </sheetViews>
  <sheetFormatPr baseColWidth="10" defaultRowHeight="16" x14ac:dyDescent="0.2"/>
  <cols>
    <col min="1" max="1" width="5" style="2" customWidth="1"/>
    <col min="2" max="6" width="20.1640625" style="2" customWidth="1"/>
    <col min="7" max="10" width="16.83203125" style="2" customWidth="1"/>
    <col min="11" max="11" width="12.6640625" style="10" customWidth="1"/>
    <col min="12" max="13" width="18.33203125" style="2" customWidth="1"/>
    <col min="14" max="17" width="10.83203125" style="2"/>
    <col min="18" max="23" width="16.5" style="2" customWidth="1"/>
    <col min="24" max="16384" width="10.83203125" style="2"/>
  </cols>
  <sheetData>
    <row r="1" spans="2:22" x14ac:dyDescent="0.2">
      <c r="K1" s="63">
        <f>Table_S1!K1</f>
        <v>2131846805</v>
      </c>
    </row>
    <row r="3" spans="2:22" ht="108" customHeight="1" x14ac:dyDescent="0.2">
      <c r="B3" s="132" t="s">
        <v>150</v>
      </c>
      <c r="C3" s="132"/>
      <c r="D3" s="132"/>
      <c r="E3" s="132"/>
      <c r="F3" s="132"/>
      <c r="G3" s="116"/>
      <c r="H3" s="116"/>
      <c r="I3" s="116"/>
      <c r="J3" s="116"/>
      <c r="K3" s="116"/>
      <c r="L3" s="64"/>
      <c r="M3" s="64"/>
      <c r="N3" s="64"/>
      <c r="O3" s="64"/>
      <c r="P3" s="64"/>
      <c r="Q3" s="64"/>
      <c r="R3" s="64"/>
      <c r="S3" s="64"/>
      <c r="T3" s="64"/>
      <c r="U3" s="64"/>
      <c r="V3" s="64"/>
    </row>
    <row r="4" spans="2:22" s="114" customFormat="1" ht="35" thickBot="1" x14ac:dyDescent="0.25">
      <c r="B4" s="113" t="s">
        <v>140</v>
      </c>
      <c r="C4" s="115" t="s">
        <v>146</v>
      </c>
      <c r="D4" s="113" t="s">
        <v>147</v>
      </c>
      <c r="E4" s="115" t="s">
        <v>149</v>
      </c>
      <c r="F4" s="113" t="s">
        <v>148</v>
      </c>
    </row>
    <row r="5" spans="2:22" ht="17" x14ac:dyDescent="0.2">
      <c r="B5" s="117" t="s">
        <v>19</v>
      </c>
      <c r="C5" s="118">
        <v>1290252286</v>
      </c>
      <c r="D5" s="118">
        <v>0</v>
      </c>
      <c r="E5" s="126">
        <v>0.52900000000000003</v>
      </c>
      <c r="F5" s="119" t="s">
        <v>141</v>
      </c>
    </row>
    <row r="6" spans="2:22" ht="17" x14ac:dyDescent="0.2">
      <c r="B6" s="120" t="s">
        <v>142</v>
      </c>
      <c r="C6" s="121">
        <v>78747884</v>
      </c>
      <c r="D6" s="121">
        <v>1.0799999999999999E-11</v>
      </c>
      <c r="E6" s="127">
        <v>5.0299999999999997E-2</v>
      </c>
      <c r="F6" s="122" t="s">
        <v>143</v>
      </c>
    </row>
    <row r="7" spans="2:22" ht="17" x14ac:dyDescent="0.2">
      <c r="B7" s="120" t="s">
        <v>20</v>
      </c>
      <c r="C7" s="121">
        <v>1110000000</v>
      </c>
      <c r="D7" s="121">
        <v>3.0700000000000001E-24</v>
      </c>
      <c r="E7" s="127">
        <v>3.8899999999999997E-2</v>
      </c>
      <c r="F7" s="122" t="s">
        <v>143</v>
      </c>
    </row>
    <row r="8" spans="2:22" ht="17" x14ac:dyDescent="0.2">
      <c r="B8" s="120" t="s">
        <v>144</v>
      </c>
      <c r="C8" s="121">
        <v>76700406</v>
      </c>
      <c r="D8" s="121">
        <v>9.4399999999999995E-125</v>
      </c>
      <c r="E8" s="127">
        <v>0.17</v>
      </c>
      <c r="F8" s="122" t="s">
        <v>143</v>
      </c>
    </row>
    <row r="9" spans="2:22" ht="17" x14ac:dyDescent="0.2">
      <c r="B9" s="120" t="s">
        <v>21</v>
      </c>
      <c r="C9" s="121">
        <v>136862217</v>
      </c>
      <c r="D9" s="121">
        <v>0</v>
      </c>
      <c r="E9" s="127">
        <v>0.58799999999999997</v>
      </c>
      <c r="F9" s="122" t="s">
        <v>141</v>
      </c>
    </row>
    <row r="10" spans="2:22" ht="18" thickBot="1" x14ac:dyDescent="0.25">
      <c r="B10" s="123" t="s">
        <v>145</v>
      </c>
      <c r="C10" s="124">
        <v>10708074662</v>
      </c>
      <c r="D10" s="124">
        <v>1.9400000000000001E-14</v>
      </c>
      <c r="E10" s="128">
        <v>1.6899999999999998E-2</v>
      </c>
      <c r="F10" s="125" t="s">
        <v>143</v>
      </c>
    </row>
  </sheetData>
  <mergeCells count="1">
    <mergeCell ref="B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5D36-469A-0B4D-8D68-0C4D67C4E8A3}">
  <dimension ref="B3:I22"/>
  <sheetViews>
    <sheetView zoomScaleNormal="100" workbookViewId="0"/>
  </sheetViews>
  <sheetFormatPr baseColWidth="10" defaultRowHeight="16" x14ac:dyDescent="0.2"/>
  <cols>
    <col min="1" max="1" width="5" style="2" customWidth="1"/>
    <col min="2" max="2" width="18.6640625" style="2" customWidth="1"/>
    <col min="3" max="3" width="11.5" style="2" customWidth="1"/>
    <col min="4" max="4" width="14.33203125" style="2" customWidth="1"/>
    <col min="5" max="5" width="12.6640625" style="2" customWidth="1"/>
    <col min="6" max="7" width="12.5" style="2" customWidth="1"/>
    <col min="8" max="9" width="11.5" style="2" customWidth="1"/>
    <col min="10" max="10" width="13.6640625" style="2" customWidth="1"/>
    <col min="11" max="16384" width="10.83203125" style="2"/>
  </cols>
  <sheetData>
    <row r="3" spans="2:9" ht="55" customHeight="1" x14ac:dyDescent="0.2">
      <c r="B3" s="132" t="s">
        <v>139</v>
      </c>
      <c r="C3" s="132"/>
      <c r="D3" s="132"/>
      <c r="E3" s="132"/>
      <c r="F3" s="132"/>
      <c r="G3" s="132"/>
      <c r="H3" s="132"/>
      <c r="I3" s="132"/>
    </row>
    <row r="4" spans="2:9" ht="69" thickBot="1" x14ac:dyDescent="0.25">
      <c r="B4" s="78" t="s">
        <v>39</v>
      </c>
      <c r="C4" s="79" t="s">
        <v>40</v>
      </c>
      <c r="D4" s="53" t="s">
        <v>41</v>
      </c>
      <c r="E4" s="53" t="s">
        <v>42</v>
      </c>
      <c r="F4" s="53" t="s">
        <v>44</v>
      </c>
      <c r="G4" s="53" t="s">
        <v>46</v>
      </c>
      <c r="H4" s="53" t="s">
        <v>45</v>
      </c>
      <c r="I4" s="53" t="s">
        <v>43</v>
      </c>
    </row>
    <row r="5" spans="2:9" x14ac:dyDescent="0.2">
      <c r="B5" s="9" t="s">
        <v>31</v>
      </c>
      <c r="C5" s="4">
        <v>39035</v>
      </c>
      <c r="D5" s="5">
        <v>173041508</v>
      </c>
      <c r="E5" s="57">
        <v>8.11698E-2</v>
      </c>
      <c r="F5" s="54">
        <v>1.1240000000000001</v>
      </c>
      <c r="G5" s="54">
        <v>1.1254999999999999</v>
      </c>
      <c r="H5" s="54">
        <v>1.1251</v>
      </c>
      <c r="I5" s="58">
        <v>1.125</v>
      </c>
    </row>
    <row r="6" spans="2:9" x14ac:dyDescent="0.2">
      <c r="B6" s="9" t="s">
        <v>25</v>
      </c>
      <c r="C6" s="6">
        <v>9792</v>
      </c>
      <c r="D6" s="3">
        <v>5238236</v>
      </c>
      <c r="E6" s="59" t="s">
        <v>47</v>
      </c>
      <c r="F6" s="55">
        <v>1.1155999999999999</v>
      </c>
      <c r="G6" s="55">
        <v>1.1175999999999999</v>
      </c>
      <c r="H6" s="55">
        <v>1.1169</v>
      </c>
      <c r="I6" s="60">
        <v>1.1175999999999999</v>
      </c>
    </row>
    <row r="7" spans="2:9" x14ac:dyDescent="0.2">
      <c r="B7" s="9" t="s">
        <v>50</v>
      </c>
      <c r="C7" s="6">
        <v>109237</v>
      </c>
      <c r="D7" s="3">
        <v>23999685</v>
      </c>
      <c r="E7" s="59">
        <v>1.1257700000000001E-2</v>
      </c>
      <c r="F7" s="55">
        <v>1.105</v>
      </c>
      <c r="G7" s="55">
        <v>1.1060000000000001</v>
      </c>
      <c r="H7" s="55">
        <v>1.1057999999999999</v>
      </c>
      <c r="I7" s="60">
        <v>1.1087</v>
      </c>
    </row>
    <row r="8" spans="2:9" x14ac:dyDescent="0.2">
      <c r="B8" s="9" t="s">
        <v>28</v>
      </c>
      <c r="C8" s="6">
        <v>73605</v>
      </c>
      <c r="D8" s="3">
        <v>25736815</v>
      </c>
      <c r="E8" s="59">
        <v>1.20725E-2</v>
      </c>
      <c r="F8" s="55">
        <v>1.0954999999999999</v>
      </c>
      <c r="G8" s="55">
        <v>1.0972</v>
      </c>
      <c r="H8" s="55">
        <v>1.0969</v>
      </c>
      <c r="I8" s="60">
        <v>1.1002000000000001</v>
      </c>
    </row>
    <row r="9" spans="2:9" x14ac:dyDescent="0.2">
      <c r="B9" s="9" t="s">
        <v>52</v>
      </c>
      <c r="C9" s="6">
        <v>86339</v>
      </c>
      <c r="D9" s="3">
        <v>13326436</v>
      </c>
      <c r="E9" s="59">
        <v>6.2511199999999998E-3</v>
      </c>
      <c r="F9" s="55">
        <v>1.0808</v>
      </c>
      <c r="G9" s="55">
        <v>1.0817000000000001</v>
      </c>
      <c r="H9" s="55">
        <v>1.0819000000000001</v>
      </c>
      <c r="I9" s="60">
        <v>1.0885</v>
      </c>
    </row>
    <row r="10" spans="2:9" x14ac:dyDescent="0.2">
      <c r="B10" s="9" t="s">
        <v>29</v>
      </c>
      <c r="C10" s="6">
        <v>58213</v>
      </c>
      <c r="D10" s="3">
        <v>52052406</v>
      </c>
      <c r="E10" s="59">
        <v>2.44166E-2</v>
      </c>
      <c r="F10" s="55">
        <v>1.0763</v>
      </c>
      <c r="G10" s="55">
        <v>1.0784</v>
      </c>
      <c r="H10" s="55">
        <v>1.0792999999999999</v>
      </c>
      <c r="I10" s="60">
        <v>1.083</v>
      </c>
    </row>
    <row r="11" spans="2:9" x14ac:dyDescent="0.2">
      <c r="B11" s="9" t="s">
        <v>30</v>
      </c>
      <c r="C11" s="6">
        <v>32252</v>
      </c>
      <c r="D11" s="3">
        <v>21881422</v>
      </c>
      <c r="E11" s="59">
        <v>1.02641E-2</v>
      </c>
      <c r="F11" s="55">
        <v>1.0612999999999999</v>
      </c>
      <c r="G11" s="55">
        <v>1.0627</v>
      </c>
      <c r="H11" s="55">
        <v>1.0632999999999999</v>
      </c>
      <c r="I11" s="60">
        <v>1.0701000000000001</v>
      </c>
    </row>
    <row r="12" spans="2:9" x14ac:dyDescent="0.2">
      <c r="B12" s="9" t="s">
        <v>26</v>
      </c>
      <c r="C12" s="6">
        <v>212989</v>
      </c>
      <c r="D12" s="3">
        <v>529108169</v>
      </c>
      <c r="E12" s="59">
        <v>0.248192</v>
      </c>
      <c r="F12" s="55">
        <v>1.0269999999999999</v>
      </c>
      <c r="G12" s="55">
        <v>1.028</v>
      </c>
      <c r="H12" s="55">
        <v>1.0289999999999999</v>
      </c>
      <c r="I12" s="60">
        <v>1.0329999999999999</v>
      </c>
    </row>
    <row r="13" spans="2:9" x14ac:dyDescent="0.2">
      <c r="B13" s="9" t="s">
        <v>24</v>
      </c>
      <c r="C13" s="6">
        <v>77849</v>
      </c>
      <c r="D13" s="3">
        <v>64662883</v>
      </c>
      <c r="E13" s="59">
        <v>3.0331899999999998E-2</v>
      </c>
      <c r="F13" s="55">
        <v>0.97889999999999999</v>
      </c>
      <c r="G13" s="55">
        <v>0.98050000000000004</v>
      </c>
      <c r="H13" s="55">
        <v>0.98180000000000001</v>
      </c>
      <c r="I13" s="60">
        <v>0.98480000000000001</v>
      </c>
    </row>
    <row r="14" spans="2:9" x14ac:dyDescent="0.2">
      <c r="B14" s="9" t="s">
        <v>51</v>
      </c>
      <c r="C14" s="6">
        <v>215114</v>
      </c>
      <c r="D14" s="3">
        <v>123982485</v>
      </c>
      <c r="E14" s="59">
        <v>5.8157300000000002E-2</v>
      </c>
      <c r="F14" s="55">
        <v>0.94299999999999995</v>
      </c>
      <c r="G14" s="55">
        <v>0.94499999999999995</v>
      </c>
      <c r="H14" s="55">
        <v>0.94499999999999995</v>
      </c>
      <c r="I14" s="60">
        <v>0.95199999999999996</v>
      </c>
    </row>
    <row r="15" spans="2:9" ht="17" thickBot="1" x14ac:dyDescent="0.25">
      <c r="B15" s="9" t="s">
        <v>27</v>
      </c>
      <c r="C15" s="7">
        <v>391978</v>
      </c>
      <c r="D15" s="8">
        <v>981329476</v>
      </c>
      <c r="E15" s="61">
        <v>0.46031899999999998</v>
      </c>
      <c r="F15" s="56">
        <v>0.94399999999999995</v>
      </c>
      <c r="G15" s="56">
        <v>0.94599999999999995</v>
      </c>
      <c r="H15" s="56">
        <v>0.94699999999999995</v>
      </c>
      <c r="I15" s="62">
        <v>0.95099999999999996</v>
      </c>
    </row>
    <row r="22" s="76" customFormat="1" ht="133" customHeight="1" x14ac:dyDescent="0.2"/>
  </sheetData>
  <mergeCells count="1">
    <mergeCell ref="B3:I3"/>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Table_S1</vt:lpstr>
      <vt:lpstr>Table_S2</vt:lpstr>
      <vt:lpstr>Table_S3</vt:lpstr>
      <vt:lpstr>Table_S4</vt:lpstr>
      <vt:lpstr>Table_S5</vt:lpstr>
      <vt:lpstr>Table_S6</vt:lpstr>
      <vt:lpstr>Table_S7</vt:lpstr>
      <vt:lpstr>Table_S8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2024-06-19T20:18:45Z</dcterms:created>
  <dcterms:modified xsi:type="dcterms:W3CDTF">2025-05-19T21:16:27Z</dcterms:modified>
</cp:coreProperties>
</file>