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CA8DA0A-A538-41D4-BBD4-54357B31C20B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overview_equati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6" i="1" l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2" i="1"/>
  <c r="T11" i="1"/>
  <c r="T10" i="1"/>
  <c r="T9" i="1"/>
  <c r="T8" i="1"/>
  <c r="T7" i="1"/>
  <c r="T6" i="1"/>
  <c r="T5" i="1"/>
  <c r="T4" i="1"/>
  <c r="T3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H86" i="1" l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E6" i="1" l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23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5" i="1"/>
  <c r="E4" i="1"/>
  <c r="E3" i="1" s="1"/>
</calcChain>
</file>

<file path=xl/sharedStrings.xml><?xml version="1.0" encoding="utf-8"?>
<sst xmlns="http://schemas.openxmlformats.org/spreadsheetml/2006/main" count="711" uniqueCount="657">
  <si>
    <t>01_imp_aci</t>
  </si>
  <si>
    <t>Alar convexity index</t>
  </si>
  <si>
    <t>02_imp_Cnbw</t>
  </si>
  <si>
    <t>Caudal nasal base width</t>
  </si>
  <si>
    <t>03_imp_Cmtnsi</t>
  </si>
  <si>
    <t>Central mouth to nose symetry index</t>
  </si>
  <si>
    <t>04_imp_ca</t>
  </si>
  <si>
    <t>05_imp_cbsi</t>
  </si>
  <si>
    <t>Columella base symetry index</t>
  </si>
  <si>
    <t>06_imp_ci</t>
  </si>
  <si>
    <t>Columella index</t>
  </si>
  <si>
    <t>07_imp_cbw</t>
  </si>
  <si>
    <t>Columellar base width</t>
  </si>
  <si>
    <t>08_imp_DD</t>
  </si>
  <si>
    <t>Dimple depth</t>
  </si>
  <si>
    <t>09_imp_DI</t>
  </si>
  <si>
    <t>Dimple index</t>
  </si>
  <si>
    <t>10_imp_Enl</t>
  </si>
  <si>
    <t>Effective nasal length</t>
  </si>
  <si>
    <t>11_imp_hnci</t>
  </si>
  <si>
    <t>Horizontal nasal convexity index</t>
  </si>
  <si>
    <t>13_imp_lmtnsi</t>
  </si>
  <si>
    <t>Lateral mouth to nose symetry index</t>
  </si>
  <si>
    <t>14_imp_Labtp</t>
  </si>
  <si>
    <t>Left alar base to pronasale</t>
  </si>
  <si>
    <t>15_imp_Lat</t>
  </si>
  <si>
    <t>Left alar thickness</t>
  </si>
  <si>
    <t>16_imp_Lci</t>
  </si>
  <si>
    <t>Left columella index</t>
  </si>
  <si>
    <t>17_imp_Lcbw</t>
  </si>
  <si>
    <t>Left columellar base width</t>
  </si>
  <si>
    <t>18_imp_Ldvh</t>
  </si>
  <si>
    <t>Left dry vermillion height</t>
  </si>
  <si>
    <t>19_imp_Linc</t>
  </si>
  <si>
    <t>Left inner nostril circumference</t>
  </si>
  <si>
    <t>20_imp_Llcl</t>
  </si>
  <si>
    <t>Left lateral columella length</t>
  </si>
  <si>
    <t>21_imp_Llmtnd</t>
  </si>
  <si>
    <t>Left lateral mouth to nose distance</t>
  </si>
  <si>
    <t>22_imp_LLvvl</t>
  </si>
  <si>
    <t>Left lateral volumetric vermillion length</t>
  </si>
  <si>
    <t>23_imp_Lmsmtnd</t>
  </si>
  <si>
    <t>Left median-sagittal mouth to nose distance</t>
  </si>
  <si>
    <t>24_imp_Lnfw</t>
  </si>
  <si>
    <t>Left nostril floor width</t>
  </si>
  <si>
    <t>25_imp_LpbwV</t>
  </si>
  <si>
    <t>Left philtrum base width (Volumetric)</t>
  </si>
  <si>
    <t>26_imp_Lvc</t>
  </si>
  <si>
    <t>Left vermillion convexity</t>
  </si>
  <si>
    <t>27_imp_Lvh</t>
  </si>
  <si>
    <t>Left vermillion height</t>
  </si>
  <si>
    <t>28_imp_Lvi</t>
  </si>
  <si>
    <t>Left vermillion index</t>
  </si>
  <si>
    <t>29_imp_Lvl</t>
  </si>
  <si>
    <t>Left vermillion length</t>
  </si>
  <si>
    <t>30_imp_Lvlcl</t>
  </si>
  <si>
    <t>Left volumetric lateral columella length</t>
  </si>
  <si>
    <t>31_imp_Lvvl</t>
  </si>
  <si>
    <t>Left volumetric vermillion length</t>
  </si>
  <si>
    <t>32_imp_Lwvh</t>
  </si>
  <si>
    <t>Left wet vermillion height</t>
  </si>
  <si>
    <t>33_imp_Mvh</t>
  </si>
  <si>
    <t>Medial vermillion height</t>
  </si>
  <si>
    <t>34_imp_Mdvh</t>
  </si>
  <si>
    <t>Median dry vermillion height</t>
  </si>
  <si>
    <t>35_imp_Mscl</t>
  </si>
  <si>
    <t>Median sagittal columella length</t>
  </si>
  <si>
    <t>36_imp_Mwvh</t>
  </si>
  <si>
    <t>Median wet vermillion height</t>
  </si>
  <si>
    <t>37_imp_Mtnsi</t>
  </si>
  <si>
    <t>Mouth to nose symetry index</t>
  </si>
  <si>
    <t>38_imp_Mw</t>
  </si>
  <si>
    <t>Mouth width</t>
  </si>
  <si>
    <t>39_imp_Naw</t>
  </si>
  <si>
    <t>Nasal alar width</t>
  </si>
  <si>
    <t>40_imp_Nbw</t>
  </si>
  <si>
    <t>Nasal base width</t>
  </si>
  <si>
    <t>41_imp_Nci</t>
  </si>
  <si>
    <t>Nasal convexity index</t>
  </si>
  <si>
    <t>42_imp_Nh</t>
  </si>
  <si>
    <t>Nasal height</t>
  </si>
  <si>
    <t>43_imp_PbwV</t>
  </si>
  <si>
    <t>Philtrum base width (Volumetric)</t>
  </si>
  <si>
    <t>44_imp_Pl</t>
  </si>
  <si>
    <t>Philtrum length</t>
  </si>
  <si>
    <t>45_imp_Pti</t>
  </si>
  <si>
    <t>Philtrum taper index</t>
  </si>
  <si>
    <t>46_imp_Rabtp</t>
  </si>
  <si>
    <t>Right alar base to pronasale</t>
  </si>
  <si>
    <t>47_imp_Rat</t>
  </si>
  <si>
    <t>Right alar thickness</t>
  </si>
  <si>
    <t>48_imp_Rci</t>
  </si>
  <si>
    <t>Right columella index</t>
  </si>
  <si>
    <t>49_imp_Rcbw</t>
  </si>
  <si>
    <t>Right columellar base width</t>
  </si>
  <si>
    <t>50_imp_Rdvh</t>
  </si>
  <si>
    <t>Right dry vermillion height</t>
  </si>
  <si>
    <t>51_imp_Rinc</t>
  </si>
  <si>
    <t>Right inner nostril circumference</t>
  </si>
  <si>
    <t>52_imp_Rlcl</t>
  </si>
  <si>
    <t>Right lateral columella length</t>
  </si>
  <si>
    <t>53_imp_Rlmtnd</t>
  </si>
  <si>
    <t>Right lateral mouth to nose distance</t>
  </si>
  <si>
    <t>54_imp_Rlvvl</t>
  </si>
  <si>
    <t>Right lateral volumetric vermillion length</t>
  </si>
  <si>
    <t>55_imp_Rmsmtnd</t>
  </si>
  <si>
    <t>Right median-sagittal mouth to nose distance</t>
  </si>
  <si>
    <t>56_imp_Rnfw.rds")</t>
  </si>
  <si>
    <t>Right nostril floor width</t>
  </si>
  <si>
    <t>57_imp_RpbwV</t>
  </si>
  <si>
    <t>Right philtrum base width (Volumetric)</t>
  </si>
  <si>
    <t>58_imp_Rvc</t>
  </si>
  <si>
    <t>Right vermillion convexity</t>
  </si>
  <si>
    <t>59_imp_Rvh</t>
  </si>
  <si>
    <t>Right vermillion height</t>
  </si>
  <si>
    <t>60_imp_Rvi</t>
  </si>
  <si>
    <t>Right vermillion index</t>
  </si>
  <si>
    <t>Right vermillion length</t>
  </si>
  <si>
    <t>62_imp_Rvlcl</t>
  </si>
  <si>
    <t>Right volumetric lateral columella length</t>
  </si>
  <si>
    <t>63_imp_Rvvl</t>
  </si>
  <si>
    <t>Right volumetric vermillion length</t>
  </si>
  <si>
    <t>64_imp_Rwvh</t>
  </si>
  <si>
    <t>Right wet vermillion height</t>
  </si>
  <si>
    <t>Soft-tissue mouth to nose index</t>
  </si>
  <si>
    <t>66_imp_Tlllle</t>
  </si>
  <si>
    <t>Transverse lengths of the left lateral lip element</t>
  </si>
  <si>
    <t>67_imp_Tlrlle</t>
  </si>
  <si>
    <t>Transverse lengths of the right lateral lip element</t>
  </si>
  <si>
    <t>68_imp_ulh.rds</t>
  </si>
  <si>
    <t>Upper lip height</t>
  </si>
  <si>
    <t>69_imp_uli.rds</t>
  </si>
  <si>
    <t>Upper lip index</t>
  </si>
  <si>
    <t>70_imp_va.rds</t>
  </si>
  <si>
    <t>Vermillion angle</t>
  </si>
  <si>
    <t>71_imp_vi.rds</t>
  </si>
  <si>
    <t>Vermillion index</t>
  </si>
  <si>
    <t>72_imp_vhotlll</t>
  </si>
  <si>
    <t>Vertical heights of the left lateral lip</t>
  </si>
  <si>
    <t>73_imp_vhotlmlP</t>
  </si>
  <si>
    <t>Vertical heights of the left medial lip (Philtrum)</t>
  </si>
  <si>
    <t>74_imp_vhotlmlPV</t>
  </si>
  <si>
    <t>Vertical heights of the left medial lip (Philtrum, Volumetric)</t>
  </si>
  <si>
    <t>75_imp_vhotrll</t>
  </si>
  <si>
    <t>Vertical heights of the right lateral lip</t>
  </si>
  <si>
    <t>76_imp_vhotrmlP</t>
  </si>
  <si>
    <t>Vertical heights of the right medial lip (Philtrum)</t>
  </si>
  <si>
    <t>77_imp_vhotrmlPV</t>
  </si>
  <si>
    <t>Vertical heights of the right medial lip (Philtrum, Volumetric)</t>
  </si>
  <si>
    <t>78_imp_vnci</t>
  </si>
  <si>
    <t>Vertical nasal convexity index</t>
  </si>
  <si>
    <t>79_imp_vlnh</t>
  </si>
  <si>
    <t>Volumetric lower nasal height</t>
  </si>
  <si>
    <t>80_imp_vnh</t>
  </si>
  <si>
    <t>Volumetric nasal height</t>
  </si>
  <si>
    <t>81_imp_Vpl</t>
  </si>
  <si>
    <t>Volumetric philtrum length</t>
  </si>
  <si>
    <t>82_imp_vstnwl</t>
  </si>
  <si>
    <t>Volumetric soft-tissue nasal width left</t>
  </si>
  <si>
    <t>83_imp_vstnwr</t>
  </si>
  <si>
    <t>Volumetric soft-tissue nasal width right</t>
  </si>
  <si>
    <t>84_imp_vulh</t>
  </si>
  <si>
    <t>Volumetric upper lip height</t>
  </si>
  <si>
    <t>85_imp_vunh</t>
  </si>
  <si>
    <t>Volumetric upper nasal height</t>
  </si>
  <si>
    <t>Female</t>
  </si>
  <si>
    <t>Male</t>
  </si>
  <si>
    <t>Overall</t>
  </si>
  <si>
    <t>y=18+0.5x</t>
  </si>
  <si>
    <t>y=17+0.49x</t>
  </si>
  <si>
    <t>18-0.58x</t>
  </si>
  <si>
    <t>16+0.69x</t>
  </si>
  <si>
    <t>y=17+0.28x</t>
  </si>
  <si>
    <t>y=7+0.032x</t>
  </si>
  <si>
    <t>y=7+0.037x</t>
  </si>
  <si>
    <t>y=8.4-0.33x</t>
  </si>
  <si>
    <t>y=3.8+0.66x</t>
  </si>
  <si>
    <t>y=16+0.34x</t>
  </si>
  <si>
    <t>y=15+0.77x</t>
  </si>
  <si>
    <t>y=6.5-0.19x</t>
  </si>
  <si>
    <t>y=3.7+0.36x</t>
  </si>
  <si>
    <t>y=4.2+0.23x</t>
  </si>
  <si>
    <t>y=4.1+0.23x</t>
  </si>
  <si>
    <t>y=16+0.6x</t>
  </si>
  <si>
    <t>y=15+0.6x</t>
  </si>
  <si>
    <t>y=17+0.36x</t>
  </si>
  <si>
    <t>y=18+0.58x</t>
  </si>
  <si>
    <t>y=16+1.5x</t>
  </si>
  <si>
    <t>y=17+1.3x</t>
  </si>
  <si>
    <t>y=16+0.16x</t>
  </si>
  <si>
    <t>y=4.7+0.13x</t>
  </si>
  <si>
    <t>y=3.6+0.28x</t>
  </si>
  <si>
    <t>y=5.7-0.048x</t>
  </si>
  <si>
    <t>y=4.1+0.29x</t>
  </si>
  <si>
    <t>y=7.7+0.086x</t>
  </si>
  <si>
    <t>y=8+0.08x</t>
  </si>
  <si>
    <t>y=7.5+0.093x</t>
  </si>
  <si>
    <t>y=7.5+0.11x</t>
  </si>
  <si>
    <t>y=4.6+0.47x</t>
  </si>
  <si>
    <t>y=7.3-0.15x</t>
  </si>
  <si>
    <t>y=6.2+0.16x</t>
  </si>
  <si>
    <t>y=6.3+0.05x</t>
  </si>
  <si>
    <t>y=4.4+0.26x</t>
  </si>
  <si>
    <t>y=5.2+0.083x</t>
  </si>
  <si>
    <t>y=5+0.13x</t>
  </si>
  <si>
    <t>y=5.6+0.058x</t>
  </si>
  <si>
    <t>y=12-0-19x</t>
  </si>
  <si>
    <t>y=12-0.1x</t>
  </si>
  <si>
    <t>y=11-0.078x</t>
  </si>
  <si>
    <t>y=11+0.037x</t>
  </si>
  <si>
    <t>y=20+0.41x</t>
  </si>
  <si>
    <t>y=21+0.56x</t>
  </si>
  <si>
    <t>y=21+0.13x</t>
  </si>
  <si>
    <t>y=24+0.13x</t>
  </si>
  <si>
    <t>y=21+0.58x</t>
  </si>
  <si>
    <t>y=20+0.31x</t>
  </si>
  <si>
    <t>y=16+0.27x</t>
  </si>
  <si>
    <t>y=15+0.65x</t>
  </si>
  <si>
    <t>y=17+0.18x</t>
  </si>
  <si>
    <t>y=16+0.33x</t>
  </si>
  <si>
    <t>y=18-0.6x</t>
  </si>
  <si>
    <t>y=15+0.66x</t>
  </si>
  <si>
    <t>y=17-051x</t>
  </si>
  <si>
    <t>y=16+0.26x</t>
  </si>
  <si>
    <t>y=12-0.15x</t>
  </si>
  <si>
    <t>y=113-0.13x</t>
  </si>
  <si>
    <t>y=11-0.01x</t>
  </si>
  <si>
    <t>y=10+0.21x</t>
  </si>
  <si>
    <t>y=0.52+0.066x</t>
  </si>
  <si>
    <t>y=0.92-0.022x</t>
  </si>
  <si>
    <t>y=0.76+0.14x</t>
  </si>
  <si>
    <t>y=0.69+0.011x</t>
  </si>
  <si>
    <t>y=0.67+0.021x</t>
  </si>
  <si>
    <t>y=0.068+0.016x</t>
  </si>
  <si>
    <t>y=1+0.0042x</t>
  </si>
  <si>
    <t>y=1-0.0016x</t>
  </si>
  <si>
    <t>y=1+0.00082x</t>
  </si>
  <si>
    <t>y=0.99+0.0073x</t>
  </si>
  <si>
    <t>y=0.98+0.0084x</t>
  </si>
  <si>
    <t>y=0.98+0.079x</t>
  </si>
  <si>
    <t>y=12-0.14x</t>
  </si>
  <si>
    <t>y=0.02x</t>
  </si>
  <si>
    <t>y=11+0.1x</t>
  </si>
  <si>
    <t>y=1.1-0.00067x</t>
  </si>
  <si>
    <t>y=1.1-0.00092x</t>
  </si>
  <si>
    <t>y=1.1+0.0025x</t>
  </si>
  <si>
    <t>y=1.1+0.00075x</t>
  </si>
  <si>
    <t>y=15-0.11x</t>
  </si>
  <si>
    <t>y=18-0.39x</t>
  </si>
  <si>
    <t>y=17-0.32x</t>
  </si>
  <si>
    <t>y=16-0.21x</t>
  </si>
  <si>
    <t>y=17-0.27x</t>
  </si>
  <si>
    <t>y=17-0.26x</t>
  </si>
  <si>
    <t>y=7.9+0.083x</t>
  </si>
  <si>
    <t>y=7.5+0.1x</t>
  </si>
  <si>
    <t>y=8.1-0.076x</t>
  </si>
  <si>
    <t>y=8+0.12x</t>
  </si>
  <si>
    <t>y=7.4+0.14x</t>
  </si>
  <si>
    <t>y=8.1+0.028x</t>
  </si>
  <si>
    <t>y=8+0.038x</t>
  </si>
  <si>
    <t>y=7.7+0.081x</t>
  </si>
  <si>
    <t>y=1.1+0.011x</t>
  </si>
  <si>
    <t>y=1.3-0.018x</t>
  </si>
  <si>
    <t>y=1.1+0.025x</t>
  </si>
  <si>
    <t>y=1.2+0.0051x</t>
  </si>
  <si>
    <t>y=1.2-0.00022x</t>
  </si>
  <si>
    <t>y=1.1+0.0083x</t>
  </si>
  <si>
    <t>y=0.79+0.058x</t>
  </si>
  <si>
    <t>y=1+0.0018x</t>
  </si>
  <si>
    <t>y=0.89+0.036x</t>
  </si>
  <si>
    <t>y=0.88+0.033x</t>
  </si>
  <si>
    <t>y=0.93+0.025x</t>
  </si>
  <si>
    <t>y=0.88+0.034x</t>
  </si>
  <si>
    <t>y=86+x</t>
  </si>
  <si>
    <t>y=91-0.24x</t>
  </si>
  <si>
    <t>y=86+0.71x</t>
  </si>
  <si>
    <t>y=97+0.48x</t>
  </si>
  <si>
    <t>y=89+0.26x</t>
  </si>
  <si>
    <t>y=87+0.6x</t>
  </si>
  <si>
    <t>y=1-0.0026x</t>
  </si>
  <si>
    <t>y=1-0.00067x</t>
  </si>
  <si>
    <t>y=0.99+0.0022x</t>
  </si>
  <si>
    <t>y=0.99+0.0042x</t>
  </si>
  <si>
    <t>y=1-0.0015x</t>
  </si>
  <si>
    <t>y=0.99+0.0032x</t>
  </si>
  <si>
    <t>y=5.1+0.09x</t>
  </si>
  <si>
    <t>y=4.1+0.21x</t>
  </si>
  <si>
    <t>y=18+0.41x</t>
  </si>
  <si>
    <t>y=22-0.29x</t>
  </si>
  <si>
    <t>y=19+0.082x</t>
  </si>
  <si>
    <t>y=19+0.11x</t>
  </si>
  <si>
    <t>y=20-0.002x</t>
  </si>
  <si>
    <t>y=19+0.094x</t>
  </si>
  <si>
    <t>y=5+0.071x</t>
  </si>
  <si>
    <t>y=6.1-0-0023x</t>
  </si>
  <si>
    <t>y=5.1+0.14x</t>
  </si>
  <si>
    <t>y=5.2+0.12x</t>
  </si>
  <si>
    <t>y=5.6+0.025x</t>
  </si>
  <si>
    <t>y=5.1+0.13x</t>
  </si>
  <si>
    <t>y=4.3-0.12x</t>
  </si>
  <si>
    <t>y=4+0.051x</t>
  </si>
  <si>
    <t>y=3.8+0.024x</t>
  </si>
  <si>
    <t>y=3.4+0.1x</t>
  </si>
  <si>
    <t>y=4.1-0.017x</t>
  </si>
  <si>
    <t>y=3.6+0.064x</t>
  </si>
  <si>
    <t>y=1.1+0.02x</t>
  </si>
  <si>
    <t>y=1.3-0.015x</t>
  </si>
  <si>
    <t>y=1.2+0.0044x</t>
  </si>
  <si>
    <t>y=1.2+0.00021x</t>
  </si>
  <si>
    <r>
      <t>y=1.2-5</t>
    </r>
    <r>
      <rPr>
        <vertAlign val="superscript"/>
        <sz val="11"/>
        <color theme="1"/>
        <rFont val="Calibri"/>
        <family val="2"/>
        <scheme val="minor"/>
      </rPr>
      <t>10-4</t>
    </r>
    <r>
      <rPr>
        <sz val="11"/>
        <color theme="1"/>
        <rFont val="Calibri"/>
        <family val="2"/>
        <scheme val="minor"/>
      </rPr>
      <t>x</t>
    </r>
  </si>
  <si>
    <t>y=1.2+0.0023x</t>
  </si>
  <si>
    <t>y=3.7+0.039x</t>
  </si>
  <si>
    <t>y=3.7+0.086x</t>
  </si>
  <si>
    <t>y=3.7+0.045x</t>
  </si>
  <si>
    <t>y=3.8+0.048x</t>
  </si>
  <si>
    <t>y=3.7+0.067x</t>
  </si>
  <si>
    <t>y=3.8+0.046x</t>
  </si>
  <si>
    <t>y=18-0.041x</t>
  </si>
  <si>
    <t>y=19+0.092x</t>
  </si>
  <si>
    <t>y=19+0.042x</t>
  </si>
  <si>
    <t>y=19+0.079x</t>
  </si>
  <si>
    <t>y=19+0.04x</t>
  </si>
  <si>
    <t>y=19+0.06x</t>
  </si>
  <si>
    <t>y=1+0.0019x</t>
  </si>
  <si>
    <t>y=1-0.0082x</t>
  </si>
  <si>
    <t>y=0.98+0.0037x</t>
  </si>
  <si>
    <t>y=1+0.00057x</t>
  </si>
  <si>
    <t>y=1-0.0045x</t>
  </si>
  <si>
    <t>y=0.99+0.0021x</t>
  </si>
  <si>
    <t>y=1.5+0.00077x</t>
  </si>
  <si>
    <t>y=1.5+0.0029x</t>
  </si>
  <si>
    <t>y=1.5+0.013x</t>
  </si>
  <si>
    <t>y=1.6-0.0073x</t>
  </si>
  <si>
    <t>y=1.5+0.0045x</t>
  </si>
  <si>
    <t>1.5+0.0019x</t>
  </si>
  <si>
    <t>y=25+0.21x</t>
  </si>
  <si>
    <t>y=28-0.074x</t>
  </si>
  <si>
    <t>y=25+0.26x</t>
  </si>
  <si>
    <t>y=27+0.048x</t>
  </si>
  <si>
    <t>y=30+0.21x</t>
  </si>
  <si>
    <t>y=29+0.24x</t>
  </si>
  <si>
    <t>y=29+0.061x</t>
  </si>
  <si>
    <t>y=30+0.27x</t>
  </si>
  <si>
    <t>y=29+0.28x</t>
  </si>
  <si>
    <t>y=29+0.2x</t>
  </si>
  <si>
    <t>y=1-0.0031x</t>
  </si>
  <si>
    <t>y=1+0.0013x</t>
  </si>
  <si>
    <t>y=1-0.00061x</t>
  </si>
  <si>
    <t>y=1+0.00085x</t>
  </si>
  <si>
    <t>y=3.2-0.024x</t>
  </si>
  <si>
    <t>y=2.2+0.15x</t>
  </si>
  <si>
    <t>y=2.9+0.1x</t>
  </si>
  <si>
    <t>y=3.5-0.11x</t>
  </si>
  <si>
    <t>y=2.2+0.13x</t>
  </si>
  <si>
    <t>y=2.1+0.16x</t>
  </si>
  <si>
    <t>y=4.8+0.26x</t>
  </si>
  <si>
    <t>y=5.3+0.092x</t>
  </si>
  <si>
    <t>y=3.2+0.063x</t>
  </si>
  <si>
    <t>y=3+0.097x</t>
  </si>
  <si>
    <t>y=2.4+0.24x</t>
  </si>
  <si>
    <t>y=3.8-0.058x</t>
  </si>
  <si>
    <t>y=2.7+0.15x</t>
  </si>
  <si>
    <t>y=3.3+0.048x</t>
  </si>
  <si>
    <t>y=6.2+0.074x</t>
  </si>
  <si>
    <t>y=5.8+0.033x</t>
  </si>
  <si>
    <t>y=7.2-0.17x</t>
  </si>
  <si>
    <t>y=4.6+0.42x</t>
  </si>
  <si>
    <t>y=5.8+0.042x</t>
  </si>
  <si>
    <t>y=5.8+0.025x</t>
  </si>
  <si>
    <t>y=3.3-0.049x</t>
  </si>
  <si>
    <t>y=2.5+0.053x</t>
  </si>
  <si>
    <t>y=3.3+0.038x</t>
  </si>
  <si>
    <t>y=3.2-0.11x</t>
  </si>
  <si>
    <t>y=2.5+0.072x</t>
  </si>
  <si>
    <t>y=2.6+0.034x</t>
  </si>
  <si>
    <t>y=6.2+0.11x</t>
  </si>
  <si>
    <t>y=17+0.51x</t>
  </si>
  <si>
    <t>y=19+0.089x</t>
  </si>
  <si>
    <t>y=1.1+0.002x</t>
  </si>
  <si>
    <t>y=1.1-0.003</t>
  </si>
  <si>
    <t>y=1.1-0.0055x</t>
  </si>
  <si>
    <t>y=1.1+0.0021x</t>
  </si>
  <si>
    <t>y=1.2-0.0035x</t>
  </si>
  <si>
    <t>y=1.1+0.0032x</t>
  </si>
  <si>
    <t>y=8.4+0.032x</t>
  </si>
  <si>
    <t>y=8.6+0.016x</t>
  </si>
  <si>
    <t>y=7.2+0.23x</t>
  </si>
  <si>
    <t>y=9.3-0.11x</t>
  </si>
  <si>
    <t>y=8.7+0.0092x</t>
  </si>
  <si>
    <t>y=8.6+0.023x</t>
  </si>
  <si>
    <t>y=3.8-0.015x</t>
  </si>
  <si>
    <t>y=3.4+0.06x</t>
  </si>
  <si>
    <t>y=3.4-0.019x</t>
  </si>
  <si>
    <t>y=4.3-0.031x</t>
  </si>
  <si>
    <t>y=3.4+0.047x</t>
  </si>
  <si>
    <t>y=3.4+0.074x</t>
  </si>
  <si>
    <t>y=4.6-0.062x</t>
  </si>
  <si>
    <t>y=3.6+0.14x</t>
  </si>
  <si>
    <t>y=4-0.0065x</t>
  </si>
  <si>
    <t>y=5.1-0.1x</t>
  </si>
  <si>
    <t>y=3.2+0.2x</t>
  </si>
  <si>
    <t>y=4+0.076x</t>
  </si>
  <si>
    <t>y=3.8-0.16x</t>
  </si>
  <si>
    <t>y=4.2-0.2x</t>
  </si>
  <si>
    <t>y=2.7-0.018x</t>
  </si>
  <si>
    <t>y=4.7-0.28x</t>
  </si>
  <si>
    <t>y=4-0.16x</t>
  </si>
  <si>
    <t>y=4.4-0.25x</t>
  </si>
  <si>
    <t>y=15-0.17x</t>
  </si>
  <si>
    <t>y=14+0.024x</t>
  </si>
  <si>
    <t>y=14-0.18x</t>
  </si>
  <si>
    <t>y=15-0.18x</t>
  </si>
  <si>
    <t>y=14+0.005x</t>
  </si>
  <si>
    <t>y=14+0.043x</t>
  </si>
  <si>
    <t>y=17+0.17x</t>
  </si>
  <si>
    <t>y=17+0.22x</t>
  </si>
  <si>
    <t>y=20+0.33x</t>
  </si>
  <si>
    <t>y=20+0.34x</t>
  </si>
  <si>
    <t>y=20+0.12x</t>
  </si>
  <si>
    <t>y=20+0.43x</t>
  </si>
  <si>
    <t>y=20+0.27x</t>
  </si>
  <si>
    <t>y=21+0.32x</t>
  </si>
  <si>
    <t>y=21+0.36x</t>
  </si>
  <si>
    <t>y=20+0.51x</t>
  </si>
  <si>
    <t>y=21+0.34x</t>
  </si>
  <si>
    <t>y=25+0.076x</t>
  </si>
  <si>
    <t>y=26+0.1x</t>
  </si>
  <si>
    <t>y=25+0.14x</t>
  </si>
  <si>
    <t>y=25+0.27x</t>
  </si>
  <si>
    <t>y=27+0.014x</t>
  </si>
  <si>
    <t>y=26+0.14x</t>
  </si>
  <si>
    <r>
      <t>y=1.4-6.7</t>
    </r>
    <r>
      <rPr>
        <vertAlign val="superscript"/>
        <sz val="11"/>
        <color theme="1"/>
        <rFont val="Calibri"/>
        <family val="2"/>
        <scheme val="minor"/>
      </rPr>
      <t>10-7</t>
    </r>
    <r>
      <rPr>
        <sz val="11"/>
        <color theme="1"/>
        <rFont val="Calibri"/>
        <family val="2"/>
        <scheme val="minor"/>
      </rPr>
      <t>x</t>
    </r>
  </si>
  <si>
    <t>y=1.4+0.00062x</t>
  </si>
  <si>
    <t>y=1.5-0.0039x</t>
  </si>
  <si>
    <t>y=1.4+0.0028x</t>
  </si>
  <si>
    <t>y=1.4-0.00023x</t>
  </si>
  <si>
    <t>y=1.4+0.0015x</t>
  </si>
  <si>
    <t>y=21+0.5x</t>
  </si>
  <si>
    <t>y=21+0.66x</t>
  </si>
  <si>
    <t>y=21+0.27x</t>
  </si>
  <si>
    <t>y=21+0.37x</t>
  </si>
  <si>
    <t>y=9.2-0.16x</t>
  </si>
  <si>
    <t>y=7.5+0.17x</t>
  </si>
  <si>
    <t>y=7.4+0.06x</t>
  </si>
  <si>
    <t>y=11-0.32x</t>
  </si>
  <si>
    <t>y=7.8+0.11x</t>
  </si>
  <si>
    <t>y=1.2-0.026x</t>
  </si>
  <si>
    <t>y=0.95+0.0031x</t>
  </si>
  <si>
    <t>y=0.9+0.027x</t>
  </si>
  <si>
    <t>y=1.5-0.064x</t>
  </si>
  <si>
    <t>y=0.97+0.00089x</t>
  </si>
  <si>
    <t>y=0.93+0.0052x</t>
  </si>
  <si>
    <t>y=18+0.11x</t>
  </si>
  <si>
    <t>y=18+0.095x</t>
  </si>
  <si>
    <t>y=17+0.2x</t>
  </si>
  <si>
    <t>y=19+0.054x</t>
  </si>
  <si>
    <t>y=18+0.088x</t>
  </si>
  <si>
    <t>y=18+0.1x</t>
  </si>
  <si>
    <t>y=3.3+0.16x</t>
  </si>
  <si>
    <t>y=3.5+0.12x</t>
  </si>
  <si>
    <t>y=3.5+0.095x</t>
  </si>
  <si>
    <t>y=3.2+0.21x</t>
  </si>
  <si>
    <t>y=3.3+0.14x</t>
  </si>
  <si>
    <t>y=3.6+0.11x</t>
  </si>
  <si>
    <r>
      <t>y=1.2+5.1</t>
    </r>
    <r>
      <rPr>
        <vertAlign val="superscript"/>
        <sz val="11"/>
        <color theme="1"/>
        <rFont val="Calibri"/>
        <family val="2"/>
        <scheme val="minor"/>
      </rPr>
      <t>10-5</t>
    </r>
    <r>
      <rPr>
        <sz val="11"/>
        <color theme="1"/>
        <rFont val="Calibri"/>
        <family val="2"/>
        <scheme val="minor"/>
      </rPr>
      <t>x</t>
    </r>
  </si>
  <si>
    <t>y=1.2+0.0028x</t>
  </si>
  <si>
    <t>y=1.1+0.029x</t>
  </si>
  <si>
    <t>y=1.3-0.02x</t>
  </si>
  <si>
    <t>y=1.2+0.0017x</t>
  </si>
  <si>
    <t>y=1.2+0.0038x</t>
  </si>
  <si>
    <t>y=3.9+0.055x</t>
  </si>
  <si>
    <t>y=2.9+0.24x</t>
  </si>
  <si>
    <t>y=3.8+0.041x</t>
  </si>
  <si>
    <t>y=4.1+0.064x</t>
  </si>
  <si>
    <t>y=3+0.22x</t>
  </si>
  <si>
    <t>y=2.7+0.26x</t>
  </si>
  <si>
    <t>y=5.6-0.013x</t>
  </si>
  <si>
    <t>y=5.1+0.11x</t>
  </si>
  <si>
    <t>y=4.9+0.1x</t>
  </si>
  <si>
    <t>y=6.1-0.089x</t>
  </si>
  <si>
    <t>y=5+0.12x</t>
  </si>
  <si>
    <t>y=21-0.17x</t>
  </si>
  <si>
    <t>y=18+0.24x</t>
  </si>
  <si>
    <t>y=18+0.31x</t>
  </si>
  <si>
    <t>y=23-0.51x</t>
  </si>
  <si>
    <t>y=18+0.22x</t>
  </si>
  <si>
    <t>y=18+0.26x</t>
  </si>
  <si>
    <t>y=5.3+0.039</t>
  </si>
  <si>
    <t>y=21+0.1x</t>
  </si>
  <si>
    <t>y=21-0.078x</t>
  </si>
  <si>
    <t>y=21+0.23x</t>
  </si>
  <si>
    <t>y=20+0.24x</t>
  </si>
  <si>
    <t>y=13+0.075x</t>
  </si>
  <si>
    <t>y=13+0.07x</t>
  </si>
  <si>
    <t>y=13+0.08x</t>
  </si>
  <si>
    <t>y=3.6-0.13x</t>
  </si>
  <si>
    <t>y=3-0.077x</t>
  </si>
  <si>
    <t>y=2.9-0.094x</t>
  </si>
  <si>
    <t>y=4.4-0.18x</t>
  </si>
  <si>
    <t>y=2.8-0.057x</t>
  </si>
  <si>
    <t>y=3.2-0.095x</t>
  </si>
  <si>
    <t>y=4.6-0.098x</t>
  </si>
  <si>
    <t>y=3.8+0.063x</t>
  </si>
  <si>
    <t>y=3.5+0.066x</t>
  </si>
  <si>
    <t>y=5.5-0.22x</t>
  </si>
  <si>
    <t>y=41.1+0.013x</t>
  </si>
  <si>
    <t>y=3.5+0.06x</t>
  </si>
  <si>
    <t>y=3.2+0.091x</t>
  </si>
  <si>
    <t>y=3.4+0.036x</t>
  </si>
  <si>
    <t>y=3.6+0.076x</t>
  </si>
  <si>
    <t>y=3.2+0.082x</t>
  </si>
  <si>
    <t>y=3.2+0.1x</t>
  </si>
  <si>
    <t>y=8.4+0.018x</t>
  </si>
  <si>
    <t>y=8.4+0.047x</t>
  </si>
  <si>
    <t>y=7.1+0.27x</t>
  </si>
  <si>
    <t>y=9.4-0.16x</t>
  </si>
  <si>
    <t>y=8.4+0.067x</t>
  </si>
  <si>
    <t>y=8.4+0.026x</t>
  </si>
  <si>
    <t>y=1.2-0.004x</t>
  </si>
  <si>
    <t>y=1.1+0.0067x</t>
  </si>
  <si>
    <t>y=1.2-0.0086x</t>
  </si>
  <si>
    <t>y=1.1-0.00069x</t>
  </si>
  <si>
    <t>y=1.1+0.0072x</t>
  </si>
  <si>
    <t>y=1.1+0.0063x</t>
  </si>
  <si>
    <t>65_imp_stmtni</t>
  </si>
  <si>
    <t>y=1.2-0.00057x</t>
  </si>
  <si>
    <t>y=1.1+0.013x</t>
  </si>
  <si>
    <t>y=1.2-0.0014x</t>
  </si>
  <si>
    <t>y=1.1+0.0027x</t>
  </si>
  <si>
    <t>y=17+0.5x</t>
  </si>
  <si>
    <t>y=6.5+0.08x</t>
  </si>
  <si>
    <t>y=7+0.034x</t>
  </si>
  <si>
    <t>y=30+0.5x</t>
  </si>
  <si>
    <t>y=22+0.13x</t>
  </si>
  <si>
    <t>y=3.3-0.023x</t>
  </si>
  <si>
    <t>y=2.7+0.0075x</t>
  </si>
  <si>
    <t>y=3.2+0.042x</t>
  </si>
  <si>
    <t>y=3.3-0.068x</t>
  </si>
  <si>
    <t>y=2.7+0.015x</t>
  </si>
  <si>
    <t>y=2.8+0.0028x</t>
  </si>
  <si>
    <t>y=1.1+0.0077x</t>
  </si>
  <si>
    <r>
      <t>y=1.2+7</t>
    </r>
    <r>
      <rPr>
        <vertAlign val="superscript"/>
        <sz val="11"/>
        <color theme="1"/>
        <rFont val="Calibri"/>
        <family val="2"/>
        <scheme val="minor"/>
      </rPr>
      <t>10-4</t>
    </r>
    <r>
      <rPr>
        <sz val="11"/>
        <color theme="1"/>
        <rFont val="Calibri"/>
        <family val="2"/>
        <scheme val="minor"/>
      </rPr>
      <t>x</t>
    </r>
  </si>
  <si>
    <t>y=16+0.15x</t>
  </si>
  <si>
    <t>y=17-0.13x</t>
  </si>
  <si>
    <t>y=15+0.5x</t>
  </si>
  <si>
    <t>y=16+0.31x</t>
  </si>
  <si>
    <t>y=14-0.0029x</t>
  </si>
  <si>
    <t>y=15-0.094x</t>
  </si>
  <si>
    <t>y=14+0.055x</t>
  </si>
  <si>
    <t>y=14+0.16x</t>
  </si>
  <si>
    <t>y=15-0.055x</t>
  </si>
  <si>
    <t>y=14+0.11x</t>
  </si>
  <si>
    <t>y=1.3+0.0011x</t>
  </si>
  <si>
    <t>y=1.2+0.012x</t>
  </si>
  <si>
    <t>y=1.2+0.019x</t>
  </si>
  <si>
    <t>y=1.3-0.011x</t>
  </si>
  <si>
    <t>y=1.1+0.015x</t>
  </si>
  <si>
    <t>y=1.2+0.0087x</t>
  </si>
  <si>
    <t>y=110-2.3x</t>
  </si>
  <si>
    <t>y=110-0.84x</t>
  </si>
  <si>
    <t>y=110-2.4x</t>
  </si>
  <si>
    <t>y=110-1.4x</t>
  </si>
  <si>
    <t>y=110-0.27x</t>
  </si>
  <si>
    <t>y=1.2-0.0039x</t>
  </si>
  <si>
    <t>y=1.2-0.0033x</t>
  </si>
  <si>
    <t>y=1.2-0.0076x</t>
  </si>
  <si>
    <t>y=1.2-0.0021x</t>
  </si>
  <si>
    <t>y=1.2-0.0042x</t>
  </si>
  <si>
    <t>y=1.2-0.0025x</t>
  </si>
  <si>
    <t>y=11-0.077x</t>
  </si>
  <si>
    <t>y=11+0.056x</t>
  </si>
  <si>
    <t>y=11-0.11x</t>
  </si>
  <si>
    <t>y=12-0.055x</t>
  </si>
  <si>
    <t>y=11+0.033x</t>
  </si>
  <si>
    <t>y=11+0.079x</t>
  </si>
  <si>
    <t>y=12-0.078x</t>
  </si>
  <si>
    <t>y=12+0.068x</t>
  </si>
  <si>
    <t>y=12-0.033x</t>
  </si>
  <si>
    <t>y=13-0.11x</t>
  </si>
  <si>
    <t>y=12+0.057x</t>
  </si>
  <si>
    <t>y=12+0.078x</t>
  </si>
  <si>
    <t>y=13-0.13x</t>
  </si>
  <si>
    <t>y=12+0.12x</t>
  </si>
  <si>
    <t>y=12-0.071x</t>
  </si>
  <si>
    <t>y=12+0.097x</t>
  </si>
  <si>
    <t>y=12+0.14x</t>
  </si>
  <si>
    <t>y=12-0.097x</t>
  </si>
  <si>
    <t>y=11-0.06x</t>
  </si>
  <si>
    <t>y=12-0.12x</t>
  </si>
  <si>
    <t>y=11+0.024x</t>
  </si>
  <si>
    <t>y=11+0.049x</t>
  </si>
  <si>
    <t>y=13-0.12x</t>
  </si>
  <si>
    <t>y=11+0.17x</t>
  </si>
  <si>
    <t>y=12-0.093x</t>
  </si>
  <si>
    <t>y=13-0.14x</t>
  </si>
  <si>
    <t>y=11+0.19x</t>
  </si>
  <si>
    <t>y=11+0.15x</t>
  </si>
  <si>
    <t>y=14-0.16x</t>
  </si>
  <si>
    <t>y=12+0.088x</t>
  </si>
  <si>
    <t>y=13-0.08x</t>
  </si>
  <si>
    <t>y=14-0.22x</t>
  </si>
  <si>
    <t>y=12+0.04x</t>
  </si>
  <si>
    <t>y=1.3-0.0045x</t>
  </si>
  <si>
    <t>y=1.3+0.0038x</t>
  </si>
  <si>
    <t>y=1.3-0.00053x</t>
  </si>
  <si>
    <t>y=1.3-0.0072x</t>
  </si>
  <si>
    <t>y=1.3+0.0037x</t>
  </si>
  <si>
    <t>y=1.3+0.004x</t>
  </si>
  <si>
    <t>y=12+0.075x</t>
  </si>
  <si>
    <t>y=12+0.17x</t>
  </si>
  <si>
    <t>y=12+0.084x</t>
  </si>
  <si>
    <t>y=13+0.066x</t>
  </si>
  <si>
    <t>y=12+0.15x</t>
  </si>
  <si>
    <t>y=12+0.19x</t>
  </si>
  <si>
    <t>y=27+0.53x</t>
  </si>
  <si>
    <t>y=27+0.32x</t>
  </si>
  <si>
    <t>y=28+0.67x</t>
  </si>
  <si>
    <t>y=28+0.27x</t>
  </si>
  <si>
    <t>y=29+0.22x</t>
  </si>
  <si>
    <t>y=20+0.05x</t>
  </si>
  <si>
    <t>y=20-0.089x</t>
  </si>
  <si>
    <t>y=21-0.14x</t>
  </si>
  <si>
    <t>y=20+0.11x</t>
  </si>
  <si>
    <t>y=20+0.13x</t>
  </si>
  <si>
    <t>y=20+0.14x</t>
  </si>
  <si>
    <t>y=21+0.04x</t>
  </si>
  <si>
    <t>y=19+0.19x</t>
  </si>
  <si>
    <t>y=21+0.11x</t>
  </si>
  <si>
    <t>y=20+0.056x</t>
  </si>
  <si>
    <t>y=21+0.025x</t>
  </si>
  <si>
    <t>y=19-0.063x</t>
  </si>
  <si>
    <t>y=18+0.066x</t>
  </si>
  <si>
    <t>y=17+0.26x</t>
  </si>
  <si>
    <t>y=20-0.29x</t>
  </si>
  <si>
    <t>y=18+0.033x</t>
  </si>
  <si>
    <t>y=18+0.099x</t>
  </si>
  <si>
    <t>y=15+0.46x</t>
  </si>
  <si>
    <t>y=15+0.37x</t>
  </si>
  <si>
    <t>y=15+0.24x</t>
  </si>
  <si>
    <t>y=15+0.61x</t>
  </si>
  <si>
    <t>y=15+035x</t>
  </si>
  <si>
    <t>y=15+0.39x</t>
  </si>
  <si>
    <t>y=1.1-0.0017x</t>
  </si>
  <si>
    <t>ENTER AGE (e.g. 3 months)</t>
  </si>
  <si>
    <t>compute Female</t>
  </si>
  <si>
    <t>compute Male</t>
  </si>
  <si>
    <t>compute Male/Female</t>
  </si>
  <si>
    <t>y=1.1-0.0008x</t>
  </si>
  <si>
    <t>1.5+0.0019*S13</t>
  </si>
  <si>
    <t>Columellar angle</t>
  </si>
  <si>
    <t>code</t>
  </si>
  <si>
    <t>Parameter</t>
  </si>
  <si>
    <t>OBSERVED</t>
  </si>
  <si>
    <t>PREDICTED</t>
  </si>
  <si>
    <t>y=17+0.46x</t>
  </si>
  <si>
    <t>y=17+0.43x</t>
  </si>
  <si>
    <t>61_imp_Rvl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</si>
</sst>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99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59"/>
  <sheetViews>
    <sheetView tabSelected="1" zoomScale="55" zoomScaleNormal="55" workbookViewId="0">
      <selection activeCell="A77" sqref="A77"/>
    </sheetView>
  </sheetViews>
  <sheetFormatPr baseColWidth="10" defaultColWidth="9.140625" defaultRowHeight="15" x14ac:dyDescent="0.25"/>
  <cols>
    <col min="1" max="1" width="21.7109375" customWidth="1"/>
    <col min="2" max="2" width="56.5703125" customWidth="1"/>
    <col min="3" max="3" width="15.85546875" style="1" customWidth="1"/>
    <col min="4" max="4" width="27.5703125" style="3" customWidth="1"/>
    <col min="5" max="5" width="24.28515625" style="3" customWidth="1"/>
    <col min="6" max="6" width="16.140625" style="2" customWidth="1"/>
    <col min="7" max="7" width="25" style="2" customWidth="1"/>
    <col min="8" max="8" width="24.42578125" style="2" customWidth="1"/>
    <col min="9" max="9" width="16.140625" customWidth="1"/>
    <col min="10" max="10" width="24.140625" customWidth="1"/>
    <col min="11" max="11" width="35" customWidth="1"/>
    <col min="12" max="12" width="18.7109375" style="1" customWidth="1"/>
    <col min="13" max="13" width="26.85546875" customWidth="1"/>
    <col min="14" max="14" width="18.7109375" customWidth="1"/>
    <col min="15" max="15" width="19.85546875" style="2" customWidth="1"/>
    <col min="16" max="16" width="28.85546875" customWidth="1"/>
    <col min="17" max="17" width="19.85546875" customWidth="1"/>
    <col min="18" max="18" width="19" customWidth="1"/>
    <col min="19" max="19" width="25.42578125" customWidth="1"/>
    <col min="20" max="20" width="14.42578125" customWidth="1"/>
  </cols>
  <sheetData>
    <row r="1" spans="1:20" s="3" customFormat="1" x14ac:dyDescent="0.25">
      <c r="A1" s="3" t="s">
        <v>650</v>
      </c>
      <c r="B1" s="3" t="s">
        <v>651</v>
      </c>
      <c r="C1" s="11" t="s">
        <v>652</v>
      </c>
      <c r="D1" s="11" t="s">
        <v>652</v>
      </c>
      <c r="E1" s="11" t="s">
        <v>652</v>
      </c>
      <c r="F1" s="11" t="s">
        <v>652</v>
      </c>
      <c r="G1" s="11" t="s">
        <v>652</v>
      </c>
      <c r="H1" s="11" t="s">
        <v>652</v>
      </c>
      <c r="I1" s="11" t="s">
        <v>652</v>
      </c>
      <c r="J1" s="11" t="s">
        <v>652</v>
      </c>
      <c r="K1" s="11" t="s">
        <v>652</v>
      </c>
      <c r="L1" s="11" t="s">
        <v>653</v>
      </c>
      <c r="M1" s="11" t="s">
        <v>653</v>
      </c>
      <c r="N1" s="11" t="s">
        <v>653</v>
      </c>
      <c r="O1" s="11" t="s">
        <v>653</v>
      </c>
      <c r="P1" s="11" t="s">
        <v>653</v>
      </c>
      <c r="Q1" s="11" t="s">
        <v>653</v>
      </c>
      <c r="R1" s="11" t="s">
        <v>653</v>
      </c>
      <c r="S1" s="11" t="s">
        <v>653</v>
      </c>
      <c r="T1" s="11" t="s">
        <v>653</v>
      </c>
    </row>
    <row r="2" spans="1:20" x14ac:dyDescent="0.25">
      <c r="C2" s="9" t="s">
        <v>165</v>
      </c>
      <c r="D2" s="9" t="s">
        <v>643</v>
      </c>
      <c r="E2" s="9" t="s">
        <v>644</v>
      </c>
      <c r="F2" s="10" t="s">
        <v>166</v>
      </c>
      <c r="G2" s="10" t="s">
        <v>643</v>
      </c>
      <c r="H2" s="10" t="s">
        <v>645</v>
      </c>
      <c r="I2" t="s">
        <v>167</v>
      </c>
      <c r="J2" t="s">
        <v>643</v>
      </c>
      <c r="K2" t="s">
        <v>646</v>
      </c>
      <c r="L2" s="9" t="s">
        <v>165</v>
      </c>
      <c r="M2" s="9" t="s">
        <v>643</v>
      </c>
      <c r="N2" s="9" t="s">
        <v>644</v>
      </c>
      <c r="O2" s="10" t="s">
        <v>166</v>
      </c>
      <c r="P2" s="10" t="s">
        <v>643</v>
      </c>
      <c r="Q2" s="10" t="s">
        <v>645</v>
      </c>
      <c r="R2" t="s">
        <v>167</v>
      </c>
      <c r="S2" t="s">
        <v>643</v>
      </c>
      <c r="T2" t="s">
        <v>646</v>
      </c>
    </row>
    <row r="3" spans="1:20" x14ac:dyDescent="0.25">
      <c r="A3" t="s">
        <v>0</v>
      </c>
      <c r="B3" t="s">
        <v>1</v>
      </c>
      <c r="C3" s="3" t="s">
        <v>243</v>
      </c>
      <c r="D3" s="3">
        <v>3</v>
      </c>
      <c r="E3" s="3">
        <f>1.1-0.00067*E4</f>
        <v>1.0901711000000001</v>
      </c>
      <c r="F3" s="3" t="s">
        <v>244</v>
      </c>
      <c r="G3" s="3">
        <v>3</v>
      </c>
      <c r="H3" s="5">
        <f>1.1-0.00092*G3</f>
        <v>1.09724</v>
      </c>
      <c r="I3" t="s">
        <v>246</v>
      </c>
      <c r="J3">
        <v>3</v>
      </c>
      <c r="K3">
        <f>1.1+0.00075*J3</f>
        <v>1.1022500000000002</v>
      </c>
      <c r="L3" s="3" t="s">
        <v>642</v>
      </c>
      <c r="M3" s="3">
        <v>3</v>
      </c>
      <c r="N3" s="8">
        <f>1.1-0.0017*M3</f>
        <v>1.0949</v>
      </c>
      <c r="O3" s="3" t="s">
        <v>245</v>
      </c>
      <c r="P3" s="3">
        <v>3</v>
      </c>
      <c r="Q3" s="8">
        <f>1.1+0.0025*P3</f>
        <v>1.1075000000000002</v>
      </c>
      <c r="R3" t="s">
        <v>647</v>
      </c>
      <c r="S3">
        <v>3</v>
      </c>
      <c r="T3" s="7">
        <f>1.1-0.0008*S3</f>
        <v>1.0976000000000001</v>
      </c>
    </row>
    <row r="4" spans="1:20" x14ac:dyDescent="0.25">
      <c r="A4" t="s">
        <v>2</v>
      </c>
      <c r="B4" t="s">
        <v>3</v>
      </c>
      <c r="C4" s="3" t="s">
        <v>247</v>
      </c>
      <c r="D4" s="3">
        <v>3</v>
      </c>
      <c r="E4" s="5">
        <f>15-0.11*D4</f>
        <v>14.67</v>
      </c>
      <c r="F4" s="3" t="s">
        <v>248</v>
      </c>
      <c r="G4" s="3">
        <v>3</v>
      </c>
      <c r="H4" s="5">
        <f>18-0.39*G4</f>
        <v>16.829999999999998</v>
      </c>
      <c r="I4" t="s">
        <v>251</v>
      </c>
      <c r="J4">
        <v>3</v>
      </c>
      <c r="K4">
        <f>17-0.27*J4</f>
        <v>16.190000000000001</v>
      </c>
      <c r="L4" s="3" t="s">
        <v>249</v>
      </c>
      <c r="M4" s="3">
        <v>3</v>
      </c>
      <c r="N4" s="8">
        <f>17-0.32*M4</f>
        <v>16.04</v>
      </c>
      <c r="O4" s="3" t="s">
        <v>250</v>
      </c>
      <c r="P4" s="3">
        <v>3</v>
      </c>
      <c r="Q4" s="8">
        <f>16-0.21*P4</f>
        <v>15.37</v>
      </c>
      <c r="R4" t="s">
        <v>252</v>
      </c>
      <c r="S4">
        <v>3</v>
      </c>
      <c r="T4" s="7">
        <f>17-0.26*S4</f>
        <v>16.22</v>
      </c>
    </row>
    <row r="5" spans="1:20" x14ac:dyDescent="0.25">
      <c r="A5" t="s">
        <v>4</v>
      </c>
      <c r="B5" t="s">
        <v>5</v>
      </c>
      <c r="C5" s="3" t="s">
        <v>279</v>
      </c>
      <c r="D5" s="3">
        <v>3</v>
      </c>
      <c r="E5" s="5">
        <f>1-0.0026*D5</f>
        <v>0.99219999999999997</v>
      </c>
      <c r="F5" s="3" t="s">
        <v>280</v>
      </c>
      <c r="G5" s="3">
        <v>3</v>
      </c>
      <c r="H5" s="5">
        <f>1-0.00067*G5</f>
        <v>0.99799000000000004</v>
      </c>
      <c r="I5" t="s">
        <v>283</v>
      </c>
      <c r="J5">
        <v>3</v>
      </c>
      <c r="K5">
        <f>1-0.0015*J5</f>
        <v>0.99550000000000005</v>
      </c>
      <c r="L5" s="3" t="s">
        <v>281</v>
      </c>
      <c r="M5" s="3">
        <v>3</v>
      </c>
      <c r="N5" s="8">
        <f>0.99+0.0022*M5</f>
        <v>0.99660000000000004</v>
      </c>
      <c r="O5" s="3" t="s">
        <v>282</v>
      </c>
      <c r="P5" s="3">
        <v>3</v>
      </c>
      <c r="Q5" s="8">
        <f>0.99+0.0042*P5</f>
        <v>1.0025999999999999</v>
      </c>
      <c r="R5" t="s">
        <v>284</v>
      </c>
      <c r="S5">
        <v>3</v>
      </c>
      <c r="T5" s="7">
        <f>0.99+0.0032*S5</f>
        <v>0.99960000000000004</v>
      </c>
    </row>
    <row r="6" spans="1:20" x14ac:dyDescent="0.25">
      <c r="A6" t="s">
        <v>6</v>
      </c>
      <c r="B6" t="s">
        <v>649</v>
      </c>
      <c r="C6" s="3" t="s">
        <v>273</v>
      </c>
      <c r="D6" s="3">
        <v>3</v>
      </c>
      <c r="E6" s="5">
        <f>86+D3</f>
        <v>89</v>
      </c>
      <c r="F6" s="3" t="s">
        <v>274</v>
      </c>
      <c r="G6" s="3">
        <v>3</v>
      </c>
      <c r="H6" s="5">
        <f>91-0.24*G6</f>
        <v>90.28</v>
      </c>
      <c r="I6" t="s">
        <v>277</v>
      </c>
      <c r="J6">
        <v>3</v>
      </c>
      <c r="K6">
        <f>89+0.26*J6</f>
        <v>89.78</v>
      </c>
      <c r="L6" s="3" t="s">
        <v>275</v>
      </c>
      <c r="M6" s="3">
        <v>3</v>
      </c>
      <c r="N6" s="8">
        <f>86+0.71*M6</f>
        <v>88.13</v>
      </c>
      <c r="O6" s="3" t="s">
        <v>276</v>
      </c>
      <c r="P6" s="3">
        <v>3</v>
      </c>
      <c r="Q6" s="8">
        <f>97+0.48*P6</f>
        <v>98.44</v>
      </c>
      <c r="R6" t="s">
        <v>278</v>
      </c>
      <c r="S6">
        <v>3</v>
      </c>
      <c r="T6" s="7">
        <f>87+0.6*S6</f>
        <v>88.8</v>
      </c>
    </row>
    <row r="7" spans="1:20" x14ac:dyDescent="0.25">
      <c r="A7" t="s">
        <v>7</v>
      </c>
      <c r="B7" t="s">
        <v>8</v>
      </c>
      <c r="C7" s="3" t="s">
        <v>267</v>
      </c>
      <c r="D7" s="3">
        <v>3</v>
      </c>
      <c r="E7" s="5">
        <f>0.79+0.058*D7</f>
        <v>0.96400000000000008</v>
      </c>
      <c r="F7" s="3" t="s">
        <v>268</v>
      </c>
      <c r="G7" s="3">
        <v>3</v>
      </c>
      <c r="H7" s="5">
        <f>1+0.0018*G7</f>
        <v>1.0054000000000001</v>
      </c>
      <c r="I7" t="s">
        <v>271</v>
      </c>
      <c r="J7">
        <v>3</v>
      </c>
      <c r="K7">
        <f>0.93+0.025*J7</f>
        <v>1.0050000000000001</v>
      </c>
      <c r="L7" s="3" t="s">
        <v>269</v>
      </c>
      <c r="M7" s="3">
        <v>3</v>
      </c>
      <c r="N7" s="8">
        <f>0.89+0.036*M7</f>
        <v>0.998</v>
      </c>
      <c r="O7" s="3" t="s">
        <v>270</v>
      </c>
      <c r="P7" s="3">
        <v>3</v>
      </c>
      <c r="Q7" s="8">
        <f>0.88+0.033*P7</f>
        <v>0.97899999999999998</v>
      </c>
      <c r="R7" t="s">
        <v>272</v>
      </c>
      <c r="S7">
        <v>3</v>
      </c>
      <c r="T7" s="7">
        <f>0.88+0.034*S7</f>
        <v>0.98199999999999998</v>
      </c>
    </row>
    <row r="8" spans="1:20" x14ac:dyDescent="0.25">
      <c r="A8" t="s">
        <v>9</v>
      </c>
      <c r="B8" t="s">
        <v>10</v>
      </c>
      <c r="C8" s="3" t="s">
        <v>263</v>
      </c>
      <c r="D8" s="3">
        <v>3</v>
      </c>
      <c r="E8" s="5">
        <f>1.1+0.025*D8</f>
        <v>1.175</v>
      </c>
      <c r="F8" s="3" t="s">
        <v>262</v>
      </c>
      <c r="G8" s="3">
        <v>3</v>
      </c>
      <c r="H8" s="5">
        <f>1.3-0.018*G8</f>
        <v>1.246</v>
      </c>
      <c r="I8" t="s">
        <v>265</v>
      </c>
      <c r="J8">
        <v>3</v>
      </c>
      <c r="K8">
        <f>1.2-0.00022*J8</f>
        <v>1.1993399999999999</v>
      </c>
      <c r="L8" s="3" t="s">
        <v>264</v>
      </c>
      <c r="M8" s="3">
        <v>3</v>
      </c>
      <c r="N8" s="8">
        <f>1.2+0.0051*M8</f>
        <v>1.2153</v>
      </c>
      <c r="O8" s="3" t="s">
        <v>261</v>
      </c>
      <c r="P8" s="3">
        <v>3</v>
      </c>
      <c r="Q8" s="8">
        <f>1.1+0.011*P8</f>
        <v>1.133</v>
      </c>
      <c r="R8" t="s">
        <v>266</v>
      </c>
      <c r="S8">
        <v>3</v>
      </c>
      <c r="T8" s="7">
        <f>1.1+0.0083*S8</f>
        <v>1.1249</v>
      </c>
    </row>
    <row r="9" spans="1:20" x14ac:dyDescent="0.25">
      <c r="A9" t="s">
        <v>11</v>
      </c>
      <c r="B9" t="s">
        <v>12</v>
      </c>
      <c r="C9" s="3" t="s">
        <v>255</v>
      </c>
      <c r="D9" s="3">
        <v>3</v>
      </c>
      <c r="E9" s="5">
        <f>8.1-0.076*D9</f>
        <v>7.8719999999999999</v>
      </c>
      <c r="F9" s="3" t="s">
        <v>256</v>
      </c>
      <c r="G9" s="3">
        <v>3</v>
      </c>
      <c r="H9" s="5">
        <f>8+0.12*G9</f>
        <v>8.36</v>
      </c>
      <c r="I9" t="s">
        <v>259</v>
      </c>
      <c r="J9">
        <v>3</v>
      </c>
      <c r="K9">
        <f>8+0.038*J9</f>
        <v>8.1140000000000008</v>
      </c>
      <c r="L9" s="3" t="s">
        <v>257</v>
      </c>
      <c r="M9" s="3">
        <v>3</v>
      </c>
      <c r="N9" s="8">
        <f>7.4+0.14*M9</f>
        <v>7.82</v>
      </c>
      <c r="O9" s="3" t="s">
        <v>258</v>
      </c>
      <c r="P9" s="3">
        <v>3</v>
      </c>
      <c r="Q9" s="8">
        <f>8.1+0.028*P9</f>
        <v>8.1839999999999993</v>
      </c>
      <c r="R9" t="s">
        <v>260</v>
      </c>
      <c r="S9">
        <v>3</v>
      </c>
      <c r="T9" s="7">
        <f>7.7+0.081*S9</f>
        <v>7.9430000000000005</v>
      </c>
    </row>
    <row r="10" spans="1:20" x14ac:dyDescent="0.25">
      <c r="A10" t="s">
        <v>13</v>
      </c>
      <c r="B10" s="3" t="s">
        <v>14</v>
      </c>
      <c r="C10" s="3" t="s">
        <v>228</v>
      </c>
      <c r="D10" s="3">
        <v>3</v>
      </c>
      <c r="E10" s="5">
        <f>0.52+0.066*D10</f>
        <v>0.71799999999999997</v>
      </c>
      <c r="F10" s="3" t="s">
        <v>229</v>
      </c>
      <c r="G10" s="3">
        <v>3</v>
      </c>
      <c r="H10" s="5">
        <f>0.92-0.022*G10</f>
        <v>0.85400000000000009</v>
      </c>
      <c r="I10" t="s">
        <v>230</v>
      </c>
      <c r="J10">
        <v>3</v>
      </c>
      <c r="K10">
        <f>0.76+0.14*J10</f>
        <v>1.1800000000000002</v>
      </c>
      <c r="L10" s="3" t="s">
        <v>231</v>
      </c>
      <c r="M10" s="3">
        <v>3</v>
      </c>
      <c r="N10" s="8">
        <f>0.69+0.011*M10</f>
        <v>0.72299999999999998</v>
      </c>
      <c r="O10" s="3" t="s">
        <v>232</v>
      </c>
      <c r="P10" s="3">
        <v>3</v>
      </c>
      <c r="Q10" s="8">
        <f>0.67+0.021*P10</f>
        <v>0.7330000000000001</v>
      </c>
      <c r="R10" t="s">
        <v>233</v>
      </c>
      <c r="S10">
        <v>3</v>
      </c>
      <c r="T10" s="7">
        <f>0.068+0.016*S10</f>
        <v>0.11600000000000001</v>
      </c>
    </row>
    <row r="11" spans="1:20" x14ac:dyDescent="0.25">
      <c r="A11" t="s">
        <v>15</v>
      </c>
      <c r="B11" t="s">
        <v>16</v>
      </c>
      <c r="C11" s="3" t="s">
        <v>234</v>
      </c>
      <c r="D11" s="3">
        <v>3</v>
      </c>
      <c r="E11" s="5">
        <f>1+0.0042*D11</f>
        <v>1.0125999999999999</v>
      </c>
      <c r="F11" s="3" t="s">
        <v>235</v>
      </c>
      <c r="G11" s="3">
        <v>3</v>
      </c>
      <c r="H11" s="5">
        <f>1-0.0016*G11</f>
        <v>0.99519999999999997</v>
      </c>
      <c r="I11" t="s">
        <v>236</v>
      </c>
      <c r="J11">
        <v>3</v>
      </c>
      <c r="K11">
        <f>1+0.00082*J11</f>
        <v>1.0024599999999999</v>
      </c>
      <c r="L11" s="3" t="s">
        <v>237</v>
      </c>
      <c r="M11" s="3">
        <v>3</v>
      </c>
      <c r="N11" s="8">
        <f>0.99+0.0073*M11</f>
        <v>1.0119</v>
      </c>
      <c r="O11" s="3" t="s">
        <v>238</v>
      </c>
      <c r="P11" s="3">
        <v>3</v>
      </c>
      <c r="Q11" s="8">
        <f>0.98+0.0084*P11</f>
        <v>1.0051999999999999</v>
      </c>
      <c r="R11" t="s">
        <v>239</v>
      </c>
      <c r="S11">
        <v>3</v>
      </c>
      <c r="T11" s="7">
        <f>0.98+0.079*S11</f>
        <v>1.2170000000000001</v>
      </c>
    </row>
    <row r="12" spans="1:20" x14ac:dyDescent="0.25">
      <c r="A12" t="s">
        <v>17</v>
      </c>
      <c r="B12" t="s">
        <v>18</v>
      </c>
      <c r="C12" s="3" t="s">
        <v>194</v>
      </c>
      <c r="D12" s="3">
        <v>3</v>
      </c>
      <c r="E12" s="5">
        <f>7.7+0.086*D12</f>
        <v>7.9580000000000002</v>
      </c>
      <c r="F12" s="3" t="s">
        <v>195</v>
      </c>
      <c r="G12" s="3">
        <v>3</v>
      </c>
      <c r="H12" s="5">
        <f>8+0.08*G12</f>
        <v>8.24</v>
      </c>
      <c r="I12" t="s">
        <v>253</v>
      </c>
      <c r="J12">
        <v>3</v>
      </c>
      <c r="K12">
        <f>7.9+0.083*J12</f>
        <v>8.1490000000000009</v>
      </c>
      <c r="L12" s="3" t="s">
        <v>196</v>
      </c>
      <c r="M12" s="3">
        <v>3</v>
      </c>
      <c r="N12" s="8">
        <f>7.5+0.093*M12</f>
        <v>7.7789999999999999</v>
      </c>
      <c r="O12" s="3" t="s">
        <v>197</v>
      </c>
      <c r="P12" s="3">
        <v>3</v>
      </c>
      <c r="Q12" s="8">
        <f>7.5+0.11*P12</f>
        <v>7.83</v>
      </c>
      <c r="R12" t="s">
        <v>254</v>
      </c>
      <c r="S12">
        <v>3</v>
      </c>
      <c r="T12" s="7">
        <f>7.5+0.1*S12</f>
        <v>7.8</v>
      </c>
    </row>
    <row r="13" spans="1:20" x14ac:dyDescent="0.25">
      <c r="A13" t="s">
        <v>19</v>
      </c>
      <c r="B13" t="s">
        <v>20</v>
      </c>
      <c r="C13" s="3" t="s">
        <v>332</v>
      </c>
      <c r="D13" s="3">
        <v>3</v>
      </c>
      <c r="E13" s="5">
        <f>1.6-0.0073*D13</f>
        <v>1.5781000000000001</v>
      </c>
      <c r="F13" s="3" t="s">
        <v>331</v>
      </c>
      <c r="G13" s="3">
        <v>3</v>
      </c>
      <c r="H13" s="5">
        <f>1.5+0.013*G13</f>
        <v>1.5389999999999999</v>
      </c>
      <c r="I13" t="s">
        <v>333</v>
      </c>
      <c r="J13">
        <v>3</v>
      </c>
      <c r="K13">
        <f>1.5+0.0045*J13</f>
        <v>1.5135000000000001</v>
      </c>
      <c r="L13" s="3" t="s">
        <v>330</v>
      </c>
      <c r="M13" s="3">
        <v>3</v>
      </c>
      <c r="N13" s="8">
        <f>1.5+0.0029*M13</f>
        <v>1.5086999999999999</v>
      </c>
      <c r="O13" s="3" t="s">
        <v>329</v>
      </c>
      <c r="P13" s="3">
        <v>3</v>
      </c>
      <c r="Q13" s="8">
        <f>1.5+0.00077*P13</f>
        <v>1.50231</v>
      </c>
      <c r="R13" t="s">
        <v>334</v>
      </c>
      <c r="S13">
        <v>3</v>
      </c>
      <c r="T13" s="7" t="s">
        <v>648</v>
      </c>
    </row>
    <row r="14" spans="1:20" x14ac:dyDescent="0.25">
      <c r="A14" t="s">
        <v>21</v>
      </c>
      <c r="B14" t="s">
        <v>22</v>
      </c>
      <c r="C14" s="3" t="s">
        <v>323</v>
      </c>
      <c r="D14" s="3">
        <v>3</v>
      </c>
      <c r="E14" s="5">
        <f>1+0.0019*D14</f>
        <v>1.0057</v>
      </c>
      <c r="F14" s="3" t="s">
        <v>324</v>
      </c>
      <c r="G14" s="3">
        <v>3</v>
      </c>
      <c r="H14" s="5">
        <f>1-0.0082*G14</f>
        <v>0.97540000000000004</v>
      </c>
      <c r="I14" t="s">
        <v>327</v>
      </c>
      <c r="J14">
        <v>3</v>
      </c>
      <c r="K14">
        <f>1-0.0045*J14</f>
        <v>0.98650000000000004</v>
      </c>
      <c r="L14" s="3" t="s">
        <v>325</v>
      </c>
      <c r="M14" s="3">
        <v>3</v>
      </c>
      <c r="N14" s="8">
        <f>0.98+0.0037*M14</f>
        <v>0.99109999999999998</v>
      </c>
      <c r="O14" s="3" t="s">
        <v>326</v>
      </c>
      <c r="P14" s="3">
        <v>3</v>
      </c>
      <c r="Q14" s="8">
        <f>1+0.00057*P14</f>
        <v>1.0017100000000001</v>
      </c>
      <c r="R14" t="s">
        <v>328</v>
      </c>
      <c r="S14">
        <v>3</v>
      </c>
      <c r="T14" s="7">
        <f>0.99+0.0021*S14</f>
        <v>0.99629999999999996</v>
      </c>
    </row>
    <row r="15" spans="1:20" x14ac:dyDescent="0.25">
      <c r="A15" t="s">
        <v>23</v>
      </c>
      <c r="B15" t="s">
        <v>24</v>
      </c>
      <c r="C15" s="3" t="s">
        <v>317</v>
      </c>
      <c r="D15" s="3">
        <v>3</v>
      </c>
      <c r="E15" s="5">
        <f>18-0.041*D15</f>
        <v>17.876999999999999</v>
      </c>
      <c r="F15" s="3" t="s">
        <v>318</v>
      </c>
      <c r="G15" s="3">
        <v>3</v>
      </c>
      <c r="H15" s="5">
        <f>19+0.092*G15</f>
        <v>19.276</v>
      </c>
      <c r="I15" t="s">
        <v>321</v>
      </c>
      <c r="J15">
        <v>3</v>
      </c>
      <c r="K15">
        <f>19+0.04*J15</f>
        <v>19.12</v>
      </c>
      <c r="L15" s="3" t="s">
        <v>319</v>
      </c>
      <c r="M15" s="3">
        <v>3</v>
      </c>
      <c r="N15" s="8">
        <f>19+0.042*M15</f>
        <v>19.126000000000001</v>
      </c>
      <c r="O15" s="3" t="s">
        <v>320</v>
      </c>
      <c r="P15" s="3">
        <v>3</v>
      </c>
      <c r="Q15" s="8">
        <f>19+0.079*P15</f>
        <v>19.236999999999998</v>
      </c>
      <c r="R15" t="s">
        <v>322</v>
      </c>
      <c r="S15">
        <v>3</v>
      </c>
      <c r="T15" s="7">
        <f>19+0.06*S15</f>
        <v>19.18</v>
      </c>
    </row>
    <row r="16" spans="1:20" x14ac:dyDescent="0.25">
      <c r="A16" t="s">
        <v>25</v>
      </c>
      <c r="B16" t="s">
        <v>26</v>
      </c>
      <c r="C16" s="3" t="s">
        <v>311</v>
      </c>
      <c r="D16" s="3">
        <v>3</v>
      </c>
      <c r="E16" s="5">
        <f>3.7+0.039*D16</f>
        <v>3.8170000000000002</v>
      </c>
      <c r="F16" s="3" t="s">
        <v>312</v>
      </c>
      <c r="G16" s="3">
        <v>3</v>
      </c>
      <c r="H16" s="5">
        <f>3.7+0.086*G16</f>
        <v>3.9580000000000002</v>
      </c>
      <c r="I16" t="s">
        <v>315</v>
      </c>
      <c r="J16">
        <v>3</v>
      </c>
      <c r="K16">
        <f>3.7+0.067*J16</f>
        <v>3.9010000000000002</v>
      </c>
      <c r="L16" s="3" t="s">
        <v>313</v>
      </c>
      <c r="M16" s="3">
        <v>3</v>
      </c>
      <c r="N16" s="8">
        <f>3.7+0.045*M16</f>
        <v>3.835</v>
      </c>
      <c r="O16" s="3" t="s">
        <v>314</v>
      </c>
      <c r="P16" s="3">
        <v>3</v>
      </c>
      <c r="Q16" s="8">
        <f>3.8+0.048*P16</f>
        <v>3.944</v>
      </c>
      <c r="R16" t="s">
        <v>316</v>
      </c>
      <c r="S16">
        <v>3</v>
      </c>
      <c r="T16" s="7">
        <f>3.8+0.046*S16</f>
        <v>3.9379999999999997</v>
      </c>
    </row>
    <row r="17" spans="1:20" ht="17.25" x14ac:dyDescent="0.25">
      <c r="A17" t="s">
        <v>27</v>
      </c>
      <c r="B17" t="s">
        <v>28</v>
      </c>
      <c r="C17" s="3" t="s">
        <v>305</v>
      </c>
      <c r="D17" s="3">
        <v>3</v>
      </c>
      <c r="E17" s="5">
        <f>1.1+0.02*D17</f>
        <v>1.1600000000000001</v>
      </c>
      <c r="F17" s="3" t="s">
        <v>306</v>
      </c>
      <c r="G17" s="3">
        <v>3</v>
      </c>
      <c r="H17" s="5">
        <f>1.3-0.015*G17</f>
        <v>1.2550000000000001</v>
      </c>
      <c r="I17" t="s">
        <v>309</v>
      </c>
      <c r="J17">
        <v>3</v>
      </c>
      <c r="K17">
        <f>1.2-0.0005*J17</f>
        <v>1.1984999999999999</v>
      </c>
      <c r="L17" s="3" t="s">
        <v>307</v>
      </c>
      <c r="M17" s="3">
        <v>3</v>
      </c>
      <c r="N17" s="8">
        <f>1.2+0.0044*M17</f>
        <v>1.2132000000000001</v>
      </c>
      <c r="O17" s="3" t="s">
        <v>308</v>
      </c>
      <c r="P17" s="3">
        <v>3</v>
      </c>
      <c r="Q17" s="8">
        <f>1.2+0.00021*P17</f>
        <v>1.2006299999999999</v>
      </c>
      <c r="R17" t="s">
        <v>310</v>
      </c>
      <c r="S17">
        <v>3</v>
      </c>
      <c r="T17" s="7">
        <f>1.2+0.0023*S17</f>
        <v>1.2068999999999999</v>
      </c>
    </row>
    <row r="18" spans="1:20" x14ac:dyDescent="0.25">
      <c r="A18" t="s">
        <v>29</v>
      </c>
      <c r="B18" t="s">
        <v>30</v>
      </c>
      <c r="C18" s="3" t="s">
        <v>299</v>
      </c>
      <c r="D18" s="3">
        <v>3</v>
      </c>
      <c r="E18" s="5">
        <f>4.3-0.12*D18</f>
        <v>3.94</v>
      </c>
      <c r="F18" s="3" t="s">
        <v>300</v>
      </c>
      <c r="G18" s="3">
        <v>3</v>
      </c>
      <c r="H18" s="5">
        <f>4+0.051*G18</f>
        <v>4.1529999999999996</v>
      </c>
      <c r="I18" t="s">
        <v>303</v>
      </c>
      <c r="J18">
        <v>3</v>
      </c>
      <c r="K18">
        <f>4.1-0.017*J18</f>
        <v>4.0489999999999995</v>
      </c>
      <c r="L18" s="3" t="s">
        <v>301</v>
      </c>
      <c r="M18" s="3">
        <v>3</v>
      </c>
      <c r="N18" s="8">
        <f>3.8+0.024*M18</f>
        <v>3.8719999999999999</v>
      </c>
      <c r="O18" s="3" t="s">
        <v>302</v>
      </c>
      <c r="P18" s="3">
        <v>3</v>
      </c>
      <c r="Q18" s="8">
        <f>3.4+0.1*P18</f>
        <v>3.7</v>
      </c>
      <c r="R18" t="s">
        <v>304</v>
      </c>
      <c r="S18">
        <v>3</v>
      </c>
      <c r="T18" s="7">
        <f>3.6+0.064*S18</f>
        <v>3.7920000000000003</v>
      </c>
    </row>
    <row r="19" spans="1:20" x14ac:dyDescent="0.25">
      <c r="A19" t="s">
        <v>31</v>
      </c>
      <c r="B19" t="s">
        <v>32</v>
      </c>
      <c r="C19" s="3" t="s">
        <v>293</v>
      </c>
      <c r="D19" s="3">
        <v>3</v>
      </c>
      <c r="E19" s="5">
        <f>5+0.071*D19</f>
        <v>5.2130000000000001</v>
      </c>
      <c r="F19" s="3" t="s">
        <v>294</v>
      </c>
      <c r="G19" s="3">
        <v>3</v>
      </c>
      <c r="H19" s="5">
        <f>6.1-0-23*G19</f>
        <v>-62.9</v>
      </c>
      <c r="I19" t="s">
        <v>297</v>
      </c>
      <c r="J19">
        <v>3</v>
      </c>
      <c r="K19">
        <f>5.6+0.025*J19</f>
        <v>5.6749999999999998</v>
      </c>
      <c r="L19" s="3" t="s">
        <v>295</v>
      </c>
      <c r="M19" s="3">
        <v>3</v>
      </c>
      <c r="N19" s="8">
        <f>5.1+0.14*M19</f>
        <v>5.52</v>
      </c>
      <c r="O19" s="3" t="s">
        <v>296</v>
      </c>
      <c r="P19" s="3">
        <v>3</v>
      </c>
      <c r="Q19" s="8">
        <f>5.2+0.12*P19</f>
        <v>5.5600000000000005</v>
      </c>
      <c r="R19" t="s">
        <v>298</v>
      </c>
      <c r="S19">
        <v>3</v>
      </c>
      <c r="T19" s="7">
        <f>5.1+0.13*S19</f>
        <v>5.4899999999999993</v>
      </c>
    </row>
    <row r="20" spans="1:20" x14ac:dyDescent="0.25">
      <c r="A20" t="s">
        <v>33</v>
      </c>
      <c r="B20" t="s">
        <v>34</v>
      </c>
      <c r="C20" s="3" t="s">
        <v>287</v>
      </c>
      <c r="D20" s="3">
        <v>3</v>
      </c>
      <c r="E20" s="5">
        <f>18+0.41*D20</f>
        <v>19.23</v>
      </c>
      <c r="F20" s="3" t="s">
        <v>288</v>
      </c>
      <c r="G20" s="3">
        <v>3</v>
      </c>
      <c r="H20" s="5">
        <f>22-0.29*G20</f>
        <v>21.13</v>
      </c>
      <c r="I20" t="s">
        <v>291</v>
      </c>
      <c r="J20">
        <v>3</v>
      </c>
      <c r="K20">
        <f>20-0.002*J20</f>
        <v>19.994</v>
      </c>
      <c r="L20" s="3" t="s">
        <v>289</v>
      </c>
      <c r="M20" s="3">
        <v>3</v>
      </c>
      <c r="N20" s="8">
        <f>19+0.082*M20</f>
        <v>19.245999999999999</v>
      </c>
      <c r="O20" s="3" t="s">
        <v>290</v>
      </c>
      <c r="P20" s="3">
        <v>3</v>
      </c>
      <c r="Q20" s="8">
        <f>19+0.11*P20</f>
        <v>19.329999999999998</v>
      </c>
      <c r="R20" t="s">
        <v>292</v>
      </c>
      <c r="S20">
        <v>3</v>
      </c>
      <c r="T20" s="7">
        <f>19+0.094*S20</f>
        <v>19.282</v>
      </c>
    </row>
    <row r="21" spans="1:20" x14ac:dyDescent="0.25">
      <c r="A21" t="s">
        <v>35</v>
      </c>
      <c r="B21" t="s">
        <v>36</v>
      </c>
      <c r="C21" s="3" t="s">
        <v>193</v>
      </c>
      <c r="D21" s="3">
        <v>3</v>
      </c>
      <c r="E21" s="5">
        <f>4.1+0.29*D21</f>
        <v>4.97</v>
      </c>
      <c r="F21" s="3" t="s">
        <v>192</v>
      </c>
      <c r="G21" s="3">
        <v>3</v>
      </c>
      <c r="H21" s="5">
        <f>5.7-0.048*G21</f>
        <v>5.556</v>
      </c>
      <c r="I21" t="s">
        <v>285</v>
      </c>
      <c r="J21">
        <v>3</v>
      </c>
      <c r="K21">
        <f>5.1+0.09*J21</f>
        <v>5.3699999999999992</v>
      </c>
      <c r="L21" s="3" t="s">
        <v>191</v>
      </c>
      <c r="M21" s="3">
        <v>3</v>
      </c>
      <c r="N21" s="8">
        <f>3.6+0.28*M21</f>
        <v>4.4400000000000004</v>
      </c>
      <c r="O21" s="3" t="s">
        <v>190</v>
      </c>
      <c r="P21" s="3">
        <v>3</v>
      </c>
      <c r="Q21" s="8">
        <f>4.7+0.13*P21</f>
        <v>5.09</v>
      </c>
      <c r="R21" t="s">
        <v>286</v>
      </c>
      <c r="S21">
        <v>3</v>
      </c>
      <c r="T21" s="7">
        <f>4.1+0.21*S21</f>
        <v>4.7299999999999995</v>
      </c>
    </row>
    <row r="22" spans="1:20" x14ac:dyDescent="0.25">
      <c r="A22" t="s">
        <v>37</v>
      </c>
      <c r="B22" t="s">
        <v>38</v>
      </c>
      <c r="C22" s="3" t="s">
        <v>418</v>
      </c>
      <c r="D22" s="3">
        <v>3</v>
      </c>
      <c r="E22" s="5">
        <f>20+0.12*D22</f>
        <v>20.36</v>
      </c>
      <c r="F22" s="3" t="s">
        <v>419</v>
      </c>
      <c r="G22" s="3">
        <v>3</v>
      </c>
      <c r="H22" s="5">
        <f>20+0.43*G22</f>
        <v>21.29</v>
      </c>
      <c r="I22" t="s">
        <v>416</v>
      </c>
      <c r="J22">
        <v>3</v>
      </c>
      <c r="K22">
        <f>20+0.33*J22</f>
        <v>20.99</v>
      </c>
      <c r="L22" s="3" t="s">
        <v>420</v>
      </c>
      <c r="M22" s="3">
        <v>3</v>
      </c>
      <c r="N22" s="8">
        <f>20+0.27*M22</f>
        <v>20.81</v>
      </c>
      <c r="O22" s="3" t="s">
        <v>210</v>
      </c>
      <c r="P22" s="3">
        <v>3</v>
      </c>
      <c r="Q22" s="8">
        <f>20+0.41*P22</f>
        <v>21.23</v>
      </c>
      <c r="R22" t="s">
        <v>417</v>
      </c>
      <c r="S22">
        <v>3</v>
      </c>
      <c r="T22" s="7">
        <f>20+0.34*S22</f>
        <v>21.02</v>
      </c>
    </row>
    <row r="23" spans="1:20" x14ac:dyDescent="0.25">
      <c r="A23" t="s">
        <v>39</v>
      </c>
      <c r="B23" t="s">
        <v>40</v>
      </c>
      <c r="C23" s="3" t="s">
        <v>170</v>
      </c>
      <c r="D23" s="3">
        <v>3</v>
      </c>
      <c r="E23" s="5">
        <f>18-0.58*D23</f>
        <v>16.260000000000002</v>
      </c>
      <c r="F23" s="3" t="s">
        <v>171</v>
      </c>
      <c r="G23" s="3">
        <v>3</v>
      </c>
      <c r="H23" s="5">
        <f>16+0.69*G23</f>
        <v>18.07</v>
      </c>
      <c r="I23" t="s">
        <v>414</v>
      </c>
      <c r="J23">
        <v>3</v>
      </c>
      <c r="K23">
        <f>17+0.17*J23</f>
        <v>17.510000000000002</v>
      </c>
      <c r="L23" s="3" t="s">
        <v>189</v>
      </c>
      <c r="M23" s="3">
        <v>3</v>
      </c>
      <c r="N23" s="8">
        <f>16+0.16*M23</f>
        <v>16.48</v>
      </c>
      <c r="O23" s="3" t="s">
        <v>172</v>
      </c>
      <c r="P23" s="3">
        <v>3</v>
      </c>
      <c r="Q23" s="8">
        <f>17+0.28*P23</f>
        <v>17.84</v>
      </c>
      <c r="R23" t="s">
        <v>415</v>
      </c>
      <c r="S23">
        <v>3</v>
      </c>
      <c r="T23" s="7">
        <f>17+0.22*S23</f>
        <v>17.66</v>
      </c>
    </row>
    <row r="24" spans="1:20" x14ac:dyDescent="0.25">
      <c r="A24" t="s">
        <v>41</v>
      </c>
      <c r="B24" t="s">
        <v>42</v>
      </c>
      <c r="C24" s="3" t="s">
        <v>410</v>
      </c>
      <c r="D24" s="3">
        <v>3</v>
      </c>
      <c r="E24" s="5">
        <f>14-0.18*D24</f>
        <v>13.46</v>
      </c>
      <c r="F24" s="3" t="s">
        <v>411</v>
      </c>
      <c r="G24" s="3">
        <v>3</v>
      </c>
      <c r="H24" s="5">
        <f>15-0.18*G24</f>
        <v>14.46</v>
      </c>
      <c r="I24" t="s">
        <v>408</v>
      </c>
      <c r="J24">
        <v>3</v>
      </c>
      <c r="K24">
        <f>15-0.17*J24</f>
        <v>14.49</v>
      </c>
      <c r="L24" s="3" t="s">
        <v>412</v>
      </c>
      <c r="M24" s="3">
        <v>3</v>
      </c>
      <c r="N24" s="8">
        <f>14+0.005*M24</f>
        <v>14.015000000000001</v>
      </c>
      <c r="O24" s="3" t="s">
        <v>413</v>
      </c>
      <c r="P24" s="3">
        <v>3</v>
      </c>
      <c r="Q24" s="8">
        <f>14+0.043*P24</f>
        <v>14.129</v>
      </c>
      <c r="R24" t="s">
        <v>409</v>
      </c>
      <c r="S24">
        <v>3</v>
      </c>
      <c r="T24" s="7">
        <f>14+0.024*S24</f>
        <v>14.071999999999999</v>
      </c>
    </row>
    <row r="25" spans="1:20" x14ac:dyDescent="0.25">
      <c r="A25" t="s">
        <v>43</v>
      </c>
      <c r="B25" t="s">
        <v>44</v>
      </c>
      <c r="C25" s="3" t="s">
        <v>404</v>
      </c>
      <c r="D25" s="3">
        <v>3</v>
      </c>
      <c r="E25" s="5">
        <f>2.7-0.018*D25</f>
        <v>2.6460000000000004</v>
      </c>
      <c r="F25" s="3" t="s">
        <v>405</v>
      </c>
      <c r="G25" s="3">
        <v>3</v>
      </c>
      <c r="H25" s="5">
        <f>4.7-0.28*G25</f>
        <v>3.8600000000000003</v>
      </c>
      <c r="I25" t="s">
        <v>402</v>
      </c>
      <c r="J25">
        <v>3</v>
      </c>
      <c r="K25">
        <f>3.8-0.16*J25</f>
        <v>3.32</v>
      </c>
      <c r="L25" s="3" t="s">
        <v>406</v>
      </c>
      <c r="M25" s="3">
        <v>3</v>
      </c>
      <c r="N25" s="8">
        <f>4-0.16*M25</f>
        <v>3.52</v>
      </c>
      <c r="O25" s="3" t="s">
        <v>407</v>
      </c>
      <c r="P25" s="3">
        <v>3</v>
      </c>
      <c r="Q25" s="8">
        <f>4.4-0.25*P25</f>
        <v>3.6500000000000004</v>
      </c>
      <c r="R25" t="s">
        <v>403</v>
      </c>
      <c r="S25">
        <v>3</v>
      </c>
      <c r="T25" s="7">
        <f>4.2-0.2*S25</f>
        <v>3.6</v>
      </c>
    </row>
    <row r="26" spans="1:20" x14ac:dyDescent="0.25">
      <c r="A26" t="s">
        <v>45</v>
      </c>
      <c r="B26" t="s">
        <v>46</v>
      </c>
      <c r="C26" s="3" t="s">
        <v>398</v>
      </c>
      <c r="D26" s="3">
        <v>3</v>
      </c>
      <c r="E26" s="5">
        <f>4-0.0065*D26</f>
        <v>3.9805000000000001</v>
      </c>
      <c r="F26" s="3" t="s">
        <v>399</v>
      </c>
      <c r="G26" s="3">
        <v>3</v>
      </c>
      <c r="H26" s="5">
        <f>5.1-0.1*G26</f>
        <v>4.8</v>
      </c>
      <c r="I26" t="s">
        <v>396</v>
      </c>
      <c r="J26">
        <v>3</v>
      </c>
      <c r="K26">
        <f>4.6-0.062*J26</f>
        <v>4.4139999999999997</v>
      </c>
      <c r="L26" s="3" t="s">
        <v>401</v>
      </c>
      <c r="M26" s="3">
        <v>3</v>
      </c>
      <c r="N26" s="8">
        <f>4+0.076*M26</f>
        <v>4.2279999999999998</v>
      </c>
      <c r="O26" s="3" t="s">
        <v>400</v>
      </c>
      <c r="P26" s="3">
        <v>3</v>
      </c>
      <c r="Q26" s="8">
        <f>3.2+0.2*P26</f>
        <v>3.8000000000000003</v>
      </c>
      <c r="R26" t="s">
        <v>397</v>
      </c>
      <c r="S26">
        <v>3</v>
      </c>
      <c r="T26" s="7">
        <f>3.6+0.14*S26</f>
        <v>4.0200000000000005</v>
      </c>
    </row>
    <row r="27" spans="1:20" x14ac:dyDescent="0.25">
      <c r="A27" t="s">
        <v>47</v>
      </c>
      <c r="B27" t="s">
        <v>48</v>
      </c>
      <c r="C27" s="3" t="s">
        <v>392</v>
      </c>
      <c r="D27" s="3">
        <v>3</v>
      </c>
      <c r="E27" s="5">
        <f>3.4-0.019*D27</f>
        <v>3.343</v>
      </c>
      <c r="F27" s="3" t="s">
        <v>393</v>
      </c>
      <c r="G27" s="3">
        <v>3</v>
      </c>
      <c r="H27" s="5">
        <f>4.3-0.031*G27</f>
        <v>4.2069999999999999</v>
      </c>
      <c r="I27" t="s">
        <v>390</v>
      </c>
      <c r="J27">
        <v>3</v>
      </c>
      <c r="K27">
        <f>3.8-0.015*J27</f>
        <v>3.7549999999999999</v>
      </c>
      <c r="L27" s="3" t="s">
        <v>394</v>
      </c>
      <c r="M27" s="3">
        <v>3</v>
      </c>
      <c r="N27" s="8">
        <f>3.4+0.047*M27</f>
        <v>3.5409999999999999</v>
      </c>
      <c r="O27" s="3" t="s">
        <v>395</v>
      </c>
      <c r="P27" s="3">
        <v>3</v>
      </c>
      <c r="Q27" s="8">
        <f>3.4+0.074*P27</f>
        <v>3.6219999999999999</v>
      </c>
      <c r="R27" t="s">
        <v>391</v>
      </c>
      <c r="S27">
        <v>3</v>
      </c>
      <c r="T27" s="7">
        <f>3.4+0.06*S27</f>
        <v>3.58</v>
      </c>
    </row>
    <row r="28" spans="1:20" x14ac:dyDescent="0.25">
      <c r="A28" t="s">
        <v>49</v>
      </c>
      <c r="B28" t="s">
        <v>50</v>
      </c>
      <c r="C28" s="3" t="s">
        <v>386</v>
      </c>
      <c r="D28" s="3">
        <v>3</v>
      </c>
      <c r="E28" s="5">
        <f>7.2+0.23*D28</f>
        <v>7.8900000000000006</v>
      </c>
      <c r="F28" s="3" t="s">
        <v>387</v>
      </c>
      <c r="G28" s="3">
        <v>3</v>
      </c>
      <c r="H28" s="5">
        <f>9.3-0.11*G28</f>
        <v>8.9700000000000006</v>
      </c>
      <c r="I28" t="s">
        <v>384</v>
      </c>
      <c r="J28">
        <v>3</v>
      </c>
      <c r="K28">
        <f>8.4+0.032*J28</f>
        <v>8.4960000000000004</v>
      </c>
      <c r="L28" s="3" t="s">
        <v>388</v>
      </c>
      <c r="M28" s="3">
        <v>3</v>
      </c>
      <c r="N28" s="8">
        <f>8.7+0.0092*M28</f>
        <v>8.7275999999999989</v>
      </c>
      <c r="O28" s="3" t="s">
        <v>389</v>
      </c>
      <c r="P28" s="3">
        <v>3</v>
      </c>
      <c r="Q28" s="8">
        <f>8.6+0.023*P28</f>
        <v>8.6690000000000005</v>
      </c>
      <c r="R28" t="s">
        <v>385</v>
      </c>
      <c r="S28">
        <v>3</v>
      </c>
      <c r="T28" s="7">
        <f>8.6+0.016*S28</f>
        <v>8.6479999999999997</v>
      </c>
    </row>
    <row r="29" spans="1:20" x14ac:dyDescent="0.25">
      <c r="A29" t="s">
        <v>51</v>
      </c>
      <c r="B29" t="s">
        <v>52</v>
      </c>
      <c r="C29" s="3" t="s">
        <v>380</v>
      </c>
      <c r="D29" s="3">
        <v>3</v>
      </c>
      <c r="E29" s="5">
        <f>1.1-0.0055*D29</f>
        <v>1.0835000000000001</v>
      </c>
      <c r="F29" s="3" t="s">
        <v>382</v>
      </c>
      <c r="G29" s="3">
        <v>3</v>
      </c>
      <c r="H29" s="5">
        <f>1.2-0.0035*G29</f>
        <v>1.1895</v>
      </c>
      <c r="I29" t="s">
        <v>379</v>
      </c>
      <c r="J29">
        <v>3</v>
      </c>
      <c r="K29">
        <f>1.1-0.003*J29</f>
        <v>1.0910000000000002</v>
      </c>
      <c r="L29" s="3" t="s">
        <v>381</v>
      </c>
      <c r="M29" s="3">
        <v>3</v>
      </c>
      <c r="N29" s="8">
        <f>1.1+0.0021*M29</f>
        <v>1.1063000000000001</v>
      </c>
      <c r="O29" s="3" t="s">
        <v>383</v>
      </c>
      <c r="P29" s="3">
        <v>3</v>
      </c>
      <c r="Q29" s="8">
        <f>1.1+0.0032*P29</f>
        <v>1.1096000000000001</v>
      </c>
      <c r="R29" t="s">
        <v>378</v>
      </c>
      <c r="S29">
        <v>3</v>
      </c>
      <c r="T29" s="7">
        <f>1.1+0.002*S29</f>
        <v>1.1060000000000001</v>
      </c>
    </row>
    <row r="30" spans="1:20" x14ac:dyDescent="0.25">
      <c r="A30" t="s">
        <v>53</v>
      </c>
      <c r="B30" t="s">
        <v>54</v>
      </c>
      <c r="C30" s="3" t="s">
        <v>185</v>
      </c>
      <c r="D30" s="3">
        <v>3</v>
      </c>
      <c r="E30" s="5">
        <f>17+0.36*D30</f>
        <v>18.079999999999998</v>
      </c>
      <c r="F30" s="3" t="s">
        <v>186</v>
      </c>
      <c r="G30" s="3">
        <v>3</v>
      </c>
      <c r="H30" s="5">
        <f>18+0.58*G30</f>
        <v>19.739999999999998</v>
      </c>
      <c r="I30" t="s">
        <v>376</v>
      </c>
      <c r="J30">
        <v>3</v>
      </c>
      <c r="K30">
        <f>17+0.51*J30</f>
        <v>18.53</v>
      </c>
      <c r="L30" s="3" t="s">
        <v>187</v>
      </c>
      <c r="M30" s="3">
        <v>3</v>
      </c>
      <c r="N30" s="8">
        <f>16+1.5*M230</f>
        <v>16</v>
      </c>
      <c r="O30" s="3" t="s">
        <v>188</v>
      </c>
      <c r="P30" s="3">
        <v>3</v>
      </c>
      <c r="Q30" s="8">
        <f>17+1.3*P30</f>
        <v>20.9</v>
      </c>
      <c r="R30" t="s">
        <v>377</v>
      </c>
      <c r="S30">
        <v>3</v>
      </c>
      <c r="T30" s="7">
        <f>19+0.089*S30</f>
        <v>19.266999999999999</v>
      </c>
    </row>
    <row r="31" spans="1:20" x14ac:dyDescent="0.25">
      <c r="A31" t="s">
        <v>55</v>
      </c>
      <c r="B31" t="s">
        <v>56</v>
      </c>
      <c r="C31" s="3" t="s">
        <v>198</v>
      </c>
      <c r="D31" s="3">
        <v>3</v>
      </c>
      <c r="E31" s="5">
        <f>4.6+0.47*D31</f>
        <v>6.01</v>
      </c>
      <c r="F31" s="3" t="s">
        <v>199</v>
      </c>
      <c r="G31" s="3">
        <v>3</v>
      </c>
      <c r="H31" s="5">
        <f>7.3-0.15*G31</f>
        <v>6.85</v>
      </c>
      <c r="I31" t="s">
        <v>375</v>
      </c>
      <c r="J31">
        <v>3</v>
      </c>
      <c r="K31">
        <f>6.2+0.11*J31</f>
        <v>6.53</v>
      </c>
      <c r="L31" s="3" t="s">
        <v>200</v>
      </c>
      <c r="M31" s="3">
        <v>3</v>
      </c>
      <c r="N31" s="8">
        <f>6.2+0.16*M31</f>
        <v>6.68</v>
      </c>
      <c r="O31" s="3" t="s">
        <v>201</v>
      </c>
      <c r="P31" s="3">
        <v>3</v>
      </c>
      <c r="Q31" s="8">
        <f>6.3+0.05*P31</f>
        <v>6.45</v>
      </c>
      <c r="R31" t="s">
        <v>375</v>
      </c>
      <c r="S31">
        <v>3</v>
      </c>
      <c r="T31" s="7">
        <f>6.2+0.11*S31</f>
        <v>6.53</v>
      </c>
    </row>
    <row r="32" spans="1:20" x14ac:dyDescent="0.25">
      <c r="A32" s="4" t="s">
        <v>57</v>
      </c>
      <c r="B32" s="4" t="s">
        <v>58</v>
      </c>
      <c r="C32" s="3" t="s">
        <v>215</v>
      </c>
      <c r="D32" s="3">
        <v>3</v>
      </c>
      <c r="E32" s="5">
        <f>20+0.31*D32</f>
        <v>20.93</v>
      </c>
      <c r="F32" s="3" t="s">
        <v>214</v>
      </c>
      <c r="G32" s="3">
        <v>3</v>
      </c>
      <c r="H32" s="5">
        <f>21+0.58*G32</f>
        <v>22.74</v>
      </c>
      <c r="I32" s="3" t="s">
        <v>423</v>
      </c>
      <c r="J32">
        <v>3</v>
      </c>
      <c r="K32" s="3">
        <f>20+0.51*J32</f>
        <v>21.53</v>
      </c>
      <c r="L32" s="3" t="s">
        <v>421</v>
      </c>
      <c r="M32" s="3">
        <v>3</v>
      </c>
      <c r="N32" s="8">
        <f>21+0.32*M32</f>
        <v>21.96</v>
      </c>
      <c r="O32" s="3" t="s">
        <v>422</v>
      </c>
      <c r="P32" s="3">
        <v>3</v>
      </c>
      <c r="Q32" s="8">
        <f>21+0.36*P32</f>
        <v>22.08</v>
      </c>
      <c r="R32" s="3" t="s">
        <v>424</v>
      </c>
      <c r="S32">
        <v>3</v>
      </c>
      <c r="T32" s="7">
        <f>21+0.34*S32</f>
        <v>22.02</v>
      </c>
    </row>
    <row r="33" spans="1:20" x14ac:dyDescent="0.25">
      <c r="A33" t="s">
        <v>59</v>
      </c>
      <c r="B33" t="s">
        <v>60</v>
      </c>
      <c r="C33" s="3" t="s">
        <v>371</v>
      </c>
      <c r="D33" s="3">
        <v>3</v>
      </c>
      <c r="E33" s="5">
        <f>3.3+0.038*D33</f>
        <v>3.4139999999999997</v>
      </c>
      <c r="F33" s="3" t="s">
        <v>372</v>
      </c>
      <c r="G33" s="3">
        <v>3</v>
      </c>
      <c r="H33" s="5">
        <f>3.2-0.11*G33</f>
        <v>2.87</v>
      </c>
      <c r="I33" t="s">
        <v>369</v>
      </c>
      <c r="J33">
        <v>3</v>
      </c>
      <c r="K33">
        <f>3.3-0.049*J33</f>
        <v>3.1529999999999996</v>
      </c>
      <c r="L33" s="3" t="s">
        <v>373</v>
      </c>
      <c r="M33" s="3">
        <v>3</v>
      </c>
      <c r="N33" s="8">
        <f>2.5+0.072*M33</f>
        <v>2.7160000000000002</v>
      </c>
      <c r="O33" s="3" t="s">
        <v>374</v>
      </c>
      <c r="P33" s="3">
        <v>3</v>
      </c>
      <c r="Q33" s="8">
        <f>2.6+0.034*P33</f>
        <v>2.702</v>
      </c>
      <c r="R33" t="s">
        <v>370</v>
      </c>
      <c r="S33">
        <v>3</v>
      </c>
      <c r="T33" s="7">
        <f>2.5+0.053*S33</f>
        <v>2.6589999999999998</v>
      </c>
    </row>
    <row r="34" spans="1:20" x14ac:dyDescent="0.25">
      <c r="A34" t="s">
        <v>61</v>
      </c>
      <c r="B34" t="s">
        <v>62</v>
      </c>
      <c r="C34" s="3" t="s">
        <v>366</v>
      </c>
      <c r="D34" s="3">
        <v>3</v>
      </c>
      <c r="E34" s="5">
        <f>4.6+0.42*D34</f>
        <v>5.8599999999999994</v>
      </c>
      <c r="F34" s="3" t="s">
        <v>365</v>
      </c>
      <c r="G34" s="3">
        <v>3</v>
      </c>
      <c r="H34" s="5">
        <f>7.2-0.17*G34</f>
        <v>6.69</v>
      </c>
      <c r="I34" t="s">
        <v>363</v>
      </c>
      <c r="J34">
        <v>3</v>
      </c>
      <c r="K34">
        <f>6.2+0.074*J34</f>
        <v>6.4220000000000006</v>
      </c>
      <c r="L34" s="3" t="s">
        <v>367</v>
      </c>
      <c r="M34" s="3">
        <v>3</v>
      </c>
      <c r="N34" s="8">
        <f>5.8+0.042*M34</f>
        <v>5.9260000000000002</v>
      </c>
      <c r="O34" s="3" t="s">
        <v>368</v>
      </c>
      <c r="P34" s="3">
        <v>3</v>
      </c>
      <c r="Q34" s="8">
        <f>5.8+0.025*P34</f>
        <v>5.875</v>
      </c>
      <c r="R34" t="s">
        <v>364</v>
      </c>
      <c r="S34">
        <v>3</v>
      </c>
      <c r="T34" s="7">
        <f>5.8+0.033*S34</f>
        <v>5.899</v>
      </c>
    </row>
    <row r="35" spans="1:20" x14ac:dyDescent="0.25">
      <c r="A35" t="s">
        <v>63</v>
      </c>
      <c r="B35" t="s">
        <v>64</v>
      </c>
      <c r="C35" s="3" t="s">
        <v>359</v>
      </c>
      <c r="D35" s="3">
        <v>3</v>
      </c>
      <c r="E35" s="5">
        <f>2.4+0.24*D35</f>
        <v>3.12</v>
      </c>
      <c r="F35" s="3" t="s">
        <v>360</v>
      </c>
      <c r="G35" s="3">
        <v>3</v>
      </c>
      <c r="H35" s="5">
        <f>3.8-0.058*G35</f>
        <v>3.6259999999999999</v>
      </c>
      <c r="I35" t="s">
        <v>357</v>
      </c>
      <c r="J35">
        <v>3</v>
      </c>
      <c r="K35">
        <f>3.2+0.063*J35</f>
        <v>3.3890000000000002</v>
      </c>
      <c r="L35" s="3" t="s">
        <v>361</v>
      </c>
      <c r="M35" s="3">
        <v>3</v>
      </c>
      <c r="N35" s="8">
        <f>2.7+0.15*M35</f>
        <v>3.1500000000000004</v>
      </c>
      <c r="O35" s="3" t="s">
        <v>362</v>
      </c>
      <c r="P35" s="3">
        <v>3</v>
      </c>
      <c r="Q35" s="8">
        <f>3.3+0.048*P35</f>
        <v>3.444</v>
      </c>
      <c r="R35" t="s">
        <v>358</v>
      </c>
      <c r="S35">
        <v>3</v>
      </c>
      <c r="T35" s="7">
        <f>3+0.097*S35</f>
        <v>3.2909999999999999</v>
      </c>
    </row>
    <row r="36" spans="1:20" x14ac:dyDescent="0.25">
      <c r="A36" t="s">
        <v>65</v>
      </c>
      <c r="B36" t="s">
        <v>66</v>
      </c>
      <c r="C36" s="3" t="s">
        <v>202</v>
      </c>
      <c r="D36" s="3">
        <v>3</v>
      </c>
      <c r="E36" s="5">
        <f>4.4+0.26*D36</f>
        <v>5.1800000000000006</v>
      </c>
      <c r="F36" s="3" t="s">
        <v>203</v>
      </c>
      <c r="G36" s="3">
        <v>3</v>
      </c>
      <c r="H36" s="5">
        <f>5.2+0.083*G36</f>
        <v>5.4489999999999998</v>
      </c>
      <c r="I36" t="s">
        <v>355</v>
      </c>
      <c r="J36">
        <v>3</v>
      </c>
      <c r="K36">
        <f>4.8+0.26*J36</f>
        <v>5.58</v>
      </c>
      <c r="L36" s="3" t="s">
        <v>204</v>
      </c>
      <c r="M36" s="3">
        <v>3</v>
      </c>
      <c r="N36" s="8">
        <f>5+0.13*M36</f>
        <v>5.39</v>
      </c>
      <c r="O36" s="3" t="s">
        <v>205</v>
      </c>
      <c r="P36" s="3">
        <v>3</v>
      </c>
      <c r="Q36" s="8">
        <f>5.6+0.058*P36</f>
        <v>5.774</v>
      </c>
      <c r="R36" t="s">
        <v>356</v>
      </c>
      <c r="S36">
        <v>3</v>
      </c>
      <c r="T36" s="7">
        <f>5.3+0.092*S36</f>
        <v>5.5759999999999996</v>
      </c>
    </row>
    <row r="37" spans="1:20" x14ac:dyDescent="0.25">
      <c r="A37" t="s">
        <v>67</v>
      </c>
      <c r="B37" t="s">
        <v>68</v>
      </c>
      <c r="C37" s="3" t="s">
        <v>351</v>
      </c>
      <c r="D37" s="3">
        <v>3</v>
      </c>
      <c r="E37" s="5">
        <f>2.9+0.1*D37</f>
        <v>3.2</v>
      </c>
      <c r="F37" s="3" t="s">
        <v>352</v>
      </c>
      <c r="G37" s="3">
        <v>3</v>
      </c>
      <c r="H37" s="5">
        <f>3.5-0.11*G37</f>
        <v>3.17</v>
      </c>
      <c r="I37" t="s">
        <v>349</v>
      </c>
      <c r="J37">
        <v>3</v>
      </c>
      <c r="K37">
        <f>3.2-0.024*J37</f>
        <v>3.1280000000000001</v>
      </c>
      <c r="L37" s="3" t="s">
        <v>353</v>
      </c>
      <c r="M37" s="3">
        <v>3</v>
      </c>
      <c r="N37" s="8">
        <f>2.2+0.13*M37</f>
        <v>2.5900000000000003</v>
      </c>
      <c r="O37" s="3" t="s">
        <v>354</v>
      </c>
      <c r="P37" s="3">
        <v>3</v>
      </c>
      <c r="Q37" s="8">
        <f>2.1+0.16*P37</f>
        <v>2.58</v>
      </c>
      <c r="R37" t="s">
        <v>350</v>
      </c>
      <c r="S37">
        <v>3</v>
      </c>
      <c r="T37" s="7">
        <f>2.2+0.15*S37</f>
        <v>2.6500000000000004</v>
      </c>
    </row>
    <row r="38" spans="1:20" x14ac:dyDescent="0.25">
      <c r="A38" t="s">
        <v>69</v>
      </c>
      <c r="B38" t="s">
        <v>70</v>
      </c>
      <c r="C38" s="3" t="s">
        <v>347</v>
      </c>
      <c r="D38" s="3">
        <v>3</v>
      </c>
      <c r="E38" s="5">
        <f>1-0.00061*D38</f>
        <v>0.99817</v>
      </c>
      <c r="F38" s="3" t="s">
        <v>327</v>
      </c>
      <c r="G38" s="3">
        <v>3</v>
      </c>
      <c r="H38" s="5">
        <f>1-0.0045*G38</f>
        <v>0.98650000000000004</v>
      </c>
      <c r="I38" t="s">
        <v>345</v>
      </c>
      <c r="J38">
        <v>3</v>
      </c>
      <c r="K38">
        <f>1-0.0031*J38</f>
        <v>0.99070000000000003</v>
      </c>
      <c r="L38" s="3" t="s">
        <v>268</v>
      </c>
      <c r="M38" s="3">
        <v>3</v>
      </c>
      <c r="N38" s="8">
        <f>1+0.0018*M38</f>
        <v>1.0054000000000001</v>
      </c>
      <c r="O38" s="3" t="s">
        <v>348</v>
      </c>
      <c r="P38" s="3">
        <v>3</v>
      </c>
      <c r="Q38" s="8">
        <f>1+0.00085*P38</f>
        <v>1.0025500000000001</v>
      </c>
      <c r="R38" t="s">
        <v>346</v>
      </c>
      <c r="S38">
        <v>3</v>
      </c>
      <c r="T38" s="7">
        <f>1+0.0013*S38</f>
        <v>1.0039</v>
      </c>
    </row>
    <row r="39" spans="1:20" x14ac:dyDescent="0.25">
      <c r="A39" t="s">
        <v>71</v>
      </c>
      <c r="B39" t="s">
        <v>72</v>
      </c>
      <c r="C39" s="3" t="s">
        <v>341</v>
      </c>
      <c r="D39" s="3">
        <v>3</v>
      </c>
      <c r="E39" s="5">
        <f>29+0.061*D39</f>
        <v>29.183</v>
      </c>
      <c r="F39" s="3" t="s">
        <v>342</v>
      </c>
      <c r="G39" s="3">
        <v>3</v>
      </c>
      <c r="H39" s="5">
        <f>30+0.27*G39</f>
        <v>30.81</v>
      </c>
      <c r="I39" t="s">
        <v>339</v>
      </c>
      <c r="J39">
        <v>3</v>
      </c>
      <c r="K39">
        <f>30+0.21*J39</f>
        <v>30.63</v>
      </c>
      <c r="L39" s="3" t="s">
        <v>343</v>
      </c>
      <c r="M39" s="3">
        <v>3</v>
      </c>
      <c r="N39" s="8">
        <f>29+0.28*M39</f>
        <v>29.84</v>
      </c>
      <c r="O39" s="3" t="s">
        <v>344</v>
      </c>
      <c r="P39" s="3">
        <v>3</v>
      </c>
      <c r="Q39" s="8">
        <f>29+0.2*P39</f>
        <v>29.6</v>
      </c>
      <c r="R39" t="s">
        <v>340</v>
      </c>
      <c r="S39">
        <v>3</v>
      </c>
      <c r="T39" s="7">
        <f>29+0.24*S39</f>
        <v>29.72</v>
      </c>
    </row>
    <row r="40" spans="1:20" x14ac:dyDescent="0.25">
      <c r="A40" t="s">
        <v>73</v>
      </c>
      <c r="B40" t="s">
        <v>74</v>
      </c>
      <c r="C40" s="3" t="s">
        <v>335</v>
      </c>
      <c r="D40" s="3">
        <v>3</v>
      </c>
      <c r="E40" s="5">
        <f>25+0.21*D40</f>
        <v>25.63</v>
      </c>
      <c r="F40" s="3" t="s">
        <v>336</v>
      </c>
      <c r="G40" s="3">
        <v>3</v>
      </c>
      <c r="H40" s="5">
        <f>28-0.074*G40</f>
        <v>27.777999999999999</v>
      </c>
      <c r="I40" t="s">
        <v>338</v>
      </c>
      <c r="J40">
        <v>3</v>
      </c>
      <c r="K40">
        <f>27+0.048*J40</f>
        <v>27.143999999999998</v>
      </c>
      <c r="L40" s="3" t="s">
        <v>427</v>
      </c>
      <c r="M40" s="3">
        <v>3</v>
      </c>
      <c r="N40" s="8">
        <f>25+0.14*M40</f>
        <v>25.42</v>
      </c>
      <c r="O40" s="3" t="s">
        <v>428</v>
      </c>
      <c r="P40" s="3">
        <v>3</v>
      </c>
      <c r="Q40" s="8">
        <f>25+0.27*P40</f>
        <v>25.81</v>
      </c>
      <c r="R40" t="s">
        <v>335</v>
      </c>
      <c r="S40">
        <v>3</v>
      </c>
      <c r="T40" s="7">
        <f>25+0.21*S40</f>
        <v>25.63</v>
      </c>
    </row>
    <row r="41" spans="1:20" x14ac:dyDescent="0.25">
      <c r="A41" t="s">
        <v>75</v>
      </c>
      <c r="B41" t="s">
        <v>76</v>
      </c>
      <c r="C41" s="3" t="s">
        <v>425</v>
      </c>
      <c r="D41" s="3">
        <v>3</v>
      </c>
      <c r="E41" s="5">
        <f>25+0.076*D41</f>
        <v>25.228000000000002</v>
      </c>
      <c r="F41" s="3" t="s">
        <v>336</v>
      </c>
      <c r="G41" s="3">
        <v>3</v>
      </c>
      <c r="H41" s="5">
        <f>28-0.074*G41</f>
        <v>27.777999999999999</v>
      </c>
      <c r="I41" t="s">
        <v>429</v>
      </c>
      <c r="J41">
        <v>3</v>
      </c>
      <c r="K41">
        <f>27+0.014*J41</f>
        <v>27.042000000000002</v>
      </c>
      <c r="L41" s="3" t="s">
        <v>426</v>
      </c>
      <c r="M41" s="3">
        <v>3</v>
      </c>
      <c r="N41" s="8">
        <f>26+0.1*M41</f>
        <v>26.3</v>
      </c>
      <c r="O41" s="3" t="s">
        <v>337</v>
      </c>
      <c r="P41" s="3">
        <v>3</v>
      </c>
      <c r="Q41" s="8">
        <f>25+0.26*P41</f>
        <v>25.78</v>
      </c>
      <c r="R41" t="s">
        <v>430</v>
      </c>
      <c r="S41">
        <v>3</v>
      </c>
      <c r="T41" s="7">
        <f>26+0.14*S41</f>
        <v>26.42</v>
      </c>
    </row>
    <row r="42" spans="1:20" ht="17.25" x14ac:dyDescent="0.25">
      <c r="A42" t="s">
        <v>77</v>
      </c>
      <c r="B42" t="s">
        <v>78</v>
      </c>
      <c r="C42" s="3" t="s">
        <v>433</v>
      </c>
      <c r="D42" s="3">
        <v>3</v>
      </c>
      <c r="E42" s="5">
        <f>1.5-0.0039*D42</f>
        <v>1.4883</v>
      </c>
      <c r="F42" s="3" t="s">
        <v>434</v>
      </c>
      <c r="G42" s="3">
        <v>3</v>
      </c>
      <c r="H42" s="5">
        <f>1.4+0.0028*G42</f>
        <v>1.4083999999999999</v>
      </c>
      <c r="I42" t="s">
        <v>431</v>
      </c>
      <c r="J42">
        <v>3</v>
      </c>
      <c r="K42">
        <f>1.4-6.71-7*J42</f>
        <v>-26.310000000000002</v>
      </c>
      <c r="L42" s="3" t="s">
        <v>435</v>
      </c>
      <c r="M42" s="3">
        <v>3</v>
      </c>
      <c r="N42" s="8">
        <f>1.4-0.00023*M42</f>
        <v>1.3993099999999998</v>
      </c>
      <c r="O42" s="3" t="s">
        <v>436</v>
      </c>
      <c r="P42" s="3">
        <v>3</v>
      </c>
      <c r="Q42" s="8">
        <f>1.4+0.0015*P42</f>
        <v>1.4044999999999999</v>
      </c>
      <c r="R42" t="s">
        <v>432</v>
      </c>
      <c r="S42">
        <v>3</v>
      </c>
      <c r="T42" s="7">
        <f>1.4+0.00062*S42</f>
        <v>1.4018599999999999</v>
      </c>
    </row>
    <row r="43" spans="1:20" x14ac:dyDescent="0.25">
      <c r="A43" t="s">
        <v>79</v>
      </c>
      <c r="B43" t="s">
        <v>80</v>
      </c>
      <c r="C43" s="3" t="s">
        <v>420</v>
      </c>
      <c r="D43" s="3">
        <v>3</v>
      </c>
      <c r="E43" s="5">
        <f>20+0.27*D43</f>
        <v>20.81</v>
      </c>
      <c r="F43" s="3" t="s">
        <v>438</v>
      </c>
      <c r="G43" s="3">
        <v>3</v>
      </c>
      <c r="H43" s="5">
        <f>21+0.66*G43</f>
        <v>22.98</v>
      </c>
      <c r="I43" t="s">
        <v>437</v>
      </c>
      <c r="J43">
        <v>3</v>
      </c>
      <c r="K43">
        <f>21+0.5*J43</f>
        <v>22.5</v>
      </c>
      <c r="L43" s="3" t="s">
        <v>439</v>
      </c>
      <c r="M43" s="3">
        <v>3</v>
      </c>
      <c r="N43" s="8">
        <f>21+0.27*M43</f>
        <v>21.81</v>
      </c>
      <c r="O43" s="3" t="s">
        <v>440</v>
      </c>
      <c r="P43" s="3">
        <v>3</v>
      </c>
      <c r="Q43" s="8">
        <f>21+0.37*P43</f>
        <v>22.11</v>
      </c>
      <c r="R43" t="s">
        <v>421</v>
      </c>
      <c r="S43">
        <v>3</v>
      </c>
      <c r="T43" s="7">
        <f>21+0.32*S43</f>
        <v>21.96</v>
      </c>
    </row>
    <row r="44" spans="1:20" x14ac:dyDescent="0.25">
      <c r="A44" t="s">
        <v>81</v>
      </c>
      <c r="B44" t="s">
        <v>82</v>
      </c>
      <c r="C44" s="3" t="s">
        <v>443</v>
      </c>
      <c r="D44" s="3">
        <v>3</v>
      </c>
      <c r="E44" s="5">
        <f>7.4+0.06*D44</f>
        <v>7.58</v>
      </c>
      <c r="F44" s="3" t="s">
        <v>444</v>
      </c>
      <c r="G44" s="3">
        <v>3</v>
      </c>
      <c r="H44" s="5">
        <f>11-0.32*G44</f>
        <v>10.039999999999999</v>
      </c>
      <c r="I44" t="s">
        <v>441</v>
      </c>
      <c r="J44">
        <v>3</v>
      </c>
      <c r="K44">
        <f>9.2-0.16*J44</f>
        <v>8.7199999999999989</v>
      </c>
      <c r="L44" s="3" t="s">
        <v>445</v>
      </c>
      <c r="M44" s="3">
        <v>3</v>
      </c>
      <c r="N44" s="8">
        <f>7.8+0.11*M44</f>
        <v>8.129999999999999</v>
      </c>
      <c r="O44" s="3" t="s">
        <v>386</v>
      </c>
      <c r="P44" s="3">
        <v>3</v>
      </c>
      <c r="Q44" s="8">
        <f>7.2+0.23*P44</f>
        <v>7.8900000000000006</v>
      </c>
      <c r="R44" t="s">
        <v>442</v>
      </c>
      <c r="S44">
        <v>3</v>
      </c>
      <c r="T44" s="7">
        <f>7.5+0.17*S44</f>
        <v>8.01</v>
      </c>
    </row>
    <row r="45" spans="1:20" x14ac:dyDescent="0.25">
      <c r="A45" t="s">
        <v>83</v>
      </c>
      <c r="B45" s="3" t="s">
        <v>84</v>
      </c>
      <c r="C45" s="3" t="s">
        <v>206</v>
      </c>
      <c r="D45" s="3">
        <v>3</v>
      </c>
      <c r="E45" s="5">
        <f>12-0-19*D45</f>
        <v>-45</v>
      </c>
      <c r="F45" s="3" t="s">
        <v>207</v>
      </c>
      <c r="G45" s="3">
        <v>3</v>
      </c>
      <c r="H45" s="5">
        <f>12-0.1*G45</f>
        <v>11.7</v>
      </c>
      <c r="I45" t="s">
        <v>240</v>
      </c>
      <c r="J45">
        <v>3</v>
      </c>
      <c r="K45">
        <f>12-0.14*J45</f>
        <v>11.58</v>
      </c>
      <c r="L45" s="3" t="s">
        <v>208</v>
      </c>
      <c r="M45" s="3">
        <v>3</v>
      </c>
      <c r="N45" s="8">
        <f>11-0.078*M45</f>
        <v>10.766</v>
      </c>
      <c r="O45" s="3" t="s">
        <v>209</v>
      </c>
      <c r="P45" s="3">
        <v>3</v>
      </c>
      <c r="Q45" s="8">
        <f>11+0.037*P45</f>
        <v>11.111000000000001</v>
      </c>
      <c r="R45" t="s">
        <v>241</v>
      </c>
      <c r="S45">
        <v>3</v>
      </c>
      <c r="T45" s="7">
        <f>0.02*S45</f>
        <v>0.06</v>
      </c>
    </row>
    <row r="46" spans="1:20" x14ac:dyDescent="0.25">
      <c r="A46" t="s">
        <v>85</v>
      </c>
      <c r="B46" t="s">
        <v>86</v>
      </c>
      <c r="C46" s="3" t="s">
        <v>448</v>
      </c>
      <c r="D46" s="3">
        <v>3</v>
      </c>
      <c r="E46" s="5">
        <f>0.9+0.027*D46</f>
        <v>0.98099999999999998</v>
      </c>
      <c r="F46" s="3" t="s">
        <v>449</v>
      </c>
      <c r="G46" s="3">
        <v>3</v>
      </c>
      <c r="H46" s="5">
        <f>1.5-0.064*G46</f>
        <v>1.3080000000000001</v>
      </c>
      <c r="I46" t="s">
        <v>446</v>
      </c>
      <c r="J46">
        <v>3</v>
      </c>
      <c r="K46">
        <f>1.2-0.026*J46</f>
        <v>1.1219999999999999</v>
      </c>
      <c r="L46" s="3" t="s">
        <v>450</v>
      </c>
      <c r="M46" s="3">
        <v>3</v>
      </c>
      <c r="N46" s="8">
        <f>0.97+0.00089*M46</f>
        <v>0.97266999999999992</v>
      </c>
      <c r="O46" s="3" t="s">
        <v>451</v>
      </c>
      <c r="P46" s="3">
        <v>3</v>
      </c>
      <c r="Q46" s="8">
        <f>0.93+0.0052*P46</f>
        <v>0.9456</v>
      </c>
      <c r="R46" t="s">
        <v>447</v>
      </c>
      <c r="S46">
        <v>3</v>
      </c>
      <c r="T46" s="7">
        <f>0.95+0.0031*S46</f>
        <v>0.95929999999999993</v>
      </c>
    </row>
    <row r="47" spans="1:20" x14ac:dyDescent="0.25">
      <c r="A47" t="s">
        <v>87</v>
      </c>
      <c r="B47" t="s">
        <v>88</v>
      </c>
      <c r="C47" s="3" t="s">
        <v>454</v>
      </c>
      <c r="D47" s="3">
        <v>3</v>
      </c>
      <c r="E47" s="5">
        <f>17+0.2*D47</f>
        <v>17.600000000000001</v>
      </c>
      <c r="F47" s="3" t="s">
        <v>455</v>
      </c>
      <c r="G47" s="3">
        <v>3</v>
      </c>
      <c r="H47" s="5">
        <f>19+0.054*G47</f>
        <v>19.161999999999999</v>
      </c>
      <c r="I47" t="s">
        <v>452</v>
      </c>
      <c r="J47">
        <v>3</v>
      </c>
      <c r="K47">
        <f>18+0.11*J47</f>
        <v>18.329999999999998</v>
      </c>
      <c r="L47" s="3" t="s">
        <v>456</v>
      </c>
      <c r="M47" s="3">
        <v>3</v>
      </c>
      <c r="N47" s="8">
        <f>18+0.088*M47</f>
        <v>18.263999999999999</v>
      </c>
      <c r="O47" s="3" t="s">
        <v>457</v>
      </c>
      <c r="P47" s="3">
        <v>3</v>
      </c>
      <c r="Q47" s="8">
        <f>18+0.1*P47</f>
        <v>18.3</v>
      </c>
      <c r="R47" t="s">
        <v>453</v>
      </c>
      <c r="S47">
        <v>3</v>
      </c>
      <c r="T47" s="7">
        <f>18+0.095*S47</f>
        <v>18.285</v>
      </c>
    </row>
    <row r="48" spans="1:20" x14ac:dyDescent="0.25">
      <c r="A48" t="s">
        <v>89</v>
      </c>
      <c r="B48" t="s">
        <v>90</v>
      </c>
      <c r="C48" s="3" t="s">
        <v>460</v>
      </c>
      <c r="D48" s="3">
        <v>3</v>
      </c>
      <c r="E48" s="5">
        <f>3.5+0.095*D48</f>
        <v>3.7850000000000001</v>
      </c>
      <c r="F48" s="3" t="s">
        <v>461</v>
      </c>
      <c r="G48" s="3">
        <v>3</v>
      </c>
      <c r="H48" s="5">
        <f>3.2+0.21*G48</f>
        <v>3.83</v>
      </c>
      <c r="I48" t="s">
        <v>458</v>
      </c>
      <c r="J48">
        <v>3</v>
      </c>
      <c r="K48">
        <f>3.3+0.16*J48</f>
        <v>3.78</v>
      </c>
      <c r="L48" s="3" t="s">
        <v>462</v>
      </c>
      <c r="M48" s="3">
        <v>3</v>
      </c>
      <c r="N48" s="8">
        <f>3.3+0.14*M48</f>
        <v>3.7199999999999998</v>
      </c>
      <c r="O48" s="3" t="s">
        <v>463</v>
      </c>
      <c r="P48" s="3">
        <v>3</v>
      </c>
      <c r="Q48" s="8">
        <f>3.6+0.11*P48</f>
        <v>3.93</v>
      </c>
      <c r="R48" t="s">
        <v>459</v>
      </c>
      <c r="S48">
        <v>3</v>
      </c>
      <c r="T48" s="7">
        <f>3.5+0.12*S48</f>
        <v>3.86</v>
      </c>
    </row>
    <row r="49" spans="1:20" ht="17.25" x14ac:dyDescent="0.25">
      <c r="A49" t="s">
        <v>91</v>
      </c>
      <c r="B49" t="s">
        <v>92</v>
      </c>
      <c r="C49" s="3" t="s">
        <v>466</v>
      </c>
      <c r="D49" s="3">
        <v>3</v>
      </c>
      <c r="E49" s="5">
        <f>1.1+0.029*D49</f>
        <v>1.1870000000000001</v>
      </c>
      <c r="F49" s="3" t="s">
        <v>467</v>
      </c>
      <c r="G49" s="3">
        <v>3</v>
      </c>
      <c r="H49" s="5">
        <f>1.3-0.02*G49</f>
        <v>1.24</v>
      </c>
      <c r="I49" t="s">
        <v>464</v>
      </c>
      <c r="J49">
        <v>3</v>
      </c>
      <c r="K49">
        <f>1.2+5.11-5*J49</f>
        <v>-8.69</v>
      </c>
      <c r="L49" s="3" t="s">
        <v>468</v>
      </c>
      <c r="M49" s="3">
        <v>3</v>
      </c>
      <c r="N49" s="8">
        <f>1.2+0.0017*M49</f>
        <v>1.2051000000000001</v>
      </c>
      <c r="O49" s="3" t="s">
        <v>469</v>
      </c>
      <c r="P49" s="3">
        <v>3</v>
      </c>
      <c r="Q49" s="8">
        <f>1.2+0.0038*P49</f>
        <v>1.2114</v>
      </c>
      <c r="R49" t="s">
        <v>465</v>
      </c>
      <c r="S49">
        <v>3</v>
      </c>
      <c r="T49" s="7">
        <f>1.2+0.0028*S49</f>
        <v>1.2083999999999999</v>
      </c>
    </row>
    <row r="50" spans="1:20" x14ac:dyDescent="0.25">
      <c r="A50" t="s">
        <v>93</v>
      </c>
      <c r="B50" t="s">
        <v>94</v>
      </c>
      <c r="C50" s="3" t="s">
        <v>472</v>
      </c>
      <c r="D50" s="3">
        <v>3</v>
      </c>
      <c r="E50" s="5">
        <f>3.8+0.041*D50</f>
        <v>3.923</v>
      </c>
      <c r="F50" s="3" t="s">
        <v>473</v>
      </c>
      <c r="G50" s="3">
        <v>3</v>
      </c>
      <c r="H50" s="5">
        <f>4.1+0.064*G50</f>
        <v>4.2919999999999998</v>
      </c>
      <c r="I50" t="s">
        <v>470</v>
      </c>
      <c r="J50">
        <v>3</v>
      </c>
      <c r="K50">
        <f>3.9+0.055*J50</f>
        <v>4.0649999999999995</v>
      </c>
      <c r="L50" s="3" t="s">
        <v>474</v>
      </c>
      <c r="M50" s="3">
        <v>3</v>
      </c>
      <c r="N50" s="8">
        <f>3+0.22*M50</f>
        <v>3.66</v>
      </c>
      <c r="O50" s="3" t="s">
        <v>475</v>
      </c>
      <c r="P50" s="3">
        <v>3</v>
      </c>
      <c r="Q50" s="8">
        <f>2.7+0.26*P50</f>
        <v>3.4800000000000004</v>
      </c>
      <c r="R50" t="s">
        <v>471</v>
      </c>
      <c r="S50">
        <v>3</v>
      </c>
      <c r="T50" s="7">
        <f>2.9+0.24*S50</f>
        <v>3.62</v>
      </c>
    </row>
    <row r="51" spans="1:20" x14ac:dyDescent="0.25">
      <c r="A51" t="s">
        <v>95</v>
      </c>
      <c r="B51" t="s">
        <v>96</v>
      </c>
      <c r="C51" s="3" t="s">
        <v>478</v>
      </c>
      <c r="D51" s="3">
        <v>3</v>
      </c>
      <c r="E51" s="5">
        <f>4.9+0.1*D51</f>
        <v>5.2</v>
      </c>
      <c r="F51" s="3" t="s">
        <v>479</v>
      </c>
      <c r="G51" s="3">
        <v>3</v>
      </c>
      <c r="H51" s="5">
        <f>6.1-0.089*G51</f>
        <v>5.8329999999999993</v>
      </c>
      <c r="I51" t="s">
        <v>476</v>
      </c>
      <c r="J51">
        <v>3</v>
      </c>
      <c r="K51">
        <f>5.6-0.013*J51</f>
        <v>5.5609999999999999</v>
      </c>
      <c r="L51" s="3" t="s">
        <v>477</v>
      </c>
      <c r="M51" s="3">
        <v>3</v>
      </c>
      <c r="N51" s="8">
        <f>5.1+0.11*M51</f>
        <v>5.43</v>
      </c>
      <c r="O51" s="3" t="s">
        <v>480</v>
      </c>
      <c r="P51" s="3">
        <v>3</v>
      </c>
      <c r="Q51" s="8">
        <f>5+0.12*P51</f>
        <v>5.36</v>
      </c>
      <c r="R51" t="s">
        <v>477</v>
      </c>
      <c r="S51">
        <v>3</v>
      </c>
      <c r="T51" s="7">
        <f>5.1+0.11*S51</f>
        <v>5.43</v>
      </c>
    </row>
    <row r="52" spans="1:20" x14ac:dyDescent="0.25">
      <c r="A52" t="s">
        <v>97</v>
      </c>
      <c r="B52" t="s">
        <v>98</v>
      </c>
      <c r="C52" s="3" t="s">
        <v>483</v>
      </c>
      <c r="D52" s="3">
        <v>3</v>
      </c>
      <c r="E52" s="5">
        <f>18+0.31*D52</f>
        <v>18.93</v>
      </c>
      <c r="F52" s="3" t="s">
        <v>484</v>
      </c>
      <c r="G52" s="3">
        <v>3</v>
      </c>
      <c r="H52" s="5">
        <f>23-0.51*G52</f>
        <v>21.47</v>
      </c>
      <c r="I52" t="s">
        <v>481</v>
      </c>
      <c r="J52">
        <v>3</v>
      </c>
      <c r="K52">
        <f>21-0.17*J52</f>
        <v>20.49</v>
      </c>
      <c r="L52" s="3" t="s">
        <v>485</v>
      </c>
      <c r="M52" s="3">
        <v>3</v>
      </c>
      <c r="N52" s="8">
        <f>18+0.22*M52</f>
        <v>18.66</v>
      </c>
      <c r="O52" s="3" t="s">
        <v>486</v>
      </c>
      <c r="P52" s="3">
        <v>3</v>
      </c>
      <c r="Q52" s="8">
        <f>18+0.26*P52</f>
        <v>18.78</v>
      </c>
      <c r="R52" t="s">
        <v>482</v>
      </c>
      <c r="S52">
        <v>3</v>
      </c>
      <c r="T52" s="7">
        <f>18+0.24*S52</f>
        <v>18.72</v>
      </c>
    </row>
    <row r="53" spans="1:20" x14ac:dyDescent="0.25">
      <c r="A53" t="s">
        <v>99</v>
      </c>
      <c r="B53" t="s">
        <v>100</v>
      </c>
      <c r="C53" s="3" t="s">
        <v>180</v>
      </c>
      <c r="D53" s="3">
        <v>3</v>
      </c>
      <c r="E53" s="5">
        <f>3.7+0.36*D53</f>
        <v>4.78</v>
      </c>
      <c r="F53" s="3" t="s">
        <v>179</v>
      </c>
      <c r="G53" s="3">
        <v>3</v>
      </c>
      <c r="H53" s="5">
        <f>6.5-0.19*G53</f>
        <v>5.93</v>
      </c>
      <c r="I53" t="s">
        <v>487</v>
      </c>
      <c r="J53">
        <v>3</v>
      </c>
      <c r="K53">
        <f>5.3+0.039*J53</f>
        <v>5.4169999999999998</v>
      </c>
      <c r="L53" s="3" t="s">
        <v>181</v>
      </c>
      <c r="M53" s="3">
        <v>3</v>
      </c>
      <c r="N53" s="8">
        <f>4.2+0.23*M53</f>
        <v>4.8900000000000006</v>
      </c>
      <c r="O53" s="3" t="s">
        <v>182</v>
      </c>
      <c r="P53" s="3">
        <v>3</v>
      </c>
      <c r="Q53" s="8">
        <f>4.1+0.23*P53</f>
        <v>4.79</v>
      </c>
      <c r="R53" t="s">
        <v>182</v>
      </c>
      <c r="S53">
        <v>3</v>
      </c>
      <c r="T53" s="7">
        <f>4.1+0.23*S53</f>
        <v>4.79</v>
      </c>
    </row>
    <row r="54" spans="1:20" x14ac:dyDescent="0.25">
      <c r="A54" t="s">
        <v>101</v>
      </c>
      <c r="B54" t="s">
        <v>102</v>
      </c>
      <c r="C54" s="3" t="s">
        <v>489</v>
      </c>
      <c r="D54" s="3">
        <v>3</v>
      </c>
      <c r="E54" s="5">
        <f>21-0.078*D54</f>
        <v>20.765999999999998</v>
      </c>
      <c r="F54" s="3" t="s">
        <v>490</v>
      </c>
      <c r="G54" s="3">
        <v>3</v>
      </c>
      <c r="H54" s="5">
        <f>21+0.23*G54</f>
        <v>21.69</v>
      </c>
      <c r="I54" t="s">
        <v>488</v>
      </c>
      <c r="J54">
        <v>3</v>
      </c>
      <c r="K54">
        <f>21+0.1*J54</f>
        <v>21.3</v>
      </c>
      <c r="L54" s="3" t="s">
        <v>491</v>
      </c>
      <c r="M54" s="3">
        <v>3</v>
      </c>
      <c r="N54" s="8">
        <f>20+0.24*M54</f>
        <v>20.72</v>
      </c>
      <c r="O54" s="3" t="s">
        <v>215</v>
      </c>
      <c r="P54" s="3">
        <v>3</v>
      </c>
      <c r="Q54" s="8">
        <f>20+0.31*P54</f>
        <v>20.93</v>
      </c>
      <c r="R54" t="s">
        <v>420</v>
      </c>
      <c r="S54">
        <v>3</v>
      </c>
      <c r="T54" s="7">
        <f>20+0.27*S54</f>
        <v>20.81</v>
      </c>
    </row>
    <row r="55" spans="1:20" x14ac:dyDescent="0.25">
      <c r="A55" t="s">
        <v>103</v>
      </c>
      <c r="B55" t="s">
        <v>104</v>
      </c>
      <c r="C55" s="3" t="s">
        <v>177</v>
      </c>
      <c r="D55" s="3">
        <v>3</v>
      </c>
      <c r="E55" s="5">
        <f>16+0.34*D55</f>
        <v>17.02</v>
      </c>
      <c r="F55" s="3" t="s">
        <v>178</v>
      </c>
      <c r="G55" s="3">
        <v>3</v>
      </c>
      <c r="H55" s="5">
        <f>15+0.77*G55</f>
        <v>17.309999999999999</v>
      </c>
      <c r="I55" t="s">
        <v>183</v>
      </c>
      <c r="J55">
        <v>3</v>
      </c>
      <c r="K55">
        <f>16+0.6*J55</f>
        <v>17.8</v>
      </c>
      <c r="L55" s="3" t="s">
        <v>184</v>
      </c>
      <c r="M55" s="3">
        <v>3</v>
      </c>
      <c r="N55" s="8">
        <f>15+0.6*M55</f>
        <v>16.8</v>
      </c>
      <c r="O55" s="3" t="s">
        <v>183</v>
      </c>
      <c r="P55" s="3">
        <v>3</v>
      </c>
      <c r="Q55" s="8">
        <f>16+0.6*P55</f>
        <v>17.8</v>
      </c>
      <c r="R55" t="s">
        <v>184</v>
      </c>
      <c r="S55">
        <v>3</v>
      </c>
      <c r="T55" s="7">
        <f>15+0.6*S55</f>
        <v>16.8</v>
      </c>
    </row>
    <row r="56" spans="1:20" x14ac:dyDescent="0.25">
      <c r="A56" t="s">
        <v>105</v>
      </c>
      <c r="B56" t="s">
        <v>106</v>
      </c>
      <c r="C56" s="3" t="s">
        <v>410</v>
      </c>
      <c r="D56" s="3">
        <v>3</v>
      </c>
      <c r="E56" s="5">
        <f>14-0.18*D56</f>
        <v>13.46</v>
      </c>
      <c r="F56" s="3" t="s">
        <v>408</v>
      </c>
      <c r="G56" s="3">
        <v>3</v>
      </c>
      <c r="H56" s="5">
        <f>15-0.17*G56</f>
        <v>14.49</v>
      </c>
      <c r="I56" t="s">
        <v>408</v>
      </c>
      <c r="J56">
        <v>3</v>
      </c>
      <c r="K56">
        <f>15-0.17*J56</f>
        <v>14.49</v>
      </c>
      <c r="L56" s="3" t="s">
        <v>493</v>
      </c>
      <c r="M56" s="3">
        <v>3</v>
      </c>
      <c r="N56" s="8">
        <f>13+0.07*M56</f>
        <v>13.21</v>
      </c>
      <c r="O56" s="3" t="s">
        <v>494</v>
      </c>
      <c r="P56" s="3">
        <v>3</v>
      </c>
      <c r="Q56" s="8">
        <f>13+0.08*P56</f>
        <v>13.24</v>
      </c>
      <c r="R56" t="s">
        <v>492</v>
      </c>
      <c r="S56">
        <v>3</v>
      </c>
      <c r="T56" s="7">
        <f>13+0.075*S56</f>
        <v>13.225</v>
      </c>
    </row>
    <row r="57" spans="1:20" x14ac:dyDescent="0.25">
      <c r="A57" t="s">
        <v>107</v>
      </c>
      <c r="B57" t="s">
        <v>108</v>
      </c>
      <c r="C57" s="3" t="s">
        <v>497</v>
      </c>
      <c r="D57" s="3">
        <v>3</v>
      </c>
      <c r="E57" s="5">
        <f>2.9-0.094*D57</f>
        <v>2.6179999999999999</v>
      </c>
      <c r="F57" s="3" t="s">
        <v>498</v>
      </c>
      <c r="G57" s="3">
        <v>3</v>
      </c>
      <c r="H57" s="5">
        <f>4.4-0.18*G57</f>
        <v>3.8600000000000003</v>
      </c>
      <c r="I57" t="s">
        <v>495</v>
      </c>
      <c r="J57">
        <v>3</v>
      </c>
      <c r="K57">
        <f>3.6-0.13*J57</f>
        <v>3.21</v>
      </c>
      <c r="L57" s="3" t="s">
        <v>499</v>
      </c>
      <c r="M57" s="3">
        <v>3</v>
      </c>
      <c r="N57" s="8">
        <f>2.8-0.057*M57</f>
        <v>2.629</v>
      </c>
      <c r="O57" s="3" t="s">
        <v>500</v>
      </c>
      <c r="P57" s="3">
        <v>3</v>
      </c>
      <c r="Q57" s="8">
        <f>3.2-0.095*P57</f>
        <v>2.915</v>
      </c>
      <c r="R57" t="s">
        <v>496</v>
      </c>
      <c r="S57">
        <v>3</v>
      </c>
      <c r="T57" s="7">
        <f>3-0.077*S57</f>
        <v>2.7690000000000001</v>
      </c>
    </row>
    <row r="58" spans="1:20" x14ac:dyDescent="0.25">
      <c r="A58" t="s">
        <v>109</v>
      </c>
      <c r="B58" t="s">
        <v>110</v>
      </c>
      <c r="C58" s="3" t="s">
        <v>503</v>
      </c>
      <c r="D58" s="3">
        <v>3</v>
      </c>
      <c r="E58" s="5">
        <f>3.5+0.066*D58</f>
        <v>3.698</v>
      </c>
      <c r="F58" s="3" t="s">
        <v>504</v>
      </c>
      <c r="G58" s="3">
        <v>3</v>
      </c>
      <c r="H58" s="5">
        <f>5.5-0.22*G58</f>
        <v>4.84</v>
      </c>
      <c r="I58" t="s">
        <v>501</v>
      </c>
      <c r="J58">
        <v>3</v>
      </c>
      <c r="K58">
        <f>4.6-0.098*J58</f>
        <v>4.3059999999999992</v>
      </c>
      <c r="L58" s="3" t="s">
        <v>463</v>
      </c>
      <c r="M58" s="3">
        <v>3</v>
      </c>
      <c r="N58" s="8">
        <f>3.6+0.11*M58</f>
        <v>3.93</v>
      </c>
      <c r="O58" s="3" t="s">
        <v>505</v>
      </c>
      <c r="P58" s="3">
        <v>3</v>
      </c>
      <c r="Q58" s="8">
        <f>41.1+0.013*P58</f>
        <v>41.139000000000003</v>
      </c>
      <c r="R58" t="s">
        <v>502</v>
      </c>
      <c r="S58">
        <v>3</v>
      </c>
      <c r="T58" s="7">
        <f>3.8+0.063*S58</f>
        <v>3.9889999999999999</v>
      </c>
    </row>
    <row r="59" spans="1:20" x14ac:dyDescent="0.25">
      <c r="A59" t="s">
        <v>111</v>
      </c>
      <c r="B59" t="s">
        <v>112</v>
      </c>
      <c r="C59" s="3" t="s">
        <v>508</v>
      </c>
      <c r="D59" s="3">
        <v>3</v>
      </c>
      <c r="E59" s="5">
        <f>3.4+0.036*D59</f>
        <v>3.508</v>
      </c>
      <c r="F59" s="3" t="s">
        <v>509</v>
      </c>
      <c r="G59" s="3">
        <v>3</v>
      </c>
      <c r="H59" s="5">
        <f>3.6+0.076*G59</f>
        <v>3.8280000000000003</v>
      </c>
      <c r="I59" t="s">
        <v>506</v>
      </c>
      <c r="J59">
        <v>3</v>
      </c>
      <c r="K59">
        <f>3.5+0.06*J59</f>
        <v>3.68</v>
      </c>
      <c r="L59" s="3" t="s">
        <v>510</v>
      </c>
      <c r="M59" s="3">
        <v>3</v>
      </c>
      <c r="N59" s="8">
        <f>3.2+0.082*M59</f>
        <v>3.4460000000000002</v>
      </c>
      <c r="O59" s="3" t="s">
        <v>511</v>
      </c>
      <c r="P59" s="3">
        <v>3</v>
      </c>
      <c r="Q59" s="8">
        <f>3.2+0.1*P59</f>
        <v>3.5</v>
      </c>
      <c r="R59" t="s">
        <v>507</v>
      </c>
      <c r="S59">
        <v>3</v>
      </c>
      <c r="T59" s="7">
        <f>3.2+0.091*S59</f>
        <v>3.4730000000000003</v>
      </c>
    </row>
    <row r="60" spans="1:20" x14ac:dyDescent="0.25">
      <c r="A60" t="s">
        <v>113</v>
      </c>
      <c r="B60" t="s">
        <v>114</v>
      </c>
      <c r="C60" s="3" t="s">
        <v>514</v>
      </c>
      <c r="D60" s="3">
        <v>3</v>
      </c>
      <c r="E60" s="5">
        <f>7.1+0.27*D60</f>
        <v>7.91</v>
      </c>
      <c r="F60" s="3" t="s">
        <v>515</v>
      </c>
      <c r="G60" s="3">
        <v>3</v>
      </c>
      <c r="H60" s="5">
        <f>9.4-0.16*G60</f>
        <v>8.92</v>
      </c>
      <c r="I60" t="s">
        <v>512</v>
      </c>
      <c r="J60">
        <v>3</v>
      </c>
      <c r="K60">
        <f>8.4+0.018*J60</f>
        <v>8.4540000000000006</v>
      </c>
      <c r="L60" s="3" t="s">
        <v>516</v>
      </c>
      <c r="M60" s="3">
        <v>3</v>
      </c>
      <c r="N60" s="8">
        <f>8.4+0.067*M60</f>
        <v>8.6010000000000009</v>
      </c>
      <c r="O60" s="3" t="s">
        <v>517</v>
      </c>
      <c r="P60" s="3">
        <v>3</v>
      </c>
      <c r="Q60" s="8">
        <f>8.4+0.026*P60</f>
        <v>8.4779999999999998</v>
      </c>
      <c r="R60" t="s">
        <v>513</v>
      </c>
      <c r="S60">
        <v>3</v>
      </c>
      <c r="T60" s="7">
        <f>8.4+0.047*S60</f>
        <v>8.5410000000000004</v>
      </c>
    </row>
    <row r="61" spans="1:20" x14ac:dyDescent="0.25">
      <c r="A61" t="s">
        <v>115</v>
      </c>
      <c r="B61" t="s">
        <v>116</v>
      </c>
      <c r="C61" s="3" t="s">
        <v>520</v>
      </c>
      <c r="D61" s="3">
        <v>3</v>
      </c>
      <c r="E61" s="5">
        <f>1.2-0.0086*D61</f>
        <v>1.1741999999999999</v>
      </c>
      <c r="F61" s="3" t="s">
        <v>521</v>
      </c>
      <c r="G61" s="3">
        <v>3</v>
      </c>
      <c r="H61" s="5">
        <f>1.1-0.00069*G61</f>
        <v>1.0979300000000001</v>
      </c>
      <c r="I61" t="s">
        <v>518</v>
      </c>
      <c r="J61">
        <v>3</v>
      </c>
      <c r="K61">
        <f>1.2-0.004*J61</f>
        <v>1.1879999999999999</v>
      </c>
      <c r="L61" s="3" t="s">
        <v>522</v>
      </c>
      <c r="M61" s="3">
        <v>3</v>
      </c>
      <c r="N61" s="8">
        <f>1.1+0.0072*M61</f>
        <v>1.1216000000000002</v>
      </c>
      <c r="O61" s="3" t="s">
        <v>523</v>
      </c>
      <c r="P61" s="3">
        <v>3</v>
      </c>
      <c r="Q61" s="8">
        <f>1.1+0.0063*P61</f>
        <v>1.1189</v>
      </c>
      <c r="R61" t="s">
        <v>519</v>
      </c>
      <c r="S61">
        <v>3</v>
      </c>
      <c r="T61" s="7">
        <f>1.1+0.0067*S61</f>
        <v>1.1201000000000001</v>
      </c>
    </row>
    <row r="62" spans="1:20" s="3" customFormat="1" x14ac:dyDescent="0.25">
      <c r="A62" s="3" t="s">
        <v>656</v>
      </c>
      <c r="B62" s="3" t="s">
        <v>117</v>
      </c>
      <c r="C62" s="3" t="s">
        <v>169</v>
      </c>
      <c r="D62" s="3">
        <v>3</v>
      </c>
      <c r="E62" s="5">
        <f>17+0.49*D62</f>
        <v>18.47</v>
      </c>
      <c r="F62" s="3" t="s">
        <v>168</v>
      </c>
      <c r="G62" s="3">
        <v>3</v>
      </c>
      <c r="H62" s="5">
        <f>18+0.5*G62</f>
        <v>19.5</v>
      </c>
      <c r="I62" s="3" t="s">
        <v>529</v>
      </c>
      <c r="J62" s="3">
        <v>3</v>
      </c>
      <c r="K62" s="3">
        <f>17+0.5*J62</f>
        <v>18.5</v>
      </c>
      <c r="L62" s="3" t="s">
        <v>654</v>
      </c>
      <c r="M62" s="3">
        <v>3</v>
      </c>
      <c r="N62" s="8">
        <f>16+1.7*M62</f>
        <v>21.1</v>
      </c>
      <c r="O62" s="3" t="s">
        <v>287</v>
      </c>
      <c r="P62" s="3">
        <v>3</v>
      </c>
      <c r="Q62" s="8">
        <f>17+1.5*P62</f>
        <v>21.5</v>
      </c>
      <c r="R62" s="3" t="s">
        <v>655</v>
      </c>
      <c r="S62" s="3">
        <v>3</v>
      </c>
      <c r="T62" s="8">
        <f>17+1.6*S62</f>
        <v>21.8</v>
      </c>
    </row>
    <row r="63" spans="1:20" x14ac:dyDescent="0.25">
      <c r="A63" t="s">
        <v>118</v>
      </c>
      <c r="B63" t="s">
        <v>119</v>
      </c>
      <c r="C63" s="3" t="s">
        <v>176</v>
      </c>
      <c r="D63" s="3">
        <v>3</v>
      </c>
      <c r="E63" s="5">
        <f>3.8+0.66*D63</f>
        <v>5.7799999999999994</v>
      </c>
      <c r="F63" s="3" t="s">
        <v>175</v>
      </c>
      <c r="G63" s="3">
        <v>3</v>
      </c>
      <c r="H63" s="5">
        <f>8.4-0.33*G63</f>
        <v>7.41</v>
      </c>
      <c r="I63" s="3" t="s">
        <v>530</v>
      </c>
      <c r="J63">
        <v>3</v>
      </c>
      <c r="K63" s="3">
        <f>6.5+0.08*J63</f>
        <v>6.74</v>
      </c>
      <c r="L63" s="3" t="s">
        <v>173</v>
      </c>
      <c r="M63" s="3">
        <v>3</v>
      </c>
      <c r="N63" s="8">
        <f>7+0.032*M63</f>
        <v>7.0960000000000001</v>
      </c>
      <c r="O63" s="3" t="s">
        <v>174</v>
      </c>
      <c r="P63" s="3">
        <v>3</v>
      </c>
      <c r="Q63" s="8">
        <f>7+0.037*P63</f>
        <v>7.1109999999999998</v>
      </c>
      <c r="R63" t="s">
        <v>531</v>
      </c>
      <c r="S63">
        <v>3</v>
      </c>
      <c r="T63" s="7">
        <f>7+0.034*S63</f>
        <v>7.1020000000000003</v>
      </c>
    </row>
    <row r="64" spans="1:20" x14ac:dyDescent="0.25">
      <c r="A64" t="s">
        <v>120</v>
      </c>
      <c r="B64" t="s">
        <v>121</v>
      </c>
      <c r="C64" s="3" t="s">
        <v>210</v>
      </c>
      <c r="D64" s="3">
        <v>3</v>
      </c>
      <c r="E64" s="5">
        <f>20+0.41*D64</f>
        <v>21.23</v>
      </c>
      <c r="F64" s="3" t="s">
        <v>211</v>
      </c>
      <c r="G64" s="3">
        <v>3</v>
      </c>
      <c r="H64" s="5">
        <f>21+0.56*G64</f>
        <v>22.68</v>
      </c>
      <c r="I64" s="3" t="s">
        <v>532</v>
      </c>
      <c r="J64">
        <v>3</v>
      </c>
      <c r="K64" s="3">
        <f>30+0.5*J64</f>
        <v>31.5</v>
      </c>
      <c r="L64" s="3" t="s">
        <v>212</v>
      </c>
      <c r="M64" s="3">
        <v>3</v>
      </c>
      <c r="N64" s="8">
        <f>21+0.13*M64</f>
        <v>21.39</v>
      </c>
      <c r="O64" s="3" t="s">
        <v>213</v>
      </c>
      <c r="P64" s="3">
        <v>3</v>
      </c>
      <c r="Q64" s="8">
        <f>24+0.13*P64</f>
        <v>24.39</v>
      </c>
      <c r="R64" t="s">
        <v>533</v>
      </c>
      <c r="S64">
        <v>3</v>
      </c>
      <c r="T64" s="7">
        <f>22+0.13*S64</f>
        <v>22.39</v>
      </c>
    </row>
    <row r="65" spans="1:20" x14ac:dyDescent="0.25">
      <c r="A65" t="s">
        <v>122</v>
      </c>
      <c r="B65" t="s">
        <v>123</v>
      </c>
      <c r="C65" s="3" t="s">
        <v>536</v>
      </c>
      <c r="D65" s="3">
        <v>3</v>
      </c>
      <c r="E65" s="5">
        <f>3.2+0.042*D65</f>
        <v>3.3260000000000001</v>
      </c>
      <c r="F65" s="3" t="s">
        <v>537</v>
      </c>
      <c r="G65" s="3">
        <v>3</v>
      </c>
      <c r="H65" s="5">
        <f>3.3-0.068*G65</f>
        <v>3.0959999999999996</v>
      </c>
      <c r="I65" s="3" t="s">
        <v>534</v>
      </c>
      <c r="J65">
        <v>3</v>
      </c>
      <c r="K65" s="3">
        <f>3.3-0.023*J65</f>
        <v>3.2309999999999999</v>
      </c>
      <c r="L65" s="3" t="s">
        <v>538</v>
      </c>
      <c r="M65" s="3">
        <v>3</v>
      </c>
      <c r="N65" s="8">
        <f>2.7+0.015*M65</f>
        <v>2.7450000000000001</v>
      </c>
      <c r="O65" s="3" t="s">
        <v>539</v>
      </c>
      <c r="P65" s="3">
        <v>3</v>
      </c>
      <c r="Q65" s="8">
        <f>2.8+0.0028*P65</f>
        <v>2.8083999999999998</v>
      </c>
      <c r="R65" t="s">
        <v>535</v>
      </c>
      <c r="S65">
        <v>3</v>
      </c>
      <c r="T65" s="7">
        <f>2.7+0.0075*S65</f>
        <v>2.7225000000000001</v>
      </c>
    </row>
    <row r="66" spans="1:20" ht="17.25" x14ac:dyDescent="0.25">
      <c r="A66" t="s">
        <v>524</v>
      </c>
      <c r="B66" t="s">
        <v>124</v>
      </c>
      <c r="C66" s="3" t="s">
        <v>525</v>
      </c>
      <c r="D66" s="3">
        <v>3</v>
      </c>
      <c r="E66" s="5">
        <f>1.2-0.00057*D66</f>
        <v>1.1982899999999999</v>
      </c>
      <c r="F66" s="3" t="s">
        <v>526</v>
      </c>
      <c r="G66" s="3">
        <v>3</v>
      </c>
      <c r="H66" s="5">
        <f>1.1+0.013*G66</f>
        <v>1.139</v>
      </c>
      <c r="I66" s="3" t="s">
        <v>540</v>
      </c>
      <c r="J66">
        <v>3</v>
      </c>
      <c r="K66" s="3">
        <f>1.1+0.0077*J66</f>
        <v>1.1231</v>
      </c>
      <c r="L66" s="3" t="s">
        <v>527</v>
      </c>
      <c r="M66" s="3">
        <v>3</v>
      </c>
      <c r="N66" s="8">
        <f>1.2-0.0014*M66</f>
        <v>1.1958</v>
      </c>
      <c r="O66" s="3" t="s">
        <v>528</v>
      </c>
      <c r="P66" s="3">
        <v>3</v>
      </c>
      <c r="Q66" s="8">
        <f>1.1+0.0027*P66</f>
        <v>1.1081000000000001</v>
      </c>
      <c r="R66" t="s">
        <v>541</v>
      </c>
      <c r="S66">
        <v>3</v>
      </c>
      <c r="T66" s="7">
        <f>1.2+710-4*S66</f>
        <v>699.2</v>
      </c>
    </row>
    <row r="67" spans="1:20" x14ac:dyDescent="0.25">
      <c r="A67" t="s">
        <v>125</v>
      </c>
      <c r="B67" t="s">
        <v>126</v>
      </c>
      <c r="C67" s="3" t="s">
        <v>220</v>
      </c>
      <c r="D67" s="3">
        <v>3</v>
      </c>
      <c r="E67" s="5">
        <f>18-0.6*D67</f>
        <v>16.2</v>
      </c>
      <c r="F67" s="3" t="s">
        <v>221</v>
      </c>
      <c r="G67" s="3">
        <v>3</v>
      </c>
      <c r="H67" s="5">
        <f>15+0.66*G67</f>
        <v>16.98</v>
      </c>
      <c r="I67" s="3" t="s">
        <v>542</v>
      </c>
      <c r="J67">
        <v>3</v>
      </c>
      <c r="K67" s="3">
        <f>16+0.15*J67</f>
        <v>16.45</v>
      </c>
      <c r="L67" s="3" t="s">
        <v>222</v>
      </c>
      <c r="M67" s="3">
        <v>3</v>
      </c>
      <c r="N67" s="8">
        <f>17-51*M67</f>
        <v>-136</v>
      </c>
      <c r="O67" s="3" t="s">
        <v>223</v>
      </c>
      <c r="P67" s="3">
        <v>3</v>
      </c>
      <c r="Q67" s="8">
        <f>16+0.26*P67</f>
        <v>16.78</v>
      </c>
      <c r="R67" t="s">
        <v>543</v>
      </c>
      <c r="S67">
        <v>3</v>
      </c>
      <c r="T67" s="7">
        <f>17-0.13*S67</f>
        <v>16.61</v>
      </c>
    </row>
    <row r="68" spans="1:20" x14ac:dyDescent="0.25">
      <c r="A68" t="s">
        <v>127</v>
      </c>
      <c r="B68" t="s">
        <v>128</v>
      </c>
      <c r="C68" s="3" t="s">
        <v>216</v>
      </c>
      <c r="D68" s="3">
        <v>3</v>
      </c>
      <c r="E68" s="5">
        <f>16+0.27*D68</f>
        <v>16.809999999999999</v>
      </c>
      <c r="F68" s="3" t="s">
        <v>217</v>
      </c>
      <c r="G68" s="3">
        <v>3</v>
      </c>
      <c r="H68" s="5">
        <f>15+0.65*G68</f>
        <v>16.95</v>
      </c>
      <c r="I68" s="3" t="s">
        <v>544</v>
      </c>
      <c r="J68">
        <v>3</v>
      </c>
      <c r="K68" s="3">
        <f>15+0.5*J68</f>
        <v>16.5</v>
      </c>
      <c r="L68" s="3" t="s">
        <v>218</v>
      </c>
      <c r="M68" s="3">
        <v>3</v>
      </c>
      <c r="N68" s="8">
        <f>17+0.18*M68</f>
        <v>17.54</v>
      </c>
      <c r="O68" s="3" t="s">
        <v>219</v>
      </c>
      <c r="P68" s="3">
        <v>3</v>
      </c>
      <c r="Q68" s="8">
        <f>16+0.33*P68</f>
        <v>16.989999999999998</v>
      </c>
      <c r="R68" t="s">
        <v>545</v>
      </c>
      <c r="S68">
        <v>3</v>
      </c>
      <c r="T68" s="7">
        <f>16+0.31*S68</f>
        <v>16.93</v>
      </c>
    </row>
    <row r="69" spans="1:20" x14ac:dyDescent="0.25">
      <c r="A69" t="s">
        <v>129</v>
      </c>
      <c r="B69" t="s">
        <v>130</v>
      </c>
      <c r="C69" s="3" t="s">
        <v>546</v>
      </c>
      <c r="D69" s="3">
        <v>3</v>
      </c>
      <c r="E69" s="5">
        <f>14-0.0029*D69</f>
        <v>13.991300000000001</v>
      </c>
      <c r="F69" s="3" t="s">
        <v>547</v>
      </c>
      <c r="G69" s="3">
        <v>3</v>
      </c>
      <c r="H69" s="5">
        <f>15-0.094*G69</f>
        <v>14.718</v>
      </c>
      <c r="I69" s="3" t="s">
        <v>550</v>
      </c>
      <c r="J69">
        <v>3</v>
      </c>
      <c r="K69" s="3">
        <f>15-0.055*J69</f>
        <v>14.835000000000001</v>
      </c>
      <c r="L69" s="3" t="s">
        <v>548</v>
      </c>
      <c r="M69" s="3">
        <v>3</v>
      </c>
      <c r="N69" s="8">
        <f>14+0.055*M69</f>
        <v>14.164999999999999</v>
      </c>
      <c r="O69" s="3" t="s">
        <v>549</v>
      </c>
      <c r="P69" s="3">
        <v>3</v>
      </c>
      <c r="Q69" s="8">
        <f>14+0.16*P69</f>
        <v>14.48</v>
      </c>
      <c r="R69" t="s">
        <v>551</v>
      </c>
      <c r="S69">
        <v>3</v>
      </c>
      <c r="T69" s="7">
        <f>14+0.11*S69</f>
        <v>14.33</v>
      </c>
    </row>
    <row r="70" spans="1:20" x14ac:dyDescent="0.25">
      <c r="A70" t="s">
        <v>131</v>
      </c>
      <c r="B70" t="s">
        <v>132</v>
      </c>
      <c r="C70" s="3" t="s">
        <v>554</v>
      </c>
      <c r="D70" s="3">
        <v>3</v>
      </c>
      <c r="E70" s="5">
        <f>1.2+0.019*D70</f>
        <v>1.2569999999999999</v>
      </c>
      <c r="F70" s="3" t="s">
        <v>555</v>
      </c>
      <c r="G70" s="3">
        <v>3</v>
      </c>
      <c r="H70" s="5">
        <f>1.3-0.011*G70</f>
        <v>1.2670000000000001</v>
      </c>
      <c r="I70" s="3" t="s">
        <v>552</v>
      </c>
      <c r="J70">
        <v>3</v>
      </c>
      <c r="K70" s="3">
        <f>1.3+0.0011*J70</f>
        <v>1.3033000000000001</v>
      </c>
      <c r="L70" s="3" t="s">
        <v>556</v>
      </c>
      <c r="M70" s="3">
        <v>3</v>
      </c>
      <c r="N70" s="8">
        <f>1.1+0.015*M70</f>
        <v>1.145</v>
      </c>
      <c r="O70" s="3" t="s">
        <v>557</v>
      </c>
      <c r="P70" s="3">
        <v>3</v>
      </c>
      <c r="Q70" s="8">
        <f>1.2+0.0087*P70</f>
        <v>1.2261</v>
      </c>
      <c r="R70" t="s">
        <v>553</v>
      </c>
      <c r="S70">
        <v>3</v>
      </c>
      <c r="T70" s="7">
        <f>1.2+0.012*S70</f>
        <v>1.236</v>
      </c>
    </row>
    <row r="71" spans="1:20" x14ac:dyDescent="0.25">
      <c r="A71" t="s">
        <v>133</v>
      </c>
      <c r="B71" t="s">
        <v>134</v>
      </c>
      <c r="C71" s="3" t="s">
        <v>560</v>
      </c>
      <c r="D71" s="3">
        <v>3</v>
      </c>
      <c r="E71" s="5">
        <f>110-2.4*D71</f>
        <v>102.8</v>
      </c>
      <c r="F71" s="3" t="s">
        <v>558</v>
      </c>
      <c r="G71" s="3">
        <v>3</v>
      </c>
      <c r="H71" s="5">
        <f>110-2.3*G71</f>
        <v>103.1</v>
      </c>
      <c r="I71" s="3" t="s">
        <v>558</v>
      </c>
      <c r="J71">
        <v>3</v>
      </c>
      <c r="K71" s="3">
        <f>110-2.3*J71</f>
        <v>103.1</v>
      </c>
      <c r="L71" s="3" t="s">
        <v>561</v>
      </c>
      <c r="M71" s="3">
        <v>3</v>
      </c>
      <c r="N71" s="8">
        <f>110-1.4*M71</f>
        <v>105.8</v>
      </c>
      <c r="O71" s="3" t="s">
        <v>562</v>
      </c>
      <c r="P71" s="3">
        <v>3</v>
      </c>
      <c r="Q71" s="8">
        <f>110-0.27*P71</f>
        <v>109.19</v>
      </c>
      <c r="R71" t="s">
        <v>559</v>
      </c>
      <c r="S71">
        <v>3</v>
      </c>
      <c r="T71" s="7">
        <f>110-0.84*S71</f>
        <v>107.48</v>
      </c>
    </row>
    <row r="72" spans="1:20" x14ac:dyDescent="0.25">
      <c r="A72" t="s">
        <v>135</v>
      </c>
      <c r="B72" t="s">
        <v>136</v>
      </c>
      <c r="C72" s="3" t="s">
        <v>565</v>
      </c>
      <c r="D72" s="3">
        <v>3</v>
      </c>
      <c r="E72" s="5">
        <f>1.2-0.0076*D72</f>
        <v>1.1772</v>
      </c>
      <c r="F72" s="3" t="s">
        <v>566</v>
      </c>
      <c r="G72" s="3">
        <v>3</v>
      </c>
      <c r="H72" s="5">
        <f>1.2-0.0021*G72</f>
        <v>1.1937</v>
      </c>
      <c r="I72" s="3" t="s">
        <v>563</v>
      </c>
      <c r="J72">
        <v>3</v>
      </c>
      <c r="K72" s="3">
        <f>1.2-0.0039*J72</f>
        <v>1.1882999999999999</v>
      </c>
      <c r="L72" s="3" t="s">
        <v>567</v>
      </c>
      <c r="M72" s="3">
        <v>3</v>
      </c>
      <c r="N72" s="8">
        <f>1.2-0.0042*M72</f>
        <v>1.1874</v>
      </c>
      <c r="O72" s="3" t="s">
        <v>568</v>
      </c>
      <c r="P72" s="3">
        <v>3</v>
      </c>
      <c r="Q72" s="8">
        <f>1.2-0.0025*P72</f>
        <v>1.1924999999999999</v>
      </c>
      <c r="R72" t="s">
        <v>564</v>
      </c>
      <c r="S72">
        <v>3</v>
      </c>
      <c r="T72" s="7">
        <f>1.2-0.0033*S72</f>
        <v>1.1900999999999999</v>
      </c>
    </row>
    <row r="73" spans="1:20" x14ac:dyDescent="0.25">
      <c r="A73" t="s">
        <v>137</v>
      </c>
      <c r="B73" t="s">
        <v>138</v>
      </c>
      <c r="C73" s="3" t="s">
        <v>571</v>
      </c>
      <c r="D73" s="3">
        <v>3</v>
      </c>
      <c r="E73" s="5">
        <f>11-0.11*D73</f>
        <v>10.67</v>
      </c>
      <c r="F73" s="3" t="s">
        <v>572</v>
      </c>
      <c r="G73" s="3">
        <v>3</v>
      </c>
      <c r="H73" s="5">
        <f>12-0.055*G73</f>
        <v>11.835000000000001</v>
      </c>
      <c r="I73" s="3" t="s">
        <v>569</v>
      </c>
      <c r="J73">
        <v>3</v>
      </c>
      <c r="K73" s="3">
        <f>11-0.077*J73</f>
        <v>10.769</v>
      </c>
      <c r="L73" s="3" t="s">
        <v>573</v>
      </c>
      <c r="M73" s="3">
        <v>3</v>
      </c>
      <c r="N73" s="8">
        <f>11+0.033*M73</f>
        <v>11.099</v>
      </c>
      <c r="O73" s="3" t="s">
        <v>574</v>
      </c>
      <c r="P73" s="3">
        <v>3</v>
      </c>
      <c r="Q73" s="8">
        <f>11+0.079*P73</f>
        <v>11.237</v>
      </c>
      <c r="R73" t="s">
        <v>570</v>
      </c>
      <c r="S73">
        <v>3</v>
      </c>
      <c r="T73" s="7">
        <f>11+0.056*S73</f>
        <v>11.167999999999999</v>
      </c>
    </row>
    <row r="74" spans="1:20" x14ac:dyDescent="0.25">
      <c r="A74" t="s">
        <v>139</v>
      </c>
      <c r="B74" t="s">
        <v>140</v>
      </c>
      <c r="C74" s="3" t="s">
        <v>577</v>
      </c>
      <c r="D74" s="3">
        <v>3</v>
      </c>
      <c r="E74" s="5">
        <f>12-0.033*D74</f>
        <v>11.901</v>
      </c>
      <c r="F74" s="3" t="s">
        <v>578</v>
      </c>
      <c r="G74" s="3">
        <v>3</v>
      </c>
      <c r="H74" s="5">
        <f>13-0.11*G74</f>
        <v>12.67</v>
      </c>
      <c r="I74" s="3" t="s">
        <v>575</v>
      </c>
      <c r="J74">
        <v>3</v>
      </c>
      <c r="K74" s="3">
        <f>12-0.078*J74</f>
        <v>11.766</v>
      </c>
      <c r="L74" s="3" t="s">
        <v>579</v>
      </c>
      <c r="M74" s="3">
        <v>3</v>
      </c>
      <c r="N74" s="8">
        <f>12+0.057*M74</f>
        <v>12.170999999999999</v>
      </c>
      <c r="O74" s="3" t="s">
        <v>580</v>
      </c>
      <c r="P74" s="3">
        <v>3</v>
      </c>
      <c r="Q74" s="8">
        <f>12+0.078*P74</f>
        <v>12.234</v>
      </c>
      <c r="R74" t="s">
        <v>576</v>
      </c>
      <c r="S74">
        <v>3</v>
      </c>
      <c r="T74" s="7">
        <f>12+0.068*S74</f>
        <v>12.204000000000001</v>
      </c>
    </row>
    <row r="75" spans="1:20" x14ac:dyDescent="0.25">
      <c r="A75" t="s">
        <v>141</v>
      </c>
      <c r="B75" t="s">
        <v>142</v>
      </c>
      <c r="C75" s="3" t="s">
        <v>583</v>
      </c>
      <c r="D75" s="3">
        <v>3</v>
      </c>
      <c r="E75" s="5">
        <f>12-0.071*D75</f>
        <v>11.787000000000001</v>
      </c>
      <c r="F75" s="3" t="s">
        <v>410</v>
      </c>
      <c r="G75" s="3">
        <v>3</v>
      </c>
      <c r="H75" s="5">
        <f>14-0.18*G75</f>
        <v>13.46</v>
      </c>
      <c r="I75" s="3" t="s">
        <v>581</v>
      </c>
      <c r="J75">
        <v>3</v>
      </c>
      <c r="K75" s="3">
        <f>13-0.13*J75</f>
        <v>12.61</v>
      </c>
      <c r="L75" s="3" t="s">
        <v>584</v>
      </c>
      <c r="M75" s="3">
        <v>3</v>
      </c>
      <c r="N75" s="8">
        <f>12+0.097*M75</f>
        <v>12.291</v>
      </c>
      <c r="O75" s="3" t="s">
        <v>585</v>
      </c>
      <c r="P75" s="3">
        <v>3</v>
      </c>
      <c r="Q75" s="8">
        <f>12+0.14*P75</f>
        <v>12.42</v>
      </c>
      <c r="R75" t="s">
        <v>582</v>
      </c>
      <c r="S75">
        <v>3</v>
      </c>
      <c r="T75" s="7">
        <f>12+0.12*S75</f>
        <v>12.36</v>
      </c>
    </row>
    <row r="76" spans="1:20" x14ac:dyDescent="0.25">
      <c r="A76" t="s">
        <v>143</v>
      </c>
      <c r="B76" t="s">
        <v>144</v>
      </c>
      <c r="C76" s="3" t="s">
        <v>587</v>
      </c>
      <c r="D76" s="3">
        <v>3</v>
      </c>
      <c r="E76" s="5">
        <f>11-0.06*D76</f>
        <v>10.82</v>
      </c>
      <c r="F76" s="3" t="s">
        <v>588</v>
      </c>
      <c r="G76" s="3">
        <v>3</v>
      </c>
      <c r="H76" s="5">
        <f>12-0.12*G76</f>
        <v>11.64</v>
      </c>
      <c r="I76" s="3" t="s">
        <v>586</v>
      </c>
      <c r="J76">
        <v>3</v>
      </c>
      <c r="K76" s="3">
        <f>12-0.097*J76</f>
        <v>11.709</v>
      </c>
      <c r="L76" s="3" t="s">
        <v>589</v>
      </c>
      <c r="M76" s="3">
        <v>3</v>
      </c>
      <c r="N76" s="8">
        <f>11+0.024*M76</f>
        <v>11.071999999999999</v>
      </c>
      <c r="O76" s="3" t="s">
        <v>590</v>
      </c>
      <c r="P76" s="3">
        <v>3</v>
      </c>
      <c r="Q76" s="8">
        <f>11+0.049*P76</f>
        <v>11.147</v>
      </c>
      <c r="R76" t="s">
        <v>209</v>
      </c>
      <c r="S76">
        <v>3</v>
      </c>
      <c r="T76" s="7">
        <f>11+0.037*S76</f>
        <v>11.111000000000001</v>
      </c>
    </row>
    <row r="77" spans="1:20" x14ac:dyDescent="0.25">
      <c r="A77" t="s">
        <v>145</v>
      </c>
      <c r="B77" t="s">
        <v>146</v>
      </c>
      <c r="C77" s="3" t="s">
        <v>593</v>
      </c>
      <c r="D77" s="3">
        <v>3</v>
      </c>
      <c r="E77" s="5">
        <f>12-0.093*D77</f>
        <v>11.721</v>
      </c>
      <c r="F77" s="3" t="s">
        <v>594</v>
      </c>
      <c r="G77" s="3">
        <v>3</v>
      </c>
      <c r="H77" s="5">
        <f>13-0.14*G77</f>
        <v>12.58</v>
      </c>
      <c r="I77" s="3" t="s">
        <v>591</v>
      </c>
      <c r="J77">
        <v>3</v>
      </c>
      <c r="K77" s="3">
        <f>13-0.12*J77</f>
        <v>12.64</v>
      </c>
      <c r="L77" s="3" t="s">
        <v>595</v>
      </c>
      <c r="M77" s="3">
        <v>3</v>
      </c>
      <c r="N77" s="8">
        <f>11+0.19*M77</f>
        <v>11.57</v>
      </c>
      <c r="O77" s="3" t="s">
        <v>596</v>
      </c>
      <c r="P77" s="3">
        <v>3</v>
      </c>
      <c r="Q77" s="8">
        <f>11+0.15*P77</f>
        <v>11.45</v>
      </c>
      <c r="R77" t="s">
        <v>592</v>
      </c>
      <c r="S77">
        <v>3</v>
      </c>
      <c r="T77" s="7">
        <f>11+0.17*S77</f>
        <v>11.51</v>
      </c>
    </row>
    <row r="78" spans="1:20" x14ac:dyDescent="0.25">
      <c r="A78" t="s">
        <v>147</v>
      </c>
      <c r="B78" t="s">
        <v>148</v>
      </c>
      <c r="C78" s="3" t="s">
        <v>599</v>
      </c>
      <c r="D78" s="3">
        <v>3</v>
      </c>
      <c r="E78" s="5">
        <f>13-0.08*D78</f>
        <v>12.76</v>
      </c>
      <c r="F78" s="3" t="s">
        <v>600</v>
      </c>
      <c r="G78" s="3">
        <v>3</v>
      </c>
      <c r="H78" s="5">
        <f>14-0.22*G78</f>
        <v>13.34</v>
      </c>
      <c r="I78" s="3" t="s">
        <v>597</v>
      </c>
      <c r="J78">
        <v>3</v>
      </c>
      <c r="K78" s="3">
        <f>14-0.16*J78</f>
        <v>13.52</v>
      </c>
      <c r="L78" s="3" t="s">
        <v>585</v>
      </c>
      <c r="M78" s="3">
        <v>3</v>
      </c>
      <c r="N78" s="8">
        <f>12+0.14*M78</f>
        <v>12.42</v>
      </c>
      <c r="O78" s="3" t="s">
        <v>601</v>
      </c>
      <c r="P78" s="3">
        <v>3</v>
      </c>
      <c r="Q78" s="8">
        <f>12+0.04*P78</f>
        <v>12.12</v>
      </c>
      <c r="R78" t="s">
        <v>598</v>
      </c>
      <c r="S78">
        <v>3</v>
      </c>
      <c r="T78" s="7">
        <f>12+0.088*S78</f>
        <v>12.263999999999999</v>
      </c>
    </row>
    <row r="79" spans="1:20" x14ac:dyDescent="0.25">
      <c r="A79" t="s">
        <v>149</v>
      </c>
      <c r="B79" t="s">
        <v>150</v>
      </c>
      <c r="C79" s="3" t="s">
        <v>604</v>
      </c>
      <c r="D79" s="3">
        <v>3</v>
      </c>
      <c r="E79" s="5">
        <f>1.3-0.00053*D79</f>
        <v>1.2984100000000001</v>
      </c>
      <c r="F79" s="3" t="s">
        <v>605</v>
      </c>
      <c r="G79" s="3">
        <v>3</v>
      </c>
      <c r="H79" s="5">
        <f>1.3-0.0072*G79</f>
        <v>1.2784</v>
      </c>
      <c r="I79" s="3" t="s">
        <v>602</v>
      </c>
      <c r="J79">
        <v>3</v>
      </c>
      <c r="K79" s="3">
        <f>1.3-0.0045*J79</f>
        <v>1.2865</v>
      </c>
      <c r="L79" s="3" t="s">
        <v>606</v>
      </c>
      <c r="M79" s="3">
        <v>3</v>
      </c>
      <c r="N79" s="8">
        <f>1.3+0.0037*M79</f>
        <v>1.3111000000000002</v>
      </c>
      <c r="O79" s="3" t="s">
        <v>607</v>
      </c>
      <c r="P79" s="3">
        <v>3</v>
      </c>
      <c r="Q79" s="8">
        <f>1.3+0.004*P79</f>
        <v>1.3120000000000001</v>
      </c>
      <c r="R79" t="s">
        <v>603</v>
      </c>
      <c r="S79">
        <v>3</v>
      </c>
      <c r="T79" s="7">
        <f>1.3+0.0038*S79</f>
        <v>1.3114000000000001</v>
      </c>
    </row>
    <row r="80" spans="1:20" x14ac:dyDescent="0.25">
      <c r="A80" t="s">
        <v>151</v>
      </c>
      <c r="B80" t="s">
        <v>152</v>
      </c>
      <c r="C80" s="3" t="s">
        <v>610</v>
      </c>
      <c r="D80" s="3">
        <v>3</v>
      </c>
      <c r="E80" s="5">
        <f>12+0.084*D80</f>
        <v>12.252000000000001</v>
      </c>
      <c r="F80" s="3" t="s">
        <v>611</v>
      </c>
      <c r="G80" s="3">
        <v>3</v>
      </c>
      <c r="H80" s="5">
        <f>13+0.066*G80</f>
        <v>13.198</v>
      </c>
      <c r="I80" s="3" t="s">
        <v>608</v>
      </c>
      <c r="J80">
        <v>3</v>
      </c>
      <c r="K80" s="3">
        <f>12+0.075*J80</f>
        <v>12.225</v>
      </c>
      <c r="L80" s="3" t="s">
        <v>612</v>
      </c>
      <c r="M80" s="3">
        <v>3</v>
      </c>
      <c r="N80" s="8">
        <f>12+0.15*M80</f>
        <v>12.45</v>
      </c>
      <c r="O80" s="3" t="s">
        <v>613</v>
      </c>
      <c r="P80" s="3">
        <v>3</v>
      </c>
      <c r="Q80" s="8">
        <f>12+0.19*P80</f>
        <v>12.57</v>
      </c>
      <c r="R80" t="s">
        <v>609</v>
      </c>
      <c r="S80">
        <v>3</v>
      </c>
      <c r="T80" s="7">
        <f>12+0.17*S80</f>
        <v>12.51</v>
      </c>
    </row>
    <row r="81" spans="1:20" x14ac:dyDescent="0.25">
      <c r="A81" t="s">
        <v>153</v>
      </c>
      <c r="B81" t="s">
        <v>154</v>
      </c>
      <c r="C81" s="3" t="s">
        <v>615</v>
      </c>
      <c r="D81" s="3">
        <v>3</v>
      </c>
      <c r="E81" s="5">
        <f>27+0.32*D81</f>
        <v>27.96</v>
      </c>
      <c r="F81" s="3" t="s">
        <v>616</v>
      </c>
      <c r="G81" s="3">
        <v>3</v>
      </c>
      <c r="H81" s="5">
        <f>28+0.67*G81</f>
        <v>30.01</v>
      </c>
      <c r="I81" s="3" t="s">
        <v>614</v>
      </c>
      <c r="J81">
        <v>3</v>
      </c>
      <c r="K81" s="3">
        <f>27+0.53*J81</f>
        <v>28.59</v>
      </c>
      <c r="L81" s="3" t="s">
        <v>617</v>
      </c>
      <c r="M81" s="3">
        <v>3</v>
      </c>
      <c r="N81" s="8">
        <f>28+0.27*M81</f>
        <v>28.81</v>
      </c>
      <c r="O81" s="3" t="s">
        <v>618</v>
      </c>
      <c r="P81" s="3">
        <v>3</v>
      </c>
      <c r="Q81" s="8">
        <f>29+0.22*P81</f>
        <v>29.66</v>
      </c>
      <c r="R81" t="s">
        <v>340</v>
      </c>
      <c r="S81">
        <v>3</v>
      </c>
      <c r="T81" s="7">
        <f>29+0.24*S81</f>
        <v>29.72</v>
      </c>
    </row>
    <row r="82" spans="1:20" x14ac:dyDescent="0.25">
      <c r="A82" t="s">
        <v>155</v>
      </c>
      <c r="B82" s="3" t="s">
        <v>156</v>
      </c>
      <c r="C82" s="3" t="s">
        <v>224</v>
      </c>
      <c r="D82" s="3">
        <v>3</v>
      </c>
      <c r="E82" s="5">
        <f>12-0.15*D82</f>
        <v>11.55</v>
      </c>
      <c r="F82" s="3" t="s">
        <v>225</v>
      </c>
      <c r="G82" s="3">
        <v>3</v>
      </c>
      <c r="H82" s="5">
        <f>113-0.13*G82</f>
        <v>112.61</v>
      </c>
      <c r="I82" t="s">
        <v>240</v>
      </c>
      <c r="J82">
        <v>3</v>
      </c>
      <c r="K82">
        <f>12-0.14*J82</f>
        <v>11.58</v>
      </c>
      <c r="L82" s="3" t="s">
        <v>226</v>
      </c>
      <c r="M82" s="3">
        <v>3</v>
      </c>
      <c r="N82" s="8">
        <f>11-0.01*M82</f>
        <v>10.97</v>
      </c>
      <c r="O82" s="3" t="s">
        <v>227</v>
      </c>
      <c r="P82" s="3">
        <v>3</v>
      </c>
      <c r="Q82" s="8">
        <f>10+0.21*P82</f>
        <v>10.63</v>
      </c>
      <c r="R82" t="s">
        <v>242</v>
      </c>
      <c r="S82">
        <v>3</v>
      </c>
      <c r="T82" s="7">
        <f>11+0.1*S82</f>
        <v>11.3</v>
      </c>
    </row>
    <row r="83" spans="1:20" x14ac:dyDescent="0.25">
      <c r="A83" t="s">
        <v>157</v>
      </c>
      <c r="B83" t="s">
        <v>158</v>
      </c>
      <c r="C83" s="3" t="s">
        <v>620</v>
      </c>
      <c r="D83" s="3">
        <v>3</v>
      </c>
      <c r="E83" s="5">
        <f>20-0.089*D83</f>
        <v>19.733000000000001</v>
      </c>
      <c r="F83" s="3" t="s">
        <v>621</v>
      </c>
      <c r="G83" s="3">
        <v>3</v>
      </c>
      <c r="H83" s="5">
        <f>21-0.14*G83</f>
        <v>20.58</v>
      </c>
      <c r="I83" t="s">
        <v>619</v>
      </c>
      <c r="J83">
        <v>3</v>
      </c>
      <c r="K83">
        <f>20+0.05*J83</f>
        <v>20.149999999999999</v>
      </c>
      <c r="L83" s="3" t="s">
        <v>622</v>
      </c>
      <c r="M83" s="3">
        <v>3</v>
      </c>
      <c r="N83" s="8">
        <f>20+0.11*M83</f>
        <v>20.329999999999998</v>
      </c>
      <c r="O83" s="3" t="s">
        <v>623</v>
      </c>
      <c r="P83" s="3">
        <v>3</v>
      </c>
      <c r="Q83" s="8">
        <f>20+0.13*P83</f>
        <v>20.39</v>
      </c>
      <c r="R83" t="s">
        <v>418</v>
      </c>
      <c r="S83">
        <v>3</v>
      </c>
      <c r="T83" s="7">
        <f>20+0.12*S83</f>
        <v>20.36</v>
      </c>
    </row>
    <row r="84" spans="1:20" x14ac:dyDescent="0.25">
      <c r="A84" t="s">
        <v>159</v>
      </c>
      <c r="B84" t="s">
        <v>160</v>
      </c>
      <c r="C84" s="3" t="s">
        <v>626</v>
      </c>
      <c r="D84" s="3">
        <v>3</v>
      </c>
      <c r="E84" s="5">
        <f>19+0.19*D84</f>
        <v>19.57</v>
      </c>
      <c r="F84" s="3" t="s">
        <v>627</v>
      </c>
      <c r="G84" s="3">
        <v>3</v>
      </c>
      <c r="H84" s="5">
        <f>21+0.11*G84</f>
        <v>21.33</v>
      </c>
      <c r="I84" t="s">
        <v>624</v>
      </c>
      <c r="J84">
        <v>3</v>
      </c>
      <c r="K84">
        <f>20+0.14*J84</f>
        <v>20.420000000000002</v>
      </c>
      <c r="L84" s="3" t="s">
        <v>628</v>
      </c>
      <c r="M84" s="3">
        <v>3</v>
      </c>
      <c r="N84" s="8">
        <f>20+0.056*M84</f>
        <v>20.167999999999999</v>
      </c>
      <c r="O84" s="3" t="s">
        <v>629</v>
      </c>
      <c r="P84" s="3">
        <v>3</v>
      </c>
      <c r="Q84" s="8">
        <f>21+0.025*P84</f>
        <v>21.074999999999999</v>
      </c>
      <c r="R84" t="s">
        <v>625</v>
      </c>
      <c r="S84">
        <v>3</v>
      </c>
      <c r="T84" s="7">
        <f>21+0.04*S84</f>
        <v>21.12</v>
      </c>
    </row>
    <row r="85" spans="1:20" x14ac:dyDescent="0.25">
      <c r="A85" t="s">
        <v>161</v>
      </c>
      <c r="B85" t="s">
        <v>162</v>
      </c>
      <c r="C85" s="3" t="s">
        <v>632</v>
      </c>
      <c r="D85" s="3">
        <v>3</v>
      </c>
      <c r="E85" s="5">
        <f>17+0.26*D85</f>
        <v>17.78</v>
      </c>
      <c r="F85" s="3" t="s">
        <v>633</v>
      </c>
      <c r="G85" s="3">
        <v>3</v>
      </c>
      <c r="H85" s="5">
        <f>20-0.29*G85</f>
        <v>19.13</v>
      </c>
      <c r="I85" t="s">
        <v>630</v>
      </c>
      <c r="J85">
        <v>3</v>
      </c>
      <c r="K85">
        <f>19-0.063*J85</f>
        <v>18.811</v>
      </c>
      <c r="L85" s="3" t="s">
        <v>634</v>
      </c>
      <c r="M85" s="3">
        <v>3</v>
      </c>
      <c r="N85" s="8">
        <f>18+0.033*M85</f>
        <v>18.099</v>
      </c>
      <c r="O85" s="3" t="s">
        <v>635</v>
      </c>
      <c r="P85" s="3">
        <v>3</v>
      </c>
      <c r="Q85" s="8">
        <f>18+0.099*P85</f>
        <v>18.297000000000001</v>
      </c>
      <c r="R85" t="s">
        <v>631</v>
      </c>
      <c r="S85">
        <v>3</v>
      </c>
      <c r="T85" s="7">
        <f>18+0.066*S85</f>
        <v>18.198</v>
      </c>
    </row>
    <row r="86" spans="1:20" x14ac:dyDescent="0.25">
      <c r="A86" t="s">
        <v>163</v>
      </c>
      <c r="B86" t="s">
        <v>164</v>
      </c>
      <c r="C86" s="3" t="s">
        <v>638</v>
      </c>
      <c r="D86" s="3">
        <v>3</v>
      </c>
      <c r="E86" s="5">
        <f>15+0.24*D86</f>
        <v>15.72</v>
      </c>
      <c r="F86" s="3" t="s">
        <v>639</v>
      </c>
      <c r="G86" s="3">
        <v>3</v>
      </c>
      <c r="H86" s="5">
        <f>15+0.61*G86</f>
        <v>16.829999999999998</v>
      </c>
      <c r="I86" t="s">
        <v>636</v>
      </c>
      <c r="J86">
        <v>3</v>
      </c>
      <c r="K86">
        <f>15+0.46*J86</f>
        <v>16.38</v>
      </c>
      <c r="L86" s="3" t="s">
        <v>640</v>
      </c>
      <c r="M86" s="3">
        <v>3</v>
      </c>
      <c r="N86" s="8">
        <f>15+35*M86</f>
        <v>120</v>
      </c>
      <c r="O86" s="3" t="s">
        <v>641</v>
      </c>
      <c r="P86" s="3">
        <v>3</v>
      </c>
      <c r="Q86" s="8">
        <f>15+0.39*P86</f>
        <v>16.170000000000002</v>
      </c>
      <c r="R86" t="s">
        <v>637</v>
      </c>
      <c r="S86">
        <v>3</v>
      </c>
      <c r="T86" s="7">
        <f>15+0.37*S86</f>
        <v>16.11</v>
      </c>
    </row>
    <row r="87" spans="1:20" x14ac:dyDescent="0.25">
      <c r="C87"/>
      <c r="F87"/>
      <c r="G87"/>
      <c r="H87"/>
      <c r="L87"/>
      <c r="N87" s="6"/>
      <c r="O87"/>
      <c r="Q87" s="6"/>
      <c r="T87" s="6"/>
    </row>
    <row r="88" spans="1:20" x14ac:dyDescent="0.25">
      <c r="C88"/>
      <c r="F88"/>
      <c r="G88"/>
      <c r="H88"/>
      <c r="L88"/>
      <c r="O88"/>
    </row>
    <row r="89" spans="1:20" x14ac:dyDescent="0.25">
      <c r="C89"/>
      <c r="F89"/>
      <c r="G89"/>
      <c r="H89"/>
      <c r="L89"/>
      <c r="O89"/>
    </row>
    <row r="90" spans="1:20" x14ac:dyDescent="0.25">
      <c r="C90"/>
      <c r="F90"/>
      <c r="G90"/>
      <c r="H90"/>
      <c r="L90"/>
      <c r="O90"/>
    </row>
    <row r="91" spans="1:20" x14ac:dyDescent="0.25">
      <c r="C91"/>
      <c r="F91"/>
      <c r="G91"/>
      <c r="H91"/>
      <c r="L91"/>
      <c r="O91"/>
    </row>
    <row r="92" spans="1:20" x14ac:dyDescent="0.25">
      <c r="C92"/>
      <c r="F92"/>
      <c r="G92"/>
      <c r="H92"/>
      <c r="L92"/>
      <c r="O92"/>
    </row>
    <row r="93" spans="1:20" x14ac:dyDescent="0.25">
      <c r="C93"/>
      <c r="F93"/>
      <c r="G93"/>
      <c r="H93"/>
      <c r="L93"/>
      <c r="O93"/>
    </row>
    <row r="94" spans="1:20" x14ac:dyDescent="0.25">
      <c r="C94"/>
      <c r="F94"/>
      <c r="G94"/>
      <c r="H94"/>
      <c r="L94"/>
      <c r="O94"/>
    </row>
    <row r="95" spans="1:20" x14ac:dyDescent="0.25">
      <c r="C95"/>
      <c r="F95"/>
      <c r="G95"/>
      <c r="H95"/>
      <c r="L95"/>
      <c r="O95"/>
    </row>
    <row r="96" spans="1:20" x14ac:dyDescent="0.25">
      <c r="C96"/>
      <c r="F96"/>
      <c r="G96"/>
      <c r="H96"/>
      <c r="L96"/>
      <c r="O96"/>
    </row>
    <row r="97" spans="3:15" x14ac:dyDescent="0.25">
      <c r="C97"/>
      <c r="F97"/>
      <c r="G97"/>
      <c r="H97"/>
      <c r="L97"/>
      <c r="O97"/>
    </row>
    <row r="98" spans="3:15" x14ac:dyDescent="0.25">
      <c r="C98"/>
      <c r="F98"/>
      <c r="G98"/>
      <c r="H98"/>
      <c r="L98"/>
      <c r="O98"/>
    </row>
    <row r="99" spans="3:15" x14ac:dyDescent="0.25">
      <c r="C99"/>
      <c r="F99"/>
      <c r="G99"/>
      <c r="H99"/>
      <c r="L99"/>
      <c r="O99"/>
    </row>
    <row r="100" spans="3:15" x14ac:dyDescent="0.25">
      <c r="C100"/>
      <c r="F100"/>
      <c r="G100"/>
      <c r="H100"/>
      <c r="L100"/>
      <c r="O100"/>
    </row>
    <row r="101" spans="3:15" x14ac:dyDescent="0.25">
      <c r="C101"/>
      <c r="F101"/>
      <c r="G101"/>
      <c r="H101"/>
      <c r="L101"/>
      <c r="O101"/>
    </row>
    <row r="102" spans="3:15" x14ac:dyDescent="0.25">
      <c r="C102"/>
      <c r="F102"/>
      <c r="G102"/>
      <c r="H102"/>
      <c r="L102"/>
      <c r="O102"/>
    </row>
    <row r="103" spans="3:15" x14ac:dyDescent="0.25">
      <c r="C103"/>
      <c r="F103"/>
      <c r="G103"/>
      <c r="H103"/>
      <c r="L103"/>
      <c r="O103"/>
    </row>
    <row r="104" spans="3:15" x14ac:dyDescent="0.25">
      <c r="C104"/>
      <c r="F104"/>
      <c r="G104"/>
      <c r="H104"/>
      <c r="L104"/>
      <c r="O104"/>
    </row>
    <row r="105" spans="3:15" x14ac:dyDescent="0.25">
      <c r="C105"/>
      <c r="F105"/>
      <c r="G105"/>
      <c r="H105"/>
      <c r="L105"/>
      <c r="O105"/>
    </row>
    <row r="106" spans="3:15" x14ac:dyDescent="0.25">
      <c r="C106"/>
      <c r="F106"/>
      <c r="G106"/>
      <c r="H106"/>
      <c r="L106"/>
      <c r="O106"/>
    </row>
    <row r="107" spans="3:15" x14ac:dyDescent="0.25">
      <c r="C107"/>
      <c r="F107"/>
      <c r="G107"/>
      <c r="H107"/>
      <c r="L107"/>
      <c r="O107"/>
    </row>
    <row r="108" spans="3:15" x14ac:dyDescent="0.25">
      <c r="C108"/>
      <c r="F108"/>
      <c r="G108"/>
      <c r="H108"/>
      <c r="L108"/>
      <c r="O108"/>
    </row>
    <row r="109" spans="3:15" x14ac:dyDescent="0.25">
      <c r="C109"/>
      <c r="F109"/>
      <c r="G109"/>
      <c r="H109"/>
      <c r="L109"/>
      <c r="O109"/>
    </row>
    <row r="110" spans="3:15" x14ac:dyDescent="0.25">
      <c r="C110"/>
      <c r="F110"/>
      <c r="G110"/>
      <c r="H110"/>
      <c r="L110"/>
      <c r="O110"/>
    </row>
    <row r="111" spans="3:15" x14ac:dyDescent="0.25">
      <c r="C111"/>
      <c r="F111"/>
      <c r="G111"/>
      <c r="H111"/>
      <c r="L111"/>
      <c r="O111"/>
    </row>
    <row r="112" spans="3:15" x14ac:dyDescent="0.25">
      <c r="C112"/>
      <c r="F112"/>
      <c r="G112"/>
      <c r="H112"/>
      <c r="L112"/>
      <c r="O112"/>
    </row>
    <row r="113" spans="3:15" x14ac:dyDescent="0.25">
      <c r="C113"/>
      <c r="F113"/>
      <c r="G113"/>
      <c r="H113"/>
      <c r="L113"/>
      <c r="O113"/>
    </row>
    <row r="114" spans="3:15" x14ac:dyDescent="0.25">
      <c r="C114"/>
      <c r="F114"/>
      <c r="G114"/>
      <c r="H114"/>
      <c r="L114"/>
      <c r="O114"/>
    </row>
    <row r="115" spans="3:15" x14ac:dyDescent="0.25">
      <c r="C115"/>
      <c r="F115"/>
      <c r="G115"/>
      <c r="H115"/>
      <c r="L115"/>
      <c r="O115"/>
    </row>
    <row r="116" spans="3:15" x14ac:dyDescent="0.25">
      <c r="C116"/>
      <c r="F116"/>
      <c r="G116"/>
      <c r="H116"/>
      <c r="L116"/>
      <c r="O116"/>
    </row>
    <row r="117" spans="3:15" x14ac:dyDescent="0.25">
      <c r="C117"/>
      <c r="F117"/>
      <c r="G117"/>
      <c r="H117"/>
      <c r="L117"/>
      <c r="O117"/>
    </row>
    <row r="118" spans="3:15" x14ac:dyDescent="0.25">
      <c r="C118"/>
      <c r="F118"/>
      <c r="G118"/>
      <c r="H118"/>
      <c r="L118"/>
      <c r="O118"/>
    </row>
    <row r="119" spans="3:15" x14ac:dyDescent="0.25">
      <c r="C119"/>
      <c r="F119"/>
      <c r="G119"/>
      <c r="H119"/>
      <c r="L119"/>
      <c r="O119"/>
    </row>
    <row r="120" spans="3:15" x14ac:dyDescent="0.25">
      <c r="C120"/>
      <c r="F120"/>
      <c r="G120"/>
      <c r="H120"/>
      <c r="L120"/>
      <c r="O120"/>
    </row>
    <row r="121" spans="3:15" x14ac:dyDescent="0.25">
      <c r="C121"/>
      <c r="F121"/>
      <c r="G121"/>
      <c r="H121"/>
      <c r="L121"/>
      <c r="O121"/>
    </row>
    <row r="122" spans="3:15" x14ac:dyDescent="0.25">
      <c r="C122"/>
      <c r="F122"/>
      <c r="G122"/>
      <c r="H122"/>
      <c r="L122"/>
      <c r="O122"/>
    </row>
    <row r="123" spans="3:15" x14ac:dyDescent="0.25">
      <c r="C123"/>
      <c r="F123"/>
      <c r="G123"/>
      <c r="H123"/>
      <c r="L123"/>
      <c r="O123"/>
    </row>
    <row r="124" spans="3:15" x14ac:dyDescent="0.25">
      <c r="C124"/>
      <c r="F124"/>
      <c r="G124"/>
      <c r="H124"/>
      <c r="L124"/>
      <c r="O124"/>
    </row>
    <row r="125" spans="3:15" x14ac:dyDescent="0.25">
      <c r="C125"/>
      <c r="F125"/>
      <c r="G125"/>
      <c r="H125"/>
      <c r="L125"/>
      <c r="O125"/>
    </row>
    <row r="126" spans="3:15" x14ac:dyDescent="0.25">
      <c r="C126"/>
      <c r="F126"/>
      <c r="G126"/>
      <c r="H126"/>
      <c r="L126"/>
      <c r="O126"/>
    </row>
    <row r="127" spans="3:15" x14ac:dyDescent="0.25">
      <c r="C127"/>
      <c r="F127"/>
      <c r="G127"/>
      <c r="H127"/>
      <c r="L127"/>
      <c r="O127"/>
    </row>
    <row r="128" spans="3:15" x14ac:dyDescent="0.25">
      <c r="C128"/>
      <c r="F128"/>
      <c r="G128"/>
      <c r="H128"/>
      <c r="L128"/>
      <c r="O128"/>
    </row>
    <row r="129" spans="3:15" x14ac:dyDescent="0.25">
      <c r="C129"/>
      <c r="F129"/>
      <c r="G129"/>
      <c r="H129"/>
      <c r="L129"/>
      <c r="O129"/>
    </row>
    <row r="130" spans="3:15" x14ac:dyDescent="0.25">
      <c r="C130"/>
      <c r="F130"/>
      <c r="G130"/>
      <c r="H130"/>
      <c r="L130"/>
      <c r="O130"/>
    </row>
    <row r="131" spans="3:15" x14ac:dyDescent="0.25">
      <c r="C131"/>
      <c r="F131"/>
      <c r="G131"/>
      <c r="H131"/>
      <c r="L131"/>
      <c r="O131"/>
    </row>
    <row r="132" spans="3:15" x14ac:dyDescent="0.25">
      <c r="C132"/>
      <c r="F132"/>
      <c r="G132"/>
      <c r="H132"/>
      <c r="L132"/>
      <c r="O132"/>
    </row>
    <row r="133" spans="3:15" x14ac:dyDescent="0.25">
      <c r="C133"/>
      <c r="F133"/>
      <c r="G133"/>
      <c r="H133"/>
      <c r="L133"/>
      <c r="O133"/>
    </row>
    <row r="134" spans="3:15" x14ac:dyDescent="0.25">
      <c r="C134"/>
      <c r="F134"/>
      <c r="G134"/>
      <c r="H134"/>
      <c r="L134"/>
      <c r="O134"/>
    </row>
    <row r="135" spans="3:15" x14ac:dyDescent="0.25">
      <c r="C135"/>
      <c r="F135"/>
      <c r="G135"/>
      <c r="H135"/>
      <c r="L135"/>
      <c r="O135"/>
    </row>
    <row r="136" spans="3:15" x14ac:dyDescent="0.25">
      <c r="C136"/>
      <c r="F136"/>
      <c r="G136"/>
      <c r="H136"/>
      <c r="L136"/>
      <c r="O136"/>
    </row>
    <row r="137" spans="3:15" x14ac:dyDescent="0.25">
      <c r="C137"/>
      <c r="F137"/>
      <c r="G137"/>
      <c r="H137"/>
      <c r="L137"/>
      <c r="O137"/>
    </row>
    <row r="138" spans="3:15" x14ac:dyDescent="0.25">
      <c r="C138"/>
      <c r="F138"/>
      <c r="G138"/>
      <c r="H138"/>
      <c r="L138"/>
      <c r="O138"/>
    </row>
    <row r="139" spans="3:15" x14ac:dyDescent="0.25">
      <c r="C139"/>
      <c r="F139"/>
      <c r="G139"/>
      <c r="H139"/>
      <c r="L139"/>
      <c r="O139"/>
    </row>
    <row r="140" spans="3:15" x14ac:dyDescent="0.25">
      <c r="C140"/>
      <c r="F140"/>
      <c r="G140"/>
      <c r="H140"/>
      <c r="L140"/>
      <c r="O140"/>
    </row>
    <row r="141" spans="3:15" x14ac:dyDescent="0.25">
      <c r="C141"/>
      <c r="F141"/>
      <c r="G141"/>
      <c r="H141"/>
      <c r="L141"/>
      <c r="O141"/>
    </row>
    <row r="142" spans="3:15" x14ac:dyDescent="0.25">
      <c r="C142"/>
      <c r="F142"/>
      <c r="G142"/>
      <c r="H142"/>
      <c r="L142"/>
      <c r="O142"/>
    </row>
    <row r="143" spans="3:15" x14ac:dyDescent="0.25">
      <c r="C143"/>
      <c r="F143"/>
      <c r="G143"/>
      <c r="H143"/>
      <c r="L143"/>
      <c r="O143"/>
    </row>
    <row r="144" spans="3:15" x14ac:dyDescent="0.25">
      <c r="C144"/>
      <c r="F144"/>
      <c r="G144"/>
      <c r="H144"/>
      <c r="L144"/>
      <c r="O144"/>
    </row>
    <row r="145" spans="3:15" x14ac:dyDescent="0.25">
      <c r="C145"/>
      <c r="F145"/>
      <c r="G145"/>
      <c r="H145"/>
      <c r="L145"/>
      <c r="O145"/>
    </row>
    <row r="146" spans="3:15" x14ac:dyDescent="0.25">
      <c r="C146"/>
      <c r="F146"/>
      <c r="G146"/>
      <c r="H146"/>
      <c r="L146"/>
      <c r="O146"/>
    </row>
    <row r="147" spans="3:15" x14ac:dyDescent="0.25">
      <c r="C147"/>
      <c r="F147"/>
      <c r="G147"/>
      <c r="H147"/>
      <c r="L147"/>
      <c r="O147"/>
    </row>
    <row r="148" spans="3:15" x14ac:dyDescent="0.25">
      <c r="C148"/>
      <c r="F148"/>
      <c r="G148"/>
      <c r="H148"/>
      <c r="L148"/>
      <c r="O148"/>
    </row>
    <row r="149" spans="3:15" x14ac:dyDescent="0.25">
      <c r="C149"/>
      <c r="F149"/>
      <c r="G149"/>
      <c r="H149"/>
      <c r="L149"/>
      <c r="O149"/>
    </row>
    <row r="150" spans="3:15" x14ac:dyDescent="0.25">
      <c r="C150"/>
      <c r="F150"/>
      <c r="G150"/>
      <c r="H150"/>
      <c r="L150"/>
      <c r="O150"/>
    </row>
    <row r="151" spans="3:15" x14ac:dyDescent="0.25">
      <c r="C151"/>
      <c r="F151"/>
      <c r="G151"/>
      <c r="H151"/>
      <c r="L151"/>
      <c r="O151"/>
    </row>
    <row r="152" spans="3:15" x14ac:dyDescent="0.25">
      <c r="C152"/>
      <c r="F152"/>
      <c r="G152"/>
      <c r="H152"/>
      <c r="L152"/>
      <c r="O152"/>
    </row>
    <row r="153" spans="3:15" x14ac:dyDescent="0.25">
      <c r="C153"/>
      <c r="F153"/>
      <c r="G153"/>
      <c r="H153"/>
      <c r="L153"/>
      <c r="O153"/>
    </row>
    <row r="154" spans="3:15" x14ac:dyDescent="0.25">
      <c r="C154"/>
      <c r="F154"/>
      <c r="G154"/>
      <c r="H154"/>
      <c r="L154"/>
      <c r="O154"/>
    </row>
    <row r="155" spans="3:15" x14ac:dyDescent="0.25">
      <c r="C155"/>
      <c r="F155"/>
      <c r="G155"/>
      <c r="H155"/>
      <c r="L155"/>
      <c r="O155"/>
    </row>
    <row r="156" spans="3:15" x14ac:dyDescent="0.25">
      <c r="C156"/>
      <c r="F156"/>
      <c r="G156"/>
      <c r="H156"/>
      <c r="L156"/>
      <c r="O156"/>
    </row>
    <row r="157" spans="3:15" x14ac:dyDescent="0.25">
      <c r="C157"/>
      <c r="F157"/>
      <c r="G157"/>
      <c r="H157"/>
      <c r="L157"/>
      <c r="O157"/>
    </row>
    <row r="158" spans="3:15" x14ac:dyDescent="0.25">
      <c r="C158"/>
      <c r="F158"/>
      <c r="G158"/>
      <c r="H158"/>
      <c r="L158"/>
      <c r="O158"/>
    </row>
    <row r="159" spans="3:15" x14ac:dyDescent="0.25">
      <c r="C159"/>
      <c r="F159"/>
      <c r="G159"/>
      <c r="H159"/>
      <c r="L159"/>
      <c r="O159"/>
    </row>
    <row r="160" spans="3:15" x14ac:dyDescent="0.25">
      <c r="C160"/>
      <c r="F160"/>
      <c r="G160"/>
      <c r="H160"/>
      <c r="L160"/>
      <c r="O160"/>
    </row>
    <row r="161" spans="3:15" x14ac:dyDescent="0.25">
      <c r="C161"/>
      <c r="F161"/>
      <c r="G161"/>
      <c r="H161"/>
      <c r="L161"/>
      <c r="O161"/>
    </row>
    <row r="162" spans="3:15" x14ac:dyDescent="0.25">
      <c r="C162"/>
      <c r="F162"/>
      <c r="G162"/>
      <c r="H162"/>
      <c r="L162"/>
      <c r="O162"/>
    </row>
    <row r="163" spans="3:15" x14ac:dyDescent="0.25">
      <c r="C163"/>
      <c r="F163"/>
      <c r="G163"/>
      <c r="H163"/>
      <c r="L163"/>
      <c r="O163"/>
    </row>
    <row r="164" spans="3:15" x14ac:dyDescent="0.25">
      <c r="C164"/>
      <c r="F164"/>
      <c r="G164"/>
      <c r="H164"/>
      <c r="L164"/>
      <c r="O164"/>
    </row>
    <row r="165" spans="3:15" x14ac:dyDescent="0.25">
      <c r="C165"/>
      <c r="F165"/>
      <c r="G165"/>
      <c r="H165"/>
      <c r="L165"/>
      <c r="O165"/>
    </row>
    <row r="166" spans="3:15" x14ac:dyDescent="0.25">
      <c r="C166"/>
      <c r="F166"/>
      <c r="G166"/>
      <c r="H166"/>
      <c r="L166"/>
      <c r="O166"/>
    </row>
    <row r="167" spans="3:15" x14ac:dyDescent="0.25">
      <c r="C167"/>
      <c r="F167"/>
      <c r="G167"/>
      <c r="H167"/>
      <c r="L167"/>
      <c r="O167"/>
    </row>
    <row r="168" spans="3:15" x14ac:dyDescent="0.25">
      <c r="C168"/>
      <c r="F168"/>
      <c r="G168"/>
      <c r="H168"/>
      <c r="L168"/>
      <c r="O168"/>
    </row>
    <row r="169" spans="3:15" x14ac:dyDescent="0.25">
      <c r="C169"/>
      <c r="F169"/>
      <c r="G169"/>
      <c r="H169"/>
      <c r="L169"/>
      <c r="O169"/>
    </row>
    <row r="170" spans="3:15" x14ac:dyDescent="0.25">
      <c r="C170"/>
      <c r="F170"/>
      <c r="G170"/>
      <c r="H170"/>
      <c r="L170"/>
      <c r="O170"/>
    </row>
    <row r="171" spans="3:15" x14ac:dyDescent="0.25">
      <c r="C171"/>
      <c r="F171"/>
      <c r="G171"/>
      <c r="H171"/>
      <c r="L171"/>
      <c r="O171"/>
    </row>
    <row r="172" spans="3:15" x14ac:dyDescent="0.25">
      <c r="C172"/>
      <c r="F172"/>
      <c r="G172"/>
      <c r="H172"/>
      <c r="L172"/>
      <c r="O172"/>
    </row>
    <row r="173" spans="3:15" x14ac:dyDescent="0.25">
      <c r="C173"/>
      <c r="F173"/>
      <c r="G173"/>
      <c r="H173"/>
      <c r="L173"/>
      <c r="O173"/>
    </row>
    <row r="174" spans="3:15" x14ac:dyDescent="0.25">
      <c r="C174"/>
      <c r="F174"/>
      <c r="G174"/>
      <c r="H174"/>
      <c r="L174"/>
      <c r="O174"/>
    </row>
    <row r="175" spans="3:15" x14ac:dyDescent="0.25">
      <c r="C175"/>
      <c r="F175"/>
      <c r="G175"/>
      <c r="H175"/>
      <c r="L175"/>
      <c r="O175"/>
    </row>
    <row r="176" spans="3:15" x14ac:dyDescent="0.25">
      <c r="C176"/>
      <c r="F176"/>
      <c r="G176"/>
      <c r="H176"/>
      <c r="L176"/>
      <c r="O176"/>
    </row>
    <row r="177" spans="3:15" x14ac:dyDescent="0.25">
      <c r="C177"/>
      <c r="F177"/>
      <c r="G177"/>
      <c r="H177"/>
      <c r="L177"/>
      <c r="O177"/>
    </row>
    <row r="178" spans="3:15" x14ac:dyDescent="0.25">
      <c r="C178"/>
      <c r="F178"/>
      <c r="G178"/>
      <c r="H178"/>
      <c r="L178"/>
      <c r="O178"/>
    </row>
    <row r="179" spans="3:15" x14ac:dyDescent="0.25">
      <c r="C179"/>
      <c r="F179"/>
      <c r="G179"/>
      <c r="H179"/>
      <c r="L179"/>
      <c r="O179"/>
    </row>
    <row r="180" spans="3:15" x14ac:dyDescent="0.25">
      <c r="C180"/>
      <c r="F180"/>
      <c r="G180"/>
      <c r="H180"/>
      <c r="L180"/>
      <c r="O180"/>
    </row>
    <row r="181" spans="3:15" x14ac:dyDescent="0.25">
      <c r="C181"/>
      <c r="F181"/>
      <c r="G181"/>
      <c r="H181"/>
      <c r="L181"/>
      <c r="O181"/>
    </row>
    <row r="182" spans="3:15" x14ac:dyDescent="0.25">
      <c r="C182"/>
      <c r="F182"/>
      <c r="G182"/>
      <c r="H182"/>
      <c r="L182"/>
      <c r="O182"/>
    </row>
    <row r="183" spans="3:15" x14ac:dyDescent="0.25">
      <c r="C183"/>
      <c r="F183"/>
      <c r="G183"/>
      <c r="H183"/>
      <c r="L183"/>
      <c r="O183"/>
    </row>
    <row r="184" spans="3:15" x14ac:dyDescent="0.25">
      <c r="C184"/>
      <c r="F184"/>
      <c r="G184"/>
      <c r="H184"/>
      <c r="L184"/>
      <c r="O184"/>
    </row>
    <row r="185" spans="3:15" x14ac:dyDescent="0.25">
      <c r="C185"/>
      <c r="F185"/>
      <c r="G185"/>
      <c r="H185"/>
      <c r="L185"/>
      <c r="O185"/>
    </row>
    <row r="186" spans="3:15" x14ac:dyDescent="0.25">
      <c r="C186"/>
      <c r="F186"/>
      <c r="G186"/>
      <c r="H186"/>
      <c r="L186"/>
      <c r="O186"/>
    </row>
    <row r="187" spans="3:15" x14ac:dyDescent="0.25">
      <c r="C187"/>
      <c r="F187"/>
      <c r="G187"/>
      <c r="H187"/>
      <c r="L187"/>
      <c r="O187"/>
    </row>
    <row r="188" spans="3:15" x14ac:dyDescent="0.25">
      <c r="C188"/>
      <c r="F188"/>
      <c r="G188"/>
      <c r="H188"/>
      <c r="L188"/>
      <c r="O188"/>
    </row>
    <row r="189" spans="3:15" x14ac:dyDescent="0.25">
      <c r="C189"/>
      <c r="F189"/>
      <c r="G189"/>
      <c r="H189"/>
      <c r="L189"/>
      <c r="O189"/>
    </row>
    <row r="190" spans="3:15" x14ac:dyDescent="0.25">
      <c r="C190"/>
      <c r="F190"/>
      <c r="G190"/>
      <c r="H190"/>
      <c r="L190"/>
      <c r="O190"/>
    </row>
    <row r="191" spans="3:15" x14ac:dyDescent="0.25">
      <c r="C191"/>
      <c r="F191"/>
      <c r="G191"/>
      <c r="H191"/>
      <c r="L191"/>
      <c r="O191"/>
    </row>
    <row r="192" spans="3:15" x14ac:dyDescent="0.25">
      <c r="C192"/>
      <c r="F192"/>
      <c r="G192"/>
      <c r="H192"/>
      <c r="L192"/>
      <c r="O192"/>
    </row>
    <row r="193" spans="3:15" x14ac:dyDescent="0.25">
      <c r="C193"/>
      <c r="F193"/>
      <c r="G193"/>
      <c r="H193"/>
      <c r="L193"/>
      <c r="O193"/>
    </row>
    <row r="194" spans="3:15" x14ac:dyDescent="0.25">
      <c r="C194"/>
      <c r="F194"/>
      <c r="G194"/>
      <c r="H194"/>
      <c r="L194"/>
      <c r="O194"/>
    </row>
    <row r="195" spans="3:15" x14ac:dyDescent="0.25">
      <c r="C195"/>
      <c r="F195"/>
      <c r="G195"/>
      <c r="H195"/>
      <c r="L195"/>
      <c r="O195"/>
    </row>
    <row r="196" spans="3:15" x14ac:dyDescent="0.25">
      <c r="C196"/>
      <c r="F196"/>
      <c r="G196"/>
      <c r="H196"/>
      <c r="L196"/>
      <c r="O196"/>
    </row>
    <row r="197" spans="3:15" x14ac:dyDescent="0.25">
      <c r="C197"/>
      <c r="F197"/>
      <c r="G197"/>
      <c r="H197"/>
      <c r="L197"/>
      <c r="O197"/>
    </row>
    <row r="198" spans="3:15" x14ac:dyDescent="0.25">
      <c r="C198"/>
      <c r="F198"/>
      <c r="G198"/>
      <c r="H198"/>
      <c r="L198"/>
      <c r="O198"/>
    </row>
    <row r="199" spans="3:15" x14ac:dyDescent="0.25">
      <c r="C199"/>
      <c r="F199"/>
      <c r="G199"/>
      <c r="H199"/>
      <c r="L199"/>
      <c r="O199"/>
    </row>
    <row r="200" spans="3:15" x14ac:dyDescent="0.25">
      <c r="C200"/>
      <c r="F200"/>
      <c r="G200"/>
      <c r="H200"/>
      <c r="L200"/>
      <c r="O200"/>
    </row>
    <row r="201" spans="3:15" x14ac:dyDescent="0.25">
      <c r="C201"/>
      <c r="F201"/>
      <c r="G201"/>
      <c r="H201"/>
      <c r="L201"/>
      <c r="O201"/>
    </row>
    <row r="202" spans="3:15" x14ac:dyDescent="0.25">
      <c r="C202"/>
      <c r="F202"/>
      <c r="G202"/>
      <c r="H202"/>
      <c r="L202"/>
      <c r="O202"/>
    </row>
    <row r="203" spans="3:15" x14ac:dyDescent="0.25">
      <c r="C203"/>
      <c r="F203"/>
      <c r="G203"/>
      <c r="H203"/>
      <c r="L203"/>
      <c r="O203"/>
    </row>
    <row r="204" spans="3:15" x14ac:dyDescent="0.25">
      <c r="C204"/>
      <c r="F204"/>
      <c r="G204"/>
      <c r="H204"/>
      <c r="L204"/>
      <c r="O204"/>
    </row>
    <row r="205" spans="3:15" x14ac:dyDescent="0.25">
      <c r="C205"/>
      <c r="F205"/>
      <c r="G205"/>
      <c r="H205"/>
      <c r="L205"/>
      <c r="O205"/>
    </row>
    <row r="206" spans="3:15" x14ac:dyDescent="0.25">
      <c r="C206"/>
      <c r="F206"/>
      <c r="G206"/>
      <c r="H206"/>
      <c r="L206"/>
      <c r="O206"/>
    </row>
    <row r="207" spans="3:15" x14ac:dyDescent="0.25">
      <c r="C207"/>
      <c r="F207"/>
      <c r="G207"/>
      <c r="H207"/>
      <c r="L207"/>
      <c r="O207"/>
    </row>
    <row r="208" spans="3:15" x14ac:dyDescent="0.25">
      <c r="C208"/>
      <c r="F208"/>
      <c r="G208"/>
      <c r="H208"/>
      <c r="L208"/>
      <c r="O208"/>
    </row>
    <row r="209" spans="3:15" x14ac:dyDescent="0.25">
      <c r="C209"/>
      <c r="F209"/>
      <c r="G209"/>
      <c r="H209"/>
      <c r="L209"/>
      <c r="O209"/>
    </row>
    <row r="210" spans="3:15" x14ac:dyDescent="0.25">
      <c r="C210"/>
      <c r="F210"/>
      <c r="G210"/>
      <c r="H210"/>
      <c r="L210"/>
      <c r="O210"/>
    </row>
    <row r="211" spans="3:15" x14ac:dyDescent="0.25">
      <c r="C211"/>
      <c r="F211"/>
      <c r="G211"/>
      <c r="H211"/>
      <c r="L211"/>
      <c r="O211"/>
    </row>
    <row r="212" spans="3:15" x14ac:dyDescent="0.25">
      <c r="C212"/>
      <c r="F212"/>
      <c r="G212"/>
      <c r="H212"/>
      <c r="L212"/>
      <c r="O212"/>
    </row>
    <row r="213" spans="3:15" x14ac:dyDescent="0.25">
      <c r="C213"/>
      <c r="F213"/>
      <c r="G213"/>
      <c r="H213"/>
      <c r="L213"/>
      <c r="O213"/>
    </row>
    <row r="214" spans="3:15" x14ac:dyDescent="0.25">
      <c r="C214"/>
      <c r="F214"/>
      <c r="G214"/>
      <c r="H214"/>
      <c r="L214"/>
      <c r="O214"/>
    </row>
    <row r="215" spans="3:15" x14ac:dyDescent="0.25">
      <c r="C215"/>
      <c r="F215"/>
      <c r="G215"/>
      <c r="H215"/>
      <c r="L215"/>
      <c r="O215"/>
    </row>
    <row r="216" spans="3:15" x14ac:dyDescent="0.25">
      <c r="C216"/>
      <c r="F216"/>
      <c r="G216"/>
      <c r="H216"/>
      <c r="L216"/>
      <c r="O216"/>
    </row>
    <row r="217" spans="3:15" x14ac:dyDescent="0.25">
      <c r="C217"/>
      <c r="F217"/>
      <c r="G217"/>
      <c r="H217"/>
      <c r="L217"/>
      <c r="O217"/>
    </row>
    <row r="218" spans="3:15" x14ac:dyDescent="0.25">
      <c r="C218"/>
      <c r="F218"/>
      <c r="G218"/>
      <c r="H218"/>
      <c r="L218"/>
      <c r="O218"/>
    </row>
    <row r="219" spans="3:15" x14ac:dyDescent="0.25">
      <c r="C219"/>
      <c r="F219"/>
      <c r="G219"/>
      <c r="H219"/>
      <c r="L219"/>
      <c r="O219"/>
    </row>
    <row r="220" spans="3:15" x14ac:dyDescent="0.25">
      <c r="C220"/>
      <c r="F220"/>
      <c r="G220"/>
      <c r="H220"/>
      <c r="L220"/>
      <c r="O220"/>
    </row>
    <row r="221" spans="3:15" x14ac:dyDescent="0.25">
      <c r="C221"/>
      <c r="F221"/>
      <c r="G221"/>
      <c r="H221"/>
      <c r="L221"/>
      <c r="O221"/>
    </row>
    <row r="222" spans="3:15" x14ac:dyDescent="0.25">
      <c r="C222"/>
      <c r="F222"/>
      <c r="G222"/>
      <c r="H222"/>
      <c r="L222"/>
      <c r="O222"/>
    </row>
    <row r="223" spans="3:15" x14ac:dyDescent="0.25">
      <c r="C223"/>
      <c r="F223"/>
      <c r="G223"/>
      <c r="H223"/>
      <c r="L223"/>
      <c r="O223"/>
    </row>
    <row r="224" spans="3:15" x14ac:dyDescent="0.25">
      <c r="C224"/>
      <c r="F224"/>
      <c r="G224"/>
      <c r="H224"/>
      <c r="L224"/>
      <c r="O224"/>
    </row>
    <row r="225" spans="3:15" x14ac:dyDescent="0.25">
      <c r="C225"/>
      <c r="F225"/>
      <c r="G225"/>
      <c r="H225"/>
      <c r="L225"/>
      <c r="O225"/>
    </row>
    <row r="226" spans="3:15" x14ac:dyDescent="0.25">
      <c r="C226"/>
      <c r="F226"/>
      <c r="G226"/>
      <c r="H226"/>
      <c r="L226"/>
      <c r="O226"/>
    </row>
    <row r="227" spans="3:15" x14ac:dyDescent="0.25">
      <c r="C227"/>
      <c r="F227"/>
      <c r="G227"/>
      <c r="H227"/>
      <c r="L227"/>
      <c r="O227"/>
    </row>
    <row r="228" spans="3:15" x14ac:dyDescent="0.25">
      <c r="C228"/>
      <c r="F228"/>
      <c r="G228"/>
      <c r="H228"/>
      <c r="L228"/>
      <c r="O228"/>
    </row>
    <row r="229" spans="3:15" x14ac:dyDescent="0.25">
      <c r="C229"/>
      <c r="F229"/>
      <c r="G229"/>
      <c r="H229"/>
      <c r="L229"/>
      <c r="O229"/>
    </row>
    <row r="230" spans="3:15" x14ac:dyDescent="0.25">
      <c r="C230"/>
      <c r="F230"/>
      <c r="G230"/>
      <c r="H230"/>
      <c r="L230"/>
      <c r="O230"/>
    </row>
    <row r="231" spans="3:15" x14ac:dyDescent="0.25">
      <c r="C231"/>
      <c r="F231"/>
      <c r="G231"/>
      <c r="H231"/>
      <c r="L231"/>
      <c r="O231"/>
    </row>
    <row r="232" spans="3:15" x14ac:dyDescent="0.25">
      <c r="C232"/>
      <c r="F232"/>
      <c r="G232"/>
      <c r="H232"/>
      <c r="L232"/>
      <c r="O232"/>
    </row>
    <row r="233" spans="3:15" x14ac:dyDescent="0.25">
      <c r="C233"/>
      <c r="F233"/>
      <c r="G233"/>
      <c r="H233"/>
      <c r="L233"/>
      <c r="O233"/>
    </row>
    <row r="234" spans="3:15" x14ac:dyDescent="0.25">
      <c r="C234"/>
      <c r="F234"/>
      <c r="G234"/>
      <c r="H234"/>
      <c r="L234"/>
      <c r="O234"/>
    </row>
    <row r="235" spans="3:15" x14ac:dyDescent="0.25">
      <c r="C235"/>
      <c r="F235"/>
      <c r="G235"/>
      <c r="H235"/>
      <c r="L235"/>
      <c r="O235"/>
    </row>
    <row r="236" spans="3:15" x14ac:dyDescent="0.25">
      <c r="C236"/>
      <c r="F236"/>
      <c r="G236"/>
      <c r="H236"/>
      <c r="L236"/>
      <c r="O236"/>
    </row>
    <row r="237" spans="3:15" x14ac:dyDescent="0.25">
      <c r="C237"/>
      <c r="F237"/>
      <c r="G237"/>
      <c r="H237"/>
      <c r="L237"/>
      <c r="O237"/>
    </row>
    <row r="238" spans="3:15" x14ac:dyDescent="0.25">
      <c r="C238"/>
      <c r="F238"/>
      <c r="G238"/>
      <c r="H238"/>
      <c r="L238"/>
      <c r="O238"/>
    </row>
    <row r="239" spans="3:15" x14ac:dyDescent="0.25">
      <c r="C239"/>
      <c r="F239"/>
      <c r="G239"/>
      <c r="H239"/>
      <c r="L239"/>
      <c r="O239"/>
    </row>
    <row r="240" spans="3:15" x14ac:dyDescent="0.25">
      <c r="C240"/>
      <c r="F240"/>
      <c r="G240"/>
      <c r="H240"/>
      <c r="L240"/>
      <c r="O240"/>
    </row>
    <row r="241" spans="3:15" x14ac:dyDescent="0.25">
      <c r="C241"/>
      <c r="F241"/>
      <c r="G241"/>
      <c r="H241"/>
      <c r="L241"/>
      <c r="O241"/>
    </row>
    <row r="242" spans="3:15" x14ac:dyDescent="0.25">
      <c r="C242"/>
      <c r="F242"/>
      <c r="G242"/>
      <c r="H242"/>
      <c r="L242"/>
      <c r="O242"/>
    </row>
    <row r="243" spans="3:15" x14ac:dyDescent="0.25">
      <c r="C243"/>
      <c r="F243"/>
      <c r="G243"/>
      <c r="H243"/>
      <c r="L243"/>
      <c r="O243"/>
    </row>
    <row r="244" spans="3:15" x14ac:dyDescent="0.25">
      <c r="C244"/>
      <c r="F244"/>
      <c r="G244"/>
      <c r="H244"/>
      <c r="L244"/>
      <c r="O244"/>
    </row>
    <row r="245" spans="3:15" x14ac:dyDescent="0.25">
      <c r="C245"/>
      <c r="F245"/>
      <c r="G245"/>
      <c r="H245"/>
      <c r="L245"/>
      <c r="O245"/>
    </row>
    <row r="246" spans="3:15" x14ac:dyDescent="0.25">
      <c r="C246"/>
      <c r="F246"/>
      <c r="G246"/>
      <c r="H246"/>
      <c r="L246"/>
      <c r="O246"/>
    </row>
    <row r="247" spans="3:15" x14ac:dyDescent="0.25">
      <c r="C247"/>
      <c r="F247"/>
      <c r="G247"/>
      <c r="H247"/>
      <c r="L247"/>
      <c r="O247"/>
    </row>
    <row r="248" spans="3:15" x14ac:dyDescent="0.25">
      <c r="C248"/>
      <c r="F248"/>
      <c r="G248"/>
      <c r="H248"/>
      <c r="L248"/>
      <c r="O248"/>
    </row>
    <row r="249" spans="3:15" x14ac:dyDescent="0.25">
      <c r="C249"/>
      <c r="F249"/>
      <c r="G249"/>
      <c r="H249"/>
      <c r="L249"/>
      <c r="O249"/>
    </row>
    <row r="250" spans="3:15" x14ac:dyDescent="0.25">
      <c r="C250"/>
      <c r="F250"/>
      <c r="G250"/>
      <c r="H250"/>
      <c r="L250"/>
      <c r="O250"/>
    </row>
    <row r="251" spans="3:15" x14ac:dyDescent="0.25">
      <c r="C251"/>
      <c r="F251"/>
      <c r="G251"/>
      <c r="H251"/>
      <c r="L251"/>
      <c r="O251"/>
    </row>
    <row r="252" spans="3:15" x14ac:dyDescent="0.25">
      <c r="C252"/>
      <c r="F252"/>
      <c r="G252"/>
      <c r="H252"/>
      <c r="L252"/>
      <c r="O252"/>
    </row>
    <row r="253" spans="3:15" x14ac:dyDescent="0.25">
      <c r="C253"/>
      <c r="F253"/>
      <c r="G253"/>
      <c r="H253"/>
      <c r="L253"/>
      <c r="O253"/>
    </row>
    <row r="254" spans="3:15" x14ac:dyDescent="0.25">
      <c r="C254"/>
      <c r="F254"/>
      <c r="G254"/>
      <c r="H254"/>
      <c r="L254"/>
      <c r="O254"/>
    </row>
    <row r="255" spans="3:15" x14ac:dyDescent="0.25">
      <c r="C255"/>
      <c r="F255"/>
      <c r="G255"/>
      <c r="H255"/>
      <c r="L255"/>
      <c r="O255"/>
    </row>
    <row r="256" spans="3:15" x14ac:dyDescent="0.25">
      <c r="C256"/>
      <c r="F256"/>
      <c r="G256"/>
      <c r="H256"/>
      <c r="L256"/>
      <c r="O256"/>
    </row>
    <row r="257" spans="3:15" x14ac:dyDescent="0.25">
      <c r="C257"/>
      <c r="F257"/>
      <c r="G257"/>
      <c r="H257"/>
      <c r="L257"/>
      <c r="O257"/>
    </row>
    <row r="258" spans="3:15" x14ac:dyDescent="0.25">
      <c r="C258"/>
      <c r="F258"/>
      <c r="G258"/>
      <c r="H258"/>
      <c r="L258"/>
      <c r="O258"/>
    </row>
    <row r="259" spans="3:15" x14ac:dyDescent="0.25">
      <c r="C259"/>
      <c r="F259"/>
      <c r="G259"/>
      <c r="H259"/>
      <c r="L259"/>
      <c r="O259"/>
    </row>
    <row r="260" spans="3:15" x14ac:dyDescent="0.25">
      <c r="C260"/>
      <c r="F260"/>
      <c r="G260"/>
      <c r="H260"/>
      <c r="L260"/>
      <c r="O260"/>
    </row>
    <row r="261" spans="3:15" x14ac:dyDescent="0.25">
      <c r="C261"/>
      <c r="F261"/>
      <c r="G261"/>
      <c r="H261"/>
      <c r="L261"/>
      <c r="O261"/>
    </row>
    <row r="262" spans="3:15" x14ac:dyDescent="0.25">
      <c r="C262"/>
      <c r="F262"/>
      <c r="G262"/>
      <c r="H262"/>
      <c r="L262"/>
      <c r="O262"/>
    </row>
    <row r="263" spans="3:15" x14ac:dyDescent="0.25">
      <c r="C263"/>
      <c r="F263"/>
      <c r="G263"/>
      <c r="H263"/>
      <c r="L263"/>
      <c r="O263"/>
    </row>
    <row r="264" spans="3:15" x14ac:dyDescent="0.25">
      <c r="C264"/>
      <c r="F264"/>
      <c r="G264"/>
      <c r="H264"/>
      <c r="L264"/>
      <c r="O264"/>
    </row>
    <row r="265" spans="3:15" x14ac:dyDescent="0.25">
      <c r="C265"/>
      <c r="F265"/>
      <c r="G265"/>
      <c r="H265"/>
      <c r="L265"/>
      <c r="O265"/>
    </row>
    <row r="266" spans="3:15" x14ac:dyDescent="0.25">
      <c r="C266"/>
      <c r="F266"/>
      <c r="G266"/>
      <c r="H266"/>
      <c r="L266"/>
      <c r="O266"/>
    </row>
    <row r="267" spans="3:15" x14ac:dyDescent="0.25">
      <c r="C267"/>
      <c r="F267"/>
      <c r="G267"/>
      <c r="H267"/>
      <c r="L267"/>
      <c r="O267"/>
    </row>
    <row r="268" spans="3:15" x14ac:dyDescent="0.25">
      <c r="C268"/>
      <c r="F268"/>
      <c r="G268"/>
      <c r="H268"/>
      <c r="L268"/>
      <c r="O268"/>
    </row>
    <row r="269" spans="3:15" x14ac:dyDescent="0.25">
      <c r="C269"/>
      <c r="F269"/>
      <c r="G269"/>
      <c r="H269"/>
      <c r="L269"/>
      <c r="O269"/>
    </row>
    <row r="270" spans="3:15" x14ac:dyDescent="0.25">
      <c r="C270"/>
      <c r="F270"/>
      <c r="G270"/>
      <c r="H270"/>
      <c r="L270"/>
      <c r="O270"/>
    </row>
    <row r="271" spans="3:15" x14ac:dyDescent="0.25">
      <c r="C271"/>
      <c r="F271"/>
      <c r="G271"/>
      <c r="H271"/>
      <c r="L271"/>
      <c r="O271"/>
    </row>
    <row r="272" spans="3:15" x14ac:dyDescent="0.25">
      <c r="C272"/>
      <c r="F272"/>
      <c r="G272"/>
      <c r="H272"/>
      <c r="L272"/>
      <c r="O272"/>
    </row>
    <row r="273" spans="3:15" x14ac:dyDescent="0.25">
      <c r="C273"/>
      <c r="F273"/>
      <c r="G273"/>
      <c r="H273"/>
      <c r="L273"/>
      <c r="O273"/>
    </row>
    <row r="274" spans="3:15" x14ac:dyDescent="0.25">
      <c r="C274"/>
      <c r="F274"/>
      <c r="G274"/>
      <c r="H274"/>
      <c r="L274"/>
      <c r="O274"/>
    </row>
    <row r="275" spans="3:15" x14ac:dyDescent="0.25">
      <c r="C275"/>
      <c r="F275"/>
      <c r="G275"/>
      <c r="H275"/>
      <c r="L275"/>
      <c r="O275"/>
    </row>
    <row r="276" spans="3:15" x14ac:dyDescent="0.25">
      <c r="C276"/>
      <c r="F276"/>
      <c r="G276"/>
      <c r="H276"/>
      <c r="L276"/>
      <c r="O276"/>
    </row>
    <row r="277" spans="3:15" x14ac:dyDescent="0.25">
      <c r="C277"/>
      <c r="F277"/>
      <c r="G277"/>
      <c r="H277"/>
      <c r="L277"/>
      <c r="O277"/>
    </row>
    <row r="278" spans="3:15" x14ac:dyDescent="0.25">
      <c r="C278"/>
      <c r="F278"/>
      <c r="G278"/>
      <c r="H278"/>
      <c r="L278"/>
      <c r="O278"/>
    </row>
    <row r="279" spans="3:15" x14ac:dyDescent="0.25">
      <c r="C279"/>
      <c r="F279"/>
      <c r="G279"/>
      <c r="H279"/>
      <c r="L279"/>
      <c r="O279"/>
    </row>
    <row r="280" spans="3:15" x14ac:dyDescent="0.25">
      <c r="C280"/>
      <c r="F280"/>
      <c r="G280"/>
      <c r="H280"/>
      <c r="L280"/>
      <c r="O280"/>
    </row>
    <row r="281" spans="3:15" x14ac:dyDescent="0.25">
      <c r="C281"/>
      <c r="F281"/>
      <c r="G281"/>
      <c r="H281"/>
      <c r="L281"/>
      <c r="O281"/>
    </row>
    <row r="282" spans="3:15" x14ac:dyDescent="0.25">
      <c r="C282"/>
      <c r="F282"/>
      <c r="G282"/>
      <c r="H282"/>
      <c r="L282"/>
      <c r="O282"/>
    </row>
    <row r="283" spans="3:15" x14ac:dyDescent="0.25">
      <c r="C283"/>
      <c r="F283"/>
      <c r="G283"/>
      <c r="H283"/>
      <c r="L283"/>
      <c r="O283"/>
    </row>
    <row r="284" spans="3:15" x14ac:dyDescent="0.25">
      <c r="C284"/>
      <c r="F284"/>
      <c r="G284"/>
      <c r="H284"/>
      <c r="L284"/>
      <c r="O284"/>
    </row>
    <row r="285" spans="3:15" x14ac:dyDescent="0.25">
      <c r="C285"/>
      <c r="F285"/>
      <c r="G285"/>
      <c r="H285"/>
      <c r="L285"/>
      <c r="O285"/>
    </row>
    <row r="286" spans="3:15" x14ac:dyDescent="0.25">
      <c r="C286"/>
      <c r="F286"/>
      <c r="G286"/>
      <c r="H286"/>
      <c r="L286"/>
      <c r="O286"/>
    </row>
    <row r="287" spans="3:15" x14ac:dyDescent="0.25">
      <c r="C287"/>
      <c r="F287"/>
      <c r="G287"/>
      <c r="H287"/>
      <c r="L287"/>
      <c r="O287"/>
    </row>
    <row r="288" spans="3:15" x14ac:dyDescent="0.25">
      <c r="C288"/>
      <c r="F288"/>
      <c r="G288"/>
      <c r="H288"/>
      <c r="L288"/>
      <c r="O288"/>
    </row>
    <row r="289" spans="3:15" x14ac:dyDescent="0.25">
      <c r="C289"/>
      <c r="F289"/>
      <c r="G289"/>
      <c r="H289"/>
      <c r="L289"/>
      <c r="O289"/>
    </row>
    <row r="290" spans="3:15" x14ac:dyDescent="0.25">
      <c r="C290"/>
      <c r="F290"/>
      <c r="G290"/>
      <c r="H290"/>
      <c r="L290"/>
      <c r="O290"/>
    </row>
    <row r="291" spans="3:15" x14ac:dyDescent="0.25">
      <c r="C291"/>
      <c r="F291"/>
      <c r="G291"/>
      <c r="H291"/>
      <c r="L291"/>
      <c r="O291"/>
    </row>
    <row r="292" spans="3:15" x14ac:dyDescent="0.25">
      <c r="C292"/>
      <c r="F292"/>
      <c r="G292"/>
      <c r="H292"/>
      <c r="L292"/>
      <c r="O292"/>
    </row>
    <row r="293" spans="3:15" x14ac:dyDescent="0.25">
      <c r="C293"/>
      <c r="F293"/>
      <c r="G293"/>
      <c r="H293"/>
      <c r="L293"/>
      <c r="O293"/>
    </row>
    <row r="294" spans="3:15" x14ac:dyDescent="0.25">
      <c r="C294"/>
      <c r="F294"/>
      <c r="G294"/>
      <c r="H294"/>
      <c r="L294"/>
      <c r="O294"/>
    </row>
    <row r="295" spans="3:15" x14ac:dyDescent="0.25">
      <c r="C295"/>
      <c r="F295"/>
      <c r="G295"/>
      <c r="H295"/>
      <c r="L295"/>
      <c r="O295"/>
    </row>
    <row r="296" spans="3:15" x14ac:dyDescent="0.25">
      <c r="C296"/>
      <c r="F296"/>
      <c r="G296"/>
      <c r="H296"/>
      <c r="L296"/>
      <c r="O296"/>
    </row>
    <row r="297" spans="3:15" x14ac:dyDescent="0.25">
      <c r="C297"/>
      <c r="F297"/>
      <c r="G297"/>
      <c r="H297"/>
      <c r="L297"/>
      <c r="O297"/>
    </row>
    <row r="298" spans="3:15" x14ac:dyDescent="0.25">
      <c r="C298"/>
      <c r="F298"/>
      <c r="G298"/>
      <c r="H298"/>
      <c r="L298"/>
      <c r="O298"/>
    </row>
    <row r="299" spans="3:15" x14ac:dyDescent="0.25">
      <c r="C299"/>
      <c r="F299"/>
      <c r="G299"/>
      <c r="H299"/>
      <c r="L299"/>
      <c r="O299"/>
    </row>
    <row r="300" spans="3:15" x14ac:dyDescent="0.25">
      <c r="C300"/>
      <c r="F300"/>
      <c r="G300"/>
      <c r="H300"/>
      <c r="L300"/>
      <c r="O300"/>
    </row>
    <row r="301" spans="3:15" x14ac:dyDescent="0.25">
      <c r="C301"/>
      <c r="F301"/>
      <c r="G301"/>
      <c r="H301"/>
      <c r="L301"/>
      <c r="O301"/>
    </row>
    <row r="302" spans="3:15" x14ac:dyDescent="0.25">
      <c r="C302"/>
      <c r="F302"/>
      <c r="G302"/>
      <c r="H302"/>
      <c r="L302"/>
      <c r="O302"/>
    </row>
    <row r="303" spans="3:15" x14ac:dyDescent="0.25">
      <c r="C303"/>
      <c r="F303"/>
      <c r="G303"/>
      <c r="H303"/>
      <c r="L303"/>
      <c r="O303"/>
    </row>
    <row r="304" spans="3:15" x14ac:dyDescent="0.25">
      <c r="C304"/>
      <c r="F304"/>
      <c r="G304"/>
      <c r="H304"/>
      <c r="L304"/>
      <c r="O304"/>
    </row>
    <row r="305" spans="3:15" x14ac:dyDescent="0.25">
      <c r="C305"/>
      <c r="F305"/>
      <c r="G305"/>
      <c r="H305"/>
      <c r="L305"/>
      <c r="O305"/>
    </row>
    <row r="306" spans="3:15" x14ac:dyDescent="0.25">
      <c r="C306"/>
      <c r="F306"/>
      <c r="G306"/>
      <c r="H306"/>
      <c r="L306"/>
      <c r="O306"/>
    </row>
    <row r="307" spans="3:15" x14ac:dyDescent="0.25">
      <c r="C307"/>
      <c r="F307"/>
      <c r="G307"/>
      <c r="H307"/>
      <c r="L307"/>
      <c r="O307"/>
    </row>
    <row r="308" spans="3:15" x14ac:dyDescent="0.25">
      <c r="C308"/>
      <c r="F308"/>
      <c r="G308"/>
      <c r="H308"/>
      <c r="L308"/>
      <c r="O308"/>
    </row>
    <row r="309" spans="3:15" x14ac:dyDescent="0.25">
      <c r="C309"/>
      <c r="F309"/>
      <c r="G309"/>
      <c r="H309"/>
      <c r="L309"/>
      <c r="O309"/>
    </row>
    <row r="310" spans="3:15" x14ac:dyDescent="0.25">
      <c r="C310"/>
      <c r="F310"/>
      <c r="G310"/>
      <c r="H310"/>
      <c r="L310"/>
      <c r="O310"/>
    </row>
    <row r="311" spans="3:15" x14ac:dyDescent="0.25">
      <c r="C311"/>
      <c r="F311"/>
      <c r="G311"/>
      <c r="H311"/>
      <c r="L311"/>
      <c r="O311"/>
    </row>
    <row r="312" spans="3:15" x14ac:dyDescent="0.25">
      <c r="C312"/>
      <c r="F312"/>
      <c r="G312"/>
      <c r="H312"/>
      <c r="L312"/>
      <c r="O312"/>
    </row>
    <row r="313" spans="3:15" x14ac:dyDescent="0.25">
      <c r="C313"/>
      <c r="F313"/>
      <c r="G313"/>
      <c r="H313"/>
      <c r="L313"/>
      <c r="O313"/>
    </row>
    <row r="314" spans="3:15" x14ac:dyDescent="0.25">
      <c r="C314"/>
      <c r="F314"/>
      <c r="G314"/>
      <c r="H314"/>
      <c r="L314"/>
      <c r="O314"/>
    </row>
    <row r="315" spans="3:15" x14ac:dyDescent="0.25">
      <c r="C315"/>
      <c r="F315"/>
      <c r="G315"/>
      <c r="H315"/>
      <c r="L315"/>
      <c r="O315"/>
    </row>
    <row r="316" spans="3:15" x14ac:dyDescent="0.25">
      <c r="C316"/>
      <c r="F316"/>
      <c r="G316"/>
      <c r="H316"/>
      <c r="L316"/>
      <c r="O316"/>
    </row>
    <row r="317" spans="3:15" x14ac:dyDescent="0.25">
      <c r="C317"/>
      <c r="F317"/>
      <c r="G317"/>
      <c r="H317"/>
      <c r="L317"/>
      <c r="O317"/>
    </row>
    <row r="318" spans="3:15" x14ac:dyDescent="0.25">
      <c r="C318"/>
      <c r="F318"/>
      <c r="G318"/>
      <c r="H318"/>
      <c r="L318"/>
      <c r="O318"/>
    </row>
    <row r="319" spans="3:15" x14ac:dyDescent="0.25">
      <c r="C319"/>
      <c r="F319"/>
      <c r="G319"/>
      <c r="H319"/>
      <c r="L319"/>
      <c r="O319"/>
    </row>
    <row r="320" spans="3:15" x14ac:dyDescent="0.25">
      <c r="C320"/>
      <c r="F320"/>
      <c r="G320"/>
      <c r="H320"/>
      <c r="L320"/>
      <c r="O320"/>
    </row>
    <row r="321" spans="3:15" x14ac:dyDescent="0.25">
      <c r="C321"/>
      <c r="F321"/>
      <c r="G321"/>
      <c r="H321"/>
      <c r="L321"/>
      <c r="O321"/>
    </row>
    <row r="322" spans="3:15" x14ac:dyDescent="0.25">
      <c r="C322"/>
      <c r="F322"/>
      <c r="G322"/>
      <c r="H322"/>
      <c r="L322"/>
      <c r="O322"/>
    </row>
    <row r="323" spans="3:15" x14ac:dyDescent="0.25">
      <c r="C323"/>
      <c r="F323"/>
      <c r="G323"/>
      <c r="H323"/>
      <c r="L323"/>
      <c r="O323"/>
    </row>
    <row r="324" spans="3:15" x14ac:dyDescent="0.25">
      <c r="C324"/>
      <c r="F324"/>
      <c r="G324"/>
      <c r="H324"/>
      <c r="L324"/>
      <c r="O324"/>
    </row>
    <row r="325" spans="3:15" x14ac:dyDescent="0.25">
      <c r="C325"/>
      <c r="F325"/>
      <c r="G325"/>
      <c r="H325"/>
      <c r="L325"/>
      <c r="O325"/>
    </row>
    <row r="326" spans="3:15" x14ac:dyDescent="0.25">
      <c r="C326"/>
      <c r="F326"/>
      <c r="G326"/>
      <c r="H326"/>
      <c r="L326"/>
      <c r="O326"/>
    </row>
    <row r="327" spans="3:15" x14ac:dyDescent="0.25">
      <c r="C327"/>
      <c r="F327"/>
      <c r="G327"/>
      <c r="H327"/>
      <c r="L327"/>
      <c r="O327"/>
    </row>
    <row r="328" spans="3:15" x14ac:dyDescent="0.25">
      <c r="C328"/>
      <c r="F328"/>
      <c r="G328"/>
      <c r="H328"/>
      <c r="L328"/>
      <c r="O328"/>
    </row>
    <row r="329" spans="3:15" x14ac:dyDescent="0.25">
      <c r="C329"/>
      <c r="F329"/>
      <c r="G329"/>
      <c r="H329"/>
      <c r="L329"/>
      <c r="O329"/>
    </row>
    <row r="330" spans="3:15" x14ac:dyDescent="0.25">
      <c r="C330"/>
      <c r="F330"/>
      <c r="G330"/>
      <c r="H330"/>
      <c r="L330"/>
      <c r="O330"/>
    </row>
    <row r="331" spans="3:15" x14ac:dyDescent="0.25">
      <c r="C331"/>
      <c r="F331"/>
      <c r="G331"/>
      <c r="H331"/>
      <c r="L331"/>
      <c r="O331"/>
    </row>
    <row r="332" spans="3:15" x14ac:dyDescent="0.25">
      <c r="C332"/>
      <c r="F332"/>
      <c r="G332"/>
      <c r="H332"/>
      <c r="L332"/>
      <c r="O332"/>
    </row>
    <row r="333" spans="3:15" x14ac:dyDescent="0.25">
      <c r="C333"/>
      <c r="F333"/>
      <c r="G333"/>
      <c r="H333"/>
      <c r="L333"/>
      <c r="O333"/>
    </row>
    <row r="334" spans="3:15" x14ac:dyDescent="0.25">
      <c r="C334"/>
      <c r="F334"/>
      <c r="G334"/>
      <c r="H334"/>
      <c r="L334"/>
      <c r="O334"/>
    </row>
    <row r="335" spans="3:15" x14ac:dyDescent="0.25">
      <c r="C335"/>
      <c r="F335"/>
      <c r="G335"/>
      <c r="H335"/>
      <c r="L335"/>
      <c r="O335"/>
    </row>
    <row r="336" spans="3:15" x14ac:dyDescent="0.25">
      <c r="C336"/>
      <c r="F336"/>
      <c r="G336"/>
      <c r="H336"/>
      <c r="L336"/>
      <c r="O336"/>
    </row>
    <row r="337" spans="3:15" x14ac:dyDescent="0.25">
      <c r="C337"/>
      <c r="F337"/>
      <c r="G337"/>
      <c r="H337"/>
      <c r="L337"/>
      <c r="O337"/>
    </row>
    <row r="338" spans="3:15" x14ac:dyDescent="0.25">
      <c r="C338"/>
      <c r="F338"/>
      <c r="G338"/>
      <c r="H338"/>
      <c r="L338"/>
      <c r="O338"/>
    </row>
    <row r="339" spans="3:15" x14ac:dyDescent="0.25">
      <c r="C339"/>
      <c r="F339"/>
      <c r="G339"/>
      <c r="H339"/>
      <c r="L339"/>
      <c r="O339"/>
    </row>
    <row r="340" spans="3:15" x14ac:dyDescent="0.25">
      <c r="C340"/>
      <c r="F340"/>
      <c r="G340"/>
      <c r="H340"/>
      <c r="L340"/>
      <c r="O340"/>
    </row>
    <row r="341" spans="3:15" x14ac:dyDescent="0.25">
      <c r="C341"/>
      <c r="F341"/>
      <c r="G341"/>
      <c r="H341"/>
      <c r="L341"/>
      <c r="O341"/>
    </row>
    <row r="342" spans="3:15" x14ac:dyDescent="0.25">
      <c r="C342"/>
      <c r="F342"/>
      <c r="G342"/>
      <c r="H342"/>
      <c r="L342"/>
      <c r="O342"/>
    </row>
    <row r="343" spans="3:15" x14ac:dyDescent="0.25">
      <c r="C343"/>
      <c r="F343"/>
      <c r="G343"/>
      <c r="H343"/>
      <c r="L343"/>
      <c r="O343"/>
    </row>
    <row r="344" spans="3:15" x14ac:dyDescent="0.25">
      <c r="C344"/>
      <c r="F344"/>
      <c r="G344"/>
      <c r="H344"/>
      <c r="L344"/>
      <c r="O344"/>
    </row>
    <row r="345" spans="3:15" x14ac:dyDescent="0.25">
      <c r="C345"/>
      <c r="F345"/>
      <c r="G345"/>
      <c r="H345"/>
      <c r="L345"/>
      <c r="O345"/>
    </row>
    <row r="346" spans="3:15" x14ac:dyDescent="0.25">
      <c r="C346"/>
      <c r="F346"/>
      <c r="G346"/>
      <c r="H346"/>
      <c r="L346"/>
      <c r="O346"/>
    </row>
    <row r="347" spans="3:15" x14ac:dyDescent="0.25">
      <c r="C347"/>
      <c r="F347"/>
      <c r="G347"/>
      <c r="H347"/>
      <c r="L347"/>
      <c r="O347"/>
    </row>
    <row r="348" spans="3:15" x14ac:dyDescent="0.25">
      <c r="C348"/>
      <c r="F348"/>
      <c r="G348"/>
      <c r="H348"/>
      <c r="L348"/>
      <c r="O348"/>
    </row>
    <row r="349" spans="3:15" x14ac:dyDescent="0.25">
      <c r="C349"/>
      <c r="F349"/>
      <c r="G349"/>
      <c r="H349"/>
      <c r="L349"/>
      <c r="O349"/>
    </row>
    <row r="350" spans="3:15" x14ac:dyDescent="0.25">
      <c r="C350"/>
      <c r="F350"/>
      <c r="G350"/>
      <c r="H350"/>
      <c r="L350"/>
      <c r="O350"/>
    </row>
    <row r="351" spans="3:15" x14ac:dyDescent="0.25">
      <c r="C351"/>
      <c r="F351"/>
      <c r="G351"/>
      <c r="H351"/>
      <c r="L351"/>
      <c r="O351"/>
    </row>
    <row r="352" spans="3:15" x14ac:dyDescent="0.25">
      <c r="C352"/>
      <c r="F352"/>
      <c r="G352"/>
      <c r="H352"/>
      <c r="L352"/>
      <c r="O352"/>
    </row>
    <row r="353" spans="3:15" x14ac:dyDescent="0.25">
      <c r="C353"/>
      <c r="F353"/>
      <c r="G353"/>
      <c r="H353"/>
      <c r="L353"/>
      <c r="O353"/>
    </row>
    <row r="354" spans="3:15" x14ac:dyDescent="0.25">
      <c r="C354"/>
      <c r="F354"/>
      <c r="G354"/>
      <c r="H354"/>
      <c r="L354"/>
      <c r="O354"/>
    </row>
    <row r="355" spans="3:15" x14ac:dyDescent="0.25">
      <c r="C355"/>
      <c r="F355"/>
      <c r="G355"/>
      <c r="H355"/>
      <c r="L355"/>
      <c r="O355"/>
    </row>
    <row r="356" spans="3:15" x14ac:dyDescent="0.25">
      <c r="C356"/>
      <c r="F356"/>
      <c r="G356"/>
      <c r="H356"/>
      <c r="L356"/>
      <c r="O356"/>
    </row>
    <row r="357" spans="3:15" x14ac:dyDescent="0.25">
      <c r="C357"/>
      <c r="F357"/>
      <c r="G357"/>
      <c r="H357"/>
      <c r="L357"/>
      <c r="O357"/>
    </row>
    <row r="358" spans="3:15" x14ac:dyDescent="0.25">
      <c r="C358"/>
      <c r="F358"/>
      <c r="G358"/>
      <c r="H358"/>
      <c r="L358"/>
      <c r="O358"/>
    </row>
    <row r="359" spans="3:15" x14ac:dyDescent="0.25">
      <c r="C359"/>
      <c r="F359"/>
      <c r="G359"/>
      <c r="H359"/>
      <c r="L359"/>
      <c r="O359"/>
    </row>
    <row r="360" spans="3:15" x14ac:dyDescent="0.25">
      <c r="C360"/>
      <c r="F360"/>
      <c r="G360"/>
      <c r="H360"/>
      <c r="L360"/>
      <c r="O360"/>
    </row>
    <row r="361" spans="3:15" x14ac:dyDescent="0.25">
      <c r="C361"/>
      <c r="F361"/>
      <c r="G361"/>
      <c r="H361"/>
      <c r="L361"/>
      <c r="O361"/>
    </row>
    <row r="362" spans="3:15" x14ac:dyDescent="0.25">
      <c r="C362"/>
      <c r="F362"/>
      <c r="G362"/>
      <c r="H362"/>
      <c r="L362"/>
      <c r="O362"/>
    </row>
    <row r="363" spans="3:15" x14ac:dyDescent="0.25">
      <c r="C363"/>
      <c r="F363"/>
      <c r="G363"/>
      <c r="H363"/>
      <c r="L363"/>
      <c r="O363"/>
    </row>
    <row r="364" spans="3:15" x14ac:dyDescent="0.25">
      <c r="C364"/>
      <c r="F364"/>
      <c r="G364"/>
      <c r="H364"/>
      <c r="L364"/>
      <c r="O364"/>
    </row>
    <row r="365" spans="3:15" x14ac:dyDescent="0.25">
      <c r="C365"/>
      <c r="F365"/>
      <c r="G365"/>
      <c r="H365"/>
      <c r="L365"/>
      <c r="O365"/>
    </row>
    <row r="366" spans="3:15" x14ac:dyDescent="0.25">
      <c r="C366"/>
      <c r="F366"/>
      <c r="G366"/>
      <c r="H366"/>
      <c r="L366"/>
      <c r="O366"/>
    </row>
    <row r="367" spans="3:15" x14ac:dyDescent="0.25">
      <c r="C367"/>
      <c r="F367"/>
      <c r="G367"/>
      <c r="H367"/>
      <c r="L367"/>
      <c r="O367"/>
    </row>
    <row r="368" spans="3:15" x14ac:dyDescent="0.25">
      <c r="C368"/>
      <c r="F368"/>
      <c r="G368"/>
      <c r="H368"/>
      <c r="L368"/>
      <c r="O368"/>
    </row>
    <row r="369" spans="3:15" x14ac:dyDescent="0.25">
      <c r="C369"/>
      <c r="F369"/>
      <c r="G369"/>
      <c r="H369"/>
      <c r="L369"/>
      <c r="O369"/>
    </row>
    <row r="370" spans="3:15" x14ac:dyDescent="0.25">
      <c r="C370"/>
      <c r="F370"/>
      <c r="G370"/>
      <c r="H370"/>
      <c r="L370"/>
      <c r="O370"/>
    </row>
    <row r="371" spans="3:15" x14ac:dyDescent="0.25">
      <c r="C371"/>
      <c r="F371"/>
      <c r="G371"/>
      <c r="H371"/>
      <c r="L371"/>
      <c r="O371"/>
    </row>
    <row r="372" spans="3:15" x14ac:dyDescent="0.25">
      <c r="C372"/>
      <c r="F372"/>
      <c r="G372"/>
      <c r="H372"/>
      <c r="L372"/>
      <c r="O372"/>
    </row>
    <row r="373" spans="3:15" x14ac:dyDescent="0.25">
      <c r="C373"/>
      <c r="F373"/>
      <c r="G373"/>
      <c r="H373"/>
      <c r="L373"/>
      <c r="O373"/>
    </row>
    <row r="374" spans="3:15" x14ac:dyDescent="0.25">
      <c r="C374"/>
      <c r="F374"/>
      <c r="G374"/>
      <c r="H374"/>
      <c r="L374"/>
      <c r="O374"/>
    </row>
    <row r="375" spans="3:15" x14ac:dyDescent="0.25">
      <c r="C375"/>
      <c r="F375"/>
      <c r="G375"/>
      <c r="H375"/>
      <c r="L375"/>
      <c r="O375"/>
    </row>
    <row r="376" spans="3:15" x14ac:dyDescent="0.25">
      <c r="C376"/>
      <c r="F376"/>
      <c r="G376"/>
      <c r="H376"/>
      <c r="L376"/>
      <c r="O376"/>
    </row>
    <row r="377" spans="3:15" x14ac:dyDescent="0.25">
      <c r="C377"/>
      <c r="F377"/>
      <c r="G377"/>
      <c r="H377"/>
      <c r="L377"/>
      <c r="O377"/>
    </row>
    <row r="378" spans="3:15" x14ac:dyDescent="0.25">
      <c r="C378"/>
      <c r="F378"/>
      <c r="G378"/>
      <c r="H378"/>
      <c r="L378"/>
      <c r="O378"/>
    </row>
    <row r="379" spans="3:15" x14ac:dyDescent="0.25">
      <c r="C379"/>
      <c r="F379"/>
      <c r="G379"/>
      <c r="H379"/>
      <c r="L379"/>
      <c r="O379"/>
    </row>
    <row r="380" spans="3:15" x14ac:dyDescent="0.25">
      <c r="C380"/>
      <c r="F380"/>
      <c r="G380"/>
      <c r="H380"/>
      <c r="L380"/>
      <c r="O380"/>
    </row>
    <row r="381" spans="3:15" x14ac:dyDescent="0.25">
      <c r="C381"/>
      <c r="F381"/>
      <c r="G381"/>
      <c r="H381"/>
      <c r="L381"/>
      <c r="O381"/>
    </row>
    <row r="382" spans="3:15" x14ac:dyDescent="0.25">
      <c r="C382"/>
      <c r="F382"/>
      <c r="G382"/>
      <c r="H382"/>
      <c r="L382"/>
      <c r="O382"/>
    </row>
    <row r="383" spans="3:15" x14ac:dyDescent="0.25">
      <c r="C383"/>
      <c r="F383"/>
      <c r="G383"/>
      <c r="H383"/>
      <c r="L383"/>
      <c r="O383"/>
    </row>
    <row r="384" spans="3:15" x14ac:dyDescent="0.25">
      <c r="C384"/>
      <c r="F384"/>
      <c r="G384"/>
      <c r="H384"/>
      <c r="L384"/>
      <c r="O384"/>
    </row>
    <row r="385" spans="3:15" x14ac:dyDescent="0.25">
      <c r="C385"/>
      <c r="F385"/>
      <c r="G385"/>
      <c r="H385"/>
      <c r="L385"/>
      <c r="O385"/>
    </row>
    <row r="386" spans="3:15" x14ac:dyDescent="0.25">
      <c r="C386"/>
      <c r="F386"/>
      <c r="G386"/>
      <c r="H386"/>
      <c r="L386"/>
      <c r="O386"/>
    </row>
    <row r="387" spans="3:15" x14ac:dyDescent="0.25">
      <c r="C387"/>
      <c r="F387"/>
      <c r="G387"/>
      <c r="H387"/>
      <c r="L387"/>
      <c r="O387"/>
    </row>
    <row r="388" spans="3:15" x14ac:dyDescent="0.25">
      <c r="C388"/>
      <c r="F388"/>
      <c r="G388"/>
      <c r="H388"/>
      <c r="L388"/>
      <c r="O388"/>
    </row>
    <row r="389" spans="3:15" x14ac:dyDescent="0.25">
      <c r="C389"/>
      <c r="F389"/>
      <c r="G389"/>
      <c r="H389"/>
      <c r="L389"/>
      <c r="O389"/>
    </row>
    <row r="390" spans="3:15" x14ac:dyDescent="0.25">
      <c r="C390"/>
      <c r="F390"/>
      <c r="G390"/>
      <c r="H390"/>
      <c r="L390"/>
      <c r="O390"/>
    </row>
    <row r="391" spans="3:15" x14ac:dyDescent="0.25">
      <c r="C391"/>
      <c r="F391"/>
      <c r="G391"/>
      <c r="H391"/>
      <c r="L391"/>
      <c r="O391"/>
    </row>
    <row r="392" spans="3:15" x14ac:dyDescent="0.25">
      <c r="C392"/>
      <c r="F392"/>
      <c r="G392"/>
      <c r="H392"/>
      <c r="L392"/>
      <c r="O392"/>
    </row>
    <row r="393" spans="3:15" x14ac:dyDescent="0.25">
      <c r="C393"/>
      <c r="F393"/>
      <c r="G393"/>
      <c r="H393"/>
      <c r="L393"/>
      <c r="O393"/>
    </row>
    <row r="394" spans="3:15" x14ac:dyDescent="0.25">
      <c r="C394"/>
      <c r="F394"/>
      <c r="G394"/>
      <c r="H394"/>
      <c r="L394"/>
      <c r="O394"/>
    </row>
    <row r="395" spans="3:15" x14ac:dyDescent="0.25">
      <c r="C395"/>
      <c r="F395"/>
      <c r="G395"/>
      <c r="H395"/>
      <c r="L395"/>
      <c r="O395"/>
    </row>
    <row r="396" spans="3:15" x14ac:dyDescent="0.25">
      <c r="C396"/>
      <c r="F396"/>
      <c r="G396"/>
      <c r="H396"/>
      <c r="L396"/>
      <c r="O396"/>
    </row>
    <row r="397" spans="3:15" x14ac:dyDescent="0.25">
      <c r="C397"/>
      <c r="F397"/>
      <c r="G397"/>
      <c r="H397"/>
      <c r="L397"/>
      <c r="O397"/>
    </row>
    <row r="398" spans="3:15" x14ac:dyDescent="0.25">
      <c r="C398"/>
      <c r="F398"/>
      <c r="G398"/>
      <c r="H398"/>
      <c r="L398"/>
      <c r="O398"/>
    </row>
    <row r="399" spans="3:15" x14ac:dyDescent="0.25">
      <c r="C399"/>
      <c r="F399"/>
      <c r="G399"/>
      <c r="H399"/>
      <c r="L399"/>
      <c r="O399"/>
    </row>
    <row r="400" spans="3:15" x14ac:dyDescent="0.25">
      <c r="C400"/>
      <c r="F400"/>
      <c r="G400"/>
      <c r="H400"/>
      <c r="L400"/>
      <c r="O400"/>
    </row>
    <row r="401" spans="3:15" x14ac:dyDescent="0.25">
      <c r="C401"/>
      <c r="F401"/>
      <c r="G401"/>
      <c r="H401"/>
      <c r="L401"/>
      <c r="O401"/>
    </row>
    <row r="402" spans="3:15" x14ac:dyDescent="0.25">
      <c r="C402"/>
      <c r="F402"/>
      <c r="G402"/>
      <c r="H402"/>
      <c r="L402"/>
      <c r="O402"/>
    </row>
    <row r="403" spans="3:15" x14ac:dyDescent="0.25">
      <c r="C403"/>
      <c r="F403"/>
      <c r="G403"/>
      <c r="H403"/>
      <c r="L403"/>
      <c r="O403"/>
    </row>
    <row r="404" spans="3:15" x14ac:dyDescent="0.25">
      <c r="C404"/>
      <c r="F404"/>
      <c r="G404"/>
      <c r="H404"/>
      <c r="L404"/>
      <c r="O404"/>
    </row>
    <row r="405" spans="3:15" x14ac:dyDescent="0.25">
      <c r="C405"/>
      <c r="F405"/>
      <c r="G405"/>
      <c r="H405"/>
      <c r="L405"/>
      <c r="O405"/>
    </row>
    <row r="406" spans="3:15" x14ac:dyDescent="0.25">
      <c r="C406"/>
      <c r="F406"/>
      <c r="G406"/>
      <c r="H406"/>
      <c r="L406"/>
      <c r="O406"/>
    </row>
    <row r="407" spans="3:15" x14ac:dyDescent="0.25">
      <c r="C407"/>
      <c r="F407"/>
      <c r="G407"/>
      <c r="H407"/>
      <c r="L407"/>
      <c r="O407"/>
    </row>
    <row r="408" spans="3:15" x14ac:dyDescent="0.25">
      <c r="C408"/>
      <c r="F408"/>
      <c r="G408"/>
      <c r="H408"/>
      <c r="L408"/>
      <c r="O408"/>
    </row>
    <row r="409" spans="3:15" x14ac:dyDescent="0.25">
      <c r="C409"/>
      <c r="F409"/>
      <c r="G409"/>
      <c r="H409"/>
      <c r="L409"/>
      <c r="O409"/>
    </row>
    <row r="410" spans="3:15" x14ac:dyDescent="0.25">
      <c r="C410"/>
      <c r="F410"/>
      <c r="G410"/>
      <c r="H410"/>
      <c r="L410"/>
      <c r="O410"/>
    </row>
    <row r="411" spans="3:15" x14ac:dyDescent="0.25">
      <c r="C411"/>
      <c r="F411"/>
      <c r="G411"/>
      <c r="H411"/>
      <c r="L411"/>
      <c r="O411"/>
    </row>
    <row r="412" spans="3:15" x14ac:dyDescent="0.25">
      <c r="C412"/>
      <c r="F412"/>
      <c r="G412"/>
      <c r="H412"/>
      <c r="L412"/>
      <c r="O412"/>
    </row>
    <row r="413" spans="3:15" x14ac:dyDescent="0.25">
      <c r="C413"/>
      <c r="F413"/>
      <c r="G413"/>
      <c r="H413"/>
      <c r="L413"/>
      <c r="O413"/>
    </row>
    <row r="414" spans="3:15" x14ac:dyDescent="0.25">
      <c r="C414"/>
      <c r="F414"/>
      <c r="G414"/>
      <c r="H414"/>
      <c r="L414"/>
      <c r="O414"/>
    </row>
    <row r="415" spans="3:15" x14ac:dyDescent="0.25">
      <c r="C415"/>
      <c r="F415"/>
      <c r="G415"/>
      <c r="H415"/>
      <c r="L415"/>
      <c r="O415"/>
    </row>
    <row r="416" spans="3:15" x14ac:dyDescent="0.25">
      <c r="C416"/>
      <c r="F416"/>
      <c r="G416"/>
      <c r="H416"/>
      <c r="L416"/>
      <c r="O416"/>
    </row>
    <row r="417" spans="3:15" x14ac:dyDescent="0.25">
      <c r="C417"/>
      <c r="F417"/>
      <c r="G417"/>
      <c r="H417"/>
      <c r="L417"/>
      <c r="O417"/>
    </row>
    <row r="418" spans="3:15" x14ac:dyDescent="0.25">
      <c r="C418"/>
      <c r="F418"/>
      <c r="G418"/>
      <c r="H418"/>
      <c r="L418"/>
      <c r="O418"/>
    </row>
    <row r="419" spans="3:15" x14ac:dyDescent="0.25">
      <c r="C419"/>
      <c r="F419"/>
      <c r="G419"/>
      <c r="H419"/>
      <c r="L419"/>
      <c r="O419"/>
    </row>
    <row r="420" spans="3:15" x14ac:dyDescent="0.25">
      <c r="C420"/>
      <c r="F420"/>
      <c r="G420"/>
      <c r="H420"/>
      <c r="L420"/>
      <c r="O420"/>
    </row>
    <row r="421" spans="3:15" x14ac:dyDescent="0.25">
      <c r="C421"/>
      <c r="F421"/>
      <c r="G421"/>
      <c r="H421"/>
      <c r="L421"/>
      <c r="O421"/>
    </row>
    <row r="422" spans="3:15" x14ac:dyDescent="0.25">
      <c r="C422"/>
      <c r="F422"/>
      <c r="G422"/>
      <c r="H422"/>
      <c r="L422"/>
      <c r="O422"/>
    </row>
    <row r="423" spans="3:15" x14ac:dyDescent="0.25">
      <c r="C423"/>
      <c r="F423"/>
      <c r="G423"/>
      <c r="H423"/>
      <c r="L423"/>
      <c r="O423"/>
    </row>
    <row r="424" spans="3:15" x14ac:dyDescent="0.25">
      <c r="C424"/>
      <c r="F424"/>
      <c r="G424"/>
      <c r="H424"/>
      <c r="L424"/>
      <c r="O424"/>
    </row>
    <row r="425" spans="3:15" x14ac:dyDescent="0.25">
      <c r="C425"/>
      <c r="F425"/>
      <c r="G425"/>
      <c r="H425"/>
      <c r="L425"/>
      <c r="O425"/>
    </row>
    <row r="426" spans="3:15" x14ac:dyDescent="0.25">
      <c r="C426"/>
      <c r="F426"/>
      <c r="G426"/>
      <c r="H426"/>
      <c r="L426"/>
      <c r="O426"/>
    </row>
    <row r="427" spans="3:15" x14ac:dyDescent="0.25">
      <c r="C427"/>
      <c r="F427"/>
      <c r="G427"/>
      <c r="H427"/>
      <c r="L427"/>
      <c r="O427"/>
    </row>
    <row r="428" spans="3:15" x14ac:dyDescent="0.25">
      <c r="C428"/>
      <c r="F428"/>
      <c r="G428"/>
      <c r="H428"/>
      <c r="L428"/>
      <c r="O428"/>
    </row>
    <row r="429" spans="3:15" x14ac:dyDescent="0.25">
      <c r="C429"/>
      <c r="F429"/>
      <c r="G429"/>
      <c r="H429"/>
      <c r="L429"/>
      <c r="O429"/>
    </row>
    <row r="430" spans="3:15" x14ac:dyDescent="0.25">
      <c r="C430"/>
      <c r="F430"/>
      <c r="G430"/>
      <c r="H430"/>
      <c r="L430"/>
      <c r="O430"/>
    </row>
    <row r="431" spans="3:15" x14ac:dyDescent="0.25">
      <c r="C431"/>
      <c r="F431"/>
      <c r="G431"/>
      <c r="H431"/>
      <c r="L431"/>
      <c r="O431"/>
    </row>
    <row r="432" spans="3:15" x14ac:dyDescent="0.25">
      <c r="C432"/>
      <c r="F432"/>
      <c r="G432"/>
      <c r="H432"/>
      <c r="L432"/>
      <c r="O432"/>
    </row>
    <row r="433" spans="3:15" x14ac:dyDescent="0.25">
      <c r="C433"/>
      <c r="F433"/>
      <c r="G433"/>
      <c r="H433"/>
      <c r="L433"/>
      <c r="O433"/>
    </row>
    <row r="434" spans="3:15" x14ac:dyDescent="0.25">
      <c r="C434"/>
      <c r="F434"/>
      <c r="G434"/>
      <c r="H434"/>
      <c r="L434"/>
      <c r="O434"/>
    </row>
    <row r="435" spans="3:15" x14ac:dyDescent="0.25">
      <c r="C435"/>
      <c r="F435"/>
      <c r="G435"/>
      <c r="H435"/>
      <c r="L435"/>
      <c r="O435"/>
    </row>
    <row r="436" spans="3:15" x14ac:dyDescent="0.25">
      <c r="C436"/>
      <c r="F436"/>
      <c r="G436"/>
      <c r="H436"/>
      <c r="L436"/>
      <c r="O436"/>
    </row>
    <row r="437" spans="3:15" x14ac:dyDescent="0.25">
      <c r="C437"/>
      <c r="F437"/>
      <c r="G437"/>
      <c r="H437"/>
      <c r="L437"/>
      <c r="O437"/>
    </row>
    <row r="438" spans="3:15" x14ac:dyDescent="0.25">
      <c r="C438"/>
      <c r="F438"/>
      <c r="G438"/>
      <c r="H438"/>
      <c r="L438"/>
      <c r="O438"/>
    </row>
    <row r="439" spans="3:15" x14ac:dyDescent="0.25">
      <c r="C439"/>
      <c r="F439"/>
      <c r="G439"/>
      <c r="H439"/>
      <c r="L439"/>
      <c r="O439"/>
    </row>
    <row r="440" spans="3:15" x14ac:dyDescent="0.25">
      <c r="C440"/>
      <c r="F440"/>
      <c r="G440"/>
      <c r="H440"/>
      <c r="L440"/>
      <c r="O440"/>
    </row>
    <row r="441" spans="3:15" x14ac:dyDescent="0.25">
      <c r="C441"/>
      <c r="F441"/>
      <c r="G441"/>
      <c r="H441"/>
      <c r="L441"/>
      <c r="O441"/>
    </row>
    <row r="442" spans="3:15" x14ac:dyDescent="0.25">
      <c r="C442"/>
      <c r="F442"/>
      <c r="G442"/>
      <c r="H442"/>
      <c r="L442"/>
      <c r="O442"/>
    </row>
    <row r="443" spans="3:15" x14ac:dyDescent="0.25">
      <c r="C443"/>
      <c r="F443"/>
      <c r="G443"/>
      <c r="H443"/>
      <c r="L443"/>
      <c r="O443"/>
    </row>
    <row r="444" spans="3:15" x14ac:dyDescent="0.25">
      <c r="C444"/>
      <c r="F444"/>
      <c r="G444"/>
      <c r="H444"/>
      <c r="L444"/>
      <c r="O444"/>
    </row>
    <row r="445" spans="3:15" x14ac:dyDescent="0.25">
      <c r="C445"/>
      <c r="F445"/>
      <c r="G445"/>
      <c r="H445"/>
      <c r="L445"/>
      <c r="O445"/>
    </row>
    <row r="446" spans="3:15" x14ac:dyDescent="0.25">
      <c r="C446"/>
      <c r="F446"/>
      <c r="G446"/>
      <c r="H446"/>
      <c r="L446"/>
      <c r="O446"/>
    </row>
    <row r="447" spans="3:15" x14ac:dyDescent="0.25">
      <c r="C447"/>
      <c r="F447"/>
      <c r="G447"/>
      <c r="H447"/>
      <c r="L447"/>
      <c r="O447"/>
    </row>
    <row r="448" spans="3:15" x14ac:dyDescent="0.25">
      <c r="C448"/>
      <c r="F448"/>
      <c r="G448"/>
      <c r="H448"/>
      <c r="L448"/>
      <c r="O448"/>
    </row>
    <row r="449" spans="3:15" x14ac:dyDescent="0.25">
      <c r="C449"/>
      <c r="F449"/>
      <c r="G449"/>
      <c r="H449"/>
      <c r="L449"/>
      <c r="O449"/>
    </row>
    <row r="450" spans="3:15" x14ac:dyDescent="0.25">
      <c r="C450"/>
      <c r="F450"/>
      <c r="G450"/>
      <c r="H450"/>
      <c r="L450"/>
      <c r="O450"/>
    </row>
    <row r="451" spans="3:15" x14ac:dyDescent="0.25">
      <c r="C451"/>
      <c r="F451"/>
      <c r="G451"/>
      <c r="H451"/>
      <c r="L451"/>
      <c r="O451"/>
    </row>
    <row r="452" spans="3:15" x14ac:dyDescent="0.25">
      <c r="C452"/>
      <c r="F452"/>
      <c r="G452"/>
      <c r="H452"/>
      <c r="L452"/>
      <c r="O452"/>
    </row>
    <row r="453" spans="3:15" x14ac:dyDescent="0.25">
      <c r="C453"/>
      <c r="F453"/>
      <c r="G453"/>
      <c r="H453"/>
      <c r="L453"/>
      <c r="O453"/>
    </row>
    <row r="454" spans="3:15" x14ac:dyDescent="0.25">
      <c r="C454"/>
      <c r="F454"/>
      <c r="G454"/>
      <c r="H454"/>
      <c r="L454"/>
      <c r="O454"/>
    </row>
    <row r="455" spans="3:15" x14ac:dyDescent="0.25">
      <c r="C455"/>
      <c r="F455"/>
      <c r="G455"/>
      <c r="H455"/>
      <c r="L455"/>
      <c r="O455"/>
    </row>
    <row r="456" spans="3:15" x14ac:dyDescent="0.25">
      <c r="C456"/>
      <c r="F456"/>
      <c r="G456"/>
      <c r="H456"/>
      <c r="L456"/>
      <c r="O456"/>
    </row>
    <row r="457" spans="3:15" x14ac:dyDescent="0.25">
      <c r="C457"/>
      <c r="F457"/>
      <c r="G457"/>
      <c r="H457"/>
      <c r="L457"/>
      <c r="O457"/>
    </row>
    <row r="458" spans="3:15" x14ac:dyDescent="0.25">
      <c r="C458"/>
      <c r="F458"/>
      <c r="G458"/>
      <c r="H458"/>
      <c r="L458"/>
      <c r="O458"/>
    </row>
    <row r="459" spans="3:15" x14ac:dyDescent="0.25">
      <c r="C459"/>
      <c r="F459"/>
      <c r="G459"/>
      <c r="H459"/>
      <c r="L459"/>
      <c r="O459"/>
    </row>
    <row r="460" spans="3:15" x14ac:dyDescent="0.25">
      <c r="C460"/>
      <c r="F460"/>
      <c r="G460"/>
      <c r="H460"/>
      <c r="L460"/>
      <c r="O460"/>
    </row>
    <row r="461" spans="3:15" x14ac:dyDescent="0.25">
      <c r="C461"/>
      <c r="F461"/>
      <c r="G461"/>
      <c r="H461"/>
      <c r="L461"/>
      <c r="O461"/>
    </row>
    <row r="462" spans="3:15" x14ac:dyDescent="0.25">
      <c r="C462"/>
      <c r="F462"/>
      <c r="G462"/>
      <c r="H462"/>
      <c r="L462"/>
      <c r="O462"/>
    </row>
    <row r="463" spans="3:15" x14ac:dyDescent="0.25">
      <c r="C463"/>
      <c r="F463"/>
      <c r="G463"/>
      <c r="H463"/>
      <c r="L463"/>
      <c r="O463"/>
    </row>
    <row r="464" spans="3:15" x14ac:dyDescent="0.25">
      <c r="C464"/>
      <c r="F464"/>
      <c r="G464"/>
      <c r="H464"/>
      <c r="L464"/>
      <c r="O464"/>
    </row>
    <row r="465" spans="3:15" x14ac:dyDescent="0.25">
      <c r="C465"/>
      <c r="F465"/>
      <c r="G465"/>
      <c r="H465"/>
      <c r="L465"/>
      <c r="O465"/>
    </row>
    <row r="466" spans="3:15" x14ac:dyDescent="0.25">
      <c r="C466"/>
      <c r="F466"/>
      <c r="G466"/>
      <c r="H466"/>
      <c r="L466"/>
      <c r="O466"/>
    </row>
    <row r="467" spans="3:15" x14ac:dyDescent="0.25">
      <c r="C467"/>
      <c r="F467"/>
      <c r="G467"/>
      <c r="H467"/>
      <c r="L467"/>
      <c r="O467"/>
    </row>
    <row r="468" spans="3:15" x14ac:dyDescent="0.25">
      <c r="C468"/>
      <c r="F468"/>
      <c r="G468"/>
      <c r="H468"/>
      <c r="L468"/>
      <c r="O468"/>
    </row>
    <row r="469" spans="3:15" x14ac:dyDescent="0.25">
      <c r="C469"/>
      <c r="F469"/>
      <c r="G469"/>
      <c r="H469"/>
      <c r="L469"/>
      <c r="O469"/>
    </row>
    <row r="470" spans="3:15" x14ac:dyDescent="0.25">
      <c r="C470"/>
      <c r="F470"/>
      <c r="G470"/>
      <c r="H470"/>
      <c r="L470"/>
      <c r="O470"/>
    </row>
    <row r="471" spans="3:15" x14ac:dyDescent="0.25">
      <c r="C471"/>
      <c r="F471"/>
      <c r="G471"/>
      <c r="H471"/>
      <c r="L471"/>
      <c r="O471"/>
    </row>
    <row r="472" spans="3:15" x14ac:dyDescent="0.25">
      <c r="C472"/>
      <c r="F472"/>
      <c r="G472"/>
      <c r="H472"/>
      <c r="L472"/>
      <c r="O472"/>
    </row>
    <row r="473" spans="3:15" x14ac:dyDescent="0.25">
      <c r="C473"/>
      <c r="F473"/>
      <c r="G473"/>
      <c r="H473"/>
      <c r="L473"/>
      <c r="O473"/>
    </row>
    <row r="474" spans="3:15" x14ac:dyDescent="0.25">
      <c r="C474"/>
      <c r="F474"/>
      <c r="G474"/>
      <c r="H474"/>
      <c r="L474"/>
      <c r="O474"/>
    </row>
    <row r="475" spans="3:15" x14ac:dyDescent="0.25">
      <c r="C475"/>
      <c r="F475"/>
      <c r="G475"/>
      <c r="H475"/>
      <c r="L475"/>
      <c r="O475"/>
    </row>
    <row r="476" spans="3:15" x14ac:dyDescent="0.25">
      <c r="C476"/>
      <c r="F476"/>
      <c r="G476"/>
      <c r="H476"/>
      <c r="L476"/>
      <c r="O476"/>
    </row>
    <row r="477" spans="3:15" x14ac:dyDescent="0.25">
      <c r="C477"/>
      <c r="F477"/>
      <c r="G477"/>
      <c r="H477"/>
      <c r="L477"/>
      <c r="O477"/>
    </row>
    <row r="478" spans="3:15" x14ac:dyDescent="0.25">
      <c r="C478"/>
      <c r="F478"/>
      <c r="G478"/>
      <c r="H478"/>
      <c r="L478"/>
      <c r="O478"/>
    </row>
    <row r="479" spans="3:15" x14ac:dyDescent="0.25">
      <c r="C479"/>
      <c r="F479"/>
      <c r="G479"/>
      <c r="H479"/>
      <c r="L479"/>
      <c r="O479"/>
    </row>
    <row r="480" spans="3:15" x14ac:dyDescent="0.25">
      <c r="C480"/>
      <c r="F480"/>
      <c r="G480"/>
      <c r="H480"/>
      <c r="L480"/>
      <c r="O480"/>
    </row>
    <row r="481" spans="3:15" x14ac:dyDescent="0.25">
      <c r="C481"/>
      <c r="F481"/>
      <c r="G481"/>
      <c r="H481"/>
      <c r="L481"/>
      <c r="O481"/>
    </row>
    <row r="482" spans="3:15" x14ac:dyDescent="0.25">
      <c r="C482"/>
      <c r="F482"/>
      <c r="G482"/>
      <c r="H482"/>
      <c r="L482"/>
      <c r="O482"/>
    </row>
    <row r="483" spans="3:15" x14ac:dyDescent="0.25">
      <c r="C483"/>
      <c r="F483"/>
      <c r="G483"/>
      <c r="H483"/>
      <c r="L483"/>
      <c r="O483"/>
    </row>
    <row r="484" spans="3:15" x14ac:dyDescent="0.25">
      <c r="C484"/>
      <c r="F484"/>
      <c r="G484"/>
      <c r="H484"/>
      <c r="L484"/>
      <c r="O484"/>
    </row>
    <row r="485" spans="3:15" x14ac:dyDescent="0.25">
      <c r="C485"/>
      <c r="F485"/>
      <c r="G485"/>
      <c r="H485"/>
      <c r="L485"/>
      <c r="O485"/>
    </row>
    <row r="486" spans="3:15" x14ac:dyDescent="0.25">
      <c r="C486"/>
      <c r="F486"/>
      <c r="G486"/>
      <c r="H486"/>
      <c r="L486"/>
      <c r="O486"/>
    </row>
    <row r="487" spans="3:15" x14ac:dyDescent="0.25">
      <c r="C487"/>
      <c r="F487"/>
      <c r="G487"/>
      <c r="H487"/>
      <c r="L487"/>
      <c r="O487"/>
    </row>
    <row r="488" spans="3:15" x14ac:dyDescent="0.25">
      <c r="C488"/>
      <c r="F488"/>
      <c r="G488"/>
      <c r="H488"/>
      <c r="L488"/>
      <c r="O488"/>
    </row>
    <row r="489" spans="3:15" x14ac:dyDescent="0.25">
      <c r="C489"/>
      <c r="F489"/>
      <c r="G489"/>
      <c r="H489"/>
      <c r="L489"/>
      <c r="O489"/>
    </row>
    <row r="490" spans="3:15" x14ac:dyDescent="0.25">
      <c r="C490"/>
      <c r="F490"/>
      <c r="G490"/>
      <c r="H490"/>
      <c r="L490"/>
      <c r="O490"/>
    </row>
    <row r="491" spans="3:15" x14ac:dyDescent="0.25">
      <c r="C491"/>
      <c r="F491"/>
      <c r="G491"/>
      <c r="H491"/>
      <c r="L491"/>
      <c r="O491"/>
    </row>
    <row r="492" spans="3:15" x14ac:dyDescent="0.25">
      <c r="C492"/>
      <c r="F492"/>
      <c r="G492"/>
      <c r="H492"/>
      <c r="L492"/>
      <c r="O492"/>
    </row>
    <row r="493" spans="3:15" x14ac:dyDescent="0.25">
      <c r="C493"/>
      <c r="F493"/>
      <c r="G493"/>
      <c r="H493"/>
      <c r="L493"/>
      <c r="O493"/>
    </row>
    <row r="494" spans="3:15" x14ac:dyDescent="0.25">
      <c r="C494"/>
      <c r="F494"/>
      <c r="G494"/>
      <c r="H494"/>
      <c r="L494"/>
      <c r="O494"/>
    </row>
    <row r="495" spans="3:15" x14ac:dyDescent="0.25">
      <c r="C495"/>
      <c r="F495"/>
      <c r="G495"/>
      <c r="H495"/>
      <c r="L495"/>
      <c r="O495"/>
    </row>
    <row r="496" spans="3:15" x14ac:dyDescent="0.25">
      <c r="C496"/>
      <c r="F496"/>
      <c r="G496"/>
      <c r="H496"/>
      <c r="L496"/>
      <c r="O496"/>
    </row>
    <row r="497" spans="3:15" x14ac:dyDescent="0.25">
      <c r="C497"/>
      <c r="F497"/>
      <c r="G497"/>
      <c r="H497"/>
      <c r="L497"/>
      <c r="O497"/>
    </row>
    <row r="498" spans="3:15" x14ac:dyDescent="0.25">
      <c r="C498"/>
      <c r="F498"/>
      <c r="G498"/>
      <c r="H498"/>
      <c r="L498"/>
      <c r="O498"/>
    </row>
    <row r="499" spans="3:15" x14ac:dyDescent="0.25">
      <c r="C499"/>
      <c r="F499"/>
      <c r="G499"/>
      <c r="H499"/>
      <c r="L499"/>
      <c r="O499"/>
    </row>
    <row r="500" spans="3:15" x14ac:dyDescent="0.25">
      <c r="C500"/>
      <c r="F500"/>
      <c r="G500"/>
      <c r="H500"/>
      <c r="L500"/>
      <c r="O500"/>
    </row>
    <row r="501" spans="3:15" x14ac:dyDescent="0.25">
      <c r="C501"/>
      <c r="F501"/>
      <c r="G501"/>
      <c r="H501"/>
      <c r="L501"/>
      <c r="O501"/>
    </row>
    <row r="502" spans="3:15" x14ac:dyDescent="0.25">
      <c r="C502"/>
      <c r="F502"/>
      <c r="G502"/>
      <c r="H502"/>
      <c r="L502"/>
      <c r="O502"/>
    </row>
    <row r="503" spans="3:15" x14ac:dyDescent="0.25">
      <c r="C503"/>
      <c r="F503"/>
      <c r="G503"/>
      <c r="H503"/>
      <c r="L503"/>
      <c r="O503"/>
    </row>
    <row r="504" spans="3:15" x14ac:dyDescent="0.25">
      <c r="C504"/>
      <c r="F504"/>
      <c r="G504"/>
      <c r="H504"/>
      <c r="L504"/>
      <c r="O504"/>
    </row>
    <row r="505" spans="3:15" x14ac:dyDescent="0.25">
      <c r="C505"/>
      <c r="F505"/>
      <c r="G505"/>
      <c r="H505"/>
      <c r="L505"/>
      <c r="O505"/>
    </row>
    <row r="506" spans="3:15" x14ac:dyDescent="0.25">
      <c r="C506"/>
      <c r="F506"/>
      <c r="G506"/>
      <c r="H506"/>
      <c r="L506"/>
      <c r="O506"/>
    </row>
    <row r="507" spans="3:15" x14ac:dyDescent="0.25">
      <c r="C507"/>
      <c r="F507"/>
      <c r="G507"/>
      <c r="H507"/>
      <c r="L507"/>
      <c r="O507"/>
    </row>
    <row r="508" spans="3:15" x14ac:dyDescent="0.25">
      <c r="C508"/>
      <c r="F508"/>
      <c r="G508"/>
      <c r="H508"/>
      <c r="L508"/>
      <c r="O508"/>
    </row>
    <row r="509" spans="3:15" x14ac:dyDescent="0.25">
      <c r="C509"/>
      <c r="F509"/>
      <c r="G509"/>
      <c r="H509"/>
      <c r="L509"/>
      <c r="O509"/>
    </row>
    <row r="510" spans="3:15" x14ac:dyDescent="0.25">
      <c r="C510"/>
      <c r="F510"/>
      <c r="G510"/>
      <c r="H510"/>
      <c r="L510"/>
      <c r="O510"/>
    </row>
    <row r="511" spans="3:15" x14ac:dyDescent="0.25">
      <c r="C511"/>
      <c r="F511"/>
      <c r="G511"/>
      <c r="H511"/>
      <c r="L511"/>
      <c r="O511"/>
    </row>
    <row r="512" spans="3:15" x14ac:dyDescent="0.25">
      <c r="C512"/>
      <c r="F512"/>
      <c r="G512"/>
      <c r="H512"/>
      <c r="L512"/>
      <c r="O512"/>
    </row>
    <row r="513" spans="3:15" x14ac:dyDescent="0.25">
      <c r="C513"/>
      <c r="F513"/>
      <c r="G513"/>
      <c r="H513"/>
      <c r="L513"/>
      <c r="O513"/>
    </row>
    <row r="514" spans="3:15" x14ac:dyDescent="0.25">
      <c r="C514"/>
      <c r="F514"/>
      <c r="G514"/>
      <c r="H514"/>
      <c r="L514"/>
      <c r="O514"/>
    </row>
    <row r="515" spans="3:15" x14ac:dyDescent="0.25">
      <c r="C515"/>
      <c r="F515"/>
      <c r="G515"/>
      <c r="H515"/>
      <c r="L515"/>
      <c r="O515"/>
    </row>
    <row r="516" spans="3:15" x14ac:dyDescent="0.25">
      <c r="C516"/>
      <c r="F516"/>
      <c r="G516"/>
      <c r="H516"/>
      <c r="L516"/>
      <c r="O516"/>
    </row>
    <row r="517" spans="3:15" x14ac:dyDescent="0.25">
      <c r="C517"/>
      <c r="F517"/>
      <c r="G517"/>
      <c r="H517"/>
      <c r="L517"/>
      <c r="O517"/>
    </row>
    <row r="518" spans="3:15" x14ac:dyDescent="0.25">
      <c r="C518"/>
      <c r="F518"/>
      <c r="G518"/>
      <c r="H518"/>
      <c r="L518"/>
      <c r="O518"/>
    </row>
    <row r="519" spans="3:15" x14ac:dyDescent="0.25">
      <c r="C519"/>
      <c r="F519"/>
      <c r="G519"/>
      <c r="H519"/>
      <c r="L519"/>
      <c r="O519"/>
    </row>
    <row r="520" spans="3:15" x14ac:dyDescent="0.25">
      <c r="C520"/>
      <c r="F520"/>
      <c r="G520"/>
      <c r="H520"/>
      <c r="L520"/>
      <c r="O520"/>
    </row>
    <row r="521" spans="3:15" x14ac:dyDescent="0.25">
      <c r="C521"/>
      <c r="F521"/>
      <c r="G521"/>
      <c r="H521"/>
      <c r="L521"/>
      <c r="O521"/>
    </row>
    <row r="522" spans="3:15" x14ac:dyDescent="0.25">
      <c r="C522"/>
      <c r="F522"/>
      <c r="G522"/>
      <c r="H522"/>
      <c r="L522"/>
      <c r="O522"/>
    </row>
    <row r="523" spans="3:15" x14ac:dyDescent="0.25">
      <c r="C523"/>
      <c r="F523"/>
      <c r="G523"/>
      <c r="H523"/>
      <c r="L523"/>
      <c r="O523"/>
    </row>
    <row r="524" spans="3:15" x14ac:dyDescent="0.25">
      <c r="C524"/>
      <c r="F524"/>
      <c r="G524"/>
      <c r="H524"/>
      <c r="L524"/>
      <c r="O524"/>
    </row>
    <row r="525" spans="3:15" x14ac:dyDescent="0.25">
      <c r="C525"/>
      <c r="F525"/>
      <c r="G525"/>
      <c r="H525"/>
      <c r="L525"/>
      <c r="O525"/>
    </row>
    <row r="526" spans="3:15" x14ac:dyDescent="0.25">
      <c r="C526"/>
      <c r="F526"/>
      <c r="G526"/>
      <c r="H526"/>
      <c r="L526"/>
      <c r="O526"/>
    </row>
    <row r="527" spans="3:15" x14ac:dyDescent="0.25">
      <c r="C527"/>
      <c r="F527"/>
      <c r="G527"/>
      <c r="H527"/>
      <c r="L527"/>
      <c r="O527"/>
    </row>
    <row r="528" spans="3:15" x14ac:dyDescent="0.25">
      <c r="C528"/>
      <c r="F528"/>
      <c r="G528"/>
      <c r="H528"/>
      <c r="L528"/>
      <c r="O528"/>
    </row>
    <row r="529" spans="3:15" x14ac:dyDescent="0.25">
      <c r="C529"/>
      <c r="F529"/>
      <c r="G529"/>
      <c r="H529"/>
      <c r="L529"/>
      <c r="O529"/>
    </row>
    <row r="530" spans="3:15" x14ac:dyDescent="0.25">
      <c r="C530"/>
      <c r="F530"/>
      <c r="G530"/>
      <c r="H530"/>
      <c r="L530"/>
      <c r="O530"/>
    </row>
    <row r="531" spans="3:15" x14ac:dyDescent="0.25">
      <c r="C531"/>
      <c r="F531"/>
      <c r="G531"/>
      <c r="H531"/>
      <c r="L531"/>
      <c r="O531"/>
    </row>
    <row r="532" spans="3:15" x14ac:dyDescent="0.25">
      <c r="C532"/>
      <c r="F532"/>
      <c r="G532"/>
      <c r="H532"/>
      <c r="L532"/>
      <c r="O532"/>
    </row>
    <row r="533" spans="3:15" x14ac:dyDescent="0.25">
      <c r="C533"/>
      <c r="F533"/>
      <c r="G533"/>
      <c r="H533"/>
      <c r="L533"/>
      <c r="O533"/>
    </row>
    <row r="534" spans="3:15" x14ac:dyDescent="0.25">
      <c r="C534"/>
      <c r="F534"/>
      <c r="G534"/>
      <c r="H534"/>
      <c r="L534"/>
      <c r="O534"/>
    </row>
    <row r="535" spans="3:15" x14ac:dyDescent="0.25">
      <c r="C535"/>
      <c r="F535"/>
      <c r="G535"/>
      <c r="H535"/>
      <c r="L535"/>
      <c r="O535"/>
    </row>
    <row r="536" spans="3:15" x14ac:dyDescent="0.25">
      <c r="C536"/>
      <c r="F536"/>
      <c r="G536"/>
      <c r="H536"/>
      <c r="L536"/>
      <c r="O536"/>
    </row>
    <row r="537" spans="3:15" x14ac:dyDescent="0.25">
      <c r="C537"/>
      <c r="F537"/>
      <c r="G537"/>
      <c r="H537"/>
      <c r="L537"/>
      <c r="O537"/>
    </row>
    <row r="538" spans="3:15" x14ac:dyDescent="0.25">
      <c r="C538"/>
      <c r="F538"/>
      <c r="G538"/>
      <c r="H538"/>
      <c r="L538"/>
      <c r="O538"/>
    </row>
    <row r="539" spans="3:15" x14ac:dyDescent="0.25">
      <c r="C539"/>
      <c r="F539"/>
      <c r="G539"/>
      <c r="H539"/>
      <c r="L539"/>
      <c r="O539"/>
    </row>
    <row r="540" spans="3:15" x14ac:dyDescent="0.25">
      <c r="C540"/>
      <c r="F540"/>
      <c r="G540"/>
      <c r="H540"/>
      <c r="L540"/>
      <c r="O540"/>
    </row>
    <row r="541" spans="3:15" x14ac:dyDescent="0.25">
      <c r="C541"/>
      <c r="F541"/>
      <c r="G541"/>
      <c r="H541"/>
      <c r="L541"/>
      <c r="O541"/>
    </row>
    <row r="542" spans="3:15" x14ac:dyDescent="0.25">
      <c r="C542"/>
      <c r="F542"/>
      <c r="G542"/>
      <c r="H542"/>
      <c r="L542"/>
      <c r="O542"/>
    </row>
    <row r="543" spans="3:15" x14ac:dyDescent="0.25">
      <c r="C543"/>
      <c r="F543"/>
      <c r="G543"/>
      <c r="H543"/>
      <c r="L543"/>
      <c r="O543"/>
    </row>
    <row r="544" spans="3:15" x14ac:dyDescent="0.25">
      <c r="C544"/>
      <c r="F544"/>
      <c r="G544"/>
      <c r="H544"/>
      <c r="L544"/>
      <c r="O544"/>
    </row>
    <row r="545" spans="3:15" x14ac:dyDescent="0.25">
      <c r="C545"/>
      <c r="F545"/>
      <c r="G545"/>
      <c r="H545"/>
      <c r="L545"/>
      <c r="O545"/>
    </row>
    <row r="546" spans="3:15" x14ac:dyDescent="0.25">
      <c r="C546"/>
      <c r="F546"/>
      <c r="G546"/>
      <c r="H546"/>
      <c r="L546"/>
      <c r="O546"/>
    </row>
    <row r="547" spans="3:15" x14ac:dyDescent="0.25">
      <c r="C547"/>
      <c r="F547"/>
      <c r="G547"/>
      <c r="H547"/>
      <c r="L547"/>
      <c r="O547"/>
    </row>
    <row r="548" spans="3:15" x14ac:dyDescent="0.25">
      <c r="C548"/>
      <c r="F548"/>
      <c r="G548"/>
      <c r="H548"/>
      <c r="L548"/>
      <c r="O548"/>
    </row>
    <row r="549" spans="3:15" x14ac:dyDescent="0.25">
      <c r="C549"/>
      <c r="F549"/>
      <c r="G549"/>
      <c r="H549"/>
      <c r="L549"/>
      <c r="O549"/>
    </row>
    <row r="550" spans="3:15" x14ac:dyDescent="0.25">
      <c r="C550"/>
      <c r="F550"/>
      <c r="G550"/>
      <c r="H550"/>
      <c r="L550"/>
      <c r="O550"/>
    </row>
    <row r="551" spans="3:15" x14ac:dyDescent="0.25">
      <c r="C551"/>
      <c r="F551"/>
      <c r="G551"/>
      <c r="H551"/>
      <c r="L551"/>
      <c r="O551"/>
    </row>
    <row r="552" spans="3:15" x14ac:dyDescent="0.25">
      <c r="C552"/>
      <c r="F552"/>
      <c r="G552"/>
      <c r="H552"/>
      <c r="L552"/>
      <c r="O552"/>
    </row>
    <row r="553" spans="3:15" x14ac:dyDescent="0.25">
      <c r="C553"/>
      <c r="F553"/>
      <c r="G553"/>
      <c r="H553"/>
      <c r="L553"/>
      <c r="O553"/>
    </row>
    <row r="554" spans="3:15" x14ac:dyDescent="0.25">
      <c r="C554"/>
      <c r="F554"/>
      <c r="G554"/>
      <c r="H554"/>
      <c r="L554"/>
      <c r="O554"/>
    </row>
    <row r="555" spans="3:15" x14ac:dyDescent="0.25">
      <c r="C555"/>
      <c r="F555"/>
      <c r="G555"/>
      <c r="H555"/>
      <c r="L555"/>
      <c r="O555"/>
    </row>
    <row r="556" spans="3:15" x14ac:dyDescent="0.25">
      <c r="C556"/>
      <c r="F556"/>
      <c r="G556"/>
      <c r="H556"/>
      <c r="L556"/>
      <c r="O556"/>
    </row>
    <row r="557" spans="3:15" x14ac:dyDescent="0.25">
      <c r="C557"/>
      <c r="F557"/>
      <c r="G557"/>
      <c r="H557"/>
      <c r="L557"/>
      <c r="O557"/>
    </row>
    <row r="558" spans="3:15" x14ac:dyDescent="0.25">
      <c r="C558"/>
      <c r="F558"/>
      <c r="G558"/>
      <c r="H558"/>
      <c r="L558"/>
      <c r="O558"/>
    </row>
    <row r="559" spans="3:15" x14ac:dyDescent="0.25">
      <c r="C559"/>
      <c r="F559"/>
      <c r="G559"/>
      <c r="H559"/>
      <c r="L559"/>
      <c r="O559"/>
    </row>
    <row r="560" spans="3:15" x14ac:dyDescent="0.25">
      <c r="C560"/>
      <c r="F560"/>
      <c r="G560"/>
      <c r="H560"/>
      <c r="L560"/>
      <c r="O560"/>
    </row>
    <row r="561" spans="3:15" x14ac:dyDescent="0.25">
      <c r="C561"/>
      <c r="F561"/>
      <c r="G561"/>
      <c r="H561"/>
      <c r="L561"/>
      <c r="O561"/>
    </row>
    <row r="562" spans="3:15" x14ac:dyDescent="0.25">
      <c r="C562"/>
      <c r="F562"/>
      <c r="G562"/>
      <c r="H562"/>
      <c r="L562"/>
      <c r="O562"/>
    </row>
    <row r="563" spans="3:15" x14ac:dyDescent="0.25">
      <c r="C563"/>
      <c r="F563"/>
      <c r="G563"/>
      <c r="H563"/>
      <c r="L563"/>
      <c r="O563"/>
    </row>
    <row r="564" spans="3:15" x14ac:dyDescent="0.25">
      <c r="C564"/>
      <c r="F564"/>
      <c r="G564"/>
      <c r="H564"/>
      <c r="L564"/>
      <c r="O564"/>
    </row>
    <row r="565" spans="3:15" x14ac:dyDescent="0.25">
      <c r="C565"/>
      <c r="F565"/>
      <c r="G565"/>
      <c r="H565"/>
      <c r="L565"/>
      <c r="O565"/>
    </row>
    <row r="566" spans="3:15" x14ac:dyDescent="0.25">
      <c r="C566"/>
      <c r="F566"/>
      <c r="G566"/>
      <c r="H566"/>
      <c r="L566"/>
      <c r="O566"/>
    </row>
    <row r="567" spans="3:15" x14ac:dyDescent="0.25">
      <c r="C567"/>
      <c r="F567"/>
      <c r="G567"/>
      <c r="H567"/>
      <c r="L567"/>
      <c r="O567"/>
    </row>
    <row r="568" spans="3:15" x14ac:dyDescent="0.25">
      <c r="C568"/>
      <c r="F568"/>
      <c r="G568"/>
      <c r="H568"/>
      <c r="L568"/>
      <c r="O568"/>
    </row>
    <row r="569" spans="3:15" x14ac:dyDescent="0.25">
      <c r="C569"/>
      <c r="F569"/>
      <c r="G569"/>
      <c r="H569"/>
      <c r="L569"/>
      <c r="O569"/>
    </row>
    <row r="570" spans="3:15" x14ac:dyDescent="0.25">
      <c r="C570"/>
      <c r="F570"/>
      <c r="G570"/>
      <c r="H570"/>
      <c r="L570"/>
      <c r="O570"/>
    </row>
    <row r="571" spans="3:15" x14ac:dyDescent="0.25">
      <c r="C571"/>
      <c r="F571"/>
      <c r="G571"/>
      <c r="H571"/>
      <c r="L571"/>
      <c r="O571"/>
    </row>
    <row r="572" spans="3:15" x14ac:dyDescent="0.25">
      <c r="C572"/>
      <c r="F572"/>
      <c r="G572"/>
      <c r="H572"/>
      <c r="L572"/>
      <c r="O572"/>
    </row>
    <row r="573" spans="3:15" x14ac:dyDescent="0.25">
      <c r="C573"/>
      <c r="F573"/>
      <c r="G573"/>
      <c r="H573"/>
      <c r="L573"/>
      <c r="O573"/>
    </row>
    <row r="574" spans="3:15" x14ac:dyDescent="0.25">
      <c r="C574"/>
      <c r="F574"/>
      <c r="G574"/>
      <c r="H574"/>
      <c r="L574"/>
      <c r="O574"/>
    </row>
    <row r="575" spans="3:15" x14ac:dyDescent="0.25">
      <c r="C575"/>
      <c r="F575"/>
      <c r="G575"/>
      <c r="H575"/>
      <c r="L575"/>
      <c r="O575"/>
    </row>
    <row r="576" spans="3:15" x14ac:dyDescent="0.25">
      <c r="C576"/>
      <c r="F576"/>
      <c r="G576"/>
      <c r="H576"/>
      <c r="L576"/>
      <c r="O576"/>
    </row>
    <row r="577" spans="3:15" x14ac:dyDescent="0.25">
      <c r="C577"/>
      <c r="F577"/>
      <c r="G577"/>
      <c r="H577"/>
      <c r="L577"/>
      <c r="O577"/>
    </row>
    <row r="578" spans="3:15" x14ac:dyDescent="0.25">
      <c r="C578"/>
      <c r="F578"/>
      <c r="G578"/>
      <c r="H578"/>
      <c r="L578"/>
      <c r="O578"/>
    </row>
    <row r="579" spans="3:15" x14ac:dyDescent="0.25">
      <c r="C579"/>
      <c r="F579"/>
      <c r="G579"/>
      <c r="H579"/>
      <c r="L579"/>
      <c r="O579"/>
    </row>
    <row r="580" spans="3:15" x14ac:dyDescent="0.25">
      <c r="C580"/>
      <c r="F580"/>
      <c r="G580"/>
      <c r="H580"/>
      <c r="L580"/>
      <c r="O580"/>
    </row>
    <row r="581" spans="3:15" x14ac:dyDescent="0.25">
      <c r="C581"/>
      <c r="F581"/>
      <c r="G581"/>
      <c r="H581"/>
      <c r="L581"/>
      <c r="O581"/>
    </row>
    <row r="582" spans="3:15" x14ac:dyDescent="0.25">
      <c r="C582"/>
      <c r="F582"/>
      <c r="G582"/>
      <c r="H582"/>
      <c r="L582"/>
      <c r="O582"/>
    </row>
    <row r="583" spans="3:15" x14ac:dyDescent="0.25">
      <c r="C583"/>
      <c r="F583"/>
      <c r="G583"/>
      <c r="H583"/>
      <c r="L583"/>
      <c r="O583"/>
    </row>
    <row r="584" spans="3:15" x14ac:dyDescent="0.25">
      <c r="C584"/>
      <c r="F584"/>
      <c r="G584"/>
      <c r="H584"/>
      <c r="L584"/>
      <c r="O584"/>
    </row>
    <row r="585" spans="3:15" x14ac:dyDescent="0.25">
      <c r="C585"/>
      <c r="F585"/>
      <c r="G585"/>
      <c r="H585"/>
      <c r="L585"/>
      <c r="O585"/>
    </row>
    <row r="586" spans="3:15" x14ac:dyDescent="0.25">
      <c r="C586"/>
      <c r="F586"/>
      <c r="G586"/>
      <c r="H586"/>
      <c r="L586"/>
      <c r="O586"/>
    </row>
    <row r="587" spans="3:15" x14ac:dyDescent="0.25">
      <c r="C587"/>
      <c r="F587"/>
      <c r="G587"/>
      <c r="H587"/>
      <c r="L587"/>
      <c r="O587"/>
    </row>
    <row r="588" spans="3:15" x14ac:dyDescent="0.25">
      <c r="C588"/>
      <c r="F588"/>
      <c r="G588"/>
      <c r="H588"/>
      <c r="L588"/>
      <c r="O588"/>
    </row>
    <row r="589" spans="3:15" x14ac:dyDescent="0.25">
      <c r="C589"/>
      <c r="F589"/>
      <c r="G589"/>
      <c r="H589"/>
      <c r="L589"/>
      <c r="O589"/>
    </row>
    <row r="590" spans="3:15" x14ac:dyDescent="0.25">
      <c r="C590"/>
      <c r="F590"/>
      <c r="G590"/>
      <c r="H590"/>
      <c r="L590"/>
      <c r="O590"/>
    </row>
    <row r="591" spans="3:15" x14ac:dyDescent="0.25">
      <c r="C591"/>
      <c r="F591"/>
      <c r="G591"/>
      <c r="H591"/>
      <c r="L591"/>
      <c r="O591"/>
    </row>
    <row r="592" spans="3:15" x14ac:dyDescent="0.25">
      <c r="C592"/>
      <c r="F592"/>
      <c r="G592"/>
      <c r="H592"/>
      <c r="L592"/>
      <c r="O592"/>
    </row>
    <row r="593" spans="3:15" x14ac:dyDescent="0.25">
      <c r="C593"/>
      <c r="F593"/>
      <c r="G593"/>
      <c r="H593"/>
      <c r="L593"/>
      <c r="O593"/>
    </row>
    <row r="594" spans="3:15" x14ac:dyDescent="0.25">
      <c r="C594"/>
      <c r="F594"/>
      <c r="G594"/>
      <c r="H594"/>
      <c r="L594"/>
      <c r="O594"/>
    </row>
    <row r="595" spans="3:15" x14ac:dyDescent="0.25">
      <c r="C595"/>
      <c r="F595"/>
      <c r="G595"/>
      <c r="H595"/>
      <c r="L595"/>
      <c r="O595"/>
    </row>
    <row r="596" spans="3:15" x14ac:dyDescent="0.25">
      <c r="C596"/>
      <c r="F596"/>
      <c r="G596"/>
      <c r="H596"/>
      <c r="L596"/>
      <c r="O596"/>
    </row>
    <row r="597" spans="3:15" x14ac:dyDescent="0.25">
      <c r="C597"/>
      <c r="F597"/>
      <c r="G597"/>
      <c r="H597"/>
      <c r="L597"/>
      <c r="O597"/>
    </row>
    <row r="598" spans="3:15" x14ac:dyDescent="0.25">
      <c r="C598"/>
      <c r="F598"/>
      <c r="G598"/>
      <c r="H598"/>
      <c r="L598"/>
      <c r="O598"/>
    </row>
    <row r="599" spans="3:15" x14ac:dyDescent="0.25">
      <c r="C599"/>
      <c r="F599"/>
      <c r="G599"/>
      <c r="H599"/>
      <c r="L599"/>
      <c r="O599"/>
    </row>
    <row r="600" spans="3:15" x14ac:dyDescent="0.25">
      <c r="C600"/>
      <c r="F600"/>
      <c r="G600"/>
      <c r="H600"/>
      <c r="L600"/>
      <c r="O600"/>
    </row>
    <row r="601" spans="3:15" x14ac:dyDescent="0.25">
      <c r="C601"/>
      <c r="F601"/>
      <c r="G601"/>
      <c r="H601"/>
      <c r="L601"/>
      <c r="O601"/>
    </row>
    <row r="602" spans="3:15" x14ac:dyDescent="0.25">
      <c r="C602"/>
      <c r="F602"/>
      <c r="G602"/>
      <c r="H602"/>
      <c r="L602"/>
      <c r="O602"/>
    </row>
    <row r="603" spans="3:15" x14ac:dyDescent="0.25">
      <c r="C603"/>
      <c r="F603"/>
      <c r="G603"/>
      <c r="H603"/>
      <c r="L603"/>
      <c r="O603"/>
    </row>
    <row r="604" spans="3:15" x14ac:dyDescent="0.25">
      <c r="C604"/>
      <c r="F604"/>
      <c r="G604"/>
      <c r="H604"/>
      <c r="L604"/>
      <c r="O604"/>
    </row>
    <row r="605" spans="3:15" x14ac:dyDescent="0.25">
      <c r="C605"/>
      <c r="F605"/>
      <c r="G605"/>
      <c r="H605"/>
      <c r="L605"/>
      <c r="O605"/>
    </row>
    <row r="606" spans="3:15" x14ac:dyDescent="0.25">
      <c r="C606"/>
      <c r="F606"/>
      <c r="G606"/>
      <c r="H606"/>
      <c r="L606"/>
      <c r="O606"/>
    </row>
    <row r="607" spans="3:15" x14ac:dyDescent="0.25">
      <c r="C607"/>
      <c r="F607"/>
      <c r="G607"/>
      <c r="H607"/>
      <c r="L607"/>
      <c r="O607"/>
    </row>
    <row r="608" spans="3:15" x14ac:dyDescent="0.25">
      <c r="C608"/>
      <c r="F608"/>
      <c r="G608"/>
      <c r="H608"/>
      <c r="L608"/>
      <c r="O608"/>
    </row>
    <row r="609" spans="3:15" x14ac:dyDescent="0.25">
      <c r="C609"/>
      <c r="F609"/>
      <c r="G609"/>
      <c r="H609"/>
      <c r="L609"/>
      <c r="O609"/>
    </row>
    <row r="610" spans="3:15" x14ac:dyDescent="0.25">
      <c r="C610"/>
      <c r="F610"/>
      <c r="G610"/>
      <c r="H610"/>
      <c r="L610"/>
      <c r="O610"/>
    </row>
    <row r="611" spans="3:15" x14ac:dyDescent="0.25">
      <c r="C611"/>
      <c r="F611"/>
      <c r="G611"/>
      <c r="H611"/>
      <c r="L611"/>
      <c r="O611"/>
    </row>
    <row r="612" spans="3:15" x14ac:dyDescent="0.25">
      <c r="C612"/>
      <c r="F612"/>
      <c r="G612"/>
      <c r="H612"/>
      <c r="L612"/>
      <c r="O612"/>
    </row>
    <row r="613" spans="3:15" x14ac:dyDescent="0.25">
      <c r="C613"/>
      <c r="F613"/>
      <c r="G613"/>
      <c r="H613"/>
      <c r="L613"/>
      <c r="O613"/>
    </row>
    <row r="614" spans="3:15" x14ac:dyDescent="0.25">
      <c r="C614"/>
      <c r="F614"/>
      <c r="G614"/>
      <c r="H614"/>
      <c r="L614"/>
      <c r="O614"/>
    </row>
    <row r="615" spans="3:15" x14ac:dyDescent="0.25">
      <c r="C615"/>
      <c r="F615"/>
      <c r="G615"/>
      <c r="H615"/>
      <c r="L615"/>
      <c r="O615"/>
    </row>
    <row r="616" spans="3:15" x14ac:dyDescent="0.25">
      <c r="C616"/>
      <c r="F616"/>
      <c r="G616"/>
      <c r="H616"/>
      <c r="L616"/>
      <c r="O616"/>
    </row>
    <row r="617" spans="3:15" x14ac:dyDescent="0.25">
      <c r="C617"/>
      <c r="F617"/>
      <c r="G617"/>
      <c r="H617"/>
      <c r="L617"/>
      <c r="O617"/>
    </row>
    <row r="618" spans="3:15" x14ac:dyDescent="0.25">
      <c r="C618"/>
      <c r="F618"/>
      <c r="G618"/>
      <c r="H618"/>
      <c r="L618"/>
      <c r="O618"/>
    </row>
    <row r="619" spans="3:15" x14ac:dyDescent="0.25">
      <c r="C619"/>
      <c r="F619"/>
      <c r="G619"/>
      <c r="H619"/>
      <c r="L619"/>
      <c r="O619"/>
    </row>
    <row r="620" spans="3:15" x14ac:dyDescent="0.25">
      <c r="C620"/>
      <c r="F620"/>
      <c r="G620"/>
      <c r="H620"/>
      <c r="L620"/>
      <c r="O620"/>
    </row>
    <row r="621" spans="3:15" x14ac:dyDescent="0.25">
      <c r="C621"/>
      <c r="F621"/>
      <c r="G621"/>
      <c r="H621"/>
      <c r="L621"/>
      <c r="O621"/>
    </row>
    <row r="622" spans="3:15" x14ac:dyDescent="0.25">
      <c r="C622"/>
      <c r="F622"/>
      <c r="G622"/>
      <c r="H622"/>
      <c r="L622"/>
      <c r="O622"/>
    </row>
    <row r="623" spans="3:15" x14ac:dyDescent="0.25">
      <c r="C623"/>
      <c r="F623"/>
      <c r="G623"/>
      <c r="H623"/>
      <c r="L623"/>
      <c r="O623"/>
    </row>
    <row r="624" spans="3:15" x14ac:dyDescent="0.25">
      <c r="C624"/>
      <c r="F624"/>
      <c r="G624"/>
      <c r="H624"/>
      <c r="L624"/>
      <c r="O624"/>
    </row>
    <row r="625" spans="3:15" x14ac:dyDescent="0.25">
      <c r="C625"/>
      <c r="F625"/>
      <c r="G625"/>
      <c r="H625"/>
      <c r="L625"/>
      <c r="O625"/>
    </row>
    <row r="626" spans="3:15" x14ac:dyDescent="0.25">
      <c r="C626"/>
      <c r="F626"/>
      <c r="G626"/>
      <c r="H626"/>
      <c r="L626"/>
      <c r="O626"/>
    </row>
    <row r="627" spans="3:15" x14ac:dyDescent="0.25">
      <c r="C627"/>
      <c r="F627"/>
      <c r="G627"/>
      <c r="H627"/>
      <c r="L627"/>
      <c r="O627"/>
    </row>
    <row r="628" spans="3:15" x14ac:dyDescent="0.25">
      <c r="C628"/>
      <c r="F628"/>
      <c r="G628"/>
      <c r="H628"/>
      <c r="L628"/>
      <c r="O628"/>
    </row>
    <row r="629" spans="3:15" x14ac:dyDescent="0.25">
      <c r="C629"/>
      <c r="F629"/>
      <c r="G629"/>
      <c r="H629"/>
      <c r="L629"/>
      <c r="O629"/>
    </row>
    <row r="630" spans="3:15" x14ac:dyDescent="0.25">
      <c r="C630"/>
      <c r="F630"/>
      <c r="G630"/>
      <c r="H630"/>
      <c r="L630"/>
      <c r="O630"/>
    </row>
    <row r="631" spans="3:15" x14ac:dyDescent="0.25">
      <c r="C631"/>
      <c r="F631"/>
      <c r="G631"/>
      <c r="H631"/>
      <c r="L631"/>
      <c r="O631"/>
    </row>
    <row r="632" spans="3:15" x14ac:dyDescent="0.25">
      <c r="C632"/>
      <c r="F632"/>
      <c r="G632"/>
      <c r="H632"/>
      <c r="L632"/>
      <c r="O632"/>
    </row>
    <row r="633" spans="3:15" x14ac:dyDescent="0.25">
      <c r="C633"/>
      <c r="F633"/>
      <c r="G633"/>
      <c r="H633"/>
      <c r="L633"/>
      <c r="O633"/>
    </row>
    <row r="634" spans="3:15" x14ac:dyDescent="0.25">
      <c r="C634"/>
      <c r="F634"/>
      <c r="G634"/>
      <c r="H634"/>
      <c r="L634"/>
      <c r="O634"/>
    </row>
    <row r="635" spans="3:15" x14ac:dyDescent="0.25">
      <c r="C635"/>
      <c r="F635"/>
      <c r="G635"/>
      <c r="H635"/>
      <c r="L635"/>
      <c r="O635"/>
    </row>
    <row r="636" spans="3:15" x14ac:dyDescent="0.25">
      <c r="C636"/>
      <c r="F636"/>
      <c r="G636"/>
      <c r="H636"/>
      <c r="L636"/>
      <c r="O636"/>
    </row>
    <row r="637" spans="3:15" x14ac:dyDescent="0.25">
      <c r="C637"/>
      <c r="F637"/>
      <c r="G637"/>
      <c r="H637"/>
      <c r="L637"/>
      <c r="O637"/>
    </row>
    <row r="638" spans="3:15" x14ac:dyDescent="0.25">
      <c r="C638"/>
      <c r="F638"/>
      <c r="G638"/>
      <c r="H638"/>
      <c r="L638"/>
      <c r="O638"/>
    </row>
    <row r="639" spans="3:15" x14ac:dyDescent="0.25">
      <c r="C639"/>
      <c r="F639"/>
      <c r="G639"/>
      <c r="H639"/>
      <c r="L639"/>
      <c r="O639"/>
    </row>
    <row r="640" spans="3:15" x14ac:dyDescent="0.25">
      <c r="C640"/>
      <c r="F640"/>
      <c r="G640"/>
      <c r="H640"/>
      <c r="L640"/>
      <c r="O640"/>
    </row>
    <row r="641" spans="3:15" x14ac:dyDescent="0.25">
      <c r="C641"/>
      <c r="F641"/>
      <c r="G641"/>
      <c r="H641"/>
      <c r="L641"/>
      <c r="O641"/>
    </row>
    <row r="642" spans="3:15" x14ac:dyDescent="0.25">
      <c r="C642"/>
      <c r="F642"/>
      <c r="G642"/>
      <c r="H642"/>
      <c r="L642"/>
      <c r="O642"/>
    </row>
    <row r="643" spans="3:15" x14ac:dyDescent="0.25">
      <c r="C643"/>
      <c r="F643"/>
      <c r="G643"/>
      <c r="H643"/>
      <c r="L643"/>
      <c r="O643"/>
    </row>
    <row r="644" spans="3:15" x14ac:dyDescent="0.25">
      <c r="C644"/>
      <c r="F644"/>
      <c r="G644"/>
      <c r="H644"/>
      <c r="L644"/>
      <c r="O644"/>
    </row>
    <row r="645" spans="3:15" x14ac:dyDescent="0.25">
      <c r="C645"/>
      <c r="F645"/>
      <c r="G645"/>
      <c r="H645"/>
      <c r="L645"/>
      <c r="O645"/>
    </row>
    <row r="646" spans="3:15" x14ac:dyDescent="0.25">
      <c r="C646"/>
      <c r="F646"/>
      <c r="G646"/>
      <c r="H646"/>
      <c r="L646"/>
      <c r="O646"/>
    </row>
    <row r="647" spans="3:15" x14ac:dyDescent="0.25">
      <c r="C647"/>
      <c r="F647"/>
      <c r="G647"/>
      <c r="H647"/>
      <c r="L647"/>
      <c r="O647"/>
    </row>
    <row r="648" spans="3:15" x14ac:dyDescent="0.25">
      <c r="C648"/>
      <c r="F648"/>
      <c r="G648"/>
      <c r="H648"/>
      <c r="L648"/>
      <c r="O648"/>
    </row>
    <row r="649" spans="3:15" x14ac:dyDescent="0.25">
      <c r="C649"/>
      <c r="F649"/>
      <c r="G649"/>
      <c r="H649"/>
      <c r="L649"/>
      <c r="O649"/>
    </row>
    <row r="650" spans="3:15" x14ac:dyDescent="0.25">
      <c r="C650"/>
      <c r="F650"/>
      <c r="G650"/>
      <c r="H650"/>
      <c r="L650"/>
      <c r="O650"/>
    </row>
    <row r="651" spans="3:15" x14ac:dyDescent="0.25">
      <c r="C651"/>
      <c r="F651"/>
      <c r="G651"/>
      <c r="H651"/>
      <c r="L651"/>
      <c r="O651"/>
    </row>
    <row r="652" spans="3:15" x14ac:dyDescent="0.25">
      <c r="C652"/>
      <c r="F652"/>
      <c r="G652"/>
      <c r="H652"/>
      <c r="L652"/>
      <c r="O652"/>
    </row>
    <row r="653" spans="3:15" x14ac:dyDescent="0.25">
      <c r="C653"/>
      <c r="F653"/>
      <c r="G653"/>
      <c r="H653"/>
      <c r="L653"/>
      <c r="O653"/>
    </row>
    <row r="654" spans="3:15" x14ac:dyDescent="0.25">
      <c r="C654"/>
      <c r="F654"/>
      <c r="G654"/>
      <c r="H654"/>
      <c r="L654"/>
      <c r="O654"/>
    </row>
    <row r="655" spans="3:15" x14ac:dyDescent="0.25">
      <c r="C655"/>
      <c r="F655"/>
      <c r="G655"/>
      <c r="H655"/>
      <c r="L655"/>
      <c r="O655"/>
    </row>
    <row r="656" spans="3:15" x14ac:dyDescent="0.25">
      <c r="C656"/>
      <c r="F656"/>
      <c r="G656"/>
      <c r="H656"/>
      <c r="L656"/>
      <c r="O656"/>
    </row>
    <row r="657" spans="3:15" x14ac:dyDescent="0.25">
      <c r="C657"/>
      <c r="F657"/>
      <c r="G657"/>
      <c r="H657"/>
      <c r="L657"/>
      <c r="O657"/>
    </row>
    <row r="658" spans="3:15" x14ac:dyDescent="0.25">
      <c r="C658"/>
      <c r="F658"/>
      <c r="G658"/>
      <c r="H658"/>
      <c r="L658"/>
      <c r="O658"/>
    </row>
    <row r="659" spans="3:15" x14ac:dyDescent="0.25">
      <c r="C659"/>
      <c r="F659"/>
      <c r="G659"/>
      <c r="H659"/>
      <c r="L659"/>
      <c r="O659"/>
    </row>
    <row r="660" spans="3:15" x14ac:dyDescent="0.25">
      <c r="C660"/>
      <c r="F660"/>
      <c r="G660"/>
      <c r="H660"/>
      <c r="L660"/>
      <c r="O660"/>
    </row>
    <row r="661" spans="3:15" x14ac:dyDescent="0.25">
      <c r="C661"/>
      <c r="F661"/>
      <c r="G661"/>
      <c r="H661"/>
      <c r="L661"/>
      <c r="O661"/>
    </row>
    <row r="662" spans="3:15" x14ac:dyDescent="0.25">
      <c r="C662"/>
      <c r="F662"/>
      <c r="G662"/>
      <c r="H662"/>
      <c r="L662"/>
      <c r="O662"/>
    </row>
    <row r="663" spans="3:15" x14ac:dyDescent="0.25">
      <c r="C663"/>
      <c r="F663"/>
      <c r="G663"/>
      <c r="H663"/>
      <c r="L663"/>
      <c r="O663"/>
    </row>
    <row r="664" spans="3:15" x14ac:dyDescent="0.25">
      <c r="C664"/>
      <c r="F664"/>
      <c r="G664"/>
      <c r="H664"/>
      <c r="L664"/>
      <c r="O664"/>
    </row>
    <row r="665" spans="3:15" x14ac:dyDescent="0.25">
      <c r="C665"/>
      <c r="F665"/>
      <c r="G665"/>
      <c r="H665"/>
      <c r="L665"/>
      <c r="O665"/>
    </row>
    <row r="666" spans="3:15" x14ac:dyDescent="0.25">
      <c r="C666"/>
      <c r="F666"/>
      <c r="G666"/>
      <c r="H666"/>
      <c r="L666"/>
      <c r="O666"/>
    </row>
    <row r="667" spans="3:15" x14ac:dyDescent="0.25">
      <c r="C667"/>
      <c r="F667"/>
      <c r="G667"/>
      <c r="H667"/>
      <c r="L667"/>
      <c r="O667"/>
    </row>
    <row r="668" spans="3:15" x14ac:dyDescent="0.25">
      <c r="C668"/>
      <c r="F668"/>
      <c r="G668"/>
      <c r="H668"/>
      <c r="L668"/>
      <c r="O668"/>
    </row>
    <row r="669" spans="3:15" x14ac:dyDescent="0.25">
      <c r="C669"/>
      <c r="F669"/>
      <c r="G669"/>
      <c r="H669"/>
      <c r="L669"/>
      <c r="O669"/>
    </row>
    <row r="670" spans="3:15" x14ac:dyDescent="0.25">
      <c r="C670"/>
      <c r="F670"/>
      <c r="G670"/>
      <c r="H670"/>
      <c r="L670"/>
      <c r="O670"/>
    </row>
    <row r="671" spans="3:15" x14ac:dyDescent="0.25">
      <c r="C671"/>
      <c r="F671"/>
      <c r="G671"/>
      <c r="H671"/>
      <c r="L671"/>
      <c r="O671"/>
    </row>
    <row r="672" spans="3:15" x14ac:dyDescent="0.25">
      <c r="C672"/>
      <c r="F672"/>
      <c r="G672"/>
      <c r="H672"/>
      <c r="L672"/>
      <c r="O672"/>
    </row>
    <row r="673" spans="3:15" x14ac:dyDescent="0.25">
      <c r="C673"/>
      <c r="F673"/>
      <c r="G673"/>
      <c r="H673"/>
      <c r="L673"/>
      <c r="O673"/>
    </row>
    <row r="674" spans="3:15" x14ac:dyDescent="0.25">
      <c r="C674"/>
      <c r="F674"/>
      <c r="G674"/>
      <c r="H674"/>
      <c r="L674"/>
      <c r="O674"/>
    </row>
    <row r="675" spans="3:15" x14ac:dyDescent="0.25">
      <c r="C675"/>
      <c r="F675"/>
      <c r="G675"/>
      <c r="H675"/>
      <c r="L675"/>
      <c r="O675"/>
    </row>
    <row r="676" spans="3:15" x14ac:dyDescent="0.25">
      <c r="C676"/>
      <c r="F676"/>
      <c r="G676"/>
      <c r="H676"/>
      <c r="L676"/>
      <c r="O676"/>
    </row>
    <row r="677" spans="3:15" x14ac:dyDescent="0.25">
      <c r="C677"/>
      <c r="F677"/>
      <c r="G677"/>
      <c r="H677"/>
      <c r="L677"/>
      <c r="O677"/>
    </row>
    <row r="678" spans="3:15" x14ac:dyDescent="0.25">
      <c r="C678"/>
      <c r="F678"/>
      <c r="G678"/>
      <c r="H678"/>
      <c r="L678"/>
      <c r="O678"/>
    </row>
    <row r="679" spans="3:15" x14ac:dyDescent="0.25">
      <c r="C679"/>
      <c r="F679"/>
      <c r="G679"/>
      <c r="H679"/>
      <c r="L679"/>
      <c r="O679"/>
    </row>
    <row r="680" spans="3:15" x14ac:dyDescent="0.25">
      <c r="C680"/>
      <c r="F680"/>
      <c r="G680"/>
      <c r="H680"/>
      <c r="L680"/>
      <c r="O680"/>
    </row>
    <row r="681" spans="3:15" x14ac:dyDescent="0.25">
      <c r="C681"/>
      <c r="F681"/>
      <c r="G681"/>
      <c r="H681"/>
      <c r="L681"/>
      <c r="O681"/>
    </row>
    <row r="682" spans="3:15" x14ac:dyDescent="0.25">
      <c r="C682"/>
      <c r="F682"/>
      <c r="G682"/>
      <c r="H682"/>
      <c r="L682"/>
      <c r="O682"/>
    </row>
    <row r="683" spans="3:15" x14ac:dyDescent="0.25">
      <c r="C683"/>
      <c r="F683"/>
      <c r="G683"/>
      <c r="H683"/>
      <c r="L683"/>
      <c r="O683"/>
    </row>
    <row r="684" spans="3:15" x14ac:dyDescent="0.25">
      <c r="C684"/>
      <c r="F684"/>
      <c r="G684"/>
      <c r="H684"/>
      <c r="L684"/>
      <c r="O684"/>
    </row>
    <row r="685" spans="3:15" x14ac:dyDescent="0.25">
      <c r="C685"/>
      <c r="F685"/>
      <c r="G685"/>
      <c r="H685"/>
      <c r="L685"/>
      <c r="O685"/>
    </row>
    <row r="686" spans="3:15" x14ac:dyDescent="0.25">
      <c r="C686"/>
      <c r="F686"/>
      <c r="G686"/>
      <c r="H686"/>
      <c r="L686"/>
      <c r="O686"/>
    </row>
    <row r="687" spans="3:15" x14ac:dyDescent="0.25">
      <c r="C687"/>
      <c r="F687"/>
      <c r="G687"/>
      <c r="H687"/>
      <c r="L687"/>
      <c r="O687"/>
    </row>
    <row r="688" spans="3:15" x14ac:dyDescent="0.25">
      <c r="C688"/>
      <c r="F688"/>
      <c r="G688"/>
      <c r="H688"/>
      <c r="L688"/>
      <c r="O688"/>
    </row>
    <row r="689" spans="3:15" x14ac:dyDescent="0.25">
      <c r="C689"/>
      <c r="F689"/>
      <c r="G689"/>
      <c r="H689"/>
      <c r="L689"/>
      <c r="O689"/>
    </row>
    <row r="690" spans="3:15" x14ac:dyDescent="0.25">
      <c r="C690"/>
      <c r="F690"/>
      <c r="G690"/>
      <c r="H690"/>
      <c r="L690"/>
      <c r="O690"/>
    </row>
    <row r="691" spans="3:15" x14ac:dyDescent="0.25">
      <c r="C691"/>
      <c r="F691"/>
      <c r="G691"/>
      <c r="H691"/>
      <c r="L691"/>
      <c r="O691"/>
    </row>
    <row r="692" spans="3:15" x14ac:dyDescent="0.25">
      <c r="C692"/>
      <c r="F692"/>
      <c r="G692"/>
      <c r="H692"/>
      <c r="L692"/>
      <c r="O692"/>
    </row>
    <row r="693" spans="3:15" x14ac:dyDescent="0.25">
      <c r="C693"/>
      <c r="F693"/>
      <c r="G693"/>
      <c r="H693"/>
      <c r="L693"/>
      <c r="O693"/>
    </row>
    <row r="694" spans="3:15" x14ac:dyDescent="0.25">
      <c r="C694"/>
      <c r="F694"/>
      <c r="G694"/>
      <c r="H694"/>
      <c r="L694"/>
      <c r="O694"/>
    </row>
    <row r="695" spans="3:15" x14ac:dyDescent="0.25">
      <c r="C695"/>
      <c r="F695"/>
      <c r="G695"/>
      <c r="H695"/>
      <c r="L695"/>
      <c r="O695"/>
    </row>
    <row r="696" spans="3:15" x14ac:dyDescent="0.25">
      <c r="C696"/>
      <c r="F696"/>
      <c r="G696"/>
      <c r="H696"/>
      <c r="L696"/>
      <c r="O696"/>
    </row>
    <row r="697" spans="3:15" x14ac:dyDescent="0.25">
      <c r="C697"/>
      <c r="F697"/>
      <c r="G697"/>
      <c r="H697"/>
      <c r="L697"/>
      <c r="O697"/>
    </row>
    <row r="698" spans="3:15" x14ac:dyDescent="0.25">
      <c r="C698"/>
      <c r="F698"/>
      <c r="G698"/>
      <c r="H698"/>
      <c r="L698"/>
      <c r="O698"/>
    </row>
    <row r="699" spans="3:15" x14ac:dyDescent="0.25">
      <c r="C699"/>
      <c r="F699"/>
      <c r="G699"/>
      <c r="H699"/>
      <c r="L699"/>
      <c r="O699"/>
    </row>
    <row r="700" spans="3:15" x14ac:dyDescent="0.25">
      <c r="C700"/>
      <c r="F700"/>
      <c r="G700"/>
      <c r="H700"/>
      <c r="L700"/>
      <c r="O700"/>
    </row>
    <row r="701" spans="3:15" x14ac:dyDescent="0.25">
      <c r="C701"/>
      <c r="F701"/>
      <c r="G701"/>
      <c r="H701"/>
      <c r="L701"/>
      <c r="O701"/>
    </row>
    <row r="702" spans="3:15" x14ac:dyDescent="0.25">
      <c r="C702"/>
      <c r="F702"/>
      <c r="G702"/>
      <c r="H702"/>
      <c r="L702"/>
      <c r="O702"/>
    </row>
    <row r="703" spans="3:15" x14ac:dyDescent="0.25">
      <c r="C703"/>
      <c r="F703"/>
      <c r="G703"/>
      <c r="H703"/>
      <c r="L703"/>
      <c r="O703"/>
    </row>
    <row r="704" spans="3:15" x14ac:dyDescent="0.25">
      <c r="C704"/>
      <c r="F704"/>
      <c r="G704"/>
      <c r="H704"/>
      <c r="L704"/>
      <c r="O704"/>
    </row>
    <row r="705" spans="3:15" x14ac:dyDescent="0.25">
      <c r="C705"/>
      <c r="F705"/>
      <c r="G705"/>
      <c r="H705"/>
      <c r="L705"/>
      <c r="O705"/>
    </row>
    <row r="706" spans="3:15" x14ac:dyDescent="0.25">
      <c r="C706"/>
      <c r="F706"/>
      <c r="G706"/>
      <c r="H706"/>
      <c r="L706"/>
      <c r="O706"/>
    </row>
    <row r="707" spans="3:15" x14ac:dyDescent="0.25">
      <c r="C707"/>
      <c r="F707"/>
      <c r="G707"/>
      <c r="H707"/>
      <c r="L707"/>
      <c r="O707"/>
    </row>
    <row r="708" spans="3:15" x14ac:dyDescent="0.25">
      <c r="C708"/>
      <c r="F708"/>
      <c r="G708"/>
      <c r="H708"/>
      <c r="L708"/>
      <c r="O708"/>
    </row>
    <row r="709" spans="3:15" x14ac:dyDescent="0.25">
      <c r="C709"/>
      <c r="F709"/>
      <c r="G709"/>
      <c r="H709"/>
      <c r="L709"/>
      <c r="O709"/>
    </row>
    <row r="710" spans="3:15" x14ac:dyDescent="0.25">
      <c r="C710"/>
      <c r="F710"/>
      <c r="G710"/>
      <c r="H710"/>
      <c r="L710"/>
      <c r="O710"/>
    </row>
    <row r="711" spans="3:15" x14ac:dyDescent="0.25">
      <c r="C711"/>
      <c r="F711"/>
      <c r="G711"/>
      <c r="H711"/>
      <c r="L711"/>
      <c r="O711"/>
    </row>
    <row r="712" spans="3:15" x14ac:dyDescent="0.25">
      <c r="C712"/>
      <c r="F712"/>
      <c r="G712"/>
      <c r="H712"/>
      <c r="L712"/>
      <c r="O712"/>
    </row>
    <row r="713" spans="3:15" x14ac:dyDescent="0.25">
      <c r="C713"/>
      <c r="F713"/>
      <c r="G713"/>
      <c r="H713"/>
      <c r="L713"/>
      <c r="O713"/>
    </row>
    <row r="714" spans="3:15" x14ac:dyDescent="0.25">
      <c r="C714"/>
      <c r="F714"/>
      <c r="G714"/>
      <c r="H714"/>
      <c r="L714"/>
      <c r="O714"/>
    </row>
    <row r="715" spans="3:15" x14ac:dyDescent="0.25">
      <c r="C715"/>
      <c r="F715"/>
      <c r="G715"/>
      <c r="H715"/>
      <c r="L715"/>
      <c r="O715"/>
    </row>
    <row r="716" spans="3:15" x14ac:dyDescent="0.25">
      <c r="C716"/>
      <c r="F716"/>
      <c r="G716"/>
      <c r="H716"/>
      <c r="L716"/>
      <c r="O716"/>
    </row>
    <row r="717" spans="3:15" x14ac:dyDescent="0.25">
      <c r="C717"/>
      <c r="F717"/>
      <c r="G717"/>
      <c r="H717"/>
      <c r="L717"/>
      <c r="O717"/>
    </row>
    <row r="718" spans="3:15" x14ac:dyDescent="0.25">
      <c r="C718"/>
      <c r="F718"/>
      <c r="G718"/>
      <c r="H718"/>
      <c r="L718"/>
      <c r="O718"/>
    </row>
    <row r="719" spans="3:15" x14ac:dyDescent="0.25">
      <c r="C719"/>
      <c r="F719"/>
      <c r="G719"/>
      <c r="H719"/>
      <c r="L719"/>
      <c r="O719"/>
    </row>
    <row r="720" spans="3:15" x14ac:dyDescent="0.25">
      <c r="C720"/>
      <c r="F720"/>
      <c r="G720"/>
      <c r="H720"/>
      <c r="L720"/>
      <c r="O720"/>
    </row>
    <row r="721" spans="3:15" x14ac:dyDescent="0.25">
      <c r="C721"/>
      <c r="F721"/>
      <c r="G721"/>
      <c r="H721"/>
      <c r="L721"/>
      <c r="O721"/>
    </row>
    <row r="722" spans="3:15" x14ac:dyDescent="0.25">
      <c r="C722"/>
      <c r="F722"/>
      <c r="G722"/>
      <c r="H722"/>
      <c r="L722"/>
      <c r="O722"/>
    </row>
    <row r="723" spans="3:15" x14ac:dyDescent="0.25">
      <c r="C723"/>
      <c r="F723"/>
      <c r="G723"/>
      <c r="H723"/>
      <c r="L723"/>
      <c r="O723"/>
    </row>
    <row r="724" spans="3:15" x14ac:dyDescent="0.25">
      <c r="C724"/>
      <c r="F724"/>
      <c r="G724"/>
      <c r="H724"/>
      <c r="L724"/>
      <c r="O724"/>
    </row>
    <row r="725" spans="3:15" x14ac:dyDescent="0.25">
      <c r="C725"/>
      <c r="F725"/>
      <c r="G725"/>
      <c r="H725"/>
      <c r="L725"/>
      <c r="O725"/>
    </row>
    <row r="726" spans="3:15" x14ac:dyDescent="0.25">
      <c r="C726"/>
      <c r="F726"/>
      <c r="G726"/>
      <c r="H726"/>
      <c r="L726"/>
      <c r="O726"/>
    </row>
    <row r="727" spans="3:15" x14ac:dyDescent="0.25">
      <c r="C727"/>
      <c r="F727"/>
      <c r="G727"/>
      <c r="H727"/>
      <c r="L727"/>
      <c r="O727"/>
    </row>
    <row r="728" spans="3:15" x14ac:dyDescent="0.25">
      <c r="C728"/>
      <c r="F728"/>
      <c r="G728"/>
      <c r="H728"/>
      <c r="L728"/>
      <c r="O728"/>
    </row>
    <row r="729" spans="3:15" x14ac:dyDescent="0.25">
      <c r="C729"/>
      <c r="F729"/>
      <c r="G729"/>
      <c r="H729"/>
      <c r="L729"/>
      <c r="O729"/>
    </row>
    <row r="730" spans="3:15" x14ac:dyDescent="0.25">
      <c r="C730"/>
      <c r="F730"/>
      <c r="G730"/>
      <c r="H730"/>
      <c r="L730"/>
      <c r="O730"/>
    </row>
    <row r="731" spans="3:15" x14ac:dyDescent="0.25">
      <c r="C731"/>
      <c r="F731"/>
      <c r="G731"/>
      <c r="H731"/>
      <c r="L731"/>
      <c r="O731"/>
    </row>
    <row r="732" spans="3:15" x14ac:dyDescent="0.25">
      <c r="C732"/>
      <c r="F732"/>
      <c r="G732"/>
      <c r="H732"/>
      <c r="L732"/>
      <c r="O732"/>
    </row>
    <row r="733" spans="3:15" x14ac:dyDescent="0.25">
      <c r="C733"/>
      <c r="F733"/>
      <c r="G733"/>
      <c r="H733"/>
      <c r="L733"/>
      <c r="O733"/>
    </row>
    <row r="734" spans="3:15" x14ac:dyDescent="0.25">
      <c r="C734"/>
      <c r="F734"/>
      <c r="G734"/>
      <c r="H734"/>
      <c r="L734"/>
      <c r="O734"/>
    </row>
    <row r="735" spans="3:15" x14ac:dyDescent="0.25">
      <c r="C735"/>
      <c r="F735"/>
      <c r="G735"/>
      <c r="H735"/>
      <c r="L735"/>
      <c r="O735"/>
    </row>
    <row r="736" spans="3:15" x14ac:dyDescent="0.25">
      <c r="C736"/>
      <c r="F736"/>
      <c r="G736"/>
      <c r="H736"/>
      <c r="L736"/>
      <c r="O736"/>
    </row>
    <row r="737" spans="3:15" x14ac:dyDescent="0.25">
      <c r="C737"/>
      <c r="F737"/>
      <c r="G737"/>
      <c r="H737"/>
      <c r="L737"/>
      <c r="O737"/>
    </row>
    <row r="738" spans="3:15" x14ac:dyDescent="0.25">
      <c r="C738"/>
      <c r="F738"/>
      <c r="G738"/>
      <c r="H738"/>
      <c r="L738"/>
      <c r="O738"/>
    </row>
    <row r="739" spans="3:15" x14ac:dyDescent="0.25">
      <c r="C739"/>
      <c r="F739"/>
      <c r="G739"/>
      <c r="H739"/>
      <c r="L739"/>
      <c r="O739"/>
    </row>
    <row r="740" spans="3:15" x14ac:dyDescent="0.25">
      <c r="C740"/>
      <c r="F740"/>
      <c r="G740"/>
      <c r="H740"/>
      <c r="L740"/>
      <c r="O740"/>
    </row>
    <row r="741" spans="3:15" x14ac:dyDescent="0.25">
      <c r="C741"/>
      <c r="F741"/>
      <c r="G741"/>
      <c r="H741"/>
      <c r="L741"/>
      <c r="O741"/>
    </row>
    <row r="742" spans="3:15" x14ac:dyDescent="0.25">
      <c r="C742"/>
      <c r="F742"/>
      <c r="G742"/>
      <c r="H742"/>
      <c r="L742"/>
      <c r="O742"/>
    </row>
    <row r="743" spans="3:15" x14ac:dyDescent="0.25">
      <c r="C743"/>
      <c r="F743"/>
      <c r="G743"/>
      <c r="H743"/>
      <c r="L743"/>
      <c r="O743"/>
    </row>
    <row r="744" spans="3:15" x14ac:dyDescent="0.25">
      <c r="C744"/>
      <c r="F744"/>
      <c r="G744"/>
      <c r="H744"/>
      <c r="L744"/>
      <c r="O744"/>
    </row>
    <row r="745" spans="3:15" x14ac:dyDescent="0.25">
      <c r="C745"/>
      <c r="F745"/>
      <c r="G745"/>
      <c r="H745"/>
      <c r="L745"/>
      <c r="O745"/>
    </row>
    <row r="746" spans="3:15" x14ac:dyDescent="0.25">
      <c r="C746"/>
      <c r="F746"/>
      <c r="G746"/>
      <c r="H746"/>
      <c r="L746"/>
      <c r="O746"/>
    </row>
    <row r="747" spans="3:15" x14ac:dyDescent="0.25">
      <c r="C747"/>
      <c r="F747"/>
      <c r="G747"/>
      <c r="H747"/>
      <c r="L747"/>
      <c r="O747"/>
    </row>
    <row r="748" spans="3:15" x14ac:dyDescent="0.25">
      <c r="C748"/>
      <c r="F748"/>
      <c r="G748"/>
      <c r="H748"/>
      <c r="L748"/>
      <c r="O748"/>
    </row>
    <row r="749" spans="3:15" x14ac:dyDescent="0.25">
      <c r="C749"/>
      <c r="F749"/>
      <c r="G749"/>
      <c r="H749"/>
      <c r="L749"/>
      <c r="O749"/>
    </row>
    <row r="750" spans="3:15" x14ac:dyDescent="0.25">
      <c r="C750"/>
      <c r="F750"/>
      <c r="G750"/>
      <c r="H750"/>
      <c r="L750"/>
      <c r="O750"/>
    </row>
    <row r="751" spans="3:15" x14ac:dyDescent="0.25">
      <c r="C751"/>
      <c r="F751"/>
      <c r="G751"/>
      <c r="H751"/>
      <c r="L751"/>
      <c r="O751"/>
    </row>
    <row r="752" spans="3:15" x14ac:dyDescent="0.25">
      <c r="C752"/>
      <c r="F752"/>
      <c r="G752"/>
      <c r="H752"/>
      <c r="L752"/>
      <c r="O752"/>
    </row>
    <row r="753" spans="3:15" x14ac:dyDescent="0.25">
      <c r="C753"/>
      <c r="F753"/>
      <c r="G753"/>
      <c r="H753"/>
      <c r="L753"/>
      <c r="O753"/>
    </row>
    <row r="754" spans="3:15" x14ac:dyDescent="0.25">
      <c r="C754"/>
      <c r="F754"/>
      <c r="G754"/>
      <c r="H754"/>
      <c r="L754"/>
      <c r="O754"/>
    </row>
    <row r="755" spans="3:15" x14ac:dyDescent="0.25">
      <c r="C755"/>
      <c r="F755"/>
      <c r="G755"/>
      <c r="H755"/>
      <c r="L755"/>
      <c r="O755"/>
    </row>
    <row r="756" spans="3:15" x14ac:dyDescent="0.25">
      <c r="C756"/>
      <c r="F756"/>
      <c r="G756"/>
      <c r="H756"/>
      <c r="L756"/>
      <c r="O756"/>
    </row>
    <row r="757" spans="3:15" x14ac:dyDescent="0.25">
      <c r="C757"/>
      <c r="F757"/>
      <c r="G757"/>
      <c r="H757"/>
      <c r="L757"/>
      <c r="O757"/>
    </row>
    <row r="758" spans="3:15" x14ac:dyDescent="0.25">
      <c r="C758"/>
      <c r="F758"/>
      <c r="G758"/>
      <c r="H758"/>
      <c r="L758"/>
      <c r="O758"/>
    </row>
    <row r="759" spans="3:15" x14ac:dyDescent="0.25">
      <c r="C759"/>
      <c r="F759"/>
      <c r="G759"/>
      <c r="H759"/>
      <c r="L759"/>
      <c r="O759"/>
    </row>
    <row r="760" spans="3:15" x14ac:dyDescent="0.25">
      <c r="C760"/>
      <c r="F760"/>
      <c r="G760"/>
      <c r="H760"/>
      <c r="L760"/>
      <c r="O760"/>
    </row>
    <row r="761" spans="3:15" x14ac:dyDescent="0.25">
      <c r="C761"/>
      <c r="F761"/>
      <c r="G761"/>
      <c r="H761"/>
      <c r="L761"/>
      <c r="O761"/>
    </row>
    <row r="762" spans="3:15" x14ac:dyDescent="0.25">
      <c r="C762"/>
      <c r="F762"/>
      <c r="G762"/>
      <c r="H762"/>
      <c r="L762"/>
      <c r="O762"/>
    </row>
    <row r="763" spans="3:15" x14ac:dyDescent="0.25">
      <c r="C763"/>
      <c r="F763"/>
      <c r="G763"/>
      <c r="H763"/>
      <c r="L763"/>
      <c r="O763"/>
    </row>
    <row r="764" spans="3:15" x14ac:dyDescent="0.25">
      <c r="C764"/>
      <c r="F764"/>
      <c r="G764"/>
      <c r="H764"/>
      <c r="L764"/>
      <c r="O764"/>
    </row>
    <row r="765" spans="3:15" x14ac:dyDescent="0.25">
      <c r="C765"/>
      <c r="F765"/>
      <c r="G765"/>
      <c r="H765"/>
      <c r="L765"/>
      <c r="O765"/>
    </row>
    <row r="766" spans="3:15" x14ac:dyDescent="0.25">
      <c r="C766"/>
      <c r="F766"/>
      <c r="G766"/>
      <c r="H766"/>
      <c r="L766"/>
      <c r="O766"/>
    </row>
    <row r="767" spans="3:15" x14ac:dyDescent="0.25">
      <c r="C767"/>
      <c r="F767"/>
      <c r="G767"/>
      <c r="H767"/>
      <c r="L767"/>
      <c r="O767"/>
    </row>
    <row r="768" spans="3:15" x14ac:dyDescent="0.25">
      <c r="C768"/>
      <c r="F768"/>
      <c r="G768"/>
      <c r="H768"/>
      <c r="L768"/>
      <c r="O768"/>
    </row>
    <row r="769" spans="3:15" x14ac:dyDescent="0.25">
      <c r="C769"/>
      <c r="F769"/>
      <c r="G769"/>
      <c r="H769"/>
      <c r="L769"/>
      <c r="O769"/>
    </row>
    <row r="770" spans="3:15" x14ac:dyDescent="0.25">
      <c r="C770"/>
      <c r="F770"/>
      <c r="G770"/>
      <c r="H770"/>
      <c r="L770"/>
      <c r="O770"/>
    </row>
    <row r="771" spans="3:15" x14ac:dyDescent="0.25">
      <c r="C771"/>
      <c r="F771"/>
      <c r="G771"/>
      <c r="H771"/>
      <c r="L771"/>
      <c r="O771"/>
    </row>
    <row r="772" spans="3:15" x14ac:dyDescent="0.25">
      <c r="C772"/>
      <c r="F772"/>
      <c r="G772"/>
      <c r="H772"/>
      <c r="L772"/>
      <c r="O772"/>
    </row>
    <row r="773" spans="3:15" x14ac:dyDescent="0.25">
      <c r="C773"/>
      <c r="F773"/>
      <c r="G773"/>
      <c r="H773"/>
      <c r="L773"/>
      <c r="O773"/>
    </row>
    <row r="774" spans="3:15" x14ac:dyDescent="0.25">
      <c r="C774"/>
      <c r="F774"/>
      <c r="G774"/>
      <c r="H774"/>
      <c r="L774"/>
      <c r="O774"/>
    </row>
    <row r="775" spans="3:15" x14ac:dyDescent="0.25">
      <c r="C775"/>
      <c r="F775"/>
      <c r="G775"/>
      <c r="H775"/>
      <c r="L775"/>
      <c r="O775"/>
    </row>
    <row r="776" spans="3:15" x14ac:dyDescent="0.25">
      <c r="C776"/>
      <c r="F776"/>
      <c r="G776"/>
      <c r="H776"/>
      <c r="L776"/>
      <c r="O776"/>
    </row>
    <row r="777" spans="3:15" x14ac:dyDescent="0.25">
      <c r="C777"/>
      <c r="F777"/>
      <c r="G777"/>
      <c r="H777"/>
      <c r="L777"/>
      <c r="O777"/>
    </row>
    <row r="778" spans="3:15" x14ac:dyDescent="0.25">
      <c r="C778"/>
      <c r="F778"/>
      <c r="G778"/>
      <c r="H778"/>
      <c r="L778"/>
      <c r="O778"/>
    </row>
    <row r="779" spans="3:15" x14ac:dyDescent="0.25">
      <c r="C779"/>
      <c r="F779"/>
      <c r="G779"/>
      <c r="H779"/>
      <c r="L779"/>
      <c r="O779"/>
    </row>
    <row r="780" spans="3:15" x14ac:dyDescent="0.25">
      <c r="C780"/>
      <c r="F780"/>
      <c r="G780"/>
      <c r="H780"/>
      <c r="L780"/>
      <c r="O780"/>
    </row>
    <row r="781" spans="3:15" x14ac:dyDescent="0.25">
      <c r="C781"/>
      <c r="F781"/>
      <c r="G781"/>
      <c r="H781"/>
      <c r="L781"/>
      <c r="O781"/>
    </row>
    <row r="782" spans="3:15" x14ac:dyDescent="0.25">
      <c r="C782"/>
      <c r="F782"/>
      <c r="G782"/>
      <c r="H782"/>
      <c r="L782"/>
      <c r="O782"/>
    </row>
    <row r="783" spans="3:15" x14ac:dyDescent="0.25">
      <c r="C783"/>
      <c r="F783"/>
      <c r="G783"/>
      <c r="H783"/>
      <c r="L783"/>
      <c r="O783"/>
    </row>
    <row r="784" spans="3:15" x14ac:dyDescent="0.25">
      <c r="C784"/>
      <c r="F784"/>
      <c r="G784"/>
      <c r="H784"/>
      <c r="L784"/>
      <c r="O784"/>
    </row>
    <row r="785" spans="3:15" x14ac:dyDescent="0.25">
      <c r="C785"/>
      <c r="F785"/>
      <c r="G785"/>
      <c r="H785"/>
      <c r="L785"/>
      <c r="O785"/>
    </row>
    <row r="786" spans="3:15" x14ac:dyDescent="0.25">
      <c r="C786"/>
      <c r="F786"/>
      <c r="G786"/>
      <c r="H786"/>
      <c r="L786"/>
      <c r="O786"/>
    </row>
    <row r="787" spans="3:15" x14ac:dyDescent="0.25">
      <c r="C787"/>
      <c r="F787"/>
      <c r="G787"/>
      <c r="H787"/>
      <c r="L787"/>
      <c r="O787"/>
    </row>
    <row r="788" spans="3:15" x14ac:dyDescent="0.25">
      <c r="C788"/>
      <c r="F788"/>
      <c r="G788"/>
      <c r="H788"/>
      <c r="L788"/>
      <c r="O788"/>
    </row>
    <row r="789" spans="3:15" x14ac:dyDescent="0.25">
      <c r="C789"/>
      <c r="F789"/>
      <c r="G789"/>
      <c r="H789"/>
      <c r="L789"/>
      <c r="O789"/>
    </row>
    <row r="790" spans="3:15" x14ac:dyDescent="0.25">
      <c r="C790"/>
      <c r="F790"/>
      <c r="G790"/>
      <c r="H790"/>
      <c r="L790"/>
      <c r="O790"/>
    </row>
    <row r="791" spans="3:15" x14ac:dyDescent="0.25">
      <c r="C791"/>
      <c r="F791"/>
      <c r="G791"/>
      <c r="H791"/>
      <c r="L791"/>
      <c r="O791"/>
    </row>
    <row r="792" spans="3:15" x14ac:dyDescent="0.25">
      <c r="C792"/>
      <c r="F792"/>
      <c r="G792"/>
      <c r="H792"/>
      <c r="L792"/>
      <c r="O792"/>
    </row>
    <row r="793" spans="3:15" x14ac:dyDescent="0.25">
      <c r="C793"/>
      <c r="F793"/>
      <c r="G793"/>
      <c r="H793"/>
      <c r="L793"/>
      <c r="O793"/>
    </row>
    <row r="794" spans="3:15" x14ac:dyDescent="0.25">
      <c r="C794"/>
      <c r="F794"/>
      <c r="G794"/>
      <c r="H794"/>
      <c r="L794"/>
      <c r="O794"/>
    </row>
    <row r="795" spans="3:15" x14ac:dyDescent="0.25">
      <c r="C795"/>
      <c r="F795"/>
      <c r="G795"/>
      <c r="H795"/>
      <c r="L795"/>
      <c r="O795"/>
    </row>
    <row r="796" spans="3:15" x14ac:dyDescent="0.25">
      <c r="C796"/>
      <c r="F796"/>
      <c r="G796"/>
      <c r="H796"/>
      <c r="L796"/>
      <c r="O796"/>
    </row>
    <row r="797" spans="3:15" x14ac:dyDescent="0.25">
      <c r="C797"/>
      <c r="F797"/>
      <c r="G797"/>
      <c r="H797"/>
      <c r="L797"/>
      <c r="O797"/>
    </row>
    <row r="798" spans="3:15" x14ac:dyDescent="0.25">
      <c r="C798"/>
      <c r="F798"/>
      <c r="G798"/>
      <c r="H798"/>
      <c r="L798"/>
      <c r="O798"/>
    </row>
    <row r="799" spans="3:15" x14ac:dyDescent="0.25">
      <c r="C799"/>
      <c r="F799"/>
      <c r="G799"/>
      <c r="H799"/>
      <c r="L799"/>
      <c r="O799"/>
    </row>
    <row r="800" spans="3:15" x14ac:dyDescent="0.25">
      <c r="C800"/>
      <c r="F800"/>
      <c r="G800"/>
      <c r="H800"/>
      <c r="L800"/>
      <c r="O800"/>
    </row>
    <row r="801" spans="3:15" x14ac:dyDescent="0.25">
      <c r="C801"/>
      <c r="F801"/>
      <c r="G801"/>
      <c r="H801"/>
      <c r="L801"/>
      <c r="O801"/>
    </row>
    <row r="802" spans="3:15" x14ac:dyDescent="0.25">
      <c r="C802"/>
      <c r="F802"/>
      <c r="G802"/>
      <c r="H802"/>
      <c r="L802"/>
      <c r="O802"/>
    </row>
    <row r="803" spans="3:15" x14ac:dyDescent="0.25">
      <c r="C803"/>
      <c r="F803"/>
      <c r="G803"/>
      <c r="H803"/>
      <c r="L803"/>
      <c r="O803"/>
    </row>
    <row r="804" spans="3:15" x14ac:dyDescent="0.25">
      <c r="C804"/>
      <c r="F804"/>
      <c r="G804"/>
      <c r="H804"/>
      <c r="L804"/>
      <c r="O804"/>
    </row>
    <row r="805" spans="3:15" x14ac:dyDescent="0.25">
      <c r="C805"/>
      <c r="F805"/>
      <c r="G805"/>
      <c r="H805"/>
      <c r="L805"/>
      <c r="O805"/>
    </row>
    <row r="806" spans="3:15" x14ac:dyDescent="0.25">
      <c r="C806"/>
      <c r="F806"/>
      <c r="G806"/>
      <c r="H806"/>
      <c r="L806"/>
      <c r="O806"/>
    </row>
    <row r="807" spans="3:15" x14ac:dyDescent="0.25">
      <c r="C807"/>
      <c r="F807"/>
      <c r="G807"/>
      <c r="H807"/>
      <c r="L807"/>
      <c r="O807"/>
    </row>
    <row r="808" spans="3:15" x14ac:dyDescent="0.25">
      <c r="C808"/>
      <c r="F808"/>
      <c r="G808"/>
      <c r="H808"/>
      <c r="L808"/>
      <c r="O808"/>
    </row>
    <row r="809" spans="3:15" x14ac:dyDescent="0.25">
      <c r="C809"/>
      <c r="F809"/>
      <c r="G809"/>
      <c r="H809"/>
      <c r="L809"/>
      <c r="O809"/>
    </row>
    <row r="810" spans="3:15" x14ac:dyDescent="0.25">
      <c r="C810"/>
      <c r="F810"/>
      <c r="G810"/>
      <c r="H810"/>
      <c r="L810"/>
      <c r="O810"/>
    </row>
    <row r="811" spans="3:15" x14ac:dyDescent="0.25">
      <c r="C811"/>
      <c r="F811"/>
      <c r="G811"/>
      <c r="H811"/>
      <c r="L811"/>
      <c r="O811"/>
    </row>
    <row r="812" spans="3:15" x14ac:dyDescent="0.25">
      <c r="C812"/>
      <c r="F812"/>
      <c r="G812"/>
      <c r="H812"/>
      <c r="L812"/>
      <c r="O812"/>
    </row>
    <row r="813" spans="3:15" x14ac:dyDescent="0.25">
      <c r="C813"/>
      <c r="F813"/>
      <c r="G813"/>
      <c r="H813"/>
      <c r="L813"/>
      <c r="O813"/>
    </row>
    <row r="814" spans="3:15" x14ac:dyDescent="0.25">
      <c r="C814"/>
      <c r="F814"/>
      <c r="G814"/>
      <c r="H814"/>
      <c r="L814"/>
      <c r="O814"/>
    </row>
    <row r="815" spans="3:15" x14ac:dyDescent="0.25">
      <c r="C815"/>
      <c r="F815"/>
      <c r="G815"/>
      <c r="H815"/>
      <c r="L815"/>
      <c r="O815"/>
    </row>
    <row r="816" spans="3:15" x14ac:dyDescent="0.25">
      <c r="C816"/>
      <c r="F816"/>
      <c r="G816"/>
      <c r="H816"/>
      <c r="L816"/>
      <c r="O816"/>
    </row>
    <row r="817" spans="3:15" x14ac:dyDescent="0.25">
      <c r="C817"/>
      <c r="F817"/>
      <c r="G817"/>
      <c r="H817"/>
      <c r="L817"/>
      <c r="O817"/>
    </row>
    <row r="818" spans="3:15" x14ac:dyDescent="0.25">
      <c r="C818"/>
      <c r="F818"/>
      <c r="G818"/>
      <c r="H818"/>
      <c r="L818"/>
      <c r="O818"/>
    </row>
    <row r="819" spans="3:15" x14ac:dyDescent="0.25">
      <c r="C819"/>
      <c r="F819"/>
      <c r="G819"/>
      <c r="H819"/>
      <c r="L819"/>
      <c r="O819"/>
    </row>
    <row r="820" spans="3:15" x14ac:dyDescent="0.25">
      <c r="C820"/>
      <c r="F820"/>
      <c r="G820"/>
      <c r="H820"/>
      <c r="L820"/>
      <c r="O820"/>
    </row>
    <row r="821" spans="3:15" x14ac:dyDescent="0.25">
      <c r="C821"/>
      <c r="F821"/>
      <c r="G821"/>
      <c r="H821"/>
      <c r="L821"/>
      <c r="O821"/>
    </row>
    <row r="822" spans="3:15" x14ac:dyDescent="0.25">
      <c r="C822"/>
      <c r="F822"/>
      <c r="G822"/>
      <c r="H822"/>
      <c r="L822"/>
      <c r="O822"/>
    </row>
    <row r="823" spans="3:15" x14ac:dyDescent="0.25">
      <c r="C823"/>
      <c r="F823"/>
      <c r="G823"/>
      <c r="H823"/>
      <c r="L823"/>
      <c r="O823"/>
    </row>
    <row r="824" spans="3:15" x14ac:dyDescent="0.25">
      <c r="C824"/>
      <c r="F824"/>
      <c r="G824"/>
      <c r="H824"/>
      <c r="L824"/>
      <c r="O824"/>
    </row>
    <row r="825" spans="3:15" x14ac:dyDescent="0.25">
      <c r="C825"/>
      <c r="F825"/>
      <c r="G825"/>
      <c r="H825"/>
      <c r="L825"/>
      <c r="O825"/>
    </row>
    <row r="826" spans="3:15" x14ac:dyDescent="0.25">
      <c r="C826"/>
      <c r="F826"/>
      <c r="G826"/>
      <c r="H826"/>
      <c r="L826"/>
      <c r="O826"/>
    </row>
    <row r="827" spans="3:15" x14ac:dyDescent="0.25">
      <c r="C827"/>
      <c r="F827"/>
      <c r="G827"/>
      <c r="H827"/>
      <c r="L827"/>
      <c r="O827"/>
    </row>
    <row r="828" spans="3:15" x14ac:dyDescent="0.25">
      <c r="C828"/>
      <c r="F828"/>
      <c r="G828"/>
      <c r="H828"/>
      <c r="L828"/>
      <c r="O828"/>
    </row>
    <row r="829" spans="3:15" x14ac:dyDescent="0.25">
      <c r="C829"/>
      <c r="F829"/>
      <c r="G829"/>
      <c r="H829"/>
      <c r="L829"/>
      <c r="O829"/>
    </row>
    <row r="830" spans="3:15" x14ac:dyDescent="0.25">
      <c r="C830"/>
      <c r="F830"/>
      <c r="G830"/>
      <c r="H830"/>
      <c r="L830"/>
      <c r="O830"/>
    </row>
    <row r="831" spans="3:15" x14ac:dyDescent="0.25">
      <c r="C831"/>
      <c r="F831"/>
      <c r="G831"/>
      <c r="H831"/>
      <c r="L831"/>
      <c r="O831"/>
    </row>
    <row r="832" spans="3:15" x14ac:dyDescent="0.25">
      <c r="C832"/>
      <c r="F832"/>
      <c r="G832"/>
      <c r="H832"/>
      <c r="L832"/>
      <c r="O832"/>
    </row>
    <row r="833" spans="3:15" x14ac:dyDescent="0.25">
      <c r="C833"/>
      <c r="F833"/>
      <c r="G833"/>
      <c r="H833"/>
      <c r="L833"/>
      <c r="O833"/>
    </row>
    <row r="834" spans="3:15" x14ac:dyDescent="0.25">
      <c r="C834"/>
      <c r="F834"/>
      <c r="G834"/>
      <c r="H834"/>
      <c r="L834"/>
      <c r="O834"/>
    </row>
    <row r="835" spans="3:15" x14ac:dyDescent="0.25">
      <c r="C835"/>
      <c r="F835"/>
      <c r="G835"/>
      <c r="H835"/>
      <c r="L835"/>
      <c r="O835"/>
    </row>
    <row r="836" spans="3:15" x14ac:dyDescent="0.25">
      <c r="C836"/>
      <c r="F836"/>
      <c r="G836"/>
      <c r="H836"/>
      <c r="L836"/>
      <c r="O836"/>
    </row>
    <row r="837" spans="3:15" x14ac:dyDescent="0.25">
      <c r="C837"/>
      <c r="F837"/>
      <c r="G837"/>
      <c r="H837"/>
      <c r="L837"/>
      <c r="O837"/>
    </row>
    <row r="838" spans="3:15" x14ac:dyDescent="0.25">
      <c r="C838"/>
      <c r="F838"/>
      <c r="G838"/>
      <c r="H838"/>
      <c r="L838"/>
      <c r="O838"/>
    </row>
    <row r="839" spans="3:15" x14ac:dyDescent="0.25">
      <c r="C839"/>
      <c r="F839"/>
      <c r="G839"/>
      <c r="H839"/>
      <c r="L839"/>
      <c r="O839"/>
    </row>
    <row r="840" spans="3:15" x14ac:dyDescent="0.25">
      <c r="C840"/>
      <c r="F840"/>
      <c r="G840"/>
      <c r="H840"/>
      <c r="L840"/>
      <c r="O840"/>
    </row>
    <row r="841" spans="3:15" x14ac:dyDescent="0.25">
      <c r="C841"/>
      <c r="F841"/>
      <c r="G841"/>
      <c r="H841"/>
      <c r="L841"/>
      <c r="O841"/>
    </row>
    <row r="842" spans="3:15" x14ac:dyDescent="0.25">
      <c r="C842"/>
      <c r="F842"/>
      <c r="G842"/>
      <c r="H842"/>
      <c r="L842"/>
      <c r="O842"/>
    </row>
    <row r="843" spans="3:15" x14ac:dyDescent="0.25">
      <c r="C843"/>
      <c r="F843"/>
      <c r="G843"/>
      <c r="H843"/>
      <c r="L843"/>
      <c r="O843"/>
    </row>
    <row r="844" spans="3:15" x14ac:dyDescent="0.25">
      <c r="C844"/>
      <c r="F844"/>
      <c r="G844"/>
      <c r="H844"/>
      <c r="L844"/>
      <c r="O844"/>
    </row>
    <row r="845" spans="3:15" x14ac:dyDescent="0.25">
      <c r="C845"/>
      <c r="F845"/>
      <c r="G845"/>
      <c r="H845"/>
      <c r="L845"/>
      <c r="O845"/>
    </row>
    <row r="846" spans="3:15" x14ac:dyDescent="0.25">
      <c r="C846"/>
      <c r="F846"/>
      <c r="G846"/>
      <c r="H846"/>
      <c r="L846"/>
      <c r="O846"/>
    </row>
    <row r="847" spans="3:15" x14ac:dyDescent="0.25">
      <c r="C847"/>
      <c r="F847"/>
      <c r="G847"/>
      <c r="H847"/>
      <c r="L847"/>
      <c r="O847"/>
    </row>
    <row r="848" spans="3:15" x14ac:dyDescent="0.25">
      <c r="C848"/>
      <c r="F848"/>
      <c r="G848"/>
      <c r="H848"/>
      <c r="L848"/>
      <c r="O848"/>
    </row>
    <row r="849" spans="3:15" x14ac:dyDescent="0.25">
      <c r="C849"/>
      <c r="F849"/>
      <c r="G849"/>
      <c r="H849"/>
      <c r="L849"/>
      <c r="O849"/>
    </row>
    <row r="850" spans="3:15" x14ac:dyDescent="0.25">
      <c r="C850"/>
      <c r="F850"/>
      <c r="G850"/>
      <c r="H850"/>
      <c r="L850"/>
      <c r="O850"/>
    </row>
    <row r="851" spans="3:15" x14ac:dyDescent="0.25">
      <c r="C851"/>
      <c r="F851"/>
      <c r="G851"/>
      <c r="H851"/>
      <c r="L851"/>
      <c r="O851"/>
    </row>
    <row r="852" spans="3:15" x14ac:dyDescent="0.25">
      <c r="C852"/>
      <c r="F852"/>
      <c r="G852"/>
      <c r="H852"/>
      <c r="L852"/>
      <c r="O852"/>
    </row>
    <row r="853" spans="3:15" x14ac:dyDescent="0.25">
      <c r="C853"/>
      <c r="F853"/>
      <c r="G853"/>
      <c r="H853"/>
      <c r="L853"/>
      <c r="O853"/>
    </row>
    <row r="854" spans="3:15" x14ac:dyDescent="0.25">
      <c r="C854"/>
      <c r="F854"/>
      <c r="G854"/>
      <c r="H854"/>
      <c r="L854"/>
      <c r="O854"/>
    </row>
    <row r="855" spans="3:15" x14ac:dyDescent="0.25">
      <c r="C855"/>
      <c r="F855"/>
      <c r="G855"/>
      <c r="H855"/>
      <c r="L855"/>
      <c r="O855"/>
    </row>
    <row r="856" spans="3:15" x14ac:dyDescent="0.25">
      <c r="C856"/>
      <c r="F856"/>
      <c r="G856"/>
      <c r="H856"/>
      <c r="L856"/>
      <c r="O856"/>
    </row>
    <row r="857" spans="3:15" x14ac:dyDescent="0.25">
      <c r="C857"/>
      <c r="F857"/>
      <c r="G857"/>
      <c r="H857"/>
      <c r="L857"/>
      <c r="O857"/>
    </row>
    <row r="858" spans="3:15" x14ac:dyDescent="0.25">
      <c r="C858"/>
      <c r="F858"/>
      <c r="G858"/>
      <c r="H858"/>
      <c r="L858"/>
      <c r="O858"/>
    </row>
    <row r="859" spans="3:15" x14ac:dyDescent="0.25">
      <c r="C859"/>
      <c r="F859"/>
      <c r="G859"/>
      <c r="H859"/>
      <c r="L859"/>
      <c r="O859"/>
    </row>
    <row r="860" spans="3:15" x14ac:dyDescent="0.25">
      <c r="C860"/>
      <c r="F860"/>
      <c r="G860"/>
      <c r="H860"/>
      <c r="L860"/>
      <c r="O860"/>
    </row>
    <row r="861" spans="3:15" x14ac:dyDescent="0.25">
      <c r="C861"/>
      <c r="F861"/>
      <c r="G861"/>
      <c r="H861"/>
      <c r="L861"/>
      <c r="O861"/>
    </row>
    <row r="862" spans="3:15" x14ac:dyDescent="0.25">
      <c r="C862"/>
      <c r="F862"/>
      <c r="G862"/>
      <c r="H862"/>
      <c r="L862"/>
      <c r="O862"/>
    </row>
    <row r="863" spans="3:15" x14ac:dyDescent="0.25">
      <c r="C863"/>
      <c r="F863"/>
      <c r="G863"/>
      <c r="H863"/>
      <c r="L863"/>
      <c r="O863"/>
    </row>
    <row r="864" spans="3:15" x14ac:dyDescent="0.25">
      <c r="C864"/>
      <c r="F864"/>
      <c r="G864"/>
      <c r="H864"/>
      <c r="L864"/>
      <c r="O864"/>
    </row>
    <row r="865" spans="3:15" x14ac:dyDescent="0.25">
      <c r="C865"/>
      <c r="F865"/>
      <c r="G865"/>
      <c r="H865"/>
      <c r="L865"/>
      <c r="O865"/>
    </row>
    <row r="866" spans="3:15" x14ac:dyDescent="0.25">
      <c r="C866"/>
      <c r="F866"/>
      <c r="G866"/>
      <c r="H866"/>
      <c r="L866"/>
      <c r="O866"/>
    </row>
    <row r="867" spans="3:15" x14ac:dyDescent="0.25">
      <c r="C867"/>
      <c r="F867"/>
      <c r="G867"/>
      <c r="H867"/>
      <c r="L867"/>
      <c r="O867"/>
    </row>
    <row r="868" spans="3:15" x14ac:dyDescent="0.25">
      <c r="C868"/>
      <c r="F868"/>
      <c r="G868"/>
      <c r="H868"/>
      <c r="L868"/>
      <c r="O868"/>
    </row>
    <row r="869" spans="3:15" x14ac:dyDescent="0.25">
      <c r="C869"/>
      <c r="F869"/>
      <c r="G869"/>
      <c r="H869"/>
      <c r="L869"/>
      <c r="O869"/>
    </row>
    <row r="870" spans="3:15" x14ac:dyDescent="0.25">
      <c r="C870"/>
      <c r="F870"/>
      <c r="G870"/>
      <c r="H870"/>
      <c r="L870"/>
      <c r="O870"/>
    </row>
    <row r="871" spans="3:15" x14ac:dyDescent="0.25">
      <c r="C871"/>
      <c r="F871"/>
      <c r="G871"/>
      <c r="H871"/>
      <c r="L871"/>
      <c r="O871"/>
    </row>
    <row r="872" spans="3:15" x14ac:dyDescent="0.25">
      <c r="C872"/>
      <c r="F872"/>
      <c r="G872"/>
      <c r="H872"/>
      <c r="L872"/>
      <c r="O872"/>
    </row>
    <row r="873" spans="3:15" x14ac:dyDescent="0.25">
      <c r="C873"/>
      <c r="F873"/>
      <c r="G873"/>
      <c r="H873"/>
      <c r="L873"/>
      <c r="O873"/>
    </row>
    <row r="874" spans="3:15" x14ac:dyDescent="0.25">
      <c r="C874"/>
      <c r="F874"/>
      <c r="G874"/>
      <c r="H874"/>
      <c r="L874"/>
      <c r="O874"/>
    </row>
    <row r="875" spans="3:15" x14ac:dyDescent="0.25">
      <c r="C875"/>
      <c r="F875"/>
      <c r="G875"/>
      <c r="H875"/>
      <c r="L875"/>
      <c r="O875"/>
    </row>
    <row r="876" spans="3:15" x14ac:dyDescent="0.25">
      <c r="C876"/>
      <c r="F876"/>
      <c r="G876"/>
      <c r="H876"/>
      <c r="L876"/>
      <c r="O876"/>
    </row>
    <row r="877" spans="3:15" x14ac:dyDescent="0.25">
      <c r="C877"/>
      <c r="F877"/>
      <c r="G877"/>
      <c r="H877"/>
      <c r="L877"/>
      <c r="O877"/>
    </row>
    <row r="878" spans="3:15" x14ac:dyDescent="0.25">
      <c r="C878"/>
      <c r="F878"/>
      <c r="G878"/>
      <c r="H878"/>
      <c r="L878"/>
      <c r="O878"/>
    </row>
    <row r="879" spans="3:15" x14ac:dyDescent="0.25">
      <c r="C879"/>
      <c r="F879"/>
      <c r="G879"/>
      <c r="H879"/>
      <c r="L879"/>
      <c r="O879"/>
    </row>
    <row r="880" spans="3:15" x14ac:dyDescent="0.25">
      <c r="C880"/>
      <c r="F880"/>
      <c r="G880"/>
      <c r="H880"/>
      <c r="L880"/>
      <c r="O880"/>
    </row>
    <row r="881" spans="3:15" x14ac:dyDescent="0.25">
      <c r="C881"/>
      <c r="F881"/>
      <c r="G881"/>
      <c r="H881"/>
      <c r="L881"/>
      <c r="O881"/>
    </row>
    <row r="882" spans="3:15" x14ac:dyDescent="0.25">
      <c r="C882"/>
      <c r="F882"/>
      <c r="G882"/>
      <c r="H882"/>
      <c r="L882"/>
      <c r="O882"/>
    </row>
    <row r="883" spans="3:15" x14ac:dyDescent="0.25">
      <c r="C883"/>
      <c r="F883"/>
      <c r="G883"/>
      <c r="H883"/>
      <c r="L883"/>
      <c r="O883"/>
    </row>
    <row r="884" spans="3:15" x14ac:dyDescent="0.25">
      <c r="C884"/>
      <c r="F884"/>
      <c r="G884"/>
      <c r="H884"/>
      <c r="L884"/>
      <c r="O884"/>
    </row>
    <row r="885" spans="3:15" x14ac:dyDescent="0.25">
      <c r="C885"/>
      <c r="F885"/>
      <c r="G885"/>
      <c r="H885"/>
      <c r="L885"/>
      <c r="O885"/>
    </row>
    <row r="886" spans="3:15" x14ac:dyDescent="0.25">
      <c r="C886"/>
      <c r="F886"/>
      <c r="G886"/>
      <c r="H886"/>
      <c r="L886"/>
      <c r="O886"/>
    </row>
    <row r="887" spans="3:15" x14ac:dyDescent="0.25">
      <c r="C887"/>
      <c r="F887"/>
      <c r="G887"/>
      <c r="H887"/>
      <c r="L887"/>
      <c r="O887"/>
    </row>
    <row r="888" spans="3:15" x14ac:dyDescent="0.25">
      <c r="C888"/>
      <c r="F888"/>
      <c r="G888"/>
      <c r="H888"/>
      <c r="L888"/>
      <c r="O888"/>
    </row>
    <row r="889" spans="3:15" x14ac:dyDescent="0.25">
      <c r="C889"/>
      <c r="F889"/>
      <c r="G889"/>
      <c r="H889"/>
      <c r="L889"/>
      <c r="O889"/>
    </row>
    <row r="890" spans="3:15" x14ac:dyDescent="0.25">
      <c r="C890"/>
      <c r="F890"/>
      <c r="G890"/>
      <c r="H890"/>
      <c r="L890"/>
      <c r="O890"/>
    </row>
    <row r="891" spans="3:15" x14ac:dyDescent="0.25">
      <c r="C891"/>
      <c r="F891"/>
      <c r="G891"/>
      <c r="H891"/>
      <c r="L891"/>
      <c r="O891"/>
    </row>
    <row r="892" spans="3:15" x14ac:dyDescent="0.25">
      <c r="C892"/>
      <c r="F892"/>
      <c r="G892"/>
      <c r="H892"/>
      <c r="L892"/>
      <c r="O892"/>
    </row>
    <row r="893" spans="3:15" x14ac:dyDescent="0.25">
      <c r="C893"/>
      <c r="F893"/>
      <c r="G893"/>
      <c r="H893"/>
      <c r="L893"/>
      <c r="O893"/>
    </row>
    <row r="894" spans="3:15" x14ac:dyDescent="0.25">
      <c r="C894"/>
      <c r="F894"/>
      <c r="G894"/>
      <c r="H894"/>
      <c r="L894"/>
      <c r="O894"/>
    </row>
    <row r="895" spans="3:15" x14ac:dyDescent="0.25">
      <c r="C895"/>
      <c r="F895"/>
      <c r="G895"/>
      <c r="H895"/>
      <c r="L895"/>
      <c r="O895"/>
    </row>
    <row r="896" spans="3:15" x14ac:dyDescent="0.25">
      <c r="C896"/>
      <c r="F896"/>
      <c r="G896"/>
      <c r="H896"/>
      <c r="L896"/>
      <c r="O896"/>
    </row>
    <row r="897" spans="3:15" x14ac:dyDescent="0.25">
      <c r="C897"/>
      <c r="F897"/>
      <c r="G897"/>
      <c r="H897"/>
      <c r="L897"/>
      <c r="O897"/>
    </row>
    <row r="898" spans="3:15" x14ac:dyDescent="0.25">
      <c r="C898"/>
      <c r="F898"/>
      <c r="G898"/>
      <c r="H898"/>
      <c r="L898"/>
      <c r="O898"/>
    </row>
    <row r="899" spans="3:15" x14ac:dyDescent="0.25">
      <c r="C899"/>
      <c r="F899"/>
      <c r="G899"/>
      <c r="H899"/>
      <c r="L899"/>
      <c r="O899"/>
    </row>
    <row r="900" spans="3:15" x14ac:dyDescent="0.25">
      <c r="C900"/>
      <c r="F900"/>
      <c r="G900"/>
      <c r="H900"/>
      <c r="L900"/>
      <c r="O900"/>
    </row>
    <row r="901" spans="3:15" x14ac:dyDescent="0.25">
      <c r="C901"/>
      <c r="F901"/>
      <c r="G901"/>
      <c r="H901"/>
      <c r="L901"/>
      <c r="O901"/>
    </row>
    <row r="902" spans="3:15" x14ac:dyDescent="0.25">
      <c r="C902"/>
      <c r="F902"/>
      <c r="G902"/>
      <c r="H902"/>
      <c r="L902"/>
      <c r="O902"/>
    </row>
    <row r="903" spans="3:15" x14ac:dyDescent="0.25">
      <c r="C903"/>
      <c r="F903"/>
      <c r="G903"/>
      <c r="H903"/>
      <c r="L903"/>
      <c r="O903"/>
    </row>
    <row r="904" spans="3:15" x14ac:dyDescent="0.25">
      <c r="C904"/>
      <c r="F904"/>
      <c r="G904"/>
      <c r="H904"/>
      <c r="L904"/>
      <c r="O904"/>
    </row>
    <row r="905" spans="3:15" x14ac:dyDescent="0.25">
      <c r="C905"/>
      <c r="F905"/>
      <c r="G905"/>
      <c r="H905"/>
      <c r="L905"/>
      <c r="O905"/>
    </row>
    <row r="906" spans="3:15" x14ac:dyDescent="0.25">
      <c r="C906"/>
      <c r="F906"/>
      <c r="G906"/>
      <c r="H906"/>
      <c r="L906"/>
      <c r="O906"/>
    </row>
    <row r="907" spans="3:15" x14ac:dyDescent="0.25">
      <c r="C907"/>
      <c r="F907"/>
      <c r="G907"/>
      <c r="H907"/>
      <c r="L907"/>
      <c r="O907"/>
    </row>
    <row r="908" spans="3:15" x14ac:dyDescent="0.25">
      <c r="C908"/>
      <c r="F908"/>
      <c r="G908"/>
      <c r="H908"/>
      <c r="L908"/>
      <c r="O908"/>
    </row>
    <row r="909" spans="3:15" x14ac:dyDescent="0.25">
      <c r="C909"/>
      <c r="F909"/>
      <c r="G909"/>
      <c r="H909"/>
      <c r="L909"/>
      <c r="O909"/>
    </row>
    <row r="910" spans="3:15" x14ac:dyDescent="0.25">
      <c r="C910"/>
      <c r="F910"/>
      <c r="G910"/>
      <c r="H910"/>
      <c r="L910"/>
      <c r="O910"/>
    </row>
    <row r="911" spans="3:15" x14ac:dyDescent="0.25">
      <c r="C911"/>
      <c r="F911"/>
      <c r="G911"/>
      <c r="H911"/>
      <c r="L911"/>
      <c r="O911"/>
    </row>
    <row r="912" spans="3:15" x14ac:dyDescent="0.25">
      <c r="C912"/>
      <c r="F912"/>
      <c r="G912"/>
      <c r="H912"/>
      <c r="L912"/>
      <c r="O912"/>
    </row>
    <row r="913" spans="3:15" x14ac:dyDescent="0.25">
      <c r="C913"/>
      <c r="F913"/>
      <c r="G913"/>
      <c r="H913"/>
      <c r="L913"/>
      <c r="O913"/>
    </row>
    <row r="914" spans="3:15" x14ac:dyDescent="0.25">
      <c r="C914"/>
      <c r="F914"/>
      <c r="G914"/>
      <c r="H914"/>
      <c r="L914"/>
      <c r="O914"/>
    </row>
    <row r="915" spans="3:15" x14ac:dyDescent="0.25">
      <c r="C915"/>
      <c r="F915"/>
      <c r="G915"/>
      <c r="H915"/>
      <c r="L915"/>
      <c r="O915"/>
    </row>
    <row r="916" spans="3:15" x14ac:dyDescent="0.25">
      <c r="C916"/>
      <c r="F916"/>
      <c r="G916"/>
      <c r="H916"/>
      <c r="L916"/>
      <c r="O916"/>
    </row>
    <row r="917" spans="3:15" x14ac:dyDescent="0.25">
      <c r="C917"/>
      <c r="F917"/>
      <c r="G917"/>
      <c r="H917"/>
      <c r="L917"/>
      <c r="O917"/>
    </row>
    <row r="918" spans="3:15" x14ac:dyDescent="0.25">
      <c r="C918"/>
      <c r="F918"/>
      <c r="G918"/>
      <c r="H918"/>
      <c r="L918"/>
      <c r="O918"/>
    </row>
    <row r="919" spans="3:15" x14ac:dyDescent="0.25">
      <c r="C919"/>
      <c r="F919"/>
      <c r="G919"/>
      <c r="H919"/>
      <c r="L919"/>
      <c r="O919"/>
    </row>
    <row r="920" spans="3:15" x14ac:dyDescent="0.25">
      <c r="C920"/>
      <c r="F920"/>
      <c r="G920"/>
      <c r="H920"/>
      <c r="L920"/>
      <c r="O920"/>
    </row>
    <row r="921" spans="3:15" x14ac:dyDescent="0.25">
      <c r="C921"/>
      <c r="F921"/>
      <c r="G921"/>
      <c r="H921"/>
      <c r="L921"/>
      <c r="O921"/>
    </row>
    <row r="922" spans="3:15" x14ac:dyDescent="0.25">
      <c r="C922"/>
      <c r="F922"/>
      <c r="G922"/>
      <c r="H922"/>
      <c r="L922"/>
      <c r="O922"/>
    </row>
    <row r="923" spans="3:15" x14ac:dyDescent="0.25">
      <c r="C923"/>
      <c r="F923"/>
      <c r="G923"/>
      <c r="H923"/>
      <c r="L923"/>
      <c r="O923"/>
    </row>
    <row r="924" spans="3:15" x14ac:dyDescent="0.25">
      <c r="C924"/>
      <c r="F924"/>
      <c r="G924"/>
      <c r="H924"/>
      <c r="L924"/>
      <c r="O924"/>
    </row>
    <row r="925" spans="3:15" x14ac:dyDescent="0.25">
      <c r="C925"/>
      <c r="F925"/>
      <c r="G925"/>
      <c r="H925"/>
      <c r="L925"/>
      <c r="O925"/>
    </row>
    <row r="926" spans="3:15" x14ac:dyDescent="0.25">
      <c r="C926"/>
      <c r="F926"/>
      <c r="G926"/>
      <c r="H926"/>
      <c r="L926"/>
      <c r="O926"/>
    </row>
    <row r="927" spans="3:15" x14ac:dyDescent="0.25">
      <c r="C927"/>
      <c r="F927"/>
      <c r="G927"/>
      <c r="H927"/>
      <c r="L927"/>
      <c r="O927"/>
    </row>
    <row r="928" spans="3:15" x14ac:dyDescent="0.25">
      <c r="C928"/>
      <c r="F928"/>
      <c r="G928"/>
      <c r="H928"/>
      <c r="L928"/>
      <c r="O928"/>
    </row>
    <row r="929" spans="3:15" x14ac:dyDescent="0.25">
      <c r="C929"/>
      <c r="F929"/>
      <c r="G929"/>
      <c r="H929"/>
      <c r="L929"/>
      <c r="O929"/>
    </row>
    <row r="930" spans="3:15" x14ac:dyDescent="0.25">
      <c r="C930"/>
      <c r="F930"/>
      <c r="G930"/>
      <c r="H930"/>
      <c r="L930"/>
      <c r="O930"/>
    </row>
    <row r="931" spans="3:15" x14ac:dyDescent="0.25">
      <c r="C931"/>
      <c r="F931"/>
      <c r="G931"/>
      <c r="H931"/>
      <c r="L931"/>
      <c r="O931"/>
    </row>
    <row r="932" spans="3:15" x14ac:dyDescent="0.25">
      <c r="C932"/>
      <c r="F932"/>
      <c r="G932"/>
      <c r="H932"/>
      <c r="L932"/>
      <c r="O932"/>
    </row>
    <row r="933" spans="3:15" x14ac:dyDescent="0.25">
      <c r="C933"/>
      <c r="F933"/>
      <c r="G933"/>
      <c r="H933"/>
      <c r="L933"/>
      <c r="O933"/>
    </row>
    <row r="934" spans="3:15" x14ac:dyDescent="0.25">
      <c r="C934"/>
      <c r="F934"/>
      <c r="G934"/>
      <c r="H934"/>
      <c r="L934"/>
      <c r="O934"/>
    </row>
    <row r="935" spans="3:15" x14ac:dyDescent="0.25">
      <c r="C935"/>
      <c r="F935"/>
      <c r="G935"/>
      <c r="H935"/>
      <c r="L935"/>
      <c r="O935"/>
    </row>
    <row r="936" spans="3:15" x14ac:dyDescent="0.25">
      <c r="C936"/>
      <c r="F936"/>
      <c r="G936"/>
      <c r="H936"/>
      <c r="L936"/>
      <c r="O936"/>
    </row>
    <row r="937" spans="3:15" x14ac:dyDescent="0.25">
      <c r="C937"/>
      <c r="F937"/>
      <c r="G937"/>
      <c r="H937"/>
      <c r="L937"/>
      <c r="O937"/>
    </row>
    <row r="938" spans="3:15" x14ac:dyDescent="0.25">
      <c r="C938"/>
      <c r="F938"/>
      <c r="G938"/>
      <c r="H938"/>
      <c r="L938"/>
      <c r="O938"/>
    </row>
    <row r="939" spans="3:15" x14ac:dyDescent="0.25">
      <c r="C939"/>
      <c r="F939"/>
      <c r="G939"/>
      <c r="H939"/>
      <c r="L939"/>
      <c r="O939"/>
    </row>
    <row r="940" spans="3:15" x14ac:dyDescent="0.25">
      <c r="C940"/>
      <c r="F940"/>
      <c r="G940"/>
      <c r="H940"/>
      <c r="L940"/>
      <c r="O940"/>
    </row>
    <row r="941" spans="3:15" x14ac:dyDescent="0.25">
      <c r="C941"/>
      <c r="F941"/>
      <c r="G941"/>
      <c r="H941"/>
      <c r="L941"/>
      <c r="O941"/>
    </row>
    <row r="942" spans="3:15" x14ac:dyDescent="0.25">
      <c r="C942"/>
      <c r="F942"/>
      <c r="G942"/>
      <c r="H942"/>
      <c r="L942"/>
      <c r="O942"/>
    </row>
    <row r="943" spans="3:15" x14ac:dyDescent="0.25">
      <c r="C943"/>
      <c r="F943"/>
      <c r="G943"/>
      <c r="H943"/>
      <c r="L943"/>
      <c r="O943"/>
    </row>
    <row r="944" spans="3:15" x14ac:dyDescent="0.25">
      <c r="C944"/>
      <c r="F944"/>
      <c r="G944"/>
      <c r="H944"/>
      <c r="L944"/>
      <c r="O944"/>
    </row>
    <row r="945" spans="3:15" x14ac:dyDescent="0.25">
      <c r="C945"/>
      <c r="F945"/>
      <c r="G945"/>
      <c r="H945"/>
      <c r="L945"/>
      <c r="O945"/>
    </row>
    <row r="946" spans="3:15" x14ac:dyDescent="0.25">
      <c r="C946"/>
      <c r="F946"/>
      <c r="G946"/>
      <c r="H946"/>
      <c r="L946"/>
      <c r="O946"/>
    </row>
    <row r="947" spans="3:15" x14ac:dyDescent="0.25">
      <c r="C947"/>
      <c r="F947"/>
      <c r="G947"/>
      <c r="H947"/>
      <c r="L947"/>
      <c r="O947"/>
    </row>
    <row r="948" spans="3:15" x14ac:dyDescent="0.25">
      <c r="C948"/>
      <c r="F948"/>
      <c r="G948"/>
      <c r="H948"/>
      <c r="L948"/>
      <c r="O948"/>
    </row>
    <row r="949" spans="3:15" x14ac:dyDescent="0.25">
      <c r="C949"/>
      <c r="F949"/>
      <c r="G949"/>
      <c r="H949"/>
      <c r="L949"/>
      <c r="O949"/>
    </row>
    <row r="950" spans="3:15" x14ac:dyDescent="0.25">
      <c r="C950"/>
      <c r="F950"/>
      <c r="G950"/>
      <c r="H950"/>
      <c r="L950"/>
      <c r="O950"/>
    </row>
    <row r="951" spans="3:15" x14ac:dyDescent="0.25">
      <c r="C951"/>
      <c r="F951"/>
      <c r="G951"/>
      <c r="H951"/>
      <c r="L951"/>
      <c r="O951"/>
    </row>
    <row r="952" spans="3:15" x14ac:dyDescent="0.25">
      <c r="C952"/>
      <c r="F952"/>
      <c r="G952"/>
      <c r="H952"/>
      <c r="L952"/>
      <c r="O952"/>
    </row>
    <row r="953" spans="3:15" x14ac:dyDescent="0.25">
      <c r="C953"/>
      <c r="F953"/>
      <c r="G953"/>
      <c r="H953"/>
      <c r="L953"/>
      <c r="O953"/>
    </row>
    <row r="954" spans="3:15" x14ac:dyDescent="0.25">
      <c r="C954"/>
      <c r="F954"/>
      <c r="G954"/>
      <c r="H954"/>
      <c r="L954"/>
      <c r="O954"/>
    </row>
    <row r="955" spans="3:15" x14ac:dyDescent="0.25">
      <c r="C955"/>
      <c r="F955"/>
      <c r="G955"/>
      <c r="H955"/>
      <c r="L955"/>
      <c r="O955"/>
    </row>
    <row r="956" spans="3:15" x14ac:dyDescent="0.25">
      <c r="C956"/>
      <c r="F956"/>
      <c r="G956"/>
      <c r="H956"/>
      <c r="L956"/>
      <c r="O956"/>
    </row>
    <row r="957" spans="3:15" x14ac:dyDescent="0.25">
      <c r="C957"/>
      <c r="F957"/>
      <c r="G957"/>
      <c r="H957"/>
      <c r="L957"/>
      <c r="O957"/>
    </row>
    <row r="958" spans="3:15" x14ac:dyDescent="0.25">
      <c r="C958"/>
      <c r="F958"/>
      <c r="G958"/>
      <c r="H958"/>
      <c r="L958"/>
      <c r="O958"/>
    </row>
    <row r="959" spans="3:15" x14ac:dyDescent="0.25">
      <c r="C959"/>
      <c r="F959"/>
      <c r="G959"/>
      <c r="H959"/>
      <c r="L959"/>
      <c r="O959"/>
    </row>
    <row r="960" spans="3:15" x14ac:dyDescent="0.25">
      <c r="C960"/>
      <c r="F960"/>
      <c r="G960"/>
      <c r="H960"/>
      <c r="L960"/>
      <c r="O960"/>
    </row>
    <row r="961" spans="3:15" x14ac:dyDescent="0.25">
      <c r="C961"/>
      <c r="F961"/>
      <c r="G961"/>
      <c r="H961"/>
      <c r="L961"/>
      <c r="O961"/>
    </row>
    <row r="962" spans="3:15" x14ac:dyDescent="0.25">
      <c r="C962"/>
      <c r="F962"/>
      <c r="G962"/>
      <c r="H962"/>
      <c r="L962"/>
      <c r="O962"/>
    </row>
    <row r="963" spans="3:15" x14ac:dyDescent="0.25">
      <c r="C963"/>
      <c r="F963"/>
      <c r="G963"/>
      <c r="H963"/>
      <c r="L963"/>
      <c r="O963"/>
    </row>
    <row r="964" spans="3:15" x14ac:dyDescent="0.25">
      <c r="C964"/>
      <c r="F964"/>
      <c r="G964"/>
      <c r="H964"/>
      <c r="L964"/>
      <c r="O964"/>
    </row>
    <row r="965" spans="3:15" x14ac:dyDescent="0.25">
      <c r="C965"/>
      <c r="F965"/>
      <c r="G965"/>
      <c r="H965"/>
      <c r="L965"/>
      <c r="O965"/>
    </row>
    <row r="966" spans="3:15" x14ac:dyDescent="0.25">
      <c r="C966"/>
      <c r="F966"/>
      <c r="G966"/>
      <c r="H966"/>
      <c r="L966"/>
      <c r="O966"/>
    </row>
    <row r="967" spans="3:15" x14ac:dyDescent="0.25">
      <c r="C967"/>
      <c r="F967"/>
      <c r="G967"/>
      <c r="H967"/>
      <c r="L967"/>
      <c r="O967"/>
    </row>
    <row r="968" spans="3:15" x14ac:dyDescent="0.25">
      <c r="C968"/>
      <c r="F968"/>
      <c r="G968"/>
      <c r="H968"/>
      <c r="L968"/>
      <c r="O968"/>
    </row>
    <row r="969" spans="3:15" x14ac:dyDescent="0.25">
      <c r="C969"/>
      <c r="F969"/>
      <c r="G969"/>
      <c r="H969"/>
      <c r="L969"/>
      <c r="O969"/>
    </row>
    <row r="970" spans="3:15" x14ac:dyDescent="0.25">
      <c r="C970"/>
      <c r="F970"/>
      <c r="G970"/>
      <c r="H970"/>
      <c r="L970"/>
      <c r="O970"/>
    </row>
    <row r="971" spans="3:15" x14ac:dyDescent="0.25">
      <c r="C971"/>
      <c r="F971"/>
      <c r="G971"/>
      <c r="H971"/>
      <c r="L971"/>
      <c r="O971"/>
    </row>
    <row r="972" spans="3:15" x14ac:dyDescent="0.25">
      <c r="C972"/>
      <c r="F972"/>
      <c r="G972"/>
      <c r="H972"/>
      <c r="L972"/>
      <c r="O972"/>
    </row>
    <row r="973" spans="3:15" x14ac:dyDescent="0.25">
      <c r="C973"/>
      <c r="F973"/>
      <c r="G973"/>
      <c r="H973"/>
      <c r="L973"/>
      <c r="O973"/>
    </row>
    <row r="974" spans="3:15" x14ac:dyDescent="0.25">
      <c r="C974"/>
      <c r="F974"/>
      <c r="G974"/>
      <c r="H974"/>
      <c r="L974"/>
      <c r="O974"/>
    </row>
    <row r="975" spans="3:15" x14ac:dyDescent="0.25">
      <c r="C975"/>
      <c r="F975"/>
      <c r="G975"/>
      <c r="H975"/>
      <c r="L975"/>
      <c r="O975"/>
    </row>
    <row r="976" spans="3:15" x14ac:dyDescent="0.25">
      <c r="C976"/>
      <c r="F976"/>
      <c r="G976"/>
      <c r="H976"/>
      <c r="L976"/>
      <c r="O976"/>
    </row>
    <row r="977" spans="3:15" x14ac:dyDescent="0.25">
      <c r="C977"/>
      <c r="F977"/>
      <c r="G977"/>
      <c r="H977"/>
      <c r="L977"/>
      <c r="O977"/>
    </row>
    <row r="978" spans="3:15" x14ac:dyDescent="0.25">
      <c r="C978"/>
      <c r="F978"/>
      <c r="G978"/>
      <c r="H978"/>
      <c r="L978"/>
      <c r="O978"/>
    </row>
    <row r="979" spans="3:15" x14ac:dyDescent="0.25">
      <c r="C979"/>
      <c r="F979"/>
      <c r="G979"/>
      <c r="H979"/>
      <c r="L979"/>
      <c r="O979"/>
    </row>
    <row r="980" spans="3:15" x14ac:dyDescent="0.25">
      <c r="C980"/>
      <c r="F980"/>
      <c r="G980"/>
      <c r="H980"/>
      <c r="L980"/>
      <c r="O980"/>
    </row>
    <row r="981" spans="3:15" x14ac:dyDescent="0.25">
      <c r="C981"/>
      <c r="F981"/>
      <c r="G981"/>
      <c r="H981"/>
      <c r="L981"/>
      <c r="O981"/>
    </row>
    <row r="982" spans="3:15" x14ac:dyDescent="0.25">
      <c r="C982"/>
      <c r="F982"/>
      <c r="G982"/>
      <c r="H982"/>
      <c r="L982"/>
      <c r="O982"/>
    </row>
    <row r="983" spans="3:15" x14ac:dyDescent="0.25">
      <c r="C983"/>
      <c r="F983"/>
      <c r="G983"/>
      <c r="H983"/>
      <c r="L983"/>
      <c r="O983"/>
    </row>
    <row r="984" spans="3:15" x14ac:dyDescent="0.25">
      <c r="C984"/>
      <c r="F984"/>
      <c r="G984"/>
      <c r="H984"/>
      <c r="L984"/>
      <c r="O984"/>
    </row>
    <row r="985" spans="3:15" x14ac:dyDescent="0.25">
      <c r="C985"/>
      <c r="F985"/>
      <c r="G985"/>
      <c r="H985"/>
      <c r="L985"/>
      <c r="O985"/>
    </row>
    <row r="986" spans="3:15" x14ac:dyDescent="0.25">
      <c r="C986"/>
      <c r="F986"/>
      <c r="G986"/>
      <c r="H986"/>
      <c r="L986"/>
      <c r="O986"/>
    </row>
    <row r="987" spans="3:15" x14ac:dyDescent="0.25">
      <c r="C987"/>
      <c r="F987"/>
      <c r="G987"/>
      <c r="H987"/>
      <c r="L987"/>
      <c r="O987"/>
    </row>
    <row r="988" spans="3:15" x14ac:dyDescent="0.25">
      <c r="C988"/>
      <c r="F988"/>
      <c r="G988"/>
      <c r="H988"/>
      <c r="L988"/>
      <c r="O988"/>
    </row>
    <row r="989" spans="3:15" x14ac:dyDescent="0.25">
      <c r="C989"/>
      <c r="F989"/>
      <c r="G989"/>
      <c r="H989"/>
      <c r="L989"/>
      <c r="O989"/>
    </row>
    <row r="990" spans="3:15" x14ac:dyDescent="0.25">
      <c r="C990"/>
      <c r="F990"/>
      <c r="G990"/>
      <c r="H990"/>
      <c r="L990"/>
      <c r="O990"/>
    </row>
    <row r="991" spans="3:15" x14ac:dyDescent="0.25">
      <c r="C991"/>
      <c r="F991"/>
      <c r="G991"/>
      <c r="H991"/>
      <c r="L991"/>
      <c r="O991"/>
    </row>
    <row r="992" spans="3:15" x14ac:dyDescent="0.25">
      <c r="C992"/>
      <c r="F992"/>
      <c r="G992"/>
      <c r="H992"/>
      <c r="L992"/>
      <c r="O992"/>
    </row>
    <row r="993" spans="3:15" x14ac:dyDescent="0.25">
      <c r="C993"/>
      <c r="F993"/>
      <c r="G993"/>
      <c r="H993"/>
      <c r="L993"/>
      <c r="O993"/>
    </row>
    <row r="994" spans="3:15" x14ac:dyDescent="0.25">
      <c r="C994"/>
      <c r="F994"/>
      <c r="G994"/>
      <c r="H994"/>
      <c r="L994"/>
      <c r="O994"/>
    </row>
    <row r="995" spans="3:15" x14ac:dyDescent="0.25">
      <c r="C995"/>
      <c r="F995"/>
      <c r="G995"/>
      <c r="H995"/>
      <c r="L995"/>
      <c r="O995"/>
    </row>
    <row r="996" spans="3:15" x14ac:dyDescent="0.25">
      <c r="C996"/>
      <c r="F996"/>
      <c r="G996"/>
      <c r="H996"/>
      <c r="L996"/>
      <c r="O996"/>
    </row>
    <row r="997" spans="3:15" x14ac:dyDescent="0.25">
      <c r="C997"/>
      <c r="F997"/>
      <c r="G997"/>
      <c r="H997"/>
      <c r="L997"/>
      <c r="O997"/>
    </row>
    <row r="998" spans="3:15" x14ac:dyDescent="0.25">
      <c r="C998"/>
      <c r="F998"/>
      <c r="G998"/>
      <c r="H998"/>
      <c r="L998"/>
      <c r="O998"/>
    </row>
    <row r="999" spans="3:15" x14ac:dyDescent="0.25">
      <c r="C999"/>
      <c r="F999"/>
      <c r="G999"/>
      <c r="H999"/>
      <c r="L999"/>
      <c r="O999"/>
    </row>
    <row r="1000" spans="3:15" x14ac:dyDescent="0.25">
      <c r="C1000"/>
      <c r="F1000"/>
      <c r="G1000"/>
      <c r="H1000"/>
      <c r="L1000"/>
      <c r="O1000"/>
    </row>
    <row r="1001" spans="3:15" x14ac:dyDescent="0.25">
      <c r="C1001"/>
      <c r="F1001"/>
      <c r="G1001"/>
      <c r="H1001"/>
      <c r="L1001"/>
      <c r="O1001"/>
    </row>
    <row r="1002" spans="3:15" x14ac:dyDescent="0.25">
      <c r="C1002"/>
      <c r="F1002"/>
      <c r="G1002"/>
      <c r="H1002"/>
      <c r="L1002"/>
      <c r="O1002"/>
    </row>
    <row r="1003" spans="3:15" x14ac:dyDescent="0.25">
      <c r="C1003"/>
      <c r="F1003"/>
      <c r="G1003"/>
      <c r="H1003"/>
      <c r="L1003"/>
      <c r="O1003"/>
    </row>
    <row r="1004" spans="3:15" x14ac:dyDescent="0.25">
      <c r="C1004"/>
      <c r="F1004"/>
      <c r="G1004"/>
      <c r="H1004"/>
      <c r="L1004"/>
      <c r="O1004"/>
    </row>
    <row r="1005" spans="3:15" x14ac:dyDescent="0.25">
      <c r="C1005"/>
      <c r="F1005"/>
      <c r="G1005"/>
      <c r="H1005"/>
      <c r="L1005"/>
      <c r="O1005"/>
    </row>
    <row r="1006" spans="3:15" x14ac:dyDescent="0.25">
      <c r="C1006"/>
      <c r="F1006"/>
      <c r="G1006"/>
      <c r="H1006"/>
      <c r="L1006"/>
      <c r="O1006"/>
    </row>
    <row r="1007" spans="3:15" x14ac:dyDescent="0.25">
      <c r="C1007"/>
      <c r="F1007"/>
      <c r="G1007"/>
      <c r="H1007"/>
      <c r="L1007"/>
      <c r="O1007"/>
    </row>
    <row r="1008" spans="3:15" x14ac:dyDescent="0.25">
      <c r="C1008"/>
      <c r="F1008"/>
      <c r="G1008"/>
      <c r="H1008"/>
      <c r="L1008"/>
      <c r="O1008"/>
    </row>
    <row r="1009" spans="3:15" x14ac:dyDescent="0.25">
      <c r="C1009"/>
      <c r="F1009"/>
      <c r="G1009"/>
      <c r="H1009"/>
      <c r="L1009"/>
      <c r="O1009"/>
    </row>
    <row r="1010" spans="3:15" x14ac:dyDescent="0.25">
      <c r="C1010"/>
      <c r="F1010"/>
      <c r="G1010"/>
      <c r="H1010"/>
      <c r="L1010"/>
      <c r="O1010"/>
    </row>
    <row r="1011" spans="3:15" x14ac:dyDescent="0.25">
      <c r="C1011"/>
      <c r="F1011"/>
      <c r="G1011"/>
      <c r="H1011"/>
      <c r="L1011"/>
      <c r="O1011"/>
    </row>
    <row r="1012" spans="3:15" x14ac:dyDescent="0.25">
      <c r="C1012"/>
      <c r="F1012"/>
      <c r="G1012"/>
      <c r="H1012"/>
      <c r="L1012"/>
      <c r="O1012"/>
    </row>
    <row r="1013" spans="3:15" x14ac:dyDescent="0.25">
      <c r="C1013"/>
      <c r="F1013"/>
      <c r="G1013"/>
      <c r="H1013"/>
      <c r="L1013"/>
      <c r="O1013"/>
    </row>
    <row r="1014" spans="3:15" x14ac:dyDescent="0.25">
      <c r="C1014"/>
      <c r="F1014"/>
      <c r="G1014"/>
      <c r="H1014"/>
      <c r="L1014"/>
      <c r="O1014"/>
    </row>
    <row r="1015" spans="3:15" x14ac:dyDescent="0.25">
      <c r="C1015"/>
      <c r="F1015"/>
      <c r="G1015"/>
      <c r="H1015"/>
      <c r="L1015"/>
      <c r="O1015"/>
    </row>
    <row r="1016" spans="3:15" x14ac:dyDescent="0.25">
      <c r="C1016"/>
      <c r="F1016"/>
      <c r="G1016"/>
      <c r="H1016"/>
      <c r="L1016"/>
      <c r="O1016"/>
    </row>
    <row r="1017" spans="3:15" x14ac:dyDescent="0.25">
      <c r="C1017"/>
      <c r="F1017"/>
      <c r="G1017"/>
      <c r="H1017"/>
      <c r="L1017"/>
      <c r="O1017"/>
    </row>
    <row r="1018" spans="3:15" x14ac:dyDescent="0.25">
      <c r="C1018"/>
      <c r="F1018"/>
      <c r="G1018"/>
      <c r="H1018"/>
      <c r="L1018"/>
      <c r="O1018"/>
    </row>
    <row r="1019" spans="3:15" x14ac:dyDescent="0.25">
      <c r="C1019"/>
      <c r="F1019"/>
      <c r="G1019"/>
      <c r="H1019"/>
      <c r="L1019"/>
      <c r="O1019"/>
    </row>
    <row r="1020" spans="3:15" x14ac:dyDescent="0.25">
      <c r="C1020"/>
      <c r="F1020"/>
      <c r="G1020"/>
      <c r="H1020"/>
      <c r="L1020"/>
      <c r="O1020"/>
    </row>
    <row r="1021" spans="3:15" x14ac:dyDescent="0.25">
      <c r="C1021"/>
      <c r="F1021"/>
      <c r="G1021"/>
      <c r="H1021"/>
      <c r="L1021"/>
      <c r="O1021"/>
    </row>
    <row r="1022" spans="3:15" x14ac:dyDescent="0.25">
      <c r="C1022"/>
      <c r="F1022"/>
      <c r="G1022"/>
      <c r="H1022"/>
      <c r="L1022"/>
      <c r="O1022"/>
    </row>
    <row r="1023" spans="3:15" x14ac:dyDescent="0.25">
      <c r="C1023"/>
      <c r="F1023"/>
      <c r="G1023"/>
      <c r="H1023"/>
      <c r="L1023"/>
      <c r="O1023"/>
    </row>
    <row r="1024" spans="3:15" x14ac:dyDescent="0.25">
      <c r="C1024"/>
      <c r="F1024"/>
      <c r="G1024"/>
      <c r="H1024"/>
      <c r="L1024"/>
      <c r="O1024"/>
    </row>
    <row r="1025" spans="3:15" x14ac:dyDescent="0.25">
      <c r="C1025"/>
      <c r="F1025"/>
      <c r="G1025"/>
      <c r="H1025"/>
      <c r="L1025"/>
      <c r="O1025"/>
    </row>
    <row r="1026" spans="3:15" x14ac:dyDescent="0.25">
      <c r="C1026"/>
      <c r="F1026"/>
      <c r="G1026"/>
      <c r="H1026"/>
      <c r="L1026"/>
      <c r="O1026"/>
    </row>
    <row r="1027" spans="3:15" x14ac:dyDescent="0.25">
      <c r="C1027"/>
      <c r="F1027"/>
      <c r="G1027"/>
      <c r="H1027"/>
      <c r="L1027"/>
      <c r="O1027"/>
    </row>
    <row r="1028" spans="3:15" x14ac:dyDescent="0.25">
      <c r="C1028"/>
      <c r="F1028"/>
      <c r="G1028"/>
      <c r="H1028"/>
      <c r="L1028"/>
      <c r="O1028"/>
    </row>
    <row r="1029" spans="3:15" x14ac:dyDescent="0.25">
      <c r="C1029"/>
      <c r="F1029"/>
      <c r="G1029"/>
      <c r="H1029"/>
      <c r="L1029"/>
      <c r="O1029"/>
    </row>
    <row r="1030" spans="3:15" x14ac:dyDescent="0.25">
      <c r="C1030"/>
      <c r="F1030"/>
      <c r="G1030"/>
      <c r="H1030"/>
      <c r="L1030"/>
      <c r="O1030"/>
    </row>
    <row r="1031" spans="3:15" x14ac:dyDescent="0.25">
      <c r="C1031"/>
      <c r="F1031"/>
      <c r="G1031"/>
      <c r="H1031"/>
      <c r="L1031"/>
      <c r="O1031"/>
    </row>
    <row r="1032" spans="3:15" x14ac:dyDescent="0.25">
      <c r="C1032"/>
      <c r="F1032"/>
      <c r="G1032"/>
      <c r="H1032"/>
      <c r="L1032"/>
      <c r="O1032"/>
    </row>
    <row r="1033" spans="3:15" x14ac:dyDescent="0.25">
      <c r="C1033"/>
      <c r="F1033"/>
      <c r="G1033"/>
      <c r="H1033"/>
      <c r="L1033"/>
      <c r="O1033"/>
    </row>
    <row r="1034" spans="3:15" x14ac:dyDescent="0.25">
      <c r="C1034"/>
      <c r="F1034"/>
      <c r="G1034"/>
      <c r="H1034"/>
      <c r="L1034"/>
      <c r="O1034"/>
    </row>
    <row r="1035" spans="3:15" x14ac:dyDescent="0.25">
      <c r="C1035"/>
      <c r="F1035"/>
      <c r="G1035"/>
      <c r="H1035"/>
      <c r="L1035"/>
      <c r="O1035"/>
    </row>
    <row r="1036" spans="3:15" x14ac:dyDescent="0.25">
      <c r="C1036"/>
      <c r="F1036"/>
      <c r="G1036"/>
      <c r="H1036"/>
      <c r="L1036"/>
      <c r="O1036"/>
    </row>
    <row r="1037" spans="3:15" x14ac:dyDescent="0.25">
      <c r="C1037"/>
      <c r="F1037"/>
      <c r="G1037"/>
      <c r="H1037"/>
      <c r="L1037"/>
      <c r="O1037"/>
    </row>
    <row r="1038" spans="3:15" x14ac:dyDescent="0.25">
      <c r="C1038"/>
      <c r="F1038"/>
      <c r="G1038"/>
      <c r="H1038"/>
      <c r="L1038"/>
      <c r="O1038"/>
    </row>
    <row r="1039" spans="3:15" x14ac:dyDescent="0.25">
      <c r="C1039"/>
      <c r="F1039"/>
      <c r="G1039"/>
      <c r="H1039"/>
      <c r="L1039"/>
      <c r="O1039"/>
    </row>
    <row r="1040" spans="3:15" x14ac:dyDescent="0.25">
      <c r="C1040"/>
      <c r="F1040"/>
      <c r="G1040"/>
      <c r="H1040"/>
      <c r="L1040"/>
      <c r="O1040"/>
    </row>
    <row r="1041" spans="3:15" x14ac:dyDescent="0.25">
      <c r="C1041"/>
      <c r="F1041"/>
      <c r="G1041"/>
      <c r="H1041"/>
      <c r="L1041"/>
      <c r="O1041"/>
    </row>
    <row r="1042" spans="3:15" x14ac:dyDescent="0.25">
      <c r="C1042"/>
      <c r="F1042"/>
      <c r="G1042"/>
      <c r="H1042"/>
      <c r="L1042"/>
      <c r="O1042"/>
    </row>
    <row r="1043" spans="3:15" x14ac:dyDescent="0.25">
      <c r="C1043"/>
      <c r="F1043"/>
      <c r="G1043"/>
      <c r="H1043"/>
      <c r="L1043"/>
      <c r="O1043"/>
    </row>
    <row r="1044" spans="3:15" x14ac:dyDescent="0.25">
      <c r="C1044"/>
      <c r="F1044"/>
      <c r="G1044"/>
      <c r="H1044"/>
      <c r="L1044"/>
      <c r="O1044"/>
    </row>
    <row r="1045" spans="3:15" x14ac:dyDescent="0.25">
      <c r="C1045"/>
      <c r="F1045"/>
      <c r="G1045"/>
      <c r="H1045"/>
      <c r="L1045"/>
      <c r="O1045"/>
    </row>
    <row r="1046" spans="3:15" x14ac:dyDescent="0.25">
      <c r="C1046"/>
      <c r="F1046"/>
      <c r="G1046"/>
      <c r="H1046"/>
      <c r="L1046"/>
      <c r="O1046"/>
    </row>
    <row r="1047" spans="3:15" x14ac:dyDescent="0.25">
      <c r="C1047"/>
      <c r="F1047"/>
      <c r="G1047"/>
      <c r="H1047"/>
      <c r="L1047"/>
      <c r="O1047"/>
    </row>
    <row r="1048" spans="3:15" x14ac:dyDescent="0.25">
      <c r="C1048"/>
      <c r="F1048"/>
      <c r="G1048"/>
      <c r="H1048"/>
      <c r="L1048"/>
      <c r="O1048"/>
    </row>
    <row r="1049" spans="3:15" x14ac:dyDescent="0.25">
      <c r="C1049"/>
      <c r="F1049"/>
      <c r="G1049"/>
      <c r="H1049"/>
      <c r="L1049"/>
      <c r="O1049"/>
    </row>
    <row r="1050" spans="3:15" x14ac:dyDescent="0.25">
      <c r="C1050"/>
      <c r="F1050"/>
      <c r="G1050"/>
      <c r="H1050"/>
      <c r="L1050"/>
      <c r="O1050"/>
    </row>
    <row r="1051" spans="3:15" x14ac:dyDescent="0.25">
      <c r="C1051"/>
      <c r="F1051"/>
      <c r="G1051"/>
      <c r="H1051"/>
      <c r="L1051"/>
      <c r="O1051"/>
    </row>
    <row r="1052" spans="3:15" x14ac:dyDescent="0.25">
      <c r="C1052"/>
      <c r="F1052"/>
      <c r="G1052"/>
      <c r="H1052"/>
      <c r="L1052"/>
      <c r="O1052"/>
    </row>
    <row r="1053" spans="3:15" x14ac:dyDescent="0.25">
      <c r="C1053"/>
      <c r="F1053"/>
      <c r="G1053"/>
      <c r="H1053"/>
      <c r="L1053"/>
      <c r="O1053"/>
    </row>
    <row r="1054" spans="3:15" x14ac:dyDescent="0.25">
      <c r="C1054"/>
      <c r="F1054"/>
      <c r="G1054"/>
      <c r="H1054"/>
      <c r="L1054"/>
      <c r="O1054"/>
    </row>
    <row r="1055" spans="3:15" x14ac:dyDescent="0.25">
      <c r="C1055"/>
      <c r="F1055"/>
      <c r="G1055"/>
      <c r="H1055"/>
      <c r="L1055"/>
      <c r="O1055"/>
    </row>
    <row r="1056" spans="3:15" x14ac:dyDescent="0.25">
      <c r="C1056"/>
      <c r="F1056"/>
      <c r="G1056"/>
      <c r="H1056"/>
      <c r="L1056"/>
      <c r="O1056"/>
    </row>
    <row r="1057" spans="3:15" x14ac:dyDescent="0.25">
      <c r="C1057"/>
      <c r="F1057"/>
      <c r="G1057"/>
      <c r="H1057"/>
      <c r="L1057"/>
      <c r="O1057"/>
    </row>
    <row r="1058" spans="3:15" x14ac:dyDescent="0.25">
      <c r="C1058"/>
      <c r="F1058"/>
      <c r="G1058"/>
      <c r="H1058"/>
      <c r="L1058"/>
      <c r="O1058"/>
    </row>
    <row r="1059" spans="3:15" x14ac:dyDescent="0.25">
      <c r="C1059"/>
      <c r="F1059"/>
      <c r="G1059"/>
      <c r="H1059"/>
      <c r="L1059"/>
      <c r="O1059"/>
    </row>
    <row r="1060" spans="3:15" x14ac:dyDescent="0.25">
      <c r="C1060"/>
      <c r="F1060"/>
      <c r="G1060"/>
      <c r="H1060"/>
      <c r="L1060"/>
      <c r="O1060"/>
    </row>
    <row r="1061" spans="3:15" x14ac:dyDescent="0.25">
      <c r="C1061"/>
      <c r="F1061"/>
      <c r="G1061"/>
      <c r="H1061"/>
      <c r="L1061"/>
      <c r="O1061"/>
    </row>
    <row r="1062" spans="3:15" x14ac:dyDescent="0.25">
      <c r="C1062"/>
      <c r="F1062"/>
      <c r="G1062"/>
      <c r="H1062"/>
      <c r="L1062"/>
      <c r="O1062"/>
    </row>
    <row r="1063" spans="3:15" x14ac:dyDescent="0.25">
      <c r="C1063"/>
      <c r="F1063"/>
      <c r="G1063"/>
      <c r="H1063"/>
      <c r="L1063"/>
      <c r="O1063"/>
    </row>
    <row r="1064" spans="3:15" x14ac:dyDescent="0.25">
      <c r="C1064"/>
      <c r="F1064"/>
      <c r="G1064"/>
      <c r="H1064"/>
      <c r="L1064"/>
      <c r="O1064"/>
    </row>
    <row r="1065" spans="3:15" x14ac:dyDescent="0.25">
      <c r="C1065"/>
      <c r="F1065"/>
      <c r="G1065"/>
      <c r="H1065"/>
      <c r="L1065"/>
      <c r="O1065"/>
    </row>
    <row r="1066" spans="3:15" x14ac:dyDescent="0.25">
      <c r="C1066"/>
      <c r="F1066"/>
      <c r="G1066"/>
      <c r="H1066"/>
      <c r="L1066"/>
      <c r="O1066"/>
    </row>
    <row r="1067" spans="3:15" x14ac:dyDescent="0.25">
      <c r="C1067"/>
      <c r="F1067"/>
      <c r="G1067"/>
      <c r="H1067"/>
      <c r="L1067"/>
      <c r="O1067"/>
    </row>
    <row r="1068" spans="3:15" x14ac:dyDescent="0.25">
      <c r="C1068"/>
      <c r="F1068"/>
      <c r="G1068"/>
      <c r="H1068"/>
      <c r="L1068"/>
      <c r="O1068"/>
    </row>
    <row r="1069" spans="3:15" x14ac:dyDescent="0.25">
      <c r="C1069"/>
      <c r="F1069"/>
      <c r="G1069"/>
      <c r="H1069"/>
      <c r="L1069"/>
      <c r="O1069"/>
    </row>
    <row r="1070" spans="3:15" x14ac:dyDescent="0.25">
      <c r="C1070"/>
      <c r="F1070"/>
      <c r="G1070"/>
      <c r="H1070"/>
      <c r="L1070"/>
      <c r="O1070"/>
    </row>
    <row r="1071" spans="3:15" x14ac:dyDescent="0.25">
      <c r="C1071"/>
      <c r="F1071"/>
      <c r="G1071"/>
      <c r="H1071"/>
      <c r="L1071"/>
      <c r="O1071"/>
    </row>
    <row r="1072" spans="3:15" x14ac:dyDescent="0.25">
      <c r="C1072"/>
      <c r="F1072"/>
      <c r="G1072"/>
      <c r="H1072"/>
      <c r="L1072"/>
      <c r="O1072"/>
    </row>
    <row r="1073" spans="3:15" x14ac:dyDescent="0.25">
      <c r="C1073"/>
      <c r="F1073"/>
      <c r="G1073"/>
      <c r="H1073"/>
      <c r="L1073"/>
      <c r="O1073"/>
    </row>
    <row r="1074" spans="3:15" x14ac:dyDescent="0.25">
      <c r="C1074"/>
      <c r="F1074"/>
      <c r="G1074"/>
      <c r="H1074"/>
      <c r="L1074"/>
      <c r="O1074"/>
    </row>
    <row r="1075" spans="3:15" x14ac:dyDescent="0.25">
      <c r="C1075"/>
      <c r="F1075"/>
      <c r="G1075"/>
      <c r="H1075"/>
      <c r="L1075"/>
      <c r="O1075"/>
    </row>
    <row r="1076" spans="3:15" x14ac:dyDescent="0.25">
      <c r="C1076"/>
      <c r="F1076"/>
      <c r="G1076"/>
      <c r="H1076"/>
      <c r="L1076"/>
      <c r="O1076"/>
    </row>
    <row r="1077" spans="3:15" x14ac:dyDescent="0.25">
      <c r="C1077"/>
      <c r="F1077"/>
      <c r="G1077"/>
      <c r="H1077"/>
      <c r="L1077"/>
      <c r="O1077"/>
    </row>
    <row r="1078" spans="3:15" x14ac:dyDescent="0.25">
      <c r="C1078"/>
      <c r="F1078"/>
      <c r="G1078"/>
      <c r="H1078"/>
      <c r="L1078"/>
      <c r="O1078"/>
    </row>
    <row r="1079" spans="3:15" x14ac:dyDescent="0.25">
      <c r="C1079"/>
      <c r="F1079"/>
      <c r="G1079"/>
      <c r="H1079"/>
      <c r="L1079"/>
      <c r="O1079"/>
    </row>
    <row r="1080" spans="3:15" x14ac:dyDescent="0.25">
      <c r="C1080"/>
      <c r="F1080"/>
      <c r="G1080"/>
      <c r="H1080"/>
      <c r="L1080"/>
      <c r="O1080"/>
    </row>
    <row r="1081" spans="3:15" x14ac:dyDescent="0.25">
      <c r="C1081"/>
      <c r="F1081"/>
      <c r="G1081"/>
      <c r="H1081"/>
      <c r="L1081"/>
      <c r="O1081"/>
    </row>
    <row r="1082" spans="3:15" x14ac:dyDescent="0.25">
      <c r="C1082"/>
      <c r="F1082"/>
      <c r="G1082"/>
      <c r="H1082"/>
      <c r="L1082"/>
      <c r="O1082"/>
    </row>
    <row r="1083" spans="3:15" x14ac:dyDescent="0.25">
      <c r="C1083"/>
      <c r="F1083"/>
      <c r="G1083"/>
      <c r="H1083"/>
      <c r="L1083"/>
      <c r="O1083"/>
    </row>
    <row r="1084" spans="3:15" x14ac:dyDescent="0.25">
      <c r="C1084"/>
      <c r="F1084"/>
      <c r="G1084"/>
      <c r="H1084"/>
      <c r="L1084"/>
      <c r="O1084"/>
    </row>
    <row r="1085" spans="3:15" x14ac:dyDescent="0.25">
      <c r="C1085"/>
      <c r="F1085"/>
      <c r="G1085"/>
      <c r="H1085"/>
      <c r="L1085"/>
      <c r="O1085"/>
    </row>
    <row r="1086" spans="3:15" x14ac:dyDescent="0.25">
      <c r="C1086"/>
      <c r="F1086"/>
      <c r="G1086"/>
      <c r="H1086"/>
      <c r="L1086"/>
      <c r="O1086"/>
    </row>
    <row r="1087" spans="3:15" x14ac:dyDescent="0.25">
      <c r="C1087"/>
      <c r="F1087"/>
      <c r="G1087"/>
      <c r="H1087"/>
      <c r="L1087"/>
      <c r="O1087"/>
    </row>
    <row r="1088" spans="3:15" x14ac:dyDescent="0.25">
      <c r="C1088"/>
      <c r="F1088"/>
      <c r="G1088"/>
      <c r="H1088"/>
      <c r="L1088"/>
      <c r="O1088"/>
    </row>
    <row r="1089" spans="3:15" x14ac:dyDescent="0.25">
      <c r="C1089"/>
      <c r="F1089"/>
      <c r="G1089"/>
      <c r="H1089"/>
      <c r="L1089"/>
      <c r="O1089"/>
    </row>
    <row r="1090" spans="3:15" x14ac:dyDescent="0.25">
      <c r="C1090"/>
      <c r="F1090"/>
      <c r="G1090"/>
      <c r="H1090"/>
      <c r="L1090"/>
      <c r="O1090"/>
    </row>
    <row r="1091" spans="3:15" x14ac:dyDescent="0.25">
      <c r="C1091"/>
      <c r="F1091"/>
      <c r="G1091"/>
      <c r="H1091"/>
      <c r="L1091"/>
      <c r="O1091"/>
    </row>
    <row r="1092" spans="3:15" x14ac:dyDescent="0.25">
      <c r="C1092"/>
      <c r="F1092"/>
      <c r="G1092"/>
      <c r="H1092"/>
      <c r="L1092"/>
      <c r="O1092"/>
    </row>
    <row r="1093" spans="3:15" x14ac:dyDescent="0.25">
      <c r="C1093"/>
      <c r="F1093"/>
      <c r="G1093"/>
      <c r="H1093"/>
      <c r="L1093"/>
      <c r="O1093"/>
    </row>
    <row r="1094" spans="3:15" x14ac:dyDescent="0.25">
      <c r="C1094"/>
      <c r="F1094"/>
      <c r="G1094"/>
      <c r="H1094"/>
      <c r="L1094"/>
      <c r="O1094"/>
    </row>
    <row r="1095" spans="3:15" x14ac:dyDescent="0.25">
      <c r="C1095"/>
      <c r="F1095"/>
      <c r="G1095"/>
      <c r="H1095"/>
      <c r="L1095"/>
      <c r="O1095"/>
    </row>
    <row r="1096" spans="3:15" x14ac:dyDescent="0.25">
      <c r="C1096"/>
      <c r="F1096"/>
      <c r="G1096"/>
      <c r="H1096"/>
      <c r="L1096"/>
      <c r="O1096"/>
    </row>
    <row r="1097" spans="3:15" x14ac:dyDescent="0.25">
      <c r="C1097"/>
      <c r="F1097"/>
      <c r="G1097"/>
      <c r="H1097"/>
      <c r="L1097"/>
      <c r="O1097"/>
    </row>
    <row r="1098" spans="3:15" x14ac:dyDescent="0.25">
      <c r="C1098"/>
      <c r="F1098"/>
      <c r="G1098"/>
      <c r="H1098"/>
      <c r="L1098"/>
      <c r="O1098"/>
    </row>
    <row r="1099" spans="3:15" x14ac:dyDescent="0.25">
      <c r="C1099"/>
      <c r="F1099"/>
      <c r="G1099"/>
      <c r="H1099"/>
      <c r="L1099"/>
      <c r="O1099"/>
    </row>
    <row r="1100" spans="3:15" x14ac:dyDescent="0.25">
      <c r="C1100"/>
      <c r="F1100"/>
      <c r="G1100"/>
      <c r="H1100"/>
      <c r="L1100"/>
      <c r="O1100"/>
    </row>
    <row r="1101" spans="3:15" x14ac:dyDescent="0.25">
      <c r="C1101"/>
      <c r="F1101"/>
      <c r="G1101"/>
      <c r="H1101"/>
      <c r="L1101"/>
      <c r="O1101"/>
    </row>
    <row r="1102" spans="3:15" x14ac:dyDescent="0.25">
      <c r="C1102"/>
      <c r="F1102"/>
      <c r="G1102"/>
      <c r="H1102"/>
      <c r="L1102"/>
      <c r="O1102"/>
    </row>
    <row r="1103" spans="3:15" x14ac:dyDescent="0.25">
      <c r="C1103"/>
      <c r="F1103"/>
      <c r="G1103"/>
      <c r="H1103"/>
      <c r="L1103"/>
      <c r="O1103"/>
    </row>
    <row r="1104" spans="3:15" x14ac:dyDescent="0.25">
      <c r="C1104"/>
      <c r="F1104"/>
      <c r="G1104"/>
      <c r="H1104"/>
      <c r="L1104"/>
      <c r="O1104"/>
    </row>
    <row r="1105" spans="3:15" x14ac:dyDescent="0.25">
      <c r="C1105"/>
      <c r="F1105"/>
      <c r="G1105"/>
      <c r="H1105"/>
      <c r="L1105"/>
      <c r="O1105"/>
    </row>
    <row r="1106" spans="3:15" x14ac:dyDescent="0.25">
      <c r="C1106"/>
      <c r="F1106"/>
      <c r="G1106"/>
      <c r="H1106"/>
      <c r="L1106"/>
      <c r="O1106"/>
    </row>
    <row r="1107" spans="3:15" x14ac:dyDescent="0.25">
      <c r="C1107"/>
      <c r="F1107"/>
      <c r="G1107"/>
      <c r="H1107"/>
      <c r="L1107"/>
      <c r="O1107"/>
    </row>
    <row r="1108" spans="3:15" x14ac:dyDescent="0.25">
      <c r="C1108"/>
      <c r="F1108"/>
      <c r="G1108"/>
      <c r="H1108"/>
      <c r="L1108"/>
      <c r="O1108"/>
    </row>
    <row r="1109" spans="3:15" x14ac:dyDescent="0.25">
      <c r="C1109"/>
      <c r="F1109"/>
      <c r="G1109"/>
      <c r="H1109"/>
      <c r="L1109"/>
      <c r="O1109"/>
    </row>
    <row r="1110" spans="3:15" x14ac:dyDescent="0.25">
      <c r="C1110"/>
      <c r="F1110"/>
      <c r="G1110"/>
      <c r="H1110"/>
      <c r="L1110"/>
      <c r="O1110"/>
    </row>
    <row r="1111" spans="3:15" x14ac:dyDescent="0.25">
      <c r="C1111"/>
      <c r="F1111"/>
      <c r="G1111"/>
      <c r="H1111"/>
      <c r="L1111"/>
      <c r="O1111"/>
    </row>
    <row r="1112" spans="3:15" x14ac:dyDescent="0.25">
      <c r="C1112"/>
      <c r="F1112"/>
      <c r="G1112"/>
      <c r="H1112"/>
      <c r="L1112"/>
      <c r="O1112"/>
    </row>
    <row r="1113" spans="3:15" x14ac:dyDescent="0.25">
      <c r="C1113"/>
      <c r="F1113"/>
      <c r="G1113"/>
      <c r="H1113"/>
      <c r="L1113"/>
      <c r="O1113"/>
    </row>
    <row r="1114" spans="3:15" x14ac:dyDescent="0.25">
      <c r="C1114"/>
      <c r="F1114"/>
      <c r="G1114"/>
      <c r="H1114"/>
      <c r="L1114"/>
      <c r="O1114"/>
    </row>
    <row r="1115" spans="3:15" x14ac:dyDescent="0.25">
      <c r="C1115"/>
      <c r="F1115"/>
      <c r="G1115"/>
      <c r="H1115"/>
      <c r="L1115"/>
      <c r="O1115"/>
    </row>
    <row r="1116" spans="3:15" x14ac:dyDescent="0.25">
      <c r="C1116"/>
      <c r="F1116"/>
      <c r="G1116"/>
      <c r="H1116"/>
      <c r="L1116"/>
      <c r="O1116"/>
    </row>
    <row r="1117" spans="3:15" x14ac:dyDescent="0.25">
      <c r="C1117"/>
      <c r="F1117"/>
      <c r="G1117"/>
      <c r="H1117"/>
      <c r="L1117"/>
      <c r="O1117"/>
    </row>
    <row r="1118" spans="3:15" x14ac:dyDescent="0.25">
      <c r="C1118"/>
      <c r="F1118"/>
      <c r="G1118"/>
      <c r="H1118"/>
      <c r="L1118"/>
      <c r="O1118"/>
    </row>
    <row r="1119" spans="3:15" x14ac:dyDescent="0.25">
      <c r="C1119"/>
      <c r="F1119"/>
      <c r="G1119"/>
      <c r="H1119"/>
      <c r="L1119"/>
      <c r="O1119"/>
    </row>
    <row r="1120" spans="3:15" x14ac:dyDescent="0.25">
      <c r="C1120"/>
      <c r="F1120"/>
      <c r="G1120"/>
      <c r="H1120"/>
      <c r="L1120"/>
      <c r="O1120"/>
    </row>
    <row r="1121" spans="3:15" x14ac:dyDescent="0.25">
      <c r="C1121"/>
      <c r="F1121"/>
      <c r="G1121"/>
      <c r="H1121"/>
      <c r="L1121"/>
      <c r="O1121"/>
    </row>
    <row r="1122" spans="3:15" x14ac:dyDescent="0.25">
      <c r="C1122"/>
      <c r="F1122"/>
      <c r="G1122"/>
      <c r="H1122"/>
      <c r="L1122"/>
      <c r="O1122"/>
    </row>
    <row r="1123" spans="3:15" x14ac:dyDescent="0.25">
      <c r="C1123"/>
      <c r="F1123"/>
      <c r="G1123"/>
      <c r="H1123"/>
      <c r="L1123"/>
      <c r="O1123"/>
    </row>
    <row r="1124" spans="3:15" x14ac:dyDescent="0.25">
      <c r="C1124"/>
      <c r="F1124"/>
      <c r="G1124"/>
      <c r="H1124"/>
      <c r="L1124"/>
      <c r="O1124"/>
    </row>
    <row r="1125" spans="3:15" x14ac:dyDescent="0.25">
      <c r="C1125"/>
      <c r="F1125"/>
      <c r="G1125"/>
      <c r="H1125"/>
      <c r="L1125"/>
      <c r="O1125"/>
    </row>
    <row r="1126" spans="3:15" x14ac:dyDescent="0.25">
      <c r="C1126"/>
      <c r="F1126"/>
      <c r="G1126"/>
      <c r="H1126"/>
      <c r="L1126"/>
      <c r="O1126"/>
    </row>
    <row r="1127" spans="3:15" x14ac:dyDescent="0.25">
      <c r="C1127"/>
      <c r="F1127"/>
      <c r="G1127"/>
      <c r="H1127"/>
      <c r="L1127"/>
      <c r="O1127"/>
    </row>
    <row r="1128" spans="3:15" x14ac:dyDescent="0.25">
      <c r="C1128"/>
      <c r="F1128"/>
      <c r="G1128"/>
      <c r="H1128"/>
      <c r="L1128"/>
      <c r="O1128"/>
    </row>
    <row r="1129" spans="3:15" x14ac:dyDescent="0.25">
      <c r="C1129"/>
      <c r="F1129"/>
      <c r="G1129"/>
      <c r="H1129"/>
      <c r="L1129"/>
      <c r="O1129"/>
    </row>
    <row r="1130" spans="3:15" x14ac:dyDescent="0.25">
      <c r="C1130"/>
      <c r="F1130"/>
      <c r="G1130"/>
      <c r="H1130"/>
      <c r="L1130"/>
      <c r="O1130"/>
    </row>
    <row r="1131" spans="3:15" x14ac:dyDescent="0.25">
      <c r="C1131"/>
      <c r="F1131"/>
      <c r="G1131"/>
      <c r="H1131"/>
      <c r="L1131"/>
      <c r="O1131"/>
    </row>
    <row r="1132" spans="3:15" x14ac:dyDescent="0.25">
      <c r="C1132"/>
      <c r="F1132"/>
      <c r="G1132"/>
      <c r="H1132"/>
      <c r="L1132"/>
      <c r="O1132"/>
    </row>
    <row r="1133" spans="3:15" x14ac:dyDescent="0.25">
      <c r="C1133"/>
      <c r="F1133"/>
      <c r="G1133"/>
      <c r="H1133"/>
      <c r="L1133"/>
      <c r="O1133"/>
    </row>
    <row r="1134" spans="3:15" x14ac:dyDescent="0.25">
      <c r="C1134"/>
      <c r="F1134"/>
      <c r="G1134"/>
      <c r="H1134"/>
      <c r="L1134"/>
      <c r="O1134"/>
    </row>
    <row r="1135" spans="3:15" x14ac:dyDescent="0.25">
      <c r="C1135"/>
      <c r="F1135"/>
      <c r="G1135"/>
      <c r="H1135"/>
      <c r="L1135"/>
      <c r="O1135"/>
    </row>
    <row r="1136" spans="3:15" x14ac:dyDescent="0.25">
      <c r="C1136"/>
      <c r="F1136"/>
      <c r="G1136"/>
      <c r="H1136"/>
      <c r="L1136"/>
      <c r="O1136"/>
    </row>
    <row r="1137" spans="3:15" x14ac:dyDescent="0.25">
      <c r="C1137"/>
      <c r="F1137"/>
      <c r="G1137"/>
      <c r="H1137"/>
      <c r="L1137"/>
      <c r="O1137"/>
    </row>
    <row r="1138" spans="3:15" x14ac:dyDescent="0.25">
      <c r="C1138"/>
      <c r="F1138"/>
      <c r="G1138"/>
      <c r="H1138"/>
      <c r="L1138"/>
      <c r="O1138"/>
    </row>
    <row r="1139" spans="3:15" x14ac:dyDescent="0.25">
      <c r="C1139"/>
      <c r="F1139"/>
      <c r="G1139"/>
      <c r="H1139"/>
      <c r="L1139"/>
      <c r="O1139"/>
    </row>
    <row r="1140" spans="3:15" x14ac:dyDescent="0.25">
      <c r="C1140"/>
      <c r="F1140"/>
      <c r="G1140"/>
      <c r="H1140"/>
      <c r="L1140"/>
      <c r="O1140"/>
    </row>
    <row r="1141" spans="3:15" x14ac:dyDescent="0.25">
      <c r="C1141"/>
      <c r="F1141"/>
      <c r="G1141"/>
      <c r="H1141"/>
      <c r="L1141"/>
      <c r="O1141"/>
    </row>
    <row r="1142" spans="3:15" x14ac:dyDescent="0.25">
      <c r="C1142"/>
      <c r="F1142"/>
      <c r="G1142"/>
      <c r="H1142"/>
      <c r="L1142"/>
      <c r="O1142"/>
    </row>
    <row r="1143" spans="3:15" x14ac:dyDescent="0.25">
      <c r="C1143"/>
      <c r="F1143"/>
      <c r="G1143"/>
      <c r="H1143"/>
      <c r="L1143"/>
      <c r="O1143"/>
    </row>
    <row r="1144" spans="3:15" x14ac:dyDescent="0.25">
      <c r="C1144"/>
      <c r="F1144"/>
      <c r="G1144"/>
      <c r="H1144"/>
      <c r="L1144"/>
      <c r="O1144"/>
    </row>
    <row r="1145" spans="3:15" x14ac:dyDescent="0.25">
      <c r="C1145"/>
      <c r="F1145"/>
      <c r="G1145"/>
      <c r="H1145"/>
      <c r="L1145"/>
      <c r="O1145"/>
    </row>
    <row r="1146" spans="3:15" x14ac:dyDescent="0.25">
      <c r="C1146"/>
      <c r="F1146"/>
      <c r="G1146"/>
      <c r="H1146"/>
      <c r="L1146"/>
      <c r="O1146"/>
    </row>
    <row r="1147" spans="3:15" x14ac:dyDescent="0.25">
      <c r="C1147"/>
      <c r="F1147"/>
      <c r="G1147"/>
      <c r="H1147"/>
      <c r="L1147"/>
      <c r="O1147"/>
    </row>
    <row r="1148" spans="3:15" x14ac:dyDescent="0.25">
      <c r="C1148"/>
      <c r="F1148"/>
      <c r="G1148"/>
      <c r="H1148"/>
      <c r="L1148"/>
      <c r="O1148"/>
    </row>
    <row r="1149" spans="3:15" x14ac:dyDescent="0.25">
      <c r="C1149"/>
      <c r="F1149"/>
      <c r="G1149"/>
      <c r="H1149"/>
      <c r="L1149"/>
      <c r="O1149"/>
    </row>
    <row r="1150" spans="3:15" x14ac:dyDescent="0.25">
      <c r="C1150"/>
      <c r="F1150"/>
      <c r="G1150"/>
      <c r="H1150"/>
      <c r="L1150"/>
      <c r="O1150"/>
    </row>
    <row r="1151" spans="3:15" x14ac:dyDescent="0.25">
      <c r="C1151"/>
      <c r="F1151"/>
      <c r="G1151"/>
      <c r="H1151"/>
      <c r="L1151"/>
      <c r="O1151"/>
    </row>
    <row r="1152" spans="3:15" x14ac:dyDescent="0.25">
      <c r="C1152"/>
      <c r="F1152"/>
      <c r="G1152"/>
      <c r="H1152"/>
      <c r="L1152"/>
      <c r="O1152"/>
    </row>
    <row r="1153" spans="3:15" x14ac:dyDescent="0.25">
      <c r="C1153"/>
      <c r="F1153"/>
      <c r="G1153"/>
      <c r="H1153"/>
      <c r="L1153"/>
      <c r="O1153"/>
    </row>
    <row r="1154" spans="3:15" x14ac:dyDescent="0.25">
      <c r="C1154"/>
      <c r="F1154"/>
      <c r="G1154"/>
      <c r="H1154"/>
      <c r="L1154"/>
      <c r="O1154"/>
    </row>
    <row r="1155" spans="3:15" x14ac:dyDescent="0.25">
      <c r="C1155"/>
      <c r="F1155"/>
      <c r="G1155"/>
      <c r="H1155"/>
      <c r="L1155"/>
      <c r="O1155"/>
    </row>
    <row r="1156" spans="3:15" x14ac:dyDescent="0.25">
      <c r="C1156"/>
      <c r="F1156"/>
      <c r="G1156"/>
      <c r="H1156"/>
      <c r="L1156"/>
      <c r="O1156"/>
    </row>
    <row r="1157" spans="3:15" x14ac:dyDescent="0.25">
      <c r="C1157"/>
      <c r="F1157"/>
      <c r="G1157"/>
      <c r="H1157"/>
      <c r="L1157"/>
      <c r="O1157"/>
    </row>
    <row r="1158" spans="3:15" x14ac:dyDescent="0.25">
      <c r="C1158"/>
      <c r="F1158"/>
      <c r="G1158"/>
      <c r="H1158"/>
      <c r="L1158"/>
      <c r="O1158"/>
    </row>
    <row r="1159" spans="3:15" x14ac:dyDescent="0.25">
      <c r="C1159"/>
      <c r="F1159"/>
      <c r="G1159"/>
      <c r="H1159"/>
      <c r="L1159"/>
      <c r="O1159"/>
    </row>
    <row r="1160" spans="3:15" x14ac:dyDescent="0.25">
      <c r="C1160"/>
      <c r="F1160"/>
      <c r="G1160"/>
      <c r="H1160"/>
      <c r="L1160"/>
      <c r="O1160"/>
    </row>
    <row r="1161" spans="3:15" x14ac:dyDescent="0.25">
      <c r="C1161"/>
      <c r="F1161"/>
      <c r="G1161"/>
      <c r="H1161"/>
      <c r="L1161"/>
      <c r="O1161"/>
    </row>
    <row r="1162" spans="3:15" x14ac:dyDescent="0.25">
      <c r="C1162"/>
      <c r="F1162"/>
      <c r="G1162"/>
      <c r="H1162"/>
      <c r="L1162"/>
      <c r="O1162"/>
    </row>
    <row r="1163" spans="3:15" x14ac:dyDescent="0.25">
      <c r="C1163"/>
      <c r="F1163"/>
      <c r="G1163"/>
      <c r="H1163"/>
      <c r="L1163"/>
      <c r="O1163"/>
    </row>
    <row r="1164" spans="3:15" x14ac:dyDescent="0.25">
      <c r="C1164"/>
      <c r="F1164"/>
      <c r="G1164"/>
      <c r="H1164"/>
      <c r="L1164"/>
      <c r="O1164"/>
    </row>
    <row r="1165" spans="3:15" x14ac:dyDescent="0.25">
      <c r="C1165"/>
      <c r="F1165"/>
      <c r="G1165"/>
      <c r="H1165"/>
      <c r="L1165"/>
      <c r="O1165"/>
    </row>
    <row r="1166" spans="3:15" x14ac:dyDescent="0.25">
      <c r="C1166"/>
      <c r="F1166"/>
      <c r="G1166"/>
      <c r="H1166"/>
      <c r="L1166"/>
      <c r="O1166"/>
    </row>
    <row r="1167" spans="3:15" x14ac:dyDescent="0.25">
      <c r="C1167"/>
      <c r="F1167"/>
      <c r="G1167"/>
      <c r="H1167"/>
      <c r="L1167"/>
      <c r="O1167"/>
    </row>
    <row r="1168" spans="3:15" x14ac:dyDescent="0.25">
      <c r="C1168"/>
      <c r="F1168"/>
      <c r="G1168"/>
      <c r="H1168"/>
      <c r="L1168"/>
      <c r="O1168"/>
    </row>
    <row r="1169" spans="3:15" x14ac:dyDescent="0.25">
      <c r="C1169"/>
      <c r="F1169"/>
      <c r="G1169"/>
      <c r="H1169"/>
      <c r="L1169"/>
      <c r="O1169"/>
    </row>
    <row r="1170" spans="3:15" x14ac:dyDescent="0.25">
      <c r="C1170"/>
      <c r="F1170"/>
      <c r="G1170"/>
      <c r="H1170"/>
      <c r="L1170"/>
      <c r="O1170"/>
    </row>
    <row r="1171" spans="3:15" x14ac:dyDescent="0.25">
      <c r="C1171"/>
      <c r="F1171"/>
      <c r="G1171"/>
      <c r="H1171"/>
      <c r="L1171"/>
      <c r="O1171"/>
    </row>
    <row r="1172" spans="3:15" x14ac:dyDescent="0.25">
      <c r="C1172"/>
      <c r="F1172"/>
      <c r="G1172"/>
      <c r="H1172"/>
      <c r="L1172"/>
      <c r="O1172"/>
    </row>
    <row r="1173" spans="3:15" x14ac:dyDescent="0.25">
      <c r="C1173"/>
      <c r="F1173"/>
      <c r="G1173"/>
      <c r="H1173"/>
      <c r="L1173"/>
      <c r="O1173"/>
    </row>
    <row r="1174" spans="3:15" x14ac:dyDescent="0.25">
      <c r="C1174"/>
      <c r="F1174"/>
      <c r="G1174"/>
      <c r="H1174"/>
      <c r="L1174"/>
      <c r="O1174"/>
    </row>
    <row r="1175" spans="3:15" x14ac:dyDescent="0.25">
      <c r="C1175"/>
      <c r="F1175"/>
      <c r="G1175"/>
      <c r="H1175"/>
      <c r="L1175"/>
      <c r="O1175"/>
    </row>
    <row r="1176" spans="3:15" x14ac:dyDescent="0.25">
      <c r="C1176"/>
      <c r="F1176"/>
      <c r="G1176"/>
      <c r="H1176"/>
      <c r="L1176"/>
      <c r="O1176"/>
    </row>
    <row r="1177" spans="3:15" x14ac:dyDescent="0.25">
      <c r="C1177"/>
      <c r="F1177"/>
      <c r="G1177"/>
      <c r="H1177"/>
      <c r="L1177"/>
      <c r="O1177"/>
    </row>
    <row r="1178" spans="3:15" x14ac:dyDescent="0.25">
      <c r="C1178"/>
      <c r="F1178"/>
      <c r="G1178"/>
      <c r="H1178"/>
      <c r="L1178"/>
      <c r="O1178"/>
    </row>
    <row r="1179" spans="3:15" x14ac:dyDescent="0.25">
      <c r="C1179"/>
      <c r="F1179"/>
      <c r="G1179"/>
      <c r="H1179"/>
      <c r="L1179"/>
      <c r="O1179"/>
    </row>
    <row r="1180" spans="3:15" x14ac:dyDescent="0.25">
      <c r="C1180"/>
      <c r="F1180"/>
      <c r="G1180"/>
      <c r="H1180"/>
      <c r="L1180"/>
      <c r="O1180"/>
    </row>
    <row r="1181" spans="3:15" x14ac:dyDescent="0.25">
      <c r="C1181"/>
      <c r="F1181"/>
      <c r="G1181"/>
      <c r="H1181"/>
      <c r="L1181"/>
      <c r="O1181"/>
    </row>
    <row r="1182" spans="3:15" x14ac:dyDescent="0.25">
      <c r="C1182"/>
      <c r="F1182"/>
      <c r="G1182"/>
      <c r="H1182"/>
      <c r="L1182"/>
      <c r="O1182"/>
    </row>
    <row r="1183" spans="3:15" x14ac:dyDescent="0.25">
      <c r="C1183"/>
      <c r="F1183"/>
      <c r="G1183"/>
      <c r="H1183"/>
      <c r="L1183"/>
      <c r="O1183"/>
    </row>
    <row r="1184" spans="3:15" x14ac:dyDescent="0.25">
      <c r="C1184"/>
      <c r="F1184"/>
      <c r="G1184"/>
      <c r="H1184"/>
      <c r="L1184"/>
      <c r="O1184"/>
    </row>
    <row r="1185" spans="3:15" x14ac:dyDescent="0.25">
      <c r="C1185"/>
      <c r="F1185"/>
      <c r="G1185"/>
      <c r="H1185"/>
      <c r="L1185"/>
      <c r="O1185"/>
    </row>
    <row r="1186" spans="3:15" x14ac:dyDescent="0.25">
      <c r="C1186"/>
      <c r="F1186"/>
      <c r="G1186"/>
      <c r="H1186"/>
      <c r="L1186"/>
      <c r="O1186"/>
    </row>
    <row r="1187" spans="3:15" x14ac:dyDescent="0.25">
      <c r="C1187"/>
      <c r="F1187"/>
      <c r="G1187"/>
      <c r="H1187"/>
      <c r="L1187"/>
      <c r="O1187"/>
    </row>
    <row r="1188" spans="3:15" x14ac:dyDescent="0.25">
      <c r="C1188"/>
      <c r="F1188"/>
      <c r="G1188"/>
      <c r="H1188"/>
      <c r="L1188"/>
      <c r="O1188"/>
    </row>
    <row r="1189" spans="3:15" x14ac:dyDescent="0.25">
      <c r="C1189"/>
      <c r="F1189"/>
      <c r="G1189"/>
      <c r="H1189"/>
      <c r="L1189"/>
      <c r="O1189"/>
    </row>
    <row r="1190" spans="3:15" x14ac:dyDescent="0.25">
      <c r="C1190"/>
      <c r="F1190"/>
      <c r="G1190"/>
      <c r="H1190"/>
      <c r="L1190"/>
      <c r="O1190"/>
    </row>
    <row r="1191" spans="3:15" x14ac:dyDescent="0.25">
      <c r="C1191"/>
      <c r="F1191"/>
      <c r="G1191"/>
      <c r="H1191"/>
      <c r="L1191"/>
      <c r="O1191"/>
    </row>
    <row r="1192" spans="3:15" x14ac:dyDescent="0.25">
      <c r="C1192"/>
      <c r="F1192"/>
      <c r="G1192"/>
      <c r="H1192"/>
      <c r="L1192"/>
      <c r="O1192"/>
    </row>
    <row r="1193" spans="3:15" x14ac:dyDescent="0.25">
      <c r="C1193"/>
      <c r="F1193"/>
      <c r="G1193"/>
      <c r="H1193"/>
      <c r="L1193"/>
      <c r="O1193"/>
    </row>
    <row r="1194" spans="3:15" x14ac:dyDescent="0.25">
      <c r="C1194"/>
      <c r="F1194"/>
      <c r="G1194"/>
      <c r="H1194"/>
      <c r="L1194"/>
      <c r="O1194"/>
    </row>
    <row r="1195" spans="3:15" x14ac:dyDescent="0.25">
      <c r="C1195"/>
      <c r="F1195"/>
      <c r="G1195"/>
      <c r="H1195"/>
      <c r="L1195"/>
      <c r="O1195"/>
    </row>
    <row r="1196" spans="3:15" x14ac:dyDescent="0.25">
      <c r="C1196"/>
      <c r="F1196"/>
      <c r="G1196"/>
      <c r="H1196"/>
      <c r="L1196"/>
      <c r="O1196"/>
    </row>
    <row r="1197" spans="3:15" x14ac:dyDescent="0.25">
      <c r="C1197"/>
      <c r="F1197"/>
      <c r="G1197"/>
      <c r="H1197"/>
      <c r="L1197"/>
      <c r="O1197"/>
    </row>
    <row r="1198" spans="3:15" x14ac:dyDescent="0.25">
      <c r="C1198"/>
      <c r="F1198"/>
      <c r="G1198"/>
      <c r="H1198"/>
      <c r="L1198"/>
      <c r="O1198"/>
    </row>
    <row r="1199" spans="3:15" x14ac:dyDescent="0.25">
      <c r="C1199"/>
      <c r="F1199"/>
      <c r="G1199"/>
      <c r="H1199"/>
      <c r="L1199"/>
      <c r="O1199"/>
    </row>
    <row r="1200" spans="3:15" x14ac:dyDescent="0.25">
      <c r="C1200"/>
      <c r="F1200"/>
      <c r="G1200"/>
      <c r="H1200"/>
      <c r="L1200"/>
      <c r="O1200"/>
    </row>
    <row r="1201" spans="3:15" x14ac:dyDescent="0.25">
      <c r="C1201"/>
      <c r="F1201"/>
      <c r="G1201"/>
      <c r="H1201"/>
      <c r="L1201"/>
      <c r="O1201"/>
    </row>
    <row r="1202" spans="3:15" x14ac:dyDescent="0.25">
      <c r="C1202"/>
      <c r="F1202"/>
      <c r="G1202"/>
      <c r="H1202"/>
      <c r="L1202"/>
      <c r="O1202"/>
    </row>
    <row r="1203" spans="3:15" x14ac:dyDescent="0.25">
      <c r="C1203"/>
      <c r="F1203"/>
      <c r="G1203"/>
      <c r="H1203"/>
      <c r="L1203"/>
      <c r="O1203"/>
    </row>
    <row r="1204" spans="3:15" x14ac:dyDescent="0.25">
      <c r="C1204"/>
      <c r="F1204"/>
      <c r="G1204"/>
      <c r="H1204"/>
      <c r="L1204"/>
      <c r="O1204"/>
    </row>
    <row r="1205" spans="3:15" x14ac:dyDescent="0.25">
      <c r="C1205"/>
      <c r="F1205"/>
      <c r="G1205"/>
      <c r="H1205"/>
      <c r="L1205"/>
      <c r="O1205"/>
    </row>
    <row r="1206" spans="3:15" x14ac:dyDescent="0.25">
      <c r="C1206"/>
      <c r="F1206"/>
      <c r="G1206"/>
      <c r="H1206"/>
      <c r="L1206"/>
      <c r="O1206"/>
    </row>
    <row r="1207" spans="3:15" x14ac:dyDescent="0.25">
      <c r="C1207"/>
      <c r="F1207"/>
      <c r="G1207"/>
      <c r="H1207"/>
      <c r="L1207"/>
      <c r="O1207"/>
    </row>
    <row r="1208" spans="3:15" x14ac:dyDescent="0.25">
      <c r="C1208"/>
      <c r="F1208"/>
      <c r="G1208"/>
      <c r="H1208"/>
      <c r="L1208"/>
      <c r="O1208"/>
    </row>
    <row r="1209" spans="3:15" x14ac:dyDescent="0.25">
      <c r="C1209"/>
      <c r="F1209"/>
      <c r="G1209"/>
      <c r="H1209"/>
      <c r="L1209"/>
      <c r="O1209"/>
    </row>
    <row r="1210" spans="3:15" x14ac:dyDescent="0.25">
      <c r="C1210"/>
      <c r="F1210"/>
      <c r="G1210"/>
      <c r="H1210"/>
      <c r="L1210"/>
      <c r="O1210"/>
    </row>
    <row r="1211" spans="3:15" x14ac:dyDescent="0.25">
      <c r="C1211"/>
      <c r="F1211"/>
      <c r="G1211"/>
      <c r="H1211"/>
      <c r="L1211"/>
      <c r="O1211"/>
    </row>
    <row r="1212" spans="3:15" x14ac:dyDescent="0.25">
      <c r="C1212"/>
      <c r="F1212"/>
      <c r="G1212"/>
      <c r="H1212"/>
      <c r="L1212"/>
      <c r="O1212"/>
    </row>
    <row r="1213" spans="3:15" x14ac:dyDescent="0.25">
      <c r="C1213"/>
      <c r="F1213"/>
      <c r="G1213"/>
      <c r="H1213"/>
      <c r="L1213"/>
      <c r="O1213"/>
    </row>
    <row r="1214" spans="3:15" x14ac:dyDescent="0.25">
      <c r="C1214"/>
      <c r="F1214"/>
      <c r="G1214"/>
      <c r="H1214"/>
      <c r="L1214"/>
      <c r="O1214"/>
    </row>
    <row r="1215" spans="3:15" x14ac:dyDescent="0.25">
      <c r="C1215"/>
      <c r="F1215"/>
      <c r="G1215"/>
      <c r="H1215"/>
      <c r="L1215"/>
      <c r="O1215"/>
    </row>
    <row r="1216" spans="3:15" x14ac:dyDescent="0.25">
      <c r="C1216"/>
      <c r="F1216"/>
      <c r="G1216"/>
      <c r="H1216"/>
      <c r="L1216"/>
      <c r="O1216"/>
    </row>
    <row r="1217" spans="3:15" x14ac:dyDescent="0.25">
      <c r="C1217"/>
      <c r="F1217"/>
      <c r="G1217"/>
      <c r="H1217"/>
      <c r="L1217"/>
      <c r="O1217"/>
    </row>
    <row r="1218" spans="3:15" x14ac:dyDescent="0.25">
      <c r="C1218"/>
      <c r="F1218"/>
      <c r="G1218"/>
      <c r="H1218"/>
      <c r="L1218"/>
      <c r="O1218"/>
    </row>
    <row r="1219" spans="3:15" x14ac:dyDescent="0.25">
      <c r="C1219"/>
      <c r="F1219"/>
      <c r="G1219"/>
      <c r="H1219"/>
      <c r="L1219"/>
      <c r="O1219"/>
    </row>
    <row r="1220" spans="3:15" x14ac:dyDescent="0.25">
      <c r="C1220"/>
      <c r="F1220"/>
      <c r="G1220"/>
      <c r="H1220"/>
      <c r="L1220"/>
      <c r="O1220"/>
    </row>
    <row r="1221" spans="3:15" x14ac:dyDescent="0.25">
      <c r="C1221"/>
      <c r="F1221"/>
      <c r="G1221"/>
      <c r="H1221"/>
      <c r="L1221"/>
      <c r="O1221"/>
    </row>
    <row r="1222" spans="3:15" x14ac:dyDescent="0.25">
      <c r="C1222"/>
      <c r="F1222"/>
      <c r="G1222"/>
      <c r="H1222"/>
      <c r="L1222"/>
      <c r="O1222"/>
    </row>
    <row r="1223" spans="3:15" x14ac:dyDescent="0.25">
      <c r="C1223"/>
      <c r="F1223"/>
      <c r="G1223"/>
      <c r="H1223"/>
      <c r="L1223"/>
      <c r="O1223"/>
    </row>
    <row r="1224" spans="3:15" x14ac:dyDescent="0.25">
      <c r="C1224"/>
      <c r="F1224"/>
      <c r="G1224"/>
      <c r="H1224"/>
      <c r="L1224"/>
      <c r="O1224"/>
    </row>
    <row r="1225" spans="3:15" x14ac:dyDescent="0.25">
      <c r="C1225"/>
      <c r="F1225"/>
      <c r="G1225"/>
      <c r="H1225"/>
      <c r="L1225"/>
      <c r="O1225"/>
    </row>
    <row r="1226" spans="3:15" x14ac:dyDescent="0.25">
      <c r="C1226"/>
      <c r="F1226"/>
      <c r="G1226"/>
      <c r="H1226"/>
      <c r="L1226"/>
      <c r="O1226"/>
    </row>
    <row r="1227" spans="3:15" x14ac:dyDescent="0.25">
      <c r="C1227"/>
      <c r="F1227"/>
      <c r="G1227"/>
      <c r="H1227"/>
      <c r="L1227"/>
      <c r="O1227"/>
    </row>
    <row r="1228" spans="3:15" x14ac:dyDescent="0.25">
      <c r="C1228"/>
      <c r="F1228"/>
      <c r="G1228"/>
      <c r="H1228"/>
      <c r="L1228"/>
      <c r="O1228"/>
    </row>
    <row r="1229" spans="3:15" x14ac:dyDescent="0.25">
      <c r="C1229"/>
      <c r="F1229"/>
      <c r="G1229"/>
      <c r="H1229"/>
      <c r="L1229"/>
      <c r="O1229"/>
    </row>
    <row r="1230" spans="3:15" x14ac:dyDescent="0.25">
      <c r="C1230"/>
      <c r="F1230"/>
      <c r="G1230"/>
      <c r="H1230"/>
      <c r="L1230"/>
      <c r="O1230"/>
    </row>
    <row r="1231" spans="3:15" x14ac:dyDescent="0.25">
      <c r="C1231"/>
      <c r="F1231"/>
      <c r="G1231"/>
      <c r="H1231"/>
      <c r="L1231"/>
      <c r="O1231"/>
    </row>
    <row r="1232" spans="3:15" x14ac:dyDescent="0.25">
      <c r="C1232"/>
      <c r="F1232"/>
      <c r="G1232"/>
      <c r="H1232"/>
      <c r="L1232"/>
      <c r="O1232"/>
    </row>
    <row r="1233" spans="3:15" x14ac:dyDescent="0.25">
      <c r="C1233"/>
      <c r="F1233"/>
      <c r="G1233"/>
      <c r="H1233"/>
      <c r="L1233"/>
      <c r="O1233"/>
    </row>
    <row r="1234" spans="3:15" x14ac:dyDescent="0.25">
      <c r="C1234"/>
      <c r="F1234"/>
      <c r="G1234"/>
      <c r="H1234"/>
      <c r="L1234"/>
      <c r="O1234"/>
    </row>
    <row r="1235" spans="3:15" x14ac:dyDescent="0.25">
      <c r="C1235"/>
      <c r="F1235"/>
      <c r="G1235"/>
      <c r="H1235"/>
      <c r="L1235"/>
      <c r="O1235"/>
    </row>
    <row r="1236" spans="3:15" x14ac:dyDescent="0.25">
      <c r="C1236"/>
      <c r="F1236"/>
      <c r="G1236"/>
      <c r="H1236"/>
      <c r="L1236"/>
      <c r="O1236"/>
    </row>
    <row r="1237" spans="3:15" x14ac:dyDescent="0.25">
      <c r="C1237"/>
      <c r="F1237"/>
      <c r="G1237"/>
      <c r="H1237"/>
      <c r="L1237"/>
      <c r="O1237"/>
    </row>
    <row r="1238" spans="3:15" x14ac:dyDescent="0.25">
      <c r="C1238"/>
      <c r="F1238"/>
      <c r="G1238"/>
      <c r="H1238"/>
      <c r="L1238"/>
      <c r="O1238"/>
    </row>
    <row r="1239" spans="3:15" x14ac:dyDescent="0.25">
      <c r="C1239"/>
      <c r="F1239"/>
      <c r="G1239"/>
      <c r="H1239"/>
      <c r="L1239"/>
      <c r="O1239"/>
    </row>
    <row r="1240" spans="3:15" x14ac:dyDescent="0.25">
      <c r="C1240"/>
      <c r="F1240"/>
      <c r="G1240"/>
      <c r="H1240"/>
      <c r="L1240"/>
      <c r="O1240"/>
    </row>
    <row r="1241" spans="3:15" x14ac:dyDescent="0.25">
      <c r="C1241"/>
      <c r="F1241"/>
      <c r="G1241"/>
      <c r="H1241"/>
      <c r="L1241"/>
      <c r="O1241"/>
    </row>
    <row r="1242" spans="3:15" x14ac:dyDescent="0.25">
      <c r="C1242"/>
      <c r="F1242"/>
      <c r="G1242"/>
      <c r="H1242"/>
      <c r="L1242"/>
      <c r="O1242"/>
    </row>
    <row r="1243" spans="3:15" x14ac:dyDescent="0.25">
      <c r="C1243"/>
      <c r="F1243"/>
      <c r="G1243"/>
      <c r="H1243"/>
      <c r="L1243"/>
      <c r="O1243"/>
    </row>
    <row r="1244" spans="3:15" x14ac:dyDescent="0.25">
      <c r="C1244"/>
      <c r="F1244"/>
      <c r="G1244"/>
      <c r="H1244"/>
      <c r="L1244"/>
      <c r="O1244"/>
    </row>
    <row r="1245" spans="3:15" x14ac:dyDescent="0.25">
      <c r="C1245"/>
      <c r="F1245"/>
      <c r="G1245"/>
      <c r="H1245"/>
      <c r="L1245"/>
      <c r="O1245"/>
    </row>
    <row r="1246" spans="3:15" x14ac:dyDescent="0.25">
      <c r="C1246"/>
      <c r="F1246"/>
      <c r="G1246"/>
      <c r="H1246"/>
      <c r="L1246"/>
      <c r="O1246"/>
    </row>
    <row r="1247" spans="3:15" x14ac:dyDescent="0.25">
      <c r="C1247"/>
      <c r="F1247"/>
      <c r="G1247"/>
      <c r="H1247"/>
      <c r="L1247"/>
      <c r="O1247"/>
    </row>
    <row r="1248" spans="3:15" x14ac:dyDescent="0.25">
      <c r="C1248"/>
      <c r="F1248"/>
      <c r="G1248"/>
      <c r="H1248"/>
      <c r="L1248"/>
      <c r="O1248"/>
    </row>
    <row r="1249" spans="3:15" x14ac:dyDescent="0.25">
      <c r="C1249"/>
      <c r="F1249"/>
      <c r="G1249"/>
      <c r="H1249"/>
      <c r="L1249"/>
      <c r="O1249"/>
    </row>
    <row r="1250" spans="3:15" x14ac:dyDescent="0.25">
      <c r="C1250"/>
      <c r="F1250"/>
      <c r="G1250"/>
      <c r="H1250"/>
      <c r="L1250"/>
      <c r="O1250"/>
    </row>
    <row r="1251" spans="3:15" x14ac:dyDescent="0.25">
      <c r="C1251"/>
      <c r="F1251"/>
      <c r="G1251"/>
      <c r="H1251"/>
      <c r="L1251"/>
      <c r="O1251"/>
    </row>
    <row r="1252" spans="3:15" x14ac:dyDescent="0.25">
      <c r="C1252"/>
      <c r="F1252"/>
      <c r="G1252"/>
      <c r="H1252"/>
      <c r="L1252"/>
      <c r="O1252"/>
    </row>
    <row r="1253" spans="3:15" x14ac:dyDescent="0.25">
      <c r="C1253"/>
      <c r="F1253"/>
      <c r="G1253"/>
      <c r="H1253"/>
      <c r="L1253"/>
      <c r="O1253"/>
    </row>
    <row r="1254" spans="3:15" x14ac:dyDescent="0.25">
      <c r="C1254"/>
      <c r="F1254"/>
      <c r="G1254"/>
      <c r="H1254"/>
      <c r="L1254"/>
      <c r="O1254"/>
    </row>
    <row r="1255" spans="3:15" x14ac:dyDescent="0.25">
      <c r="C1255"/>
      <c r="F1255"/>
      <c r="G1255"/>
      <c r="H1255"/>
      <c r="L1255"/>
      <c r="O1255"/>
    </row>
    <row r="1256" spans="3:15" x14ac:dyDescent="0.25">
      <c r="C1256"/>
      <c r="F1256"/>
      <c r="G1256"/>
      <c r="H1256"/>
      <c r="L1256"/>
      <c r="O1256"/>
    </row>
    <row r="1257" spans="3:15" x14ac:dyDescent="0.25">
      <c r="C1257"/>
      <c r="F1257"/>
      <c r="G1257"/>
      <c r="H1257"/>
      <c r="L1257"/>
      <c r="O1257"/>
    </row>
    <row r="1258" spans="3:15" x14ac:dyDescent="0.25">
      <c r="C1258"/>
      <c r="F1258"/>
      <c r="G1258"/>
      <c r="H1258"/>
      <c r="L1258"/>
      <c r="O1258"/>
    </row>
    <row r="1259" spans="3:15" x14ac:dyDescent="0.25">
      <c r="C1259"/>
      <c r="F1259"/>
      <c r="G1259"/>
      <c r="H1259"/>
      <c r="L1259"/>
      <c r="O1259"/>
    </row>
    <row r="1260" spans="3:15" x14ac:dyDescent="0.25">
      <c r="C1260"/>
      <c r="F1260"/>
      <c r="G1260"/>
      <c r="H1260"/>
      <c r="L1260"/>
      <c r="O1260"/>
    </row>
    <row r="1261" spans="3:15" x14ac:dyDescent="0.25">
      <c r="C1261"/>
      <c r="F1261"/>
      <c r="G1261"/>
      <c r="H1261"/>
      <c r="L1261"/>
      <c r="O1261"/>
    </row>
    <row r="1262" spans="3:15" x14ac:dyDescent="0.25">
      <c r="C1262"/>
      <c r="F1262"/>
      <c r="G1262"/>
      <c r="H1262"/>
      <c r="L1262"/>
      <c r="O1262"/>
    </row>
    <row r="1263" spans="3:15" x14ac:dyDescent="0.25">
      <c r="C1263"/>
      <c r="F1263"/>
      <c r="G1263"/>
      <c r="H1263"/>
      <c r="L1263"/>
      <c r="O1263"/>
    </row>
    <row r="1264" spans="3:15" x14ac:dyDescent="0.25">
      <c r="C1264"/>
      <c r="F1264"/>
      <c r="G1264"/>
      <c r="H1264"/>
      <c r="L1264"/>
      <c r="O1264"/>
    </row>
    <row r="1265" spans="3:15" x14ac:dyDescent="0.25">
      <c r="C1265"/>
      <c r="F1265"/>
      <c r="G1265"/>
      <c r="H1265"/>
      <c r="L1265"/>
      <c r="O1265"/>
    </row>
    <row r="1266" spans="3:15" x14ac:dyDescent="0.25">
      <c r="C1266"/>
      <c r="F1266"/>
      <c r="G1266"/>
      <c r="H1266"/>
      <c r="L1266"/>
      <c r="O1266"/>
    </row>
    <row r="1267" spans="3:15" x14ac:dyDescent="0.25">
      <c r="C1267"/>
      <c r="F1267"/>
      <c r="G1267"/>
      <c r="H1267"/>
      <c r="L1267"/>
      <c r="O1267"/>
    </row>
    <row r="1268" spans="3:15" x14ac:dyDescent="0.25">
      <c r="C1268"/>
      <c r="F1268"/>
      <c r="G1268"/>
      <c r="H1268"/>
      <c r="L1268"/>
      <c r="O1268"/>
    </row>
    <row r="1269" spans="3:15" x14ac:dyDescent="0.25">
      <c r="C1269"/>
      <c r="F1269"/>
      <c r="G1269"/>
      <c r="H1269"/>
      <c r="L1269"/>
      <c r="O1269"/>
    </row>
    <row r="1270" spans="3:15" x14ac:dyDescent="0.25">
      <c r="C1270"/>
      <c r="F1270"/>
      <c r="G1270"/>
      <c r="H1270"/>
      <c r="L1270"/>
      <c r="O1270"/>
    </row>
    <row r="1271" spans="3:15" x14ac:dyDescent="0.25">
      <c r="C1271"/>
      <c r="F1271"/>
      <c r="G1271"/>
      <c r="H1271"/>
      <c r="L1271"/>
      <c r="O1271"/>
    </row>
    <row r="1272" spans="3:15" x14ac:dyDescent="0.25">
      <c r="C1272"/>
      <c r="F1272"/>
      <c r="G1272"/>
      <c r="H1272"/>
      <c r="L1272"/>
      <c r="O1272"/>
    </row>
    <row r="1273" spans="3:15" x14ac:dyDescent="0.25">
      <c r="C1273"/>
      <c r="F1273"/>
      <c r="G1273"/>
      <c r="H1273"/>
      <c r="L1273"/>
      <c r="O1273"/>
    </row>
    <row r="1274" spans="3:15" x14ac:dyDescent="0.25">
      <c r="C1274"/>
      <c r="F1274"/>
      <c r="G1274"/>
      <c r="H1274"/>
      <c r="L1274"/>
      <c r="O1274"/>
    </row>
    <row r="1275" spans="3:15" x14ac:dyDescent="0.25">
      <c r="C1275"/>
      <c r="F1275"/>
      <c r="G1275"/>
      <c r="H1275"/>
      <c r="L1275"/>
      <c r="O1275"/>
    </row>
    <row r="1276" spans="3:15" x14ac:dyDescent="0.25">
      <c r="C1276"/>
      <c r="F1276"/>
      <c r="G1276"/>
      <c r="H1276"/>
      <c r="L1276"/>
      <c r="O1276"/>
    </row>
    <row r="1277" spans="3:15" x14ac:dyDescent="0.25">
      <c r="C1277"/>
      <c r="F1277"/>
      <c r="G1277"/>
      <c r="H1277"/>
      <c r="L1277"/>
      <c r="O1277"/>
    </row>
    <row r="1278" spans="3:15" x14ac:dyDescent="0.25">
      <c r="C1278"/>
      <c r="F1278"/>
      <c r="G1278"/>
      <c r="H1278"/>
      <c r="L1278"/>
      <c r="O1278"/>
    </row>
    <row r="1279" spans="3:15" x14ac:dyDescent="0.25">
      <c r="C1279"/>
      <c r="F1279"/>
      <c r="G1279"/>
      <c r="H1279"/>
      <c r="L1279"/>
      <c r="O1279"/>
    </row>
    <row r="1280" spans="3:15" x14ac:dyDescent="0.25">
      <c r="C1280"/>
      <c r="F1280"/>
      <c r="G1280"/>
      <c r="H1280"/>
      <c r="L1280"/>
      <c r="O1280"/>
    </row>
    <row r="1281" spans="3:15" x14ac:dyDescent="0.25">
      <c r="C1281"/>
      <c r="F1281"/>
      <c r="G1281"/>
      <c r="H1281"/>
      <c r="L1281"/>
      <c r="O1281"/>
    </row>
    <row r="1282" spans="3:15" x14ac:dyDescent="0.25">
      <c r="C1282"/>
      <c r="F1282"/>
      <c r="G1282"/>
      <c r="H1282"/>
      <c r="L1282"/>
      <c r="O1282"/>
    </row>
    <row r="1283" spans="3:15" x14ac:dyDescent="0.25">
      <c r="C1283"/>
      <c r="F1283"/>
      <c r="G1283"/>
      <c r="H1283"/>
      <c r="L1283"/>
      <c r="O1283"/>
    </row>
    <row r="1284" spans="3:15" x14ac:dyDescent="0.25">
      <c r="C1284"/>
      <c r="F1284"/>
      <c r="G1284"/>
      <c r="H1284"/>
      <c r="L1284"/>
      <c r="O1284"/>
    </row>
    <row r="1285" spans="3:15" x14ac:dyDescent="0.25">
      <c r="C1285"/>
      <c r="F1285"/>
      <c r="G1285"/>
      <c r="H1285"/>
      <c r="L1285"/>
      <c r="O1285"/>
    </row>
    <row r="1286" spans="3:15" x14ac:dyDescent="0.25">
      <c r="C1286"/>
      <c r="F1286"/>
      <c r="G1286"/>
      <c r="H1286"/>
      <c r="L1286"/>
      <c r="O1286"/>
    </row>
    <row r="1287" spans="3:15" x14ac:dyDescent="0.25">
      <c r="C1287"/>
      <c r="F1287"/>
      <c r="G1287"/>
      <c r="H1287"/>
      <c r="L1287"/>
      <c r="O1287"/>
    </row>
    <row r="1288" spans="3:15" x14ac:dyDescent="0.25">
      <c r="C1288"/>
      <c r="F1288"/>
      <c r="G1288"/>
      <c r="H1288"/>
      <c r="L1288"/>
      <c r="O1288"/>
    </row>
    <row r="1289" spans="3:15" x14ac:dyDescent="0.25">
      <c r="C1289"/>
      <c r="F1289"/>
      <c r="G1289"/>
      <c r="H1289"/>
      <c r="L1289"/>
      <c r="O1289"/>
    </row>
    <row r="1290" spans="3:15" x14ac:dyDescent="0.25">
      <c r="C1290"/>
      <c r="F1290"/>
      <c r="G1290"/>
      <c r="H1290"/>
      <c r="L1290"/>
      <c r="O1290"/>
    </row>
    <row r="1291" spans="3:15" x14ac:dyDescent="0.25">
      <c r="C1291"/>
      <c r="F1291"/>
      <c r="G1291"/>
      <c r="H1291"/>
      <c r="L1291"/>
      <c r="O1291"/>
    </row>
    <row r="1292" spans="3:15" x14ac:dyDescent="0.25">
      <c r="C1292"/>
      <c r="F1292"/>
      <c r="G1292"/>
      <c r="H1292"/>
      <c r="L1292"/>
      <c r="O1292"/>
    </row>
    <row r="1293" spans="3:15" x14ac:dyDescent="0.25">
      <c r="C1293"/>
      <c r="F1293"/>
      <c r="G1293"/>
      <c r="H1293"/>
      <c r="L1293"/>
      <c r="O1293"/>
    </row>
    <row r="1294" spans="3:15" x14ac:dyDescent="0.25">
      <c r="C1294"/>
      <c r="F1294"/>
      <c r="G1294"/>
      <c r="H1294"/>
      <c r="L1294"/>
      <c r="O1294"/>
    </row>
    <row r="1295" spans="3:15" x14ac:dyDescent="0.25">
      <c r="C1295"/>
      <c r="F1295"/>
      <c r="G1295"/>
      <c r="H1295"/>
      <c r="L1295"/>
      <c r="O1295"/>
    </row>
    <row r="1296" spans="3:15" x14ac:dyDescent="0.25">
      <c r="C1296"/>
      <c r="F1296"/>
      <c r="G1296"/>
      <c r="H1296"/>
      <c r="L1296"/>
      <c r="O1296"/>
    </row>
    <row r="1297" spans="3:15" x14ac:dyDescent="0.25">
      <c r="C1297"/>
      <c r="F1297"/>
      <c r="G1297"/>
      <c r="H1297"/>
      <c r="L1297"/>
      <c r="O1297"/>
    </row>
    <row r="1298" spans="3:15" x14ac:dyDescent="0.25">
      <c r="C1298"/>
      <c r="F1298"/>
      <c r="G1298"/>
      <c r="H1298"/>
      <c r="L1298"/>
      <c r="O1298"/>
    </row>
    <row r="1299" spans="3:15" x14ac:dyDescent="0.25">
      <c r="C1299"/>
      <c r="F1299"/>
      <c r="G1299"/>
      <c r="H1299"/>
      <c r="L1299"/>
      <c r="O1299"/>
    </row>
    <row r="1300" spans="3:15" x14ac:dyDescent="0.25">
      <c r="C1300"/>
      <c r="F1300"/>
      <c r="G1300"/>
      <c r="H1300"/>
      <c r="L1300"/>
      <c r="O1300"/>
    </row>
    <row r="1301" spans="3:15" x14ac:dyDescent="0.25">
      <c r="C1301"/>
      <c r="F1301"/>
      <c r="G1301"/>
      <c r="H1301"/>
      <c r="L1301"/>
      <c r="O1301"/>
    </row>
    <row r="1302" spans="3:15" x14ac:dyDescent="0.25">
      <c r="C1302"/>
      <c r="F1302"/>
      <c r="G1302"/>
      <c r="H1302"/>
      <c r="L1302"/>
      <c r="O1302"/>
    </row>
    <row r="1303" spans="3:15" x14ac:dyDescent="0.25">
      <c r="C1303"/>
      <c r="F1303"/>
      <c r="G1303"/>
      <c r="H1303"/>
      <c r="L1303"/>
      <c r="O1303"/>
    </row>
    <row r="1304" spans="3:15" x14ac:dyDescent="0.25">
      <c r="C1304"/>
      <c r="F1304"/>
      <c r="G1304"/>
      <c r="H1304"/>
      <c r="L1304"/>
      <c r="O1304"/>
    </row>
    <row r="1305" spans="3:15" x14ac:dyDescent="0.25">
      <c r="C1305"/>
      <c r="F1305"/>
      <c r="G1305"/>
      <c r="H1305"/>
      <c r="L1305"/>
      <c r="O1305"/>
    </row>
    <row r="1306" spans="3:15" x14ac:dyDescent="0.25">
      <c r="C1306"/>
      <c r="F1306"/>
      <c r="G1306"/>
      <c r="H1306"/>
      <c r="L1306"/>
      <c r="O1306"/>
    </row>
    <row r="1307" spans="3:15" x14ac:dyDescent="0.25">
      <c r="C1307"/>
      <c r="F1307"/>
      <c r="G1307"/>
      <c r="H1307"/>
      <c r="L1307"/>
      <c r="O1307"/>
    </row>
    <row r="1308" spans="3:15" x14ac:dyDescent="0.25">
      <c r="C1308"/>
      <c r="F1308"/>
      <c r="G1308"/>
      <c r="H1308"/>
      <c r="L1308"/>
      <c r="O1308"/>
    </row>
    <row r="1309" spans="3:15" x14ac:dyDescent="0.25">
      <c r="C1309"/>
      <c r="F1309"/>
      <c r="G1309"/>
      <c r="H1309"/>
      <c r="L1309"/>
      <c r="O1309"/>
    </row>
    <row r="1310" spans="3:15" x14ac:dyDescent="0.25">
      <c r="C1310"/>
      <c r="F1310"/>
      <c r="G1310"/>
      <c r="H1310"/>
      <c r="L1310"/>
      <c r="O1310"/>
    </row>
    <row r="1311" spans="3:15" x14ac:dyDescent="0.25">
      <c r="C1311"/>
      <c r="F1311"/>
      <c r="G1311"/>
      <c r="H1311"/>
      <c r="L1311"/>
      <c r="O1311"/>
    </row>
    <row r="1312" spans="3:15" x14ac:dyDescent="0.25">
      <c r="C1312"/>
      <c r="F1312"/>
      <c r="G1312"/>
      <c r="H1312"/>
      <c r="L1312"/>
      <c r="O1312"/>
    </row>
    <row r="1313" spans="3:15" x14ac:dyDescent="0.25">
      <c r="C1313"/>
      <c r="F1313"/>
      <c r="G1313"/>
      <c r="H1313"/>
      <c r="L1313"/>
      <c r="O1313"/>
    </row>
    <row r="1314" spans="3:15" x14ac:dyDescent="0.25">
      <c r="C1314"/>
      <c r="F1314"/>
      <c r="G1314"/>
      <c r="H1314"/>
      <c r="L1314"/>
      <c r="O1314"/>
    </row>
    <row r="1315" spans="3:15" x14ac:dyDescent="0.25">
      <c r="C1315"/>
      <c r="F1315"/>
      <c r="G1315"/>
      <c r="H1315"/>
      <c r="L1315"/>
      <c r="O1315"/>
    </row>
    <row r="1316" spans="3:15" x14ac:dyDescent="0.25">
      <c r="C1316"/>
      <c r="F1316"/>
      <c r="G1316"/>
      <c r="H1316"/>
      <c r="L1316"/>
      <c r="O1316"/>
    </row>
    <row r="1317" spans="3:15" x14ac:dyDescent="0.25">
      <c r="C1317"/>
      <c r="F1317"/>
      <c r="G1317"/>
      <c r="H1317"/>
      <c r="L1317"/>
      <c r="O1317"/>
    </row>
    <row r="1318" spans="3:15" x14ac:dyDescent="0.25">
      <c r="C1318"/>
      <c r="F1318"/>
      <c r="G1318"/>
      <c r="H1318"/>
      <c r="L1318"/>
      <c r="O1318"/>
    </row>
    <row r="1319" spans="3:15" x14ac:dyDescent="0.25">
      <c r="C1319"/>
      <c r="F1319"/>
      <c r="G1319"/>
      <c r="H1319"/>
      <c r="L1319"/>
      <c r="O1319"/>
    </row>
    <row r="1320" spans="3:15" x14ac:dyDescent="0.25">
      <c r="C1320"/>
      <c r="F1320"/>
      <c r="G1320"/>
      <c r="H1320"/>
      <c r="L1320"/>
      <c r="O1320"/>
    </row>
    <row r="1321" spans="3:15" x14ac:dyDescent="0.25">
      <c r="C1321"/>
      <c r="F1321"/>
      <c r="G1321"/>
      <c r="H1321"/>
      <c r="L1321"/>
      <c r="O1321"/>
    </row>
    <row r="1322" spans="3:15" x14ac:dyDescent="0.25">
      <c r="C1322"/>
      <c r="F1322"/>
      <c r="G1322"/>
      <c r="H1322"/>
      <c r="L1322"/>
      <c r="O1322"/>
    </row>
    <row r="1323" spans="3:15" x14ac:dyDescent="0.25">
      <c r="C1323"/>
      <c r="F1323"/>
      <c r="G1323"/>
      <c r="H1323"/>
      <c r="L1323"/>
      <c r="O1323"/>
    </row>
    <row r="1324" spans="3:15" x14ac:dyDescent="0.25">
      <c r="C1324"/>
      <c r="F1324"/>
      <c r="G1324"/>
      <c r="H1324"/>
      <c r="L1324"/>
      <c r="O1324"/>
    </row>
    <row r="1325" spans="3:15" x14ac:dyDescent="0.25">
      <c r="C1325"/>
      <c r="F1325"/>
      <c r="G1325"/>
      <c r="H1325"/>
      <c r="L1325"/>
      <c r="O1325"/>
    </row>
    <row r="1326" spans="3:15" x14ac:dyDescent="0.25">
      <c r="C1326"/>
      <c r="F1326"/>
      <c r="G1326"/>
      <c r="H1326"/>
      <c r="L1326"/>
      <c r="O1326"/>
    </row>
    <row r="1327" spans="3:15" x14ac:dyDescent="0.25">
      <c r="C1327"/>
      <c r="F1327"/>
      <c r="G1327"/>
      <c r="H1327"/>
      <c r="L1327"/>
      <c r="O1327"/>
    </row>
    <row r="1328" spans="3:15" x14ac:dyDescent="0.25">
      <c r="C1328"/>
      <c r="F1328"/>
      <c r="G1328"/>
      <c r="H1328"/>
      <c r="L1328"/>
      <c r="O1328"/>
    </row>
    <row r="1329" spans="3:15" x14ac:dyDescent="0.25">
      <c r="C1329"/>
      <c r="F1329"/>
      <c r="G1329"/>
      <c r="H1329"/>
      <c r="L1329"/>
      <c r="O1329"/>
    </row>
    <row r="1330" spans="3:15" x14ac:dyDescent="0.25">
      <c r="C1330"/>
      <c r="F1330"/>
      <c r="G1330"/>
      <c r="H1330"/>
      <c r="L1330"/>
      <c r="O1330"/>
    </row>
    <row r="1331" spans="3:15" x14ac:dyDescent="0.25">
      <c r="C1331"/>
      <c r="F1331"/>
      <c r="G1331"/>
      <c r="H1331"/>
      <c r="L1331"/>
      <c r="O1331"/>
    </row>
    <row r="1332" spans="3:15" x14ac:dyDescent="0.25">
      <c r="C1332"/>
      <c r="F1332"/>
      <c r="G1332"/>
      <c r="H1332"/>
      <c r="L1332"/>
      <c r="O1332"/>
    </row>
    <row r="1333" spans="3:15" x14ac:dyDescent="0.25">
      <c r="C1333"/>
      <c r="F1333"/>
      <c r="G1333"/>
      <c r="H1333"/>
      <c r="L1333"/>
      <c r="O1333"/>
    </row>
    <row r="1334" spans="3:15" x14ac:dyDescent="0.25">
      <c r="C1334"/>
      <c r="F1334"/>
      <c r="G1334"/>
      <c r="H1334"/>
      <c r="L1334"/>
      <c r="O1334"/>
    </row>
    <row r="1335" spans="3:15" x14ac:dyDescent="0.25">
      <c r="C1335"/>
      <c r="F1335"/>
      <c r="G1335"/>
      <c r="H1335"/>
      <c r="L1335"/>
      <c r="O1335"/>
    </row>
    <row r="1336" spans="3:15" x14ac:dyDescent="0.25">
      <c r="C1336"/>
      <c r="F1336"/>
      <c r="G1336"/>
      <c r="H1336"/>
      <c r="L1336"/>
      <c r="O1336"/>
    </row>
    <row r="1337" spans="3:15" x14ac:dyDescent="0.25">
      <c r="C1337"/>
      <c r="F1337"/>
      <c r="G1337"/>
      <c r="H1337"/>
      <c r="L1337"/>
      <c r="O1337"/>
    </row>
    <row r="1338" spans="3:15" x14ac:dyDescent="0.25">
      <c r="C1338"/>
      <c r="F1338"/>
      <c r="G1338"/>
      <c r="H1338"/>
      <c r="L1338"/>
      <c r="O1338"/>
    </row>
    <row r="1339" spans="3:15" x14ac:dyDescent="0.25">
      <c r="C1339"/>
      <c r="F1339"/>
      <c r="G1339"/>
      <c r="H1339"/>
      <c r="L1339"/>
      <c r="O1339"/>
    </row>
    <row r="1340" spans="3:15" x14ac:dyDescent="0.25">
      <c r="C1340"/>
      <c r="F1340"/>
      <c r="G1340"/>
      <c r="H1340"/>
      <c r="L1340"/>
      <c r="O1340"/>
    </row>
    <row r="1341" spans="3:15" x14ac:dyDescent="0.25">
      <c r="C1341"/>
      <c r="F1341"/>
      <c r="G1341"/>
      <c r="H1341"/>
      <c r="L1341"/>
      <c r="O1341"/>
    </row>
    <row r="1342" spans="3:15" x14ac:dyDescent="0.25">
      <c r="C1342"/>
      <c r="F1342"/>
      <c r="G1342"/>
      <c r="H1342"/>
      <c r="L1342"/>
      <c r="O1342"/>
    </row>
    <row r="1343" spans="3:15" x14ac:dyDescent="0.25">
      <c r="C1343"/>
      <c r="F1343"/>
      <c r="G1343"/>
      <c r="H1343"/>
      <c r="L1343"/>
      <c r="O1343"/>
    </row>
    <row r="1344" spans="3:15" x14ac:dyDescent="0.25">
      <c r="C1344"/>
      <c r="F1344"/>
      <c r="G1344"/>
      <c r="H1344"/>
      <c r="L1344"/>
      <c r="O1344"/>
    </row>
    <row r="1345" spans="3:15" x14ac:dyDescent="0.25">
      <c r="C1345"/>
      <c r="F1345"/>
      <c r="G1345"/>
      <c r="H1345"/>
      <c r="L1345"/>
      <c r="O1345"/>
    </row>
    <row r="1346" spans="3:15" x14ac:dyDescent="0.25">
      <c r="C1346"/>
      <c r="F1346"/>
      <c r="G1346"/>
      <c r="H1346"/>
      <c r="L1346"/>
      <c r="O1346"/>
    </row>
    <row r="1347" spans="3:15" x14ac:dyDescent="0.25">
      <c r="C1347"/>
      <c r="F1347"/>
      <c r="G1347"/>
      <c r="H1347"/>
      <c r="L1347"/>
      <c r="O1347"/>
    </row>
    <row r="1348" spans="3:15" x14ac:dyDescent="0.25">
      <c r="C1348"/>
      <c r="F1348"/>
      <c r="G1348"/>
      <c r="H1348"/>
      <c r="L1348"/>
      <c r="O1348"/>
    </row>
    <row r="1349" spans="3:15" x14ac:dyDescent="0.25">
      <c r="C1349"/>
      <c r="F1349"/>
      <c r="G1349"/>
      <c r="H1349"/>
      <c r="L1349"/>
      <c r="O1349"/>
    </row>
    <row r="1350" spans="3:15" x14ac:dyDescent="0.25">
      <c r="C1350"/>
      <c r="F1350"/>
      <c r="G1350"/>
      <c r="H1350"/>
      <c r="L1350"/>
      <c r="O1350"/>
    </row>
    <row r="1351" spans="3:15" x14ac:dyDescent="0.25">
      <c r="C1351"/>
      <c r="F1351"/>
      <c r="G1351"/>
      <c r="H1351"/>
      <c r="L1351"/>
      <c r="O1351"/>
    </row>
    <row r="1352" spans="3:15" x14ac:dyDescent="0.25">
      <c r="C1352"/>
      <c r="F1352"/>
      <c r="G1352"/>
      <c r="H1352"/>
      <c r="L1352"/>
      <c r="O1352"/>
    </row>
    <row r="1353" spans="3:15" x14ac:dyDescent="0.25">
      <c r="C1353"/>
      <c r="F1353"/>
      <c r="G1353"/>
      <c r="H1353"/>
      <c r="L1353"/>
      <c r="O1353"/>
    </row>
    <row r="1354" spans="3:15" x14ac:dyDescent="0.25">
      <c r="C1354"/>
      <c r="F1354"/>
      <c r="G1354"/>
      <c r="H1354"/>
      <c r="L1354"/>
      <c r="O1354"/>
    </row>
    <row r="1355" spans="3:15" x14ac:dyDescent="0.25">
      <c r="C1355"/>
      <c r="F1355"/>
      <c r="G1355"/>
      <c r="H1355"/>
      <c r="L1355"/>
      <c r="O1355"/>
    </row>
    <row r="1356" spans="3:15" x14ac:dyDescent="0.25">
      <c r="C1356"/>
      <c r="F1356"/>
      <c r="G1356"/>
      <c r="H1356"/>
      <c r="L1356"/>
      <c r="O1356"/>
    </row>
    <row r="1357" spans="3:15" x14ac:dyDescent="0.25">
      <c r="C1357"/>
      <c r="F1357"/>
      <c r="G1357"/>
      <c r="H1357"/>
      <c r="L1357"/>
      <c r="O1357"/>
    </row>
    <row r="1358" spans="3:15" x14ac:dyDescent="0.25">
      <c r="C1358"/>
      <c r="F1358"/>
      <c r="G1358"/>
      <c r="H1358"/>
      <c r="L1358"/>
      <c r="O1358"/>
    </row>
    <row r="1359" spans="3:15" x14ac:dyDescent="0.25">
      <c r="C1359"/>
      <c r="F1359"/>
      <c r="G1359"/>
      <c r="H1359"/>
      <c r="L1359"/>
      <c r="O1359"/>
    </row>
    <row r="1360" spans="3:15" x14ac:dyDescent="0.25">
      <c r="C1360"/>
      <c r="F1360"/>
      <c r="G1360"/>
      <c r="H1360"/>
      <c r="L1360"/>
      <c r="O1360"/>
    </row>
    <row r="1361" spans="3:15" x14ac:dyDescent="0.25">
      <c r="C1361"/>
      <c r="F1361"/>
      <c r="G1361"/>
      <c r="H1361"/>
      <c r="L1361"/>
      <c r="O1361"/>
    </row>
    <row r="1362" spans="3:15" x14ac:dyDescent="0.25">
      <c r="C1362"/>
      <c r="F1362"/>
      <c r="G1362"/>
      <c r="H1362"/>
      <c r="L1362"/>
      <c r="O1362"/>
    </row>
    <row r="1363" spans="3:15" x14ac:dyDescent="0.25">
      <c r="C1363"/>
      <c r="F1363"/>
      <c r="G1363"/>
      <c r="H1363"/>
      <c r="L1363"/>
      <c r="O1363"/>
    </row>
    <row r="1364" spans="3:15" x14ac:dyDescent="0.25">
      <c r="C1364"/>
      <c r="F1364"/>
      <c r="G1364"/>
      <c r="H1364"/>
      <c r="L1364"/>
      <c r="O1364"/>
    </row>
    <row r="1365" spans="3:15" x14ac:dyDescent="0.25">
      <c r="C1365"/>
      <c r="F1365"/>
      <c r="G1365"/>
      <c r="H1365"/>
      <c r="L1365"/>
      <c r="O1365"/>
    </row>
    <row r="1366" spans="3:15" x14ac:dyDescent="0.25">
      <c r="C1366"/>
      <c r="F1366"/>
      <c r="G1366"/>
      <c r="H1366"/>
      <c r="L1366"/>
      <c r="O1366"/>
    </row>
    <row r="1367" spans="3:15" x14ac:dyDescent="0.25">
      <c r="C1367"/>
      <c r="F1367"/>
      <c r="G1367"/>
      <c r="H1367"/>
      <c r="L1367"/>
      <c r="O1367"/>
    </row>
    <row r="1368" spans="3:15" x14ac:dyDescent="0.25">
      <c r="C1368"/>
      <c r="F1368"/>
      <c r="G1368"/>
      <c r="H1368"/>
      <c r="L1368"/>
      <c r="O1368"/>
    </row>
    <row r="1369" spans="3:15" x14ac:dyDescent="0.25">
      <c r="C1369"/>
      <c r="F1369"/>
      <c r="G1369"/>
      <c r="H1369"/>
      <c r="L1369"/>
      <c r="O1369"/>
    </row>
    <row r="1370" spans="3:15" x14ac:dyDescent="0.25">
      <c r="C1370"/>
      <c r="F1370"/>
      <c r="G1370"/>
      <c r="H1370"/>
      <c r="L1370"/>
      <c r="O1370"/>
    </row>
    <row r="1371" spans="3:15" x14ac:dyDescent="0.25">
      <c r="C1371"/>
      <c r="F1371"/>
      <c r="G1371"/>
      <c r="H1371"/>
      <c r="L1371"/>
      <c r="O1371"/>
    </row>
    <row r="1372" spans="3:15" x14ac:dyDescent="0.25">
      <c r="C1372"/>
      <c r="F1372"/>
      <c r="G1372"/>
      <c r="H1372"/>
      <c r="L1372"/>
      <c r="O1372"/>
    </row>
    <row r="1373" spans="3:15" x14ac:dyDescent="0.25">
      <c r="C1373"/>
      <c r="F1373"/>
      <c r="G1373"/>
      <c r="H1373"/>
      <c r="L1373"/>
      <c r="O1373"/>
    </row>
    <row r="1374" spans="3:15" x14ac:dyDescent="0.25">
      <c r="C1374"/>
      <c r="F1374"/>
      <c r="G1374"/>
      <c r="H1374"/>
      <c r="L1374"/>
      <c r="O1374"/>
    </row>
    <row r="1375" spans="3:15" x14ac:dyDescent="0.25">
      <c r="C1375"/>
      <c r="F1375"/>
      <c r="G1375"/>
      <c r="H1375"/>
      <c r="L1375"/>
      <c r="O1375"/>
    </row>
    <row r="1376" spans="3:15" x14ac:dyDescent="0.25">
      <c r="C1376"/>
      <c r="F1376"/>
      <c r="G1376"/>
      <c r="H1376"/>
      <c r="L1376"/>
      <c r="O1376"/>
    </row>
    <row r="1377" spans="3:15" x14ac:dyDescent="0.25">
      <c r="C1377"/>
      <c r="F1377"/>
      <c r="G1377"/>
      <c r="H1377"/>
      <c r="L1377"/>
      <c r="O1377"/>
    </row>
    <row r="1378" spans="3:15" x14ac:dyDescent="0.25">
      <c r="C1378"/>
      <c r="F1378"/>
      <c r="G1378"/>
      <c r="H1378"/>
      <c r="L1378"/>
      <c r="O1378"/>
    </row>
    <row r="1379" spans="3:15" x14ac:dyDescent="0.25">
      <c r="C1379"/>
      <c r="F1379"/>
      <c r="G1379"/>
      <c r="H1379"/>
      <c r="L1379"/>
      <c r="O1379"/>
    </row>
    <row r="1380" spans="3:15" x14ac:dyDescent="0.25">
      <c r="C1380"/>
      <c r="F1380"/>
      <c r="G1380"/>
      <c r="H1380"/>
      <c r="L1380"/>
      <c r="O1380"/>
    </row>
    <row r="1381" spans="3:15" x14ac:dyDescent="0.25">
      <c r="C1381"/>
      <c r="F1381"/>
      <c r="G1381"/>
      <c r="H1381"/>
      <c r="L1381"/>
      <c r="O1381"/>
    </row>
    <row r="1382" spans="3:15" x14ac:dyDescent="0.25">
      <c r="C1382"/>
      <c r="F1382"/>
      <c r="G1382"/>
      <c r="H1382"/>
      <c r="L1382"/>
      <c r="O1382"/>
    </row>
    <row r="1383" spans="3:15" x14ac:dyDescent="0.25">
      <c r="C1383"/>
      <c r="F1383"/>
      <c r="G1383"/>
      <c r="H1383"/>
      <c r="L1383"/>
      <c r="O1383"/>
    </row>
    <row r="1384" spans="3:15" x14ac:dyDescent="0.25">
      <c r="C1384"/>
      <c r="F1384"/>
      <c r="G1384"/>
      <c r="H1384"/>
      <c r="L1384"/>
      <c r="O1384"/>
    </row>
    <row r="1385" spans="3:15" x14ac:dyDescent="0.25">
      <c r="C1385"/>
      <c r="F1385"/>
      <c r="G1385"/>
      <c r="H1385"/>
      <c r="L1385"/>
      <c r="O1385"/>
    </row>
    <row r="1386" spans="3:15" x14ac:dyDescent="0.25">
      <c r="C1386"/>
      <c r="F1386"/>
      <c r="G1386"/>
      <c r="H1386"/>
      <c r="L1386"/>
      <c r="O1386"/>
    </row>
    <row r="1387" spans="3:15" x14ac:dyDescent="0.25">
      <c r="C1387"/>
      <c r="F1387"/>
      <c r="G1387"/>
      <c r="H1387"/>
      <c r="L1387"/>
      <c r="O1387"/>
    </row>
    <row r="1388" spans="3:15" x14ac:dyDescent="0.25">
      <c r="C1388"/>
      <c r="F1388"/>
      <c r="G1388"/>
      <c r="H1388"/>
      <c r="L1388"/>
      <c r="O1388"/>
    </row>
    <row r="1389" spans="3:15" x14ac:dyDescent="0.25">
      <c r="C1389"/>
      <c r="F1389"/>
      <c r="G1389"/>
      <c r="H1389"/>
      <c r="L1389"/>
      <c r="O1389"/>
    </row>
    <row r="1390" spans="3:15" x14ac:dyDescent="0.25">
      <c r="C1390"/>
      <c r="F1390"/>
      <c r="G1390"/>
      <c r="H1390"/>
      <c r="L1390"/>
      <c r="O1390"/>
    </row>
    <row r="1391" spans="3:15" x14ac:dyDescent="0.25">
      <c r="C1391"/>
      <c r="F1391"/>
      <c r="G1391"/>
      <c r="H1391"/>
      <c r="L1391"/>
      <c r="O1391"/>
    </row>
    <row r="1392" spans="3:15" x14ac:dyDescent="0.25">
      <c r="C1392"/>
      <c r="F1392"/>
      <c r="G1392"/>
      <c r="H1392"/>
      <c r="L1392"/>
      <c r="O1392"/>
    </row>
    <row r="1393" spans="3:15" x14ac:dyDescent="0.25">
      <c r="C1393"/>
      <c r="F1393"/>
      <c r="G1393"/>
      <c r="H1393"/>
      <c r="L1393"/>
      <c r="O1393"/>
    </row>
    <row r="1394" spans="3:15" x14ac:dyDescent="0.25">
      <c r="C1394"/>
      <c r="F1394"/>
      <c r="G1394"/>
      <c r="H1394"/>
      <c r="L1394"/>
      <c r="O1394"/>
    </row>
    <row r="1395" spans="3:15" x14ac:dyDescent="0.25">
      <c r="C1395"/>
      <c r="F1395"/>
      <c r="G1395"/>
      <c r="H1395"/>
      <c r="L1395"/>
      <c r="O1395"/>
    </row>
    <row r="1396" spans="3:15" x14ac:dyDescent="0.25">
      <c r="C1396"/>
      <c r="F1396"/>
      <c r="G1396"/>
      <c r="H1396"/>
      <c r="L1396"/>
      <c r="O1396"/>
    </row>
    <row r="1397" spans="3:15" x14ac:dyDescent="0.25">
      <c r="C1397"/>
      <c r="F1397"/>
      <c r="G1397"/>
      <c r="H1397"/>
      <c r="L1397"/>
      <c r="O1397"/>
    </row>
    <row r="1398" spans="3:15" x14ac:dyDescent="0.25">
      <c r="C1398"/>
      <c r="F1398"/>
      <c r="G1398"/>
      <c r="H1398"/>
      <c r="L1398"/>
      <c r="O1398"/>
    </row>
    <row r="1399" spans="3:15" x14ac:dyDescent="0.25">
      <c r="C1399"/>
      <c r="F1399"/>
      <c r="G1399"/>
      <c r="H1399"/>
      <c r="L1399"/>
      <c r="O1399"/>
    </row>
    <row r="1400" spans="3:15" x14ac:dyDescent="0.25">
      <c r="C1400"/>
      <c r="F1400"/>
      <c r="G1400"/>
      <c r="H1400"/>
      <c r="L1400"/>
      <c r="O1400"/>
    </row>
    <row r="1401" spans="3:15" x14ac:dyDescent="0.25">
      <c r="C1401"/>
      <c r="F1401"/>
      <c r="G1401"/>
      <c r="H1401"/>
      <c r="L1401"/>
      <c r="O1401"/>
    </row>
    <row r="1402" spans="3:15" x14ac:dyDescent="0.25">
      <c r="C1402"/>
      <c r="F1402"/>
      <c r="G1402"/>
      <c r="H1402"/>
      <c r="L1402"/>
      <c r="O1402"/>
    </row>
    <row r="1403" spans="3:15" x14ac:dyDescent="0.25">
      <c r="C1403"/>
      <c r="F1403"/>
      <c r="G1403"/>
      <c r="H1403"/>
      <c r="L1403"/>
      <c r="O1403"/>
    </row>
    <row r="1404" spans="3:15" x14ac:dyDescent="0.25">
      <c r="C1404"/>
      <c r="F1404"/>
      <c r="G1404"/>
      <c r="H1404"/>
      <c r="L1404"/>
      <c r="O1404"/>
    </row>
    <row r="1405" spans="3:15" x14ac:dyDescent="0.25">
      <c r="C1405"/>
      <c r="F1405"/>
      <c r="G1405"/>
      <c r="H1405"/>
      <c r="L1405"/>
      <c r="O1405"/>
    </row>
    <row r="1406" spans="3:15" x14ac:dyDescent="0.25">
      <c r="C1406"/>
      <c r="F1406"/>
      <c r="G1406"/>
      <c r="H1406"/>
      <c r="L1406"/>
      <c r="O1406"/>
    </row>
    <row r="1407" spans="3:15" x14ac:dyDescent="0.25">
      <c r="C1407"/>
      <c r="F1407"/>
      <c r="G1407"/>
      <c r="H1407"/>
      <c r="L1407"/>
      <c r="O1407"/>
    </row>
    <row r="1408" spans="3:15" x14ac:dyDescent="0.25">
      <c r="C1408"/>
      <c r="F1408"/>
      <c r="G1408"/>
      <c r="H1408"/>
      <c r="L1408"/>
      <c r="O1408"/>
    </row>
    <row r="1409" spans="3:15" x14ac:dyDescent="0.25">
      <c r="C1409"/>
      <c r="F1409"/>
      <c r="G1409"/>
      <c r="H1409"/>
      <c r="L1409"/>
      <c r="O1409"/>
    </row>
    <row r="1410" spans="3:15" x14ac:dyDescent="0.25">
      <c r="C1410"/>
      <c r="F1410"/>
      <c r="G1410"/>
      <c r="H1410"/>
      <c r="L1410"/>
      <c r="O1410"/>
    </row>
    <row r="1411" spans="3:15" x14ac:dyDescent="0.25">
      <c r="C1411"/>
      <c r="F1411"/>
      <c r="G1411"/>
      <c r="H1411"/>
      <c r="L1411"/>
      <c r="O1411"/>
    </row>
    <row r="1412" spans="3:15" x14ac:dyDescent="0.25">
      <c r="C1412"/>
      <c r="F1412"/>
      <c r="G1412"/>
      <c r="H1412"/>
      <c r="L1412"/>
      <c r="O1412"/>
    </row>
    <row r="1413" spans="3:15" x14ac:dyDescent="0.25">
      <c r="C1413"/>
      <c r="F1413"/>
      <c r="G1413"/>
      <c r="H1413"/>
      <c r="L1413"/>
      <c r="O1413"/>
    </row>
    <row r="1414" spans="3:15" x14ac:dyDescent="0.25">
      <c r="C1414"/>
      <c r="F1414"/>
      <c r="G1414"/>
      <c r="H1414"/>
      <c r="L1414"/>
      <c r="O1414"/>
    </row>
    <row r="1415" spans="3:15" x14ac:dyDescent="0.25">
      <c r="C1415"/>
      <c r="F1415"/>
      <c r="G1415"/>
      <c r="H1415"/>
      <c r="L1415"/>
      <c r="O1415"/>
    </row>
    <row r="1416" spans="3:15" x14ac:dyDescent="0.25">
      <c r="C1416"/>
      <c r="F1416"/>
      <c r="G1416"/>
      <c r="H1416"/>
      <c r="L1416"/>
      <c r="O1416"/>
    </row>
    <row r="1417" spans="3:15" x14ac:dyDescent="0.25">
      <c r="C1417"/>
      <c r="F1417"/>
      <c r="G1417"/>
      <c r="H1417"/>
      <c r="L1417"/>
      <c r="O1417"/>
    </row>
    <row r="1418" spans="3:15" x14ac:dyDescent="0.25">
      <c r="C1418"/>
      <c r="F1418"/>
      <c r="G1418"/>
      <c r="H1418"/>
      <c r="L1418"/>
      <c r="O1418"/>
    </row>
    <row r="1419" spans="3:15" x14ac:dyDescent="0.25">
      <c r="C1419"/>
      <c r="F1419"/>
      <c r="G1419"/>
      <c r="H1419"/>
      <c r="L1419"/>
      <c r="O1419"/>
    </row>
    <row r="1420" spans="3:15" x14ac:dyDescent="0.25">
      <c r="C1420"/>
      <c r="F1420"/>
      <c r="G1420"/>
      <c r="H1420"/>
      <c r="L1420"/>
      <c r="O1420"/>
    </row>
    <row r="1421" spans="3:15" x14ac:dyDescent="0.25">
      <c r="C1421"/>
      <c r="F1421"/>
      <c r="G1421"/>
      <c r="H1421"/>
      <c r="L1421"/>
      <c r="O1421"/>
    </row>
    <row r="1422" spans="3:15" x14ac:dyDescent="0.25">
      <c r="C1422"/>
      <c r="F1422"/>
      <c r="G1422"/>
      <c r="H1422"/>
      <c r="L1422"/>
      <c r="O1422"/>
    </row>
    <row r="1423" spans="3:15" x14ac:dyDescent="0.25">
      <c r="C1423"/>
      <c r="F1423"/>
      <c r="G1423"/>
      <c r="H1423"/>
      <c r="L1423"/>
      <c r="O1423"/>
    </row>
    <row r="1424" spans="3:15" x14ac:dyDescent="0.25">
      <c r="C1424"/>
      <c r="F1424"/>
      <c r="G1424"/>
      <c r="H1424"/>
      <c r="L1424"/>
      <c r="O1424"/>
    </row>
    <row r="1425" spans="3:15" x14ac:dyDescent="0.25">
      <c r="C1425"/>
      <c r="F1425"/>
      <c r="G1425"/>
      <c r="H1425"/>
      <c r="L1425"/>
      <c r="O1425"/>
    </row>
    <row r="1426" spans="3:15" x14ac:dyDescent="0.25">
      <c r="C1426"/>
      <c r="F1426"/>
      <c r="G1426"/>
      <c r="H1426"/>
      <c r="L1426"/>
      <c r="O1426"/>
    </row>
    <row r="1427" spans="3:15" x14ac:dyDescent="0.25">
      <c r="C1427"/>
      <c r="F1427"/>
      <c r="G1427"/>
      <c r="H1427"/>
      <c r="L1427"/>
      <c r="O1427"/>
    </row>
    <row r="1428" spans="3:15" x14ac:dyDescent="0.25">
      <c r="C1428"/>
      <c r="F1428"/>
      <c r="G1428"/>
      <c r="H1428"/>
      <c r="L1428"/>
      <c r="O1428"/>
    </row>
    <row r="1429" spans="3:15" x14ac:dyDescent="0.25">
      <c r="C1429"/>
      <c r="F1429"/>
      <c r="G1429"/>
      <c r="H1429"/>
      <c r="L1429"/>
      <c r="O1429"/>
    </row>
    <row r="1430" spans="3:15" x14ac:dyDescent="0.25">
      <c r="C1430"/>
      <c r="F1430"/>
      <c r="G1430"/>
      <c r="H1430"/>
      <c r="L1430"/>
      <c r="O1430"/>
    </row>
    <row r="1431" spans="3:15" x14ac:dyDescent="0.25">
      <c r="C1431"/>
      <c r="F1431"/>
      <c r="G1431"/>
      <c r="H1431"/>
      <c r="L1431"/>
      <c r="O1431"/>
    </row>
    <row r="1432" spans="3:15" x14ac:dyDescent="0.25">
      <c r="C1432"/>
      <c r="F1432"/>
      <c r="G1432"/>
      <c r="H1432"/>
      <c r="L1432"/>
      <c r="O1432"/>
    </row>
    <row r="1433" spans="3:15" x14ac:dyDescent="0.25">
      <c r="C1433"/>
      <c r="F1433"/>
      <c r="G1433"/>
      <c r="H1433"/>
      <c r="L1433"/>
      <c r="O1433"/>
    </row>
    <row r="1434" spans="3:15" x14ac:dyDescent="0.25">
      <c r="C1434"/>
      <c r="F1434"/>
      <c r="G1434"/>
      <c r="H1434"/>
      <c r="L1434"/>
      <c r="O1434"/>
    </row>
    <row r="1435" spans="3:15" x14ac:dyDescent="0.25">
      <c r="C1435"/>
      <c r="F1435"/>
      <c r="G1435"/>
      <c r="H1435"/>
      <c r="L1435"/>
      <c r="O1435"/>
    </row>
    <row r="1436" spans="3:15" x14ac:dyDescent="0.25">
      <c r="C1436"/>
      <c r="F1436"/>
      <c r="G1436"/>
      <c r="H1436"/>
      <c r="L1436"/>
      <c r="O1436"/>
    </row>
    <row r="1437" spans="3:15" x14ac:dyDescent="0.25">
      <c r="C1437"/>
      <c r="F1437"/>
      <c r="G1437"/>
      <c r="H1437"/>
      <c r="L1437"/>
      <c r="O1437"/>
    </row>
    <row r="1438" spans="3:15" x14ac:dyDescent="0.25">
      <c r="C1438"/>
      <c r="F1438"/>
      <c r="G1438"/>
      <c r="H1438"/>
      <c r="L1438"/>
      <c r="O1438"/>
    </row>
    <row r="1439" spans="3:15" x14ac:dyDescent="0.25">
      <c r="C1439"/>
      <c r="F1439"/>
      <c r="G1439"/>
      <c r="H1439"/>
      <c r="L1439"/>
      <c r="O1439"/>
    </row>
    <row r="1440" spans="3:15" x14ac:dyDescent="0.25">
      <c r="C1440"/>
      <c r="F1440"/>
      <c r="G1440"/>
      <c r="H1440"/>
      <c r="L1440"/>
      <c r="O1440"/>
    </row>
    <row r="1441" spans="3:15" x14ac:dyDescent="0.25">
      <c r="C1441"/>
      <c r="F1441"/>
      <c r="G1441"/>
      <c r="H1441"/>
      <c r="L1441"/>
      <c r="O1441"/>
    </row>
    <row r="1442" spans="3:15" x14ac:dyDescent="0.25">
      <c r="C1442"/>
      <c r="F1442"/>
      <c r="G1442"/>
      <c r="H1442"/>
      <c r="L1442"/>
      <c r="O1442"/>
    </row>
    <row r="1443" spans="3:15" x14ac:dyDescent="0.25">
      <c r="C1443"/>
      <c r="F1443"/>
      <c r="G1443"/>
      <c r="H1443"/>
      <c r="L1443"/>
      <c r="O1443"/>
    </row>
    <row r="1444" spans="3:15" x14ac:dyDescent="0.25">
      <c r="C1444"/>
      <c r="F1444"/>
      <c r="G1444"/>
      <c r="H1444"/>
      <c r="L1444"/>
      <c r="O1444"/>
    </row>
    <row r="1445" spans="3:15" x14ac:dyDescent="0.25">
      <c r="C1445"/>
      <c r="F1445"/>
      <c r="G1445"/>
      <c r="H1445"/>
      <c r="L1445"/>
      <c r="O1445"/>
    </row>
    <row r="1446" spans="3:15" x14ac:dyDescent="0.25">
      <c r="C1446"/>
      <c r="F1446"/>
      <c r="G1446"/>
      <c r="H1446"/>
      <c r="L1446"/>
      <c r="O1446"/>
    </row>
    <row r="1447" spans="3:15" x14ac:dyDescent="0.25">
      <c r="C1447"/>
      <c r="F1447"/>
      <c r="G1447"/>
      <c r="H1447"/>
      <c r="L1447"/>
      <c r="O1447"/>
    </row>
    <row r="1448" spans="3:15" x14ac:dyDescent="0.25">
      <c r="C1448"/>
      <c r="F1448"/>
      <c r="G1448"/>
      <c r="H1448"/>
      <c r="L1448"/>
      <c r="O1448"/>
    </row>
    <row r="1449" spans="3:15" x14ac:dyDescent="0.25">
      <c r="C1449"/>
      <c r="F1449"/>
      <c r="G1449"/>
      <c r="H1449"/>
      <c r="L1449"/>
      <c r="O1449"/>
    </row>
    <row r="1450" spans="3:15" x14ac:dyDescent="0.25">
      <c r="C1450"/>
      <c r="F1450"/>
      <c r="G1450"/>
      <c r="H1450"/>
      <c r="L1450"/>
      <c r="O1450"/>
    </row>
    <row r="1451" spans="3:15" x14ac:dyDescent="0.25">
      <c r="C1451"/>
      <c r="F1451"/>
      <c r="G1451"/>
      <c r="H1451"/>
      <c r="L1451"/>
      <c r="O1451"/>
    </row>
    <row r="1452" spans="3:15" x14ac:dyDescent="0.25">
      <c r="C1452"/>
      <c r="F1452"/>
      <c r="G1452"/>
      <c r="H1452"/>
      <c r="L1452"/>
      <c r="O1452"/>
    </row>
    <row r="1453" spans="3:15" x14ac:dyDescent="0.25">
      <c r="C1453"/>
      <c r="F1453"/>
      <c r="G1453"/>
      <c r="H1453"/>
      <c r="L1453"/>
      <c r="O1453"/>
    </row>
    <row r="1454" spans="3:15" x14ac:dyDescent="0.25">
      <c r="C1454"/>
      <c r="F1454"/>
      <c r="G1454"/>
      <c r="H1454"/>
      <c r="L1454"/>
      <c r="O1454"/>
    </row>
    <row r="1455" spans="3:15" x14ac:dyDescent="0.25">
      <c r="C1455"/>
      <c r="F1455"/>
      <c r="G1455"/>
      <c r="H1455"/>
      <c r="L1455"/>
      <c r="O1455"/>
    </row>
    <row r="1456" spans="3:15" x14ac:dyDescent="0.25">
      <c r="C1456"/>
      <c r="F1456"/>
      <c r="G1456"/>
      <c r="H1456"/>
      <c r="L1456"/>
      <c r="O1456"/>
    </row>
    <row r="1457" spans="3:15" x14ac:dyDescent="0.25">
      <c r="C1457"/>
      <c r="F1457"/>
      <c r="G1457"/>
      <c r="H1457"/>
      <c r="L1457"/>
      <c r="O1457"/>
    </row>
    <row r="1458" spans="3:15" x14ac:dyDescent="0.25">
      <c r="C1458"/>
      <c r="F1458"/>
      <c r="G1458"/>
      <c r="H1458"/>
      <c r="L1458"/>
      <c r="O1458"/>
    </row>
    <row r="1459" spans="3:15" x14ac:dyDescent="0.25">
      <c r="C1459"/>
      <c r="F1459"/>
      <c r="G1459"/>
      <c r="H1459"/>
      <c r="L1459"/>
      <c r="O1459"/>
    </row>
    <row r="1460" spans="3:15" x14ac:dyDescent="0.25">
      <c r="C1460"/>
      <c r="F1460"/>
      <c r="G1460"/>
      <c r="H1460"/>
      <c r="L1460"/>
      <c r="O1460"/>
    </row>
    <row r="1461" spans="3:15" x14ac:dyDescent="0.25">
      <c r="C1461"/>
      <c r="F1461"/>
      <c r="G1461"/>
      <c r="H1461"/>
      <c r="L1461"/>
      <c r="O1461"/>
    </row>
    <row r="1462" spans="3:15" x14ac:dyDescent="0.25">
      <c r="C1462"/>
      <c r="F1462"/>
      <c r="G1462"/>
      <c r="H1462"/>
      <c r="L1462"/>
      <c r="O1462"/>
    </row>
    <row r="1463" spans="3:15" x14ac:dyDescent="0.25">
      <c r="C1463"/>
      <c r="F1463"/>
      <c r="G1463"/>
      <c r="H1463"/>
      <c r="L1463"/>
      <c r="O1463"/>
    </row>
    <row r="1464" spans="3:15" x14ac:dyDescent="0.25">
      <c r="C1464"/>
      <c r="F1464"/>
      <c r="G1464"/>
      <c r="H1464"/>
      <c r="L1464"/>
      <c r="O1464"/>
    </row>
    <row r="1465" spans="3:15" x14ac:dyDescent="0.25">
      <c r="C1465"/>
      <c r="F1465"/>
      <c r="G1465"/>
      <c r="H1465"/>
      <c r="L1465"/>
      <c r="O1465"/>
    </row>
    <row r="1466" spans="3:15" x14ac:dyDescent="0.25">
      <c r="C1466"/>
      <c r="F1466"/>
      <c r="G1466"/>
      <c r="H1466"/>
      <c r="L1466"/>
      <c r="O1466"/>
    </row>
    <row r="1467" spans="3:15" x14ac:dyDescent="0.25">
      <c r="C1467"/>
      <c r="F1467"/>
      <c r="G1467"/>
      <c r="H1467"/>
      <c r="L1467"/>
      <c r="O1467"/>
    </row>
    <row r="1468" spans="3:15" x14ac:dyDescent="0.25">
      <c r="C1468"/>
      <c r="F1468"/>
      <c r="G1468"/>
      <c r="H1468"/>
      <c r="L1468"/>
      <c r="O1468"/>
    </row>
    <row r="1469" spans="3:15" x14ac:dyDescent="0.25">
      <c r="C1469"/>
      <c r="F1469"/>
      <c r="G1469"/>
      <c r="H1469"/>
      <c r="L1469"/>
      <c r="O1469"/>
    </row>
    <row r="1470" spans="3:15" x14ac:dyDescent="0.25">
      <c r="C1470"/>
      <c r="F1470"/>
      <c r="G1470"/>
      <c r="H1470"/>
      <c r="L1470"/>
      <c r="O1470"/>
    </row>
    <row r="1471" spans="3:15" x14ac:dyDescent="0.25">
      <c r="C1471"/>
      <c r="F1471"/>
      <c r="G1471"/>
      <c r="H1471"/>
      <c r="L1471"/>
      <c r="O1471"/>
    </row>
    <row r="1472" spans="3:15" x14ac:dyDescent="0.25">
      <c r="C1472"/>
      <c r="F1472"/>
      <c r="G1472"/>
      <c r="H1472"/>
      <c r="L1472"/>
      <c r="O1472"/>
    </row>
    <row r="1473" spans="3:15" x14ac:dyDescent="0.25">
      <c r="C1473"/>
      <c r="F1473"/>
      <c r="G1473"/>
      <c r="H1473"/>
      <c r="L1473"/>
      <c r="O1473"/>
    </row>
    <row r="1474" spans="3:15" x14ac:dyDescent="0.25">
      <c r="C1474"/>
      <c r="F1474"/>
      <c r="G1474"/>
      <c r="H1474"/>
      <c r="L1474"/>
      <c r="O1474"/>
    </row>
    <row r="1475" spans="3:15" x14ac:dyDescent="0.25">
      <c r="C1475"/>
      <c r="F1475"/>
      <c r="G1475"/>
      <c r="H1475"/>
      <c r="L1475"/>
      <c r="O1475"/>
    </row>
    <row r="1476" spans="3:15" x14ac:dyDescent="0.25">
      <c r="C1476"/>
      <c r="F1476"/>
      <c r="G1476"/>
      <c r="H1476"/>
      <c r="L1476"/>
      <c r="O1476"/>
    </row>
    <row r="1477" spans="3:15" x14ac:dyDescent="0.25">
      <c r="C1477"/>
      <c r="F1477"/>
      <c r="G1477"/>
      <c r="H1477"/>
      <c r="L1477"/>
      <c r="O1477"/>
    </row>
    <row r="1478" spans="3:15" x14ac:dyDescent="0.25">
      <c r="C1478"/>
      <c r="F1478"/>
      <c r="G1478"/>
      <c r="H1478"/>
      <c r="L1478"/>
      <c r="O1478"/>
    </row>
    <row r="1479" spans="3:15" x14ac:dyDescent="0.25">
      <c r="C1479"/>
      <c r="F1479"/>
      <c r="G1479"/>
      <c r="H1479"/>
      <c r="L1479"/>
      <c r="O1479"/>
    </row>
    <row r="1480" spans="3:15" x14ac:dyDescent="0.25">
      <c r="C1480"/>
      <c r="F1480"/>
      <c r="G1480"/>
      <c r="H1480"/>
      <c r="L1480"/>
      <c r="O1480"/>
    </row>
    <row r="1481" spans="3:15" x14ac:dyDescent="0.25">
      <c r="C1481"/>
      <c r="F1481"/>
      <c r="G1481"/>
      <c r="H1481"/>
      <c r="L1481"/>
      <c r="O1481"/>
    </row>
    <row r="1482" spans="3:15" x14ac:dyDescent="0.25">
      <c r="C1482"/>
      <c r="F1482"/>
      <c r="G1482"/>
      <c r="H1482"/>
      <c r="L1482"/>
      <c r="O1482"/>
    </row>
    <row r="1483" spans="3:15" x14ac:dyDescent="0.25">
      <c r="C1483"/>
      <c r="F1483"/>
      <c r="G1483"/>
      <c r="H1483"/>
      <c r="L1483"/>
      <c r="O1483"/>
    </row>
    <row r="1484" spans="3:15" x14ac:dyDescent="0.25">
      <c r="C1484"/>
      <c r="F1484"/>
      <c r="G1484"/>
      <c r="H1484"/>
      <c r="L1484"/>
      <c r="O1484"/>
    </row>
    <row r="1485" spans="3:15" x14ac:dyDescent="0.25">
      <c r="C1485"/>
      <c r="F1485"/>
      <c r="G1485"/>
      <c r="H1485"/>
      <c r="L1485"/>
      <c r="O1485"/>
    </row>
    <row r="1486" spans="3:15" x14ac:dyDescent="0.25">
      <c r="C1486"/>
      <c r="F1486"/>
      <c r="G1486"/>
      <c r="H1486"/>
      <c r="L1486"/>
      <c r="O1486"/>
    </row>
    <row r="1487" spans="3:15" x14ac:dyDescent="0.25">
      <c r="C1487"/>
      <c r="F1487"/>
      <c r="G1487"/>
      <c r="H1487"/>
      <c r="L1487"/>
      <c r="O1487"/>
    </row>
    <row r="1488" spans="3:15" x14ac:dyDescent="0.25">
      <c r="C1488"/>
      <c r="F1488"/>
      <c r="G1488"/>
      <c r="H1488"/>
      <c r="L1488"/>
      <c r="O1488"/>
    </row>
    <row r="1489" spans="3:15" x14ac:dyDescent="0.25">
      <c r="C1489"/>
      <c r="F1489"/>
      <c r="G1489"/>
      <c r="H1489"/>
      <c r="L1489"/>
      <c r="O1489"/>
    </row>
    <row r="1490" spans="3:15" x14ac:dyDescent="0.25">
      <c r="C1490"/>
      <c r="F1490"/>
      <c r="G1490"/>
      <c r="H1490"/>
      <c r="L1490"/>
      <c r="O1490"/>
    </row>
    <row r="1491" spans="3:15" x14ac:dyDescent="0.25">
      <c r="C1491"/>
      <c r="F1491"/>
      <c r="G1491"/>
      <c r="H1491"/>
      <c r="L1491"/>
      <c r="O1491"/>
    </row>
    <row r="1492" spans="3:15" x14ac:dyDescent="0.25">
      <c r="C1492"/>
      <c r="F1492"/>
      <c r="G1492"/>
      <c r="H1492"/>
      <c r="L1492"/>
      <c r="O1492"/>
    </row>
    <row r="1493" spans="3:15" x14ac:dyDescent="0.25">
      <c r="C1493"/>
      <c r="F1493"/>
      <c r="G1493"/>
      <c r="H1493"/>
      <c r="L1493"/>
      <c r="O1493"/>
    </row>
    <row r="1494" spans="3:15" x14ac:dyDescent="0.25">
      <c r="C1494"/>
      <c r="F1494"/>
      <c r="G1494"/>
      <c r="H1494"/>
      <c r="L1494"/>
      <c r="O1494"/>
    </row>
    <row r="1495" spans="3:15" x14ac:dyDescent="0.25">
      <c r="C1495"/>
      <c r="F1495"/>
      <c r="G1495"/>
      <c r="H1495"/>
      <c r="L1495"/>
      <c r="O1495"/>
    </row>
    <row r="1496" spans="3:15" x14ac:dyDescent="0.25">
      <c r="C1496"/>
      <c r="F1496"/>
      <c r="G1496"/>
      <c r="H1496"/>
      <c r="L1496"/>
      <c r="O1496"/>
    </row>
    <row r="1497" spans="3:15" x14ac:dyDescent="0.25">
      <c r="C1497"/>
      <c r="F1497"/>
      <c r="G1497"/>
      <c r="H1497"/>
      <c r="L1497"/>
      <c r="O1497"/>
    </row>
    <row r="1498" spans="3:15" x14ac:dyDescent="0.25">
      <c r="C1498"/>
      <c r="F1498"/>
      <c r="G1498"/>
      <c r="H1498"/>
      <c r="L1498"/>
      <c r="O1498"/>
    </row>
    <row r="1499" spans="3:15" x14ac:dyDescent="0.25">
      <c r="C1499"/>
      <c r="F1499"/>
      <c r="G1499"/>
      <c r="H1499"/>
      <c r="L1499"/>
      <c r="O1499"/>
    </row>
    <row r="1500" spans="3:15" x14ac:dyDescent="0.25">
      <c r="C1500"/>
      <c r="F1500"/>
      <c r="G1500"/>
      <c r="H1500"/>
      <c r="L1500"/>
      <c r="O1500"/>
    </row>
    <row r="1501" spans="3:15" x14ac:dyDescent="0.25">
      <c r="C1501"/>
      <c r="F1501"/>
      <c r="G1501"/>
      <c r="H1501"/>
      <c r="L1501"/>
      <c r="O1501"/>
    </row>
    <row r="1502" spans="3:15" x14ac:dyDescent="0.25">
      <c r="C1502"/>
      <c r="F1502"/>
      <c r="G1502"/>
      <c r="H1502"/>
      <c r="L1502"/>
      <c r="O1502"/>
    </row>
    <row r="1503" spans="3:15" x14ac:dyDescent="0.25">
      <c r="C1503"/>
      <c r="F1503"/>
      <c r="G1503"/>
      <c r="H1503"/>
      <c r="L1503"/>
      <c r="O1503"/>
    </row>
    <row r="1504" spans="3:15" x14ac:dyDescent="0.25">
      <c r="C1504"/>
      <c r="F1504"/>
      <c r="G1504"/>
      <c r="H1504"/>
      <c r="L1504"/>
      <c r="O1504"/>
    </row>
    <row r="1505" spans="3:15" x14ac:dyDescent="0.25">
      <c r="C1505"/>
      <c r="F1505"/>
      <c r="G1505"/>
      <c r="H1505"/>
      <c r="L1505"/>
      <c r="O1505"/>
    </row>
    <row r="1506" spans="3:15" x14ac:dyDescent="0.25">
      <c r="C1506"/>
      <c r="F1506"/>
      <c r="G1506"/>
      <c r="H1506"/>
      <c r="L1506"/>
      <c r="O1506"/>
    </row>
    <row r="1507" spans="3:15" x14ac:dyDescent="0.25">
      <c r="C1507"/>
      <c r="F1507"/>
      <c r="G1507"/>
      <c r="H1507"/>
      <c r="L1507"/>
      <c r="O1507"/>
    </row>
    <row r="1508" spans="3:15" x14ac:dyDescent="0.25">
      <c r="C1508"/>
      <c r="F1508"/>
      <c r="G1508"/>
      <c r="H1508"/>
      <c r="L1508"/>
      <c r="O1508"/>
    </row>
    <row r="1509" spans="3:15" x14ac:dyDescent="0.25">
      <c r="C1509"/>
      <c r="F1509"/>
      <c r="G1509"/>
      <c r="H1509"/>
      <c r="L1509"/>
      <c r="O1509"/>
    </row>
    <row r="1510" spans="3:15" x14ac:dyDescent="0.25">
      <c r="C1510"/>
      <c r="F1510"/>
      <c r="G1510"/>
      <c r="H1510"/>
      <c r="L1510"/>
      <c r="O1510"/>
    </row>
    <row r="1511" spans="3:15" x14ac:dyDescent="0.25">
      <c r="C1511"/>
      <c r="F1511"/>
      <c r="G1511"/>
      <c r="H1511"/>
      <c r="L1511"/>
      <c r="O1511"/>
    </row>
    <row r="1512" spans="3:15" x14ac:dyDescent="0.25">
      <c r="C1512"/>
      <c r="F1512"/>
      <c r="G1512"/>
      <c r="H1512"/>
      <c r="L1512"/>
      <c r="O1512"/>
    </row>
    <row r="1513" spans="3:15" x14ac:dyDescent="0.25">
      <c r="C1513"/>
      <c r="F1513"/>
      <c r="G1513"/>
      <c r="H1513"/>
      <c r="L1513"/>
      <c r="O1513"/>
    </row>
    <row r="1514" spans="3:15" x14ac:dyDescent="0.25">
      <c r="C1514"/>
      <c r="F1514"/>
      <c r="G1514"/>
      <c r="H1514"/>
      <c r="L1514"/>
      <c r="O1514"/>
    </row>
    <row r="1515" spans="3:15" x14ac:dyDescent="0.25">
      <c r="C1515"/>
      <c r="F1515"/>
      <c r="G1515"/>
      <c r="H1515"/>
      <c r="L1515"/>
      <c r="O1515"/>
    </row>
    <row r="1516" spans="3:15" x14ac:dyDescent="0.25">
      <c r="C1516"/>
      <c r="F1516"/>
      <c r="G1516"/>
      <c r="H1516"/>
      <c r="L1516"/>
      <c r="O1516"/>
    </row>
    <row r="1517" spans="3:15" x14ac:dyDescent="0.25">
      <c r="C1517"/>
      <c r="F1517"/>
      <c r="G1517"/>
      <c r="H1517"/>
      <c r="L1517"/>
      <c r="O1517"/>
    </row>
    <row r="1518" spans="3:15" x14ac:dyDescent="0.25">
      <c r="C1518"/>
      <c r="F1518"/>
      <c r="G1518"/>
      <c r="H1518"/>
      <c r="L1518"/>
      <c r="O1518"/>
    </row>
    <row r="1519" spans="3:15" x14ac:dyDescent="0.25">
      <c r="C1519"/>
      <c r="F1519"/>
      <c r="G1519"/>
      <c r="H1519"/>
      <c r="L1519"/>
      <c r="O1519"/>
    </row>
    <row r="1520" spans="3:15" x14ac:dyDescent="0.25">
      <c r="C1520"/>
      <c r="F1520"/>
      <c r="G1520"/>
      <c r="H1520"/>
      <c r="L1520"/>
      <c r="O1520"/>
    </row>
    <row r="1521" spans="3:15" x14ac:dyDescent="0.25">
      <c r="C1521"/>
      <c r="F1521"/>
      <c r="G1521"/>
      <c r="H1521"/>
      <c r="L1521"/>
      <c r="O1521"/>
    </row>
    <row r="1522" spans="3:15" x14ac:dyDescent="0.25">
      <c r="C1522"/>
      <c r="F1522"/>
      <c r="G1522"/>
      <c r="H1522"/>
      <c r="L1522"/>
      <c r="O1522"/>
    </row>
    <row r="1523" spans="3:15" x14ac:dyDescent="0.25">
      <c r="C1523"/>
      <c r="F1523"/>
      <c r="G1523"/>
      <c r="H1523"/>
      <c r="L1523"/>
      <c r="O1523"/>
    </row>
    <row r="1524" spans="3:15" x14ac:dyDescent="0.25">
      <c r="C1524"/>
      <c r="F1524"/>
      <c r="G1524"/>
      <c r="H1524"/>
      <c r="L1524"/>
      <c r="O1524"/>
    </row>
    <row r="1525" spans="3:15" x14ac:dyDescent="0.25">
      <c r="C1525"/>
      <c r="F1525"/>
      <c r="G1525"/>
      <c r="H1525"/>
      <c r="L1525"/>
      <c r="O1525"/>
    </row>
    <row r="1526" spans="3:15" x14ac:dyDescent="0.25">
      <c r="C1526"/>
      <c r="F1526"/>
      <c r="G1526"/>
      <c r="H1526"/>
      <c r="L1526"/>
      <c r="O1526"/>
    </row>
    <row r="1527" spans="3:15" x14ac:dyDescent="0.25">
      <c r="C1527"/>
      <c r="F1527"/>
      <c r="G1527"/>
      <c r="H1527"/>
      <c r="L1527"/>
      <c r="O1527"/>
    </row>
    <row r="1528" spans="3:15" x14ac:dyDescent="0.25">
      <c r="C1528"/>
      <c r="F1528"/>
      <c r="G1528"/>
      <c r="H1528"/>
      <c r="L1528"/>
      <c r="O1528"/>
    </row>
    <row r="1529" spans="3:15" x14ac:dyDescent="0.25">
      <c r="C1529"/>
      <c r="F1529"/>
      <c r="G1529"/>
      <c r="H1529"/>
      <c r="L1529"/>
      <c r="O1529"/>
    </row>
    <row r="1530" spans="3:15" x14ac:dyDescent="0.25">
      <c r="C1530"/>
      <c r="F1530"/>
      <c r="G1530"/>
      <c r="H1530"/>
      <c r="L1530"/>
      <c r="O1530"/>
    </row>
    <row r="1531" spans="3:15" x14ac:dyDescent="0.25">
      <c r="C1531"/>
      <c r="F1531"/>
      <c r="G1531"/>
      <c r="H1531"/>
      <c r="L1531"/>
      <c r="O1531"/>
    </row>
    <row r="1532" spans="3:15" x14ac:dyDescent="0.25">
      <c r="C1532"/>
      <c r="F1532"/>
      <c r="G1532"/>
      <c r="H1532"/>
      <c r="L1532"/>
      <c r="O1532"/>
    </row>
    <row r="1533" spans="3:15" x14ac:dyDescent="0.25">
      <c r="C1533"/>
      <c r="F1533"/>
      <c r="G1533"/>
      <c r="H1533"/>
      <c r="L1533"/>
      <c r="O1533"/>
    </row>
    <row r="1534" spans="3:15" x14ac:dyDescent="0.25">
      <c r="C1534"/>
      <c r="F1534"/>
      <c r="G1534"/>
      <c r="H1534"/>
      <c r="L1534"/>
      <c r="O1534"/>
    </row>
    <row r="1535" spans="3:15" x14ac:dyDescent="0.25">
      <c r="C1535"/>
      <c r="F1535"/>
      <c r="G1535"/>
      <c r="H1535"/>
      <c r="L1535"/>
      <c r="O1535"/>
    </row>
    <row r="1536" spans="3:15" x14ac:dyDescent="0.25">
      <c r="C1536"/>
      <c r="F1536"/>
      <c r="G1536"/>
      <c r="H1536"/>
      <c r="L1536"/>
      <c r="O1536"/>
    </row>
    <row r="1537" spans="3:15" x14ac:dyDescent="0.25">
      <c r="C1537"/>
      <c r="F1537"/>
      <c r="G1537"/>
      <c r="H1537"/>
      <c r="L1537"/>
      <c r="O1537"/>
    </row>
    <row r="1538" spans="3:15" x14ac:dyDescent="0.25">
      <c r="C1538"/>
      <c r="F1538"/>
      <c r="G1538"/>
      <c r="H1538"/>
      <c r="L1538"/>
      <c r="O1538"/>
    </row>
    <row r="1539" spans="3:15" x14ac:dyDescent="0.25">
      <c r="C1539"/>
      <c r="F1539"/>
      <c r="G1539"/>
      <c r="H1539"/>
      <c r="L1539"/>
      <c r="O1539"/>
    </row>
    <row r="1540" spans="3:15" x14ac:dyDescent="0.25">
      <c r="C1540"/>
      <c r="F1540"/>
      <c r="G1540"/>
      <c r="H1540"/>
      <c r="L1540"/>
      <c r="O1540"/>
    </row>
    <row r="1541" spans="3:15" x14ac:dyDescent="0.25">
      <c r="C1541"/>
      <c r="F1541"/>
      <c r="G1541"/>
      <c r="H1541"/>
      <c r="L1541"/>
      <c r="O1541"/>
    </row>
    <row r="1542" spans="3:15" x14ac:dyDescent="0.25">
      <c r="C1542"/>
      <c r="F1542"/>
      <c r="G1542"/>
      <c r="H1542"/>
      <c r="L1542"/>
      <c r="O1542"/>
    </row>
    <row r="1543" spans="3:15" x14ac:dyDescent="0.25">
      <c r="C1543"/>
      <c r="F1543"/>
      <c r="G1543"/>
      <c r="H1543"/>
      <c r="L1543"/>
      <c r="O1543"/>
    </row>
    <row r="1544" spans="3:15" x14ac:dyDescent="0.25">
      <c r="C1544"/>
      <c r="F1544"/>
      <c r="G1544"/>
      <c r="H1544"/>
      <c r="L1544"/>
      <c r="O1544"/>
    </row>
    <row r="1545" spans="3:15" x14ac:dyDescent="0.25">
      <c r="C1545"/>
      <c r="F1545"/>
      <c r="G1545"/>
      <c r="H1545"/>
      <c r="L1545"/>
      <c r="O1545"/>
    </row>
    <row r="1546" spans="3:15" x14ac:dyDescent="0.25">
      <c r="C1546"/>
      <c r="F1546"/>
      <c r="G1546"/>
      <c r="H1546"/>
      <c r="L1546"/>
      <c r="O1546"/>
    </row>
    <row r="1547" spans="3:15" x14ac:dyDescent="0.25">
      <c r="C1547"/>
      <c r="F1547"/>
      <c r="G1547"/>
      <c r="H1547"/>
      <c r="L1547"/>
      <c r="O1547"/>
    </row>
    <row r="1548" spans="3:15" x14ac:dyDescent="0.25">
      <c r="C1548"/>
      <c r="F1548"/>
      <c r="G1548"/>
      <c r="H1548"/>
      <c r="L1548"/>
      <c r="O1548"/>
    </row>
    <row r="1549" spans="3:15" x14ac:dyDescent="0.25">
      <c r="C1549"/>
      <c r="F1549"/>
      <c r="G1549"/>
      <c r="H1549"/>
      <c r="L1549"/>
      <c r="O1549"/>
    </row>
    <row r="1550" spans="3:15" x14ac:dyDescent="0.25">
      <c r="C1550"/>
      <c r="F1550"/>
      <c r="G1550"/>
      <c r="H1550"/>
      <c r="L1550"/>
      <c r="O1550"/>
    </row>
    <row r="1551" spans="3:15" x14ac:dyDescent="0.25">
      <c r="C1551"/>
      <c r="F1551"/>
      <c r="G1551"/>
      <c r="H1551"/>
      <c r="L1551"/>
      <c r="O1551"/>
    </row>
    <row r="1552" spans="3:15" x14ac:dyDescent="0.25">
      <c r="C1552"/>
      <c r="F1552"/>
      <c r="G1552"/>
      <c r="H1552"/>
      <c r="L1552"/>
      <c r="O1552"/>
    </row>
    <row r="1553" spans="3:15" x14ac:dyDescent="0.25">
      <c r="C1553"/>
      <c r="F1553"/>
      <c r="G1553"/>
      <c r="H1553"/>
      <c r="L1553"/>
      <c r="O1553"/>
    </row>
    <row r="1554" spans="3:15" x14ac:dyDescent="0.25">
      <c r="C1554"/>
      <c r="F1554"/>
      <c r="G1554"/>
      <c r="H1554"/>
      <c r="L1554"/>
      <c r="O1554"/>
    </row>
    <row r="1555" spans="3:15" x14ac:dyDescent="0.25">
      <c r="C1555"/>
      <c r="F1555"/>
      <c r="G1555"/>
      <c r="H1555"/>
      <c r="L1555"/>
      <c r="O1555"/>
    </row>
    <row r="1556" spans="3:15" x14ac:dyDescent="0.25">
      <c r="C1556"/>
      <c r="F1556"/>
      <c r="G1556"/>
      <c r="H1556"/>
      <c r="L1556"/>
      <c r="O1556"/>
    </row>
    <row r="1557" spans="3:15" x14ac:dyDescent="0.25">
      <c r="C1557"/>
      <c r="F1557"/>
      <c r="G1557"/>
      <c r="H1557"/>
      <c r="L1557"/>
      <c r="O1557"/>
    </row>
    <row r="1558" spans="3:15" x14ac:dyDescent="0.25">
      <c r="C1558"/>
      <c r="F1558"/>
      <c r="G1558"/>
      <c r="H1558"/>
      <c r="L1558"/>
      <c r="O1558"/>
    </row>
    <row r="1559" spans="3:15" x14ac:dyDescent="0.25">
      <c r="C1559"/>
      <c r="F1559"/>
      <c r="G1559"/>
      <c r="H1559"/>
      <c r="L1559"/>
      <c r="O1559"/>
    </row>
    <row r="1560" spans="3:15" x14ac:dyDescent="0.25">
      <c r="C1560"/>
      <c r="F1560"/>
      <c r="G1560"/>
      <c r="H1560"/>
      <c r="L1560"/>
      <c r="O1560"/>
    </row>
    <row r="1561" spans="3:15" x14ac:dyDescent="0.25">
      <c r="C1561"/>
      <c r="F1561"/>
      <c r="G1561"/>
      <c r="H1561"/>
      <c r="L1561"/>
      <c r="O1561"/>
    </row>
    <row r="1562" spans="3:15" x14ac:dyDescent="0.25">
      <c r="C1562"/>
      <c r="F1562"/>
      <c r="G1562"/>
      <c r="H1562"/>
      <c r="L1562"/>
      <c r="O1562"/>
    </row>
    <row r="1563" spans="3:15" x14ac:dyDescent="0.25">
      <c r="C1563"/>
      <c r="F1563"/>
      <c r="G1563"/>
      <c r="H1563"/>
      <c r="L1563"/>
      <c r="O1563"/>
    </row>
    <row r="1564" spans="3:15" x14ac:dyDescent="0.25">
      <c r="C1564"/>
      <c r="F1564"/>
      <c r="G1564"/>
      <c r="H1564"/>
      <c r="L1564"/>
      <c r="O1564"/>
    </row>
    <row r="1565" spans="3:15" x14ac:dyDescent="0.25">
      <c r="C1565"/>
      <c r="F1565"/>
      <c r="G1565"/>
      <c r="H1565"/>
      <c r="L1565"/>
      <c r="O1565"/>
    </row>
    <row r="1566" spans="3:15" x14ac:dyDescent="0.25">
      <c r="C1566"/>
      <c r="F1566"/>
      <c r="G1566"/>
      <c r="H1566"/>
      <c r="L1566"/>
      <c r="O1566"/>
    </row>
    <row r="1567" spans="3:15" x14ac:dyDescent="0.25">
      <c r="C1567"/>
      <c r="F1567"/>
      <c r="G1567"/>
      <c r="H1567"/>
      <c r="L1567"/>
      <c r="O1567"/>
    </row>
    <row r="1568" spans="3:15" x14ac:dyDescent="0.25">
      <c r="C1568"/>
      <c r="F1568"/>
      <c r="G1568"/>
      <c r="H1568"/>
      <c r="L1568"/>
      <c r="O1568"/>
    </row>
    <row r="1569" spans="3:15" x14ac:dyDescent="0.25">
      <c r="C1569"/>
      <c r="F1569"/>
      <c r="G1569"/>
      <c r="H1569"/>
      <c r="L1569"/>
      <c r="O1569"/>
    </row>
    <row r="1570" spans="3:15" x14ac:dyDescent="0.25">
      <c r="C1570"/>
      <c r="F1570"/>
      <c r="G1570"/>
      <c r="H1570"/>
      <c r="L1570"/>
      <c r="O1570"/>
    </row>
    <row r="1571" spans="3:15" x14ac:dyDescent="0.25">
      <c r="C1571"/>
      <c r="F1571"/>
      <c r="G1571"/>
      <c r="H1571"/>
      <c r="L1571"/>
      <c r="O1571"/>
    </row>
    <row r="1572" spans="3:15" x14ac:dyDescent="0.25">
      <c r="C1572"/>
      <c r="F1572"/>
      <c r="G1572"/>
      <c r="H1572"/>
      <c r="L1572"/>
      <c r="O1572"/>
    </row>
    <row r="1573" spans="3:15" x14ac:dyDescent="0.25">
      <c r="C1573"/>
      <c r="F1573"/>
      <c r="G1573"/>
      <c r="H1573"/>
      <c r="L1573"/>
      <c r="O1573"/>
    </row>
    <row r="1574" spans="3:15" x14ac:dyDescent="0.25">
      <c r="C1574"/>
      <c r="F1574"/>
      <c r="G1574"/>
      <c r="H1574"/>
      <c r="L1574"/>
      <c r="O1574"/>
    </row>
    <row r="1575" spans="3:15" x14ac:dyDescent="0.25">
      <c r="C1575"/>
      <c r="F1575"/>
      <c r="G1575"/>
      <c r="H1575"/>
      <c r="L1575"/>
      <c r="O1575"/>
    </row>
    <row r="1576" spans="3:15" x14ac:dyDescent="0.25">
      <c r="C1576"/>
      <c r="F1576"/>
      <c r="G1576"/>
      <c r="H1576"/>
      <c r="L1576"/>
      <c r="O1576"/>
    </row>
    <row r="1577" spans="3:15" x14ac:dyDescent="0.25">
      <c r="C1577"/>
      <c r="F1577"/>
      <c r="G1577"/>
      <c r="H1577"/>
      <c r="L1577"/>
      <c r="O1577"/>
    </row>
    <row r="1578" spans="3:15" x14ac:dyDescent="0.25">
      <c r="C1578"/>
      <c r="F1578"/>
      <c r="G1578"/>
      <c r="H1578"/>
      <c r="L1578"/>
      <c r="O1578"/>
    </row>
    <row r="1579" spans="3:15" x14ac:dyDescent="0.25">
      <c r="C1579"/>
      <c r="F1579"/>
      <c r="G1579"/>
      <c r="H1579"/>
      <c r="L1579"/>
      <c r="O1579"/>
    </row>
    <row r="1580" spans="3:15" x14ac:dyDescent="0.25">
      <c r="C1580"/>
      <c r="F1580"/>
      <c r="G1580"/>
      <c r="H1580"/>
      <c r="L1580"/>
      <c r="O1580"/>
    </row>
    <row r="1581" spans="3:15" x14ac:dyDescent="0.25">
      <c r="C1581"/>
      <c r="F1581"/>
      <c r="G1581"/>
      <c r="H1581"/>
      <c r="L1581"/>
      <c r="O1581"/>
    </row>
    <row r="1582" spans="3:15" x14ac:dyDescent="0.25">
      <c r="C1582"/>
      <c r="F1582"/>
      <c r="G1582"/>
      <c r="H1582"/>
      <c r="L1582"/>
      <c r="O1582"/>
    </row>
    <row r="1583" spans="3:15" x14ac:dyDescent="0.25">
      <c r="C1583"/>
      <c r="F1583"/>
      <c r="G1583"/>
      <c r="H1583"/>
      <c r="L1583"/>
      <c r="O1583"/>
    </row>
    <row r="1584" spans="3:15" x14ac:dyDescent="0.25">
      <c r="C1584"/>
      <c r="F1584"/>
      <c r="G1584"/>
      <c r="H1584"/>
      <c r="L1584"/>
      <c r="O1584"/>
    </row>
    <row r="1585" spans="3:15" x14ac:dyDescent="0.25">
      <c r="C1585"/>
      <c r="F1585"/>
      <c r="G1585"/>
      <c r="H1585"/>
      <c r="L1585"/>
      <c r="O1585"/>
    </row>
    <row r="1586" spans="3:15" x14ac:dyDescent="0.25">
      <c r="C1586"/>
      <c r="F1586"/>
      <c r="G1586"/>
      <c r="H1586"/>
      <c r="L1586"/>
      <c r="O1586"/>
    </row>
    <row r="1587" spans="3:15" x14ac:dyDescent="0.25">
      <c r="C1587"/>
      <c r="F1587"/>
      <c r="G1587"/>
      <c r="H1587"/>
      <c r="L1587"/>
      <c r="O1587"/>
    </row>
    <row r="1588" spans="3:15" x14ac:dyDescent="0.25">
      <c r="C1588"/>
      <c r="F1588"/>
      <c r="G1588"/>
      <c r="H1588"/>
      <c r="L1588"/>
      <c r="O1588"/>
    </row>
    <row r="1589" spans="3:15" x14ac:dyDescent="0.25">
      <c r="C1589"/>
      <c r="F1589"/>
      <c r="G1589"/>
      <c r="H1589"/>
      <c r="L1589"/>
      <c r="O1589"/>
    </row>
    <row r="1590" spans="3:15" x14ac:dyDescent="0.25">
      <c r="C1590"/>
      <c r="F1590"/>
      <c r="G1590"/>
      <c r="H1590"/>
      <c r="L1590"/>
      <c r="O1590"/>
    </row>
    <row r="1591" spans="3:15" x14ac:dyDescent="0.25">
      <c r="C1591"/>
      <c r="F1591"/>
      <c r="G1591"/>
      <c r="H1591"/>
      <c r="L1591"/>
      <c r="O1591"/>
    </row>
    <row r="1592" spans="3:15" x14ac:dyDescent="0.25">
      <c r="C1592"/>
      <c r="F1592"/>
      <c r="G1592"/>
      <c r="H1592"/>
      <c r="L1592"/>
      <c r="O1592"/>
    </row>
    <row r="1593" spans="3:15" x14ac:dyDescent="0.25">
      <c r="C1593"/>
      <c r="F1593"/>
      <c r="G1593"/>
      <c r="H1593"/>
      <c r="L1593"/>
      <c r="O1593"/>
    </row>
    <row r="1594" spans="3:15" x14ac:dyDescent="0.25">
      <c r="C1594"/>
      <c r="F1594"/>
      <c r="G1594"/>
      <c r="H1594"/>
      <c r="L1594"/>
      <c r="O1594"/>
    </row>
    <row r="1595" spans="3:15" x14ac:dyDescent="0.25">
      <c r="C1595"/>
      <c r="F1595"/>
      <c r="G1595"/>
      <c r="H1595"/>
      <c r="L1595"/>
      <c r="O1595"/>
    </row>
    <row r="1596" spans="3:15" x14ac:dyDescent="0.25">
      <c r="C1596"/>
      <c r="F1596"/>
      <c r="G1596"/>
      <c r="H1596"/>
      <c r="L1596"/>
      <c r="O1596"/>
    </row>
    <row r="1597" spans="3:15" x14ac:dyDescent="0.25">
      <c r="C1597"/>
      <c r="F1597"/>
      <c r="G1597"/>
      <c r="H1597"/>
      <c r="L1597"/>
      <c r="O1597"/>
    </row>
    <row r="1598" spans="3:15" x14ac:dyDescent="0.25">
      <c r="C1598"/>
      <c r="F1598"/>
      <c r="G1598"/>
      <c r="H1598"/>
      <c r="L1598"/>
      <c r="O1598"/>
    </row>
    <row r="1599" spans="3:15" x14ac:dyDescent="0.25">
      <c r="C1599"/>
      <c r="F1599"/>
      <c r="G1599"/>
      <c r="H1599"/>
      <c r="L1599"/>
      <c r="O1599"/>
    </row>
    <row r="1600" spans="3:15" x14ac:dyDescent="0.25">
      <c r="C1600"/>
      <c r="F1600"/>
      <c r="G1600"/>
      <c r="H1600"/>
      <c r="L1600"/>
      <c r="O1600"/>
    </row>
    <row r="1601" spans="3:15" x14ac:dyDescent="0.25">
      <c r="C1601"/>
      <c r="F1601"/>
      <c r="G1601"/>
      <c r="H1601"/>
      <c r="L1601"/>
      <c r="O1601"/>
    </row>
    <row r="1602" spans="3:15" x14ac:dyDescent="0.25">
      <c r="C1602"/>
      <c r="F1602"/>
      <c r="G1602"/>
      <c r="H1602"/>
      <c r="L1602"/>
      <c r="O1602"/>
    </row>
    <row r="1603" spans="3:15" x14ac:dyDescent="0.25">
      <c r="C1603"/>
      <c r="F1603"/>
      <c r="G1603"/>
      <c r="H1603"/>
      <c r="L1603"/>
      <c r="O1603"/>
    </row>
    <row r="1604" spans="3:15" x14ac:dyDescent="0.25">
      <c r="C1604"/>
      <c r="F1604"/>
      <c r="G1604"/>
      <c r="H1604"/>
      <c r="L1604"/>
      <c r="O1604"/>
    </row>
    <row r="1605" spans="3:15" x14ac:dyDescent="0.25">
      <c r="C1605"/>
      <c r="F1605"/>
      <c r="G1605"/>
      <c r="H1605"/>
      <c r="L1605"/>
      <c r="O1605"/>
    </row>
    <row r="1606" spans="3:15" x14ac:dyDescent="0.25">
      <c r="C1606"/>
      <c r="F1606"/>
      <c r="G1606"/>
      <c r="H1606"/>
      <c r="L1606"/>
      <c r="O1606"/>
    </row>
    <row r="1607" spans="3:15" x14ac:dyDescent="0.25">
      <c r="C1607"/>
      <c r="F1607"/>
      <c r="G1607"/>
      <c r="H1607"/>
      <c r="L1607"/>
      <c r="O1607"/>
    </row>
    <row r="1608" spans="3:15" x14ac:dyDescent="0.25">
      <c r="C1608"/>
      <c r="F1608"/>
      <c r="G1608"/>
      <c r="H1608"/>
      <c r="L1608"/>
      <c r="O1608"/>
    </row>
    <row r="1609" spans="3:15" x14ac:dyDescent="0.25">
      <c r="C1609"/>
      <c r="F1609"/>
      <c r="G1609"/>
      <c r="H1609"/>
      <c r="L1609"/>
      <c r="O1609"/>
    </row>
    <row r="1610" spans="3:15" x14ac:dyDescent="0.25">
      <c r="C1610"/>
      <c r="F1610"/>
      <c r="G1610"/>
      <c r="H1610"/>
      <c r="L1610"/>
      <c r="O1610"/>
    </row>
    <row r="1611" spans="3:15" x14ac:dyDescent="0.25">
      <c r="C1611"/>
      <c r="F1611"/>
      <c r="G1611"/>
      <c r="H1611"/>
      <c r="L1611"/>
      <c r="O1611"/>
    </row>
    <row r="1612" spans="3:15" x14ac:dyDescent="0.25">
      <c r="C1612"/>
      <c r="F1612"/>
      <c r="G1612"/>
      <c r="H1612"/>
      <c r="L1612"/>
      <c r="O1612"/>
    </row>
    <row r="1613" spans="3:15" x14ac:dyDescent="0.25">
      <c r="C1613"/>
      <c r="F1613"/>
      <c r="G1613"/>
      <c r="H1613"/>
      <c r="L1613"/>
      <c r="O1613"/>
    </row>
    <row r="1614" spans="3:15" x14ac:dyDescent="0.25">
      <c r="C1614"/>
      <c r="F1614"/>
      <c r="G1614"/>
      <c r="H1614"/>
      <c r="L1614"/>
      <c r="O1614"/>
    </row>
    <row r="1615" spans="3:15" x14ac:dyDescent="0.25">
      <c r="C1615"/>
      <c r="F1615"/>
      <c r="G1615"/>
      <c r="H1615"/>
      <c r="L1615"/>
      <c r="O1615"/>
    </row>
    <row r="1616" spans="3:15" x14ac:dyDescent="0.25">
      <c r="C1616"/>
      <c r="F1616"/>
      <c r="G1616"/>
      <c r="H1616"/>
      <c r="L1616"/>
      <c r="O1616"/>
    </row>
    <row r="1617" spans="3:15" x14ac:dyDescent="0.25">
      <c r="C1617"/>
      <c r="F1617"/>
      <c r="G1617"/>
      <c r="H1617"/>
      <c r="L1617"/>
      <c r="O1617"/>
    </row>
    <row r="1618" spans="3:15" x14ac:dyDescent="0.25">
      <c r="C1618"/>
      <c r="F1618"/>
      <c r="G1618"/>
      <c r="H1618"/>
      <c r="L1618"/>
      <c r="O1618"/>
    </row>
    <row r="1619" spans="3:15" x14ac:dyDescent="0.25">
      <c r="C1619"/>
      <c r="F1619"/>
      <c r="G1619"/>
      <c r="H1619"/>
      <c r="L1619"/>
      <c r="O1619"/>
    </row>
    <row r="1620" spans="3:15" x14ac:dyDescent="0.25">
      <c r="C1620"/>
      <c r="F1620"/>
      <c r="G1620"/>
      <c r="H1620"/>
      <c r="L1620"/>
      <c r="O1620"/>
    </row>
    <row r="1621" spans="3:15" x14ac:dyDescent="0.25">
      <c r="C1621"/>
      <c r="F1621"/>
      <c r="G1621"/>
      <c r="H1621"/>
      <c r="L1621"/>
      <c r="O1621"/>
    </row>
    <row r="1622" spans="3:15" x14ac:dyDescent="0.25">
      <c r="C1622"/>
      <c r="F1622"/>
      <c r="G1622"/>
      <c r="H1622"/>
      <c r="L1622"/>
      <c r="O1622"/>
    </row>
    <row r="1623" spans="3:15" x14ac:dyDescent="0.25">
      <c r="C1623"/>
      <c r="F1623"/>
      <c r="G1623"/>
      <c r="H1623"/>
      <c r="L1623"/>
      <c r="O1623"/>
    </row>
    <row r="1624" spans="3:15" x14ac:dyDescent="0.25">
      <c r="C1624"/>
      <c r="F1624"/>
      <c r="G1624"/>
      <c r="H1624"/>
      <c r="L1624"/>
      <c r="O1624"/>
    </row>
    <row r="1625" spans="3:15" x14ac:dyDescent="0.25">
      <c r="C1625"/>
      <c r="F1625"/>
      <c r="G1625"/>
      <c r="H1625"/>
      <c r="L1625"/>
      <c r="O1625"/>
    </row>
    <row r="1626" spans="3:15" x14ac:dyDescent="0.25">
      <c r="C1626"/>
      <c r="F1626"/>
      <c r="G1626"/>
      <c r="H1626"/>
      <c r="L1626"/>
      <c r="O1626"/>
    </row>
    <row r="1627" spans="3:15" x14ac:dyDescent="0.25">
      <c r="C1627"/>
      <c r="F1627"/>
      <c r="G1627"/>
      <c r="H1627"/>
      <c r="L1627"/>
      <c r="O1627"/>
    </row>
    <row r="1628" spans="3:15" x14ac:dyDescent="0.25">
      <c r="C1628"/>
      <c r="F1628"/>
      <c r="G1628"/>
      <c r="H1628"/>
      <c r="L1628"/>
      <c r="O1628"/>
    </row>
    <row r="1629" spans="3:15" x14ac:dyDescent="0.25">
      <c r="C1629"/>
      <c r="F1629"/>
      <c r="G1629"/>
      <c r="H1629"/>
      <c r="L1629"/>
      <c r="O1629"/>
    </row>
    <row r="1630" spans="3:15" x14ac:dyDescent="0.25">
      <c r="C1630"/>
      <c r="F1630"/>
      <c r="G1630"/>
      <c r="H1630"/>
      <c r="L1630"/>
      <c r="O1630"/>
    </row>
    <row r="1631" spans="3:15" x14ac:dyDescent="0.25">
      <c r="C1631"/>
      <c r="F1631"/>
      <c r="G1631"/>
      <c r="H1631"/>
      <c r="L1631"/>
      <c r="O1631"/>
    </row>
    <row r="1632" spans="3:15" x14ac:dyDescent="0.25">
      <c r="C1632"/>
      <c r="F1632"/>
      <c r="G1632"/>
      <c r="H1632"/>
      <c r="L1632"/>
      <c r="O1632"/>
    </row>
    <row r="1633" spans="3:15" x14ac:dyDescent="0.25">
      <c r="C1633"/>
      <c r="F1633"/>
      <c r="G1633"/>
      <c r="H1633"/>
      <c r="L1633"/>
      <c r="O1633"/>
    </row>
    <row r="1634" spans="3:15" x14ac:dyDescent="0.25">
      <c r="C1634"/>
      <c r="F1634"/>
      <c r="G1634"/>
      <c r="H1634"/>
      <c r="L1634"/>
      <c r="O1634"/>
    </row>
    <row r="1635" spans="3:15" x14ac:dyDescent="0.25">
      <c r="C1635"/>
      <c r="F1635"/>
      <c r="G1635"/>
      <c r="H1635"/>
      <c r="L1635"/>
      <c r="O1635"/>
    </row>
    <row r="1636" spans="3:15" x14ac:dyDescent="0.25">
      <c r="C1636"/>
      <c r="F1636"/>
      <c r="G1636"/>
      <c r="H1636"/>
      <c r="L1636"/>
      <c r="O1636"/>
    </row>
    <row r="1637" spans="3:15" x14ac:dyDescent="0.25">
      <c r="C1637"/>
      <c r="F1637"/>
      <c r="G1637"/>
      <c r="H1637"/>
      <c r="L1637"/>
      <c r="O1637"/>
    </row>
    <row r="1638" spans="3:15" x14ac:dyDescent="0.25">
      <c r="C1638"/>
      <c r="F1638"/>
      <c r="G1638"/>
      <c r="H1638"/>
      <c r="L1638"/>
      <c r="O1638"/>
    </row>
    <row r="1639" spans="3:15" x14ac:dyDescent="0.25">
      <c r="C1639"/>
      <c r="F1639"/>
      <c r="G1639"/>
      <c r="H1639"/>
      <c r="L1639"/>
      <c r="O1639"/>
    </row>
    <row r="1640" spans="3:15" x14ac:dyDescent="0.25">
      <c r="C1640"/>
      <c r="F1640"/>
      <c r="G1640"/>
      <c r="H1640"/>
      <c r="L1640"/>
      <c r="O1640"/>
    </row>
    <row r="1641" spans="3:15" x14ac:dyDescent="0.25">
      <c r="C1641"/>
      <c r="F1641"/>
      <c r="G1641"/>
      <c r="H1641"/>
      <c r="L1641"/>
      <c r="O1641"/>
    </row>
    <row r="1642" spans="3:15" x14ac:dyDescent="0.25">
      <c r="C1642"/>
      <c r="F1642"/>
      <c r="G1642"/>
      <c r="H1642"/>
      <c r="L1642"/>
      <c r="O1642"/>
    </row>
    <row r="1643" spans="3:15" x14ac:dyDescent="0.25">
      <c r="C1643"/>
      <c r="F1643"/>
      <c r="G1643"/>
      <c r="H1643"/>
      <c r="L1643"/>
      <c r="O1643"/>
    </row>
    <row r="1644" spans="3:15" x14ac:dyDescent="0.25">
      <c r="C1644"/>
      <c r="F1644"/>
      <c r="G1644"/>
      <c r="H1644"/>
      <c r="L1644"/>
      <c r="O1644"/>
    </row>
    <row r="1645" spans="3:15" x14ac:dyDescent="0.25">
      <c r="C1645"/>
      <c r="F1645"/>
      <c r="G1645"/>
      <c r="H1645"/>
      <c r="L1645"/>
      <c r="O1645"/>
    </row>
    <row r="1646" spans="3:15" x14ac:dyDescent="0.25">
      <c r="C1646"/>
      <c r="F1646"/>
      <c r="G1646"/>
      <c r="H1646"/>
      <c r="L1646"/>
      <c r="O1646"/>
    </row>
    <row r="1647" spans="3:15" x14ac:dyDescent="0.25">
      <c r="C1647"/>
      <c r="F1647"/>
      <c r="G1647"/>
      <c r="H1647"/>
      <c r="L1647"/>
      <c r="O1647"/>
    </row>
    <row r="1648" spans="3:15" x14ac:dyDescent="0.25">
      <c r="C1648"/>
      <c r="F1648"/>
      <c r="G1648"/>
      <c r="H1648"/>
      <c r="L1648"/>
      <c r="O1648"/>
    </row>
    <row r="1649" spans="3:15" x14ac:dyDescent="0.25">
      <c r="C1649"/>
      <c r="F1649"/>
      <c r="G1649"/>
      <c r="H1649"/>
      <c r="L1649"/>
      <c r="O1649"/>
    </row>
    <row r="1650" spans="3:15" x14ac:dyDescent="0.25">
      <c r="C1650"/>
      <c r="F1650"/>
      <c r="G1650"/>
      <c r="H1650"/>
      <c r="L1650"/>
      <c r="O1650"/>
    </row>
    <row r="1651" spans="3:15" x14ac:dyDescent="0.25">
      <c r="C1651"/>
      <c r="F1651"/>
      <c r="G1651"/>
      <c r="H1651"/>
      <c r="L1651"/>
      <c r="O1651"/>
    </row>
    <row r="1652" spans="3:15" x14ac:dyDescent="0.25">
      <c r="C1652"/>
      <c r="F1652"/>
      <c r="G1652"/>
      <c r="H1652"/>
      <c r="L1652"/>
      <c r="O1652"/>
    </row>
    <row r="1653" spans="3:15" x14ac:dyDescent="0.25">
      <c r="C1653"/>
      <c r="F1653"/>
      <c r="G1653"/>
      <c r="H1653"/>
      <c r="L1653"/>
      <c r="O1653"/>
    </row>
    <row r="1654" spans="3:15" x14ac:dyDescent="0.25">
      <c r="C1654"/>
      <c r="F1654"/>
      <c r="G1654"/>
      <c r="H1654"/>
      <c r="L1654"/>
      <c r="O1654"/>
    </row>
    <row r="1655" spans="3:15" x14ac:dyDescent="0.25">
      <c r="C1655"/>
      <c r="F1655"/>
      <c r="G1655"/>
      <c r="H1655"/>
      <c r="L1655"/>
      <c r="O1655"/>
    </row>
    <row r="1656" spans="3:15" x14ac:dyDescent="0.25">
      <c r="C1656"/>
      <c r="F1656"/>
      <c r="G1656"/>
      <c r="H1656"/>
      <c r="L1656"/>
      <c r="O1656"/>
    </row>
    <row r="1657" spans="3:15" x14ac:dyDescent="0.25">
      <c r="C1657"/>
      <c r="F1657"/>
      <c r="G1657"/>
      <c r="H1657"/>
      <c r="L1657"/>
      <c r="O1657"/>
    </row>
    <row r="1658" spans="3:15" x14ac:dyDescent="0.25">
      <c r="C1658"/>
      <c r="F1658"/>
      <c r="G1658"/>
      <c r="H1658"/>
      <c r="L1658"/>
      <c r="O1658"/>
    </row>
    <row r="1659" spans="3:15" x14ac:dyDescent="0.25">
      <c r="C1659"/>
      <c r="F1659"/>
      <c r="G1659"/>
      <c r="H1659"/>
      <c r="L1659"/>
      <c r="O1659"/>
    </row>
    <row r="1660" spans="3:15" x14ac:dyDescent="0.25">
      <c r="C1660"/>
      <c r="F1660"/>
      <c r="G1660"/>
      <c r="H1660"/>
      <c r="L1660"/>
      <c r="O1660"/>
    </row>
    <row r="1661" spans="3:15" x14ac:dyDescent="0.25">
      <c r="C1661"/>
      <c r="F1661"/>
      <c r="G1661"/>
      <c r="H1661"/>
      <c r="L1661"/>
      <c r="O1661"/>
    </row>
    <row r="1662" spans="3:15" x14ac:dyDescent="0.25">
      <c r="C1662"/>
      <c r="F1662"/>
      <c r="G1662"/>
      <c r="H1662"/>
      <c r="L1662"/>
      <c r="O1662"/>
    </row>
    <row r="1663" spans="3:15" x14ac:dyDescent="0.25">
      <c r="C1663"/>
      <c r="F1663"/>
      <c r="G1663"/>
      <c r="H1663"/>
      <c r="L1663"/>
      <c r="O1663"/>
    </row>
    <row r="1664" spans="3:15" x14ac:dyDescent="0.25">
      <c r="C1664"/>
      <c r="F1664"/>
      <c r="G1664"/>
      <c r="H1664"/>
      <c r="L1664"/>
      <c r="O1664"/>
    </row>
    <row r="1665" spans="3:15" x14ac:dyDescent="0.25">
      <c r="C1665"/>
      <c r="F1665"/>
      <c r="G1665"/>
      <c r="H1665"/>
      <c r="L1665"/>
      <c r="O1665"/>
    </row>
    <row r="1666" spans="3:15" x14ac:dyDescent="0.25">
      <c r="C1666"/>
      <c r="F1666"/>
      <c r="G1666"/>
      <c r="H1666"/>
      <c r="L1666"/>
      <c r="O1666"/>
    </row>
    <row r="1667" spans="3:15" x14ac:dyDescent="0.25">
      <c r="C1667"/>
      <c r="F1667"/>
      <c r="G1667"/>
      <c r="H1667"/>
      <c r="L1667"/>
      <c r="O1667"/>
    </row>
    <row r="1668" spans="3:15" x14ac:dyDescent="0.25">
      <c r="C1668"/>
      <c r="F1668"/>
      <c r="G1668"/>
      <c r="H1668"/>
      <c r="L1668"/>
      <c r="O1668"/>
    </row>
    <row r="1669" spans="3:15" x14ac:dyDescent="0.25">
      <c r="C1669"/>
      <c r="F1669"/>
      <c r="G1669"/>
      <c r="H1669"/>
      <c r="L1669"/>
      <c r="O1669"/>
    </row>
    <row r="1670" spans="3:15" x14ac:dyDescent="0.25">
      <c r="C1670"/>
      <c r="F1670"/>
      <c r="G1670"/>
      <c r="H1670"/>
      <c r="L1670"/>
      <c r="O1670"/>
    </row>
    <row r="1671" spans="3:15" x14ac:dyDescent="0.25">
      <c r="C1671"/>
      <c r="F1671"/>
      <c r="G1671"/>
      <c r="H1671"/>
      <c r="L1671"/>
      <c r="O1671"/>
    </row>
    <row r="1672" spans="3:15" x14ac:dyDescent="0.25">
      <c r="C1672"/>
      <c r="F1672"/>
      <c r="G1672"/>
      <c r="H1672"/>
      <c r="L1672"/>
      <c r="O1672"/>
    </row>
    <row r="1673" spans="3:15" x14ac:dyDescent="0.25">
      <c r="C1673"/>
      <c r="F1673"/>
      <c r="G1673"/>
      <c r="H1673"/>
      <c r="L1673"/>
      <c r="O1673"/>
    </row>
    <row r="1674" spans="3:15" x14ac:dyDescent="0.25">
      <c r="C1674"/>
      <c r="F1674"/>
      <c r="G1674"/>
      <c r="H1674"/>
      <c r="L1674"/>
      <c r="O1674"/>
    </row>
    <row r="1675" spans="3:15" x14ac:dyDescent="0.25">
      <c r="C1675"/>
      <c r="F1675"/>
      <c r="G1675"/>
      <c r="H1675"/>
      <c r="L1675"/>
      <c r="O1675"/>
    </row>
    <row r="1676" spans="3:15" x14ac:dyDescent="0.25">
      <c r="C1676"/>
      <c r="F1676"/>
      <c r="G1676"/>
      <c r="H1676"/>
      <c r="L1676"/>
      <c r="O1676"/>
    </row>
    <row r="1677" spans="3:15" x14ac:dyDescent="0.25">
      <c r="C1677"/>
      <c r="F1677"/>
      <c r="G1677"/>
      <c r="H1677"/>
      <c r="L1677"/>
      <c r="O1677"/>
    </row>
    <row r="1678" spans="3:15" x14ac:dyDescent="0.25">
      <c r="C1678"/>
      <c r="F1678"/>
      <c r="G1678"/>
      <c r="H1678"/>
      <c r="L1678"/>
      <c r="O1678"/>
    </row>
    <row r="1679" spans="3:15" x14ac:dyDescent="0.25">
      <c r="C1679"/>
      <c r="F1679"/>
      <c r="G1679"/>
      <c r="H1679"/>
      <c r="L1679"/>
      <c r="O1679"/>
    </row>
    <row r="1680" spans="3:15" x14ac:dyDescent="0.25">
      <c r="C1680"/>
      <c r="F1680"/>
      <c r="G1680"/>
      <c r="H1680"/>
      <c r="L1680"/>
      <c r="O1680"/>
    </row>
    <row r="1681" spans="3:15" x14ac:dyDescent="0.25">
      <c r="C1681"/>
      <c r="F1681"/>
      <c r="G1681"/>
      <c r="H1681"/>
      <c r="L1681"/>
      <c r="O1681"/>
    </row>
    <row r="1682" spans="3:15" x14ac:dyDescent="0.25">
      <c r="C1682"/>
      <c r="F1682"/>
      <c r="G1682"/>
      <c r="H1682"/>
      <c r="L1682"/>
      <c r="O1682"/>
    </row>
    <row r="1683" spans="3:15" x14ac:dyDescent="0.25">
      <c r="C1683"/>
      <c r="F1683"/>
      <c r="G1683"/>
      <c r="H1683"/>
      <c r="L1683"/>
      <c r="O1683"/>
    </row>
    <row r="1684" spans="3:15" x14ac:dyDescent="0.25">
      <c r="C1684"/>
      <c r="F1684"/>
      <c r="G1684"/>
      <c r="H1684"/>
      <c r="L1684"/>
      <c r="O1684"/>
    </row>
    <row r="1685" spans="3:15" x14ac:dyDescent="0.25">
      <c r="C1685"/>
      <c r="F1685"/>
      <c r="G1685"/>
      <c r="H1685"/>
      <c r="L1685"/>
      <c r="O1685"/>
    </row>
    <row r="1686" spans="3:15" x14ac:dyDescent="0.25">
      <c r="C1686"/>
      <c r="F1686"/>
      <c r="G1686"/>
      <c r="H1686"/>
      <c r="L1686"/>
      <c r="O1686"/>
    </row>
    <row r="1687" spans="3:15" x14ac:dyDescent="0.25">
      <c r="C1687"/>
      <c r="F1687"/>
      <c r="G1687"/>
      <c r="H1687"/>
      <c r="L1687"/>
      <c r="O1687"/>
    </row>
    <row r="1688" spans="3:15" x14ac:dyDescent="0.25">
      <c r="C1688"/>
      <c r="F1688"/>
      <c r="G1688"/>
      <c r="H1688"/>
      <c r="L1688"/>
      <c r="O1688"/>
    </row>
    <row r="1689" spans="3:15" x14ac:dyDescent="0.25">
      <c r="C1689"/>
      <c r="F1689"/>
      <c r="G1689"/>
      <c r="H1689"/>
      <c r="L1689"/>
      <c r="O1689"/>
    </row>
    <row r="1690" spans="3:15" x14ac:dyDescent="0.25">
      <c r="C1690"/>
      <c r="F1690"/>
      <c r="G1690"/>
      <c r="H1690"/>
      <c r="L1690"/>
      <c r="O1690"/>
    </row>
    <row r="1691" spans="3:15" x14ac:dyDescent="0.25">
      <c r="C1691"/>
      <c r="F1691"/>
      <c r="G1691"/>
      <c r="H1691"/>
      <c r="L1691"/>
      <c r="O1691"/>
    </row>
    <row r="1692" spans="3:15" x14ac:dyDescent="0.25">
      <c r="C1692"/>
      <c r="F1692"/>
      <c r="G1692"/>
      <c r="H1692"/>
      <c r="L1692"/>
      <c r="O1692"/>
    </row>
    <row r="1693" spans="3:15" x14ac:dyDescent="0.25">
      <c r="C1693"/>
      <c r="F1693"/>
      <c r="G1693"/>
      <c r="H1693"/>
      <c r="L1693"/>
      <c r="O1693"/>
    </row>
    <row r="1694" spans="3:15" x14ac:dyDescent="0.25">
      <c r="C1694"/>
      <c r="F1694"/>
      <c r="G1694"/>
      <c r="H1694"/>
      <c r="L1694"/>
      <c r="O1694"/>
    </row>
    <row r="1695" spans="3:15" x14ac:dyDescent="0.25">
      <c r="C1695"/>
      <c r="F1695"/>
      <c r="G1695"/>
      <c r="H1695"/>
      <c r="L1695"/>
      <c r="O1695"/>
    </row>
    <row r="1696" spans="3:15" x14ac:dyDescent="0.25">
      <c r="C1696"/>
      <c r="F1696"/>
      <c r="G1696"/>
      <c r="H1696"/>
      <c r="L1696"/>
      <c r="O1696"/>
    </row>
    <row r="1697" spans="3:15" x14ac:dyDescent="0.25">
      <c r="C1697"/>
      <c r="F1697"/>
      <c r="G1697"/>
      <c r="H1697"/>
      <c r="L1697"/>
      <c r="O1697"/>
    </row>
    <row r="1698" spans="3:15" x14ac:dyDescent="0.25">
      <c r="C1698"/>
      <c r="F1698"/>
      <c r="G1698"/>
      <c r="H1698"/>
      <c r="L1698"/>
      <c r="O1698"/>
    </row>
    <row r="1699" spans="3:15" x14ac:dyDescent="0.25">
      <c r="C1699"/>
      <c r="F1699"/>
      <c r="G1699"/>
      <c r="H1699"/>
      <c r="L1699"/>
      <c r="O1699"/>
    </row>
    <row r="1700" spans="3:15" x14ac:dyDescent="0.25">
      <c r="C1700"/>
      <c r="F1700"/>
      <c r="G1700"/>
      <c r="H1700"/>
      <c r="L1700"/>
      <c r="O1700"/>
    </row>
    <row r="1701" spans="3:15" x14ac:dyDescent="0.25">
      <c r="C1701"/>
      <c r="F1701"/>
      <c r="G1701"/>
      <c r="H1701"/>
      <c r="L1701"/>
      <c r="O1701"/>
    </row>
    <row r="1702" spans="3:15" x14ac:dyDescent="0.25">
      <c r="C1702"/>
      <c r="F1702"/>
      <c r="G1702"/>
      <c r="H1702"/>
      <c r="L1702"/>
      <c r="O1702"/>
    </row>
    <row r="1703" spans="3:15" x14ac:dyDescent="0.25">
      <c r="C1703"/>
      <c r="F1703"/>
      <c r="G1703"/>
      <c r="H1703"/>
      <c r="L1703"/>
      <c r="O1703"/>
    </row>
    <row r="1704" spans="3:15" x14ac:dyDescent="0.25">
      <c r="C1704"/>
      <c r="F1704"/>
      <c r="G1704"/>
      <c r="H1704"/>
      <c r="L1704"/>
      <c r="O1704"/>
    </row>
    <row r="1705" spans="3:15" x14ac:dyDescent="0.25">
      <c r="C1705"/>
      <c r="F1705"/>
      <c r="G1705"/>
      <c r="H1705"/>
      <c r="L1705"/>
      <c r="O1705"/>
    </row>
    <row r="1706" spans="3:15" x14ac:dyDescent="0.25">
      <c r="C1706"/>
      <c r="F1706"/>
      <c r="G1706"/>
      <c r="H1706"/>
      <c r="L1706"/>
      <c r="O1706"/>
    </row>
    <row r="1707" spans="3:15" x14ac:dyDescent="0.25">
      <c r="C1707"/>
      <c r="F1707"/>
      <c r="G1707"/>
      <c r="H1707"/>
      <c r="L1707"/>
      <c r="O1707"/>
    </row>
    <row r="1708" spans="3:15" x14ac:dyDescent="0.25">
      <c r="C1708"/>
      <c r="F1708"/>
      <c r="G1708"/>
      <c r="H1708"/>
      <c r="L1708"/>
      <c r="O1708"/>
    </row>
    <row r="1709" spans="3:15" x14ac:dyDescent="0.25">
      <c r="C1709"/>
      <c r="F1709"/>
      <c r="G1709"/>
      <c r="H1709"/>
      <c r="L1709"/>
      <c r="O1709"/>
    </row>
    <row r="1710" spans="3:15" x14ac:dyDescent="0.25">
      <c r="C1710"/>
      <c r="F1710"/>
      <c r="G1710"/>
      <c r="H1710"/>
      <c r="L1710"/>
      <c r="O1710"/>
    </row>
    <row r="1711" spans="3:15" x14ac:dyDescent="0.25">
      <c r="C1711"/>
      <c r="F1711"/>
      <c r="G1711"/>
      <c r="H1711"/>
      <c r="L1711"/>
      <c r="O1711"/>
    </row>
    <row r="1712" spans="3:15" x14ac:dyDescent="0.25">
      <c r="C1712"/>
      <c r="F1712"/>
      <c r="G1712"/>
      <c r="H1712"/>
      <c r="L1712"/>
      <c r="O1712"/>
    </row>
    <row r="1713" spans="3:15" x14ac:dyDescent="0.25">
      <c r="C1713"/>
      <c r="F1713"/>
      <c r="G1713"/>
      <c r="H1713"/>
      <c r="L1713"/>
      <c r="O1713"/>
    </row>
    <row r="1714" spans="3:15" x14ac:dyDescent="0.25">
      <c r="C1714"/>
      <c r="F1714"/>
      <c r="G1714"/>
      <c r="H1714"/>
      <c r="L1714"/>
      <c r="O1714"/>
    </row>
    <row r="1715" spans="3:15" x14ac:dyDescent="0.25">
      <c r="C1715"/>
      <c r="F1715"/>
      <c r="G1715"/>
      <c r="H1715"/>
      <c r="L1715"/>
      <c r="O1715"/>
    </row>
    <row r="1716" spans="3:15" x14ac:dyDescent="0.25">
      <c r="C1716"/>
      <c r="F1716"/>
      <c r="G1716"/>
      <c r="H1716"/>
      <c r="L1716"/>
      <c r="O1716"/>
    </row>
    <row r="1717" spans="3:15" x14ac:dyDescent="0.25">
      <c r="C1717"/>
      <c r="F1717"/>
      <c r="G1717"/>
      <c r="H1717"/>
      <c r="L1717"/>
      <c r="O1717"/>
    </row>
    <row r="1718" spans="3:15" x14ac:dyDescent="0.25">
      <c r="C1718"/>
      <c r="F1718"/>
      <c r="G1718"/>
      <c r="H1718"/>
      <c r="L1718"/>
      <c r="O1718"/>
    </row>
    <row r="1719" spans="3:15" x14ac:dyDescent="0.25">
      <c r="C1719"/>
      <c r="F1719"/>
      <c r="G1719"/>
      <c r="H1719"/>
      <c r="L1719"/>
      <c r="O1719"/>
    </row>
    <row r="1720" spans="3:15" x14ac:dyDescent="0.25">
      <c r="C1720"/>
      <c r="F1720"/>
      <c r="G1720"/>
      <c r="H1720"/>
      <c r="L1720"/>
      <c r="O1720"/>
    </row>
    <row r="1721" spans="3:15" x14ac:dyDescent="0.25">
      <c r="C1721"/>
      <c r="F1721"/>
      <c r="G1721"/>
      <c r="H1721"/>
      <c r="L1721"/>
      <c r="O1721"/>
    </row>
    <row r="1722" spans="3:15" x14ac:dyDescent="0.25">
      <c r="C1722"/>
      <c r="F1722"/>
      <c r="G1722"/>
      <c r="H1722"/>
      <c r="L1722"/>
      <c r="O1722"/>
    </row>
    <row r="1723" spans="3:15" x14ac:dyDescent="0.25">
      <c r="C1723"/>
      <c r="F1723"/>
      <c r="G1723"/>
      <c r="H1723"/>
      <c r="L1723"/>
      <c r="O1723"/>
    </row>
    <row r="1724" spans="3:15" x14ac:dyDescent="0.25">
      <c r="C1724"/>
      <c r="F1724"/>
      <c r="G1724"/>
      <c r="H1724"/>
      <c r="L1724"/>
      <c r="O1724"/>
    </row>
    <row r="1725" spans="3:15" x14ac:dyDescent="0.25">
      <c r="C1725"/>
      <c r="F1725"/>
      <c r="G1725"/>
      <c r="H1725"/>
      <c r="L1725"/>
      <c r="O1725"/>
    </row>
    <row r="1726" spans="3:15" x14ac:dyDescent="0.25">
      <c r="C1726"/>
      <c r="F1726"/>
      <c r="G1726"/>
      <c r="H1726"/>
      <c r="L1726"/>
      <c r="O1726"/>
    </row>
    <row r="1727" spans="3:15" x14ac:dyDescent="0.25">
      <c r="C1727"/>
      <c r="F1727"/>
      <c r="G1727"/>
      <c r="H1727"/>
      <c r="L1727"/>
      <c r="O1727"/>
    </row>
    <row r="1728" spans="3:15" x14ac:dyDescent="0.25">
      <c r="C1728"/>
      <c r="F1728"/>
      <c r="G1728"/>
      <c r="H1728"/>
      <c r="L1728"/>
      <c r="O1728"/>
    </row>
    <row r="1729" spans="3:15" x14ac:dyDescent="0.25">
      <c r="C1729"/>
      <c r="F1729"/>
      <c r="G1729"/>
      <c r="H1729"/>
      <c r="L1729"/>
      <c r="O1729"/>
    </row>
    <row r="1730" spans="3:15" x14ac:dyDescent="0.25">
      <c r="C1730"/>
      <c r="F1730"/>
      <c r="G1730"/>
      <c r="H1730"/>
      <c r="L1730"/>
      <c r="O1730"/>
    </row>
    <row r="1731" spans="3:15" x14ac:dyDescent="0.25">
      <c r="C1731"/>
      <c r="F1731"/>
      <c r="G1731"/>
      <c r="H1731"/>
      <c r="L1731"/>
      <c r="O1731"/>
    </row>
    <row r="1732" spans="3:15" x14ac:dyDescent="0.25">
      <c r="C1732"/>
      <c r="F1732"/>
      <c r="G1732"/>
      <c r="H1732"/>
      <c r="L1732"/>
      <c r="O1732"/>
    </row>
    <row r="1733" spans="3:15" x14ac:dyDescent="0.25">
      <c r="C1733"/>
      <c r="F1733"/>
      <c r="G1733"/>
      <c r="H1733"/>
      <c r="L1733"/>
      <c r="O1733"/>
    </row>
    <row r="1734" spans="3:15" x14ac:dyDescent="0.25">
      <c r="C1734"/>
      <c r="F1734"/>
      <c r="G1734"/>
      <c r="H1734"/>
      <c r="L1734"/>
      <c r="O1734"/>
    </row>
    <row r="1735" spans="3:15" x14ac:dyDescent="0.25">
      <c r="C1735"/>
      <c r="F1735"/>
      <c r="G1735"/>
      <c r="H1735"/>
      <c r="L1735"/>
      <c r="O1735"/>
    </row>
    <row r="1736" spans="3:15" x14ac:dyDescent="0.25">
      <c r="C1736"/>
      <c r="F1736"/>
      <c r="G1736"/>
      <c r="H1736"/>
      <c r="L1736"/>
      <c r="O1736"/>
    </row>
    <row r="1737" spans="3:15" x14ac:dyDescent="0.25">
      <c r="C1737"/>
      <c r="F1737"/>
      <c r="G1737"/>
      <c r="H1737"/>
      <c r="L1737"/>
      <c r="O1737"/>
    </row>
    <row r="1738" spans="3:15" x14ac:dyDescent="0.25">
      <c r="C1738"/>
      <c r="F1738"/>
      <c r="G1738"/>
      <c r="H1738"/>
      <c r="L1738"/>
      <c r="O1738"/>
    </row>
    <row r="1739" spans="3:15" x14ac:dyDescent="0.25">
      <c r="C1739"/>
      <c r="F1739"/>
      <c r="G1739"/>
      <c r="H1739"/>
      <c r="L1739"/>
      <c r="O1739"/>
    </row>
    <row r="1740" spans="3:15" x14ac:dyDescent="0.25">
      <c r="C1740"/>
      <c r="F1740"/>
      <c r="G1740"/>
      <c r="H1740"/>
      <c r="L1740"/>
      <c r="O1740"/>
    </row>
    <row r="1741" spans="3:15" x14ac:dyDescent="0.25">
      <c r="C1741"/>
      <c r="F1741"/>
      <c r="G1741"/>
      <c r="H1741"/>
      <c r="L1741"/>
      <c r="O1741"/>
    </row>
    <row r="1742" spans="3:15" x14ac:dyDescent="0.25">
      <c r="C1742"/>
      <c r="F1742"/>
      <c r="G1742"/>
      <c r="H1742"/>
      <c r="L1742"/>
      <c r="O1742"/>
    </row>
    <row r="1743" spans="3:15" x14ac:dyDescent="0.25">
      <c r="C1743"/>
      <c r="F1743"/>
      <c r="G1743"/>
      <c r="H1743"/>
      <c r="L1743"/>
      <c r="O1743"/>
    </row>
    <row r="1744" spans="3:15" x14ac:dyDescent="0.25">
      <c r="C1744"/>
      <c r="F1744"/>
      <c r="G1744"/>
      <c r="H1744"/>
      <c r="L1744"/>
      <c r="O1744"/>
    </row>
    <row r="1745" spans="3:15" x14ac:dyDescent="0.25">
      <c r="C1745"/>
      <c r="F1745"/>
      <c r="G1745"/>
      <c r="H1745"/>
      <c r="L1745"/>
      <c r="O1745"/>
    </row>
    <row r="1746" spans="3:15" x14ac:dyDescent="0.25">
      <c r="C1746"/>
      <c r="F1746"/>
      <c r="G1746"/>
      <c r="H1746"/>
      <c r="L1746"/>
      <c r="O1746"/>
    </row>
    <row r="1747" spans="3:15" x14ac:dyDescent="0.25">
      <c r="C1747"/>
      <c r="F1747"/>
      <c r="G1747"/>
      <c r="H1747"/>
      <c r="L1747"/>
      <c r="O1747"/>
    </row>
    <row r="1748" spans="3:15" x14ac:dyDescent="0.25">
      <c r="C1748"/>
      <c r="F1748"/>
      <c r="G1748"/>
      <c r="H1748"/>
      <c r="L1748"/>
      <c r="O1748"/>
    </row>
    <row r="1749" spans="3:15" x14ac:dyDescent="0.25">
      <c r="C1749"/>
      <c r="F1749"/>
      <c r="G1749"/>
      <c r="H1749"/>
      <c r="L1749"/>
      <c r="O1749"/>
    </row>
    <row r="1750" spans="3:15" x14ac:dyDescent="0.25">
      <c r="C1750"/>
      <c r="F1750"/>
      <c r="G1750"/>
      <c r="H1750"/>
      <c r="L1750"/>
      <c r="O1750"/>
    </row>
    <row r="1751" spans="3:15" x14ac:dyDescent="0.25">
      <c r="C1751"/>
      <c r="F1751"/>
      <c r="G1751"/>
      <c r="H1751"/>
      <c r="L1751"/>
      <c r="O1751"/>
    </row>
    <row r="1752" spans="3:15" x14ac:dyDescent="0.25">
      <c r="C1752"/>
      <c r="F1752"/>
      <c r="G1752"/>
      <c r="H1752"/>
      <c r="L1752"/>
      <c r="O1752"/>
    </row>
    <row r="1753" spans="3:15" x14ac:dyDescent="0.25">
      <c r="C1753"/>
      <c r="F1753"/>
      <c r="G1753"/>
      <c r="H1753"/>
      <c r="L1753"/>
      <c r="O1753"/>
    </row>
    <row r="1754" spans="3:15" x14ac:dyDescent="0.25">
      <c r="C1754"/>
      <c r="F1754"/>
      <c r="G1754"/>
      <c r="H1754"/>
      <c r="L1754"/>
      <c r="O1754"/>
    </row>
    <row r="1755" spans="3:15" x14ac:dyDescent="0.25">
      <c r="C1755"/>
      <c r="F1755"/>
      <c r="G1755"/>
      <c r="H1755"/>
      <c r="L1755"/>
      <c r="O1755"/>
    </row>
    <row r="1756" spans="3:15" x14ac:dyDescent="0.25">
      <c r="C1756"/>
      <c r="F1756"/>
      <c r="G1756"/>
      <c r="H1756"/>
      <c r="L1756"/>
      <c r="O1756"/>
    </row>
    <row r="1757" spans="3:15" x14ac:dyDescent="0.25">
      <c r="C1757"/>
      <c r="F1757"/>
      <c r="G1757"/>
      <c r="H1757"/>
      <c r="L1757"/>
      <c r="O1757"/>
    </row>
    <row r="1758" spans="3:15" x14ac:dyDescent="0.25">
      <c r="C1758"/>
      <c r="F1758"/>
      <c r="G1758"/>
      <c r="H1758"/>
      <c r="L1758"/>
      <c r="O1758"/>
    </row>
    <row r="1759" spans="3:15" x14ac:dyDescent="0.25">
      <c r="C1759"/>
      <c r="F1759"/>
      <c r="G1759"/>
      <c r="H1759"/>
      <c r="L1759"/>
      <c r="O1759"/>
    </row>
    <row r="1760" spans="3:15" x14ac:dyDescent="0.25">
      <c r="C1760"/>
      <c r="F1760"/>
      <c r="G1760"/>
      <c r="H1760"/>
      <c r="L1760"/>
      <c r="O1760"/>
    </row>
    <row r="1761" spans="3:15" x14ac:dyDescent="0.25">
      <c r="C1761"/>
      <c r="F1761"/>
      <c r="G1761"/>
      <c r="H1761"/>
      <c r="L1761"/>
      <c r="O1761"/>
    </row>
    <row r="1762" spans="3:15" x14ac:dyDescent="0.25">
      <c r="C1762"/>
      <c r="F1762"/>
      <c r="G1762"/>
      <c r="H1762"/>
      <c r="L1762"/>
      <c r="O1762"/>
    </row>
    <row r="1763" spans="3:15" x14ac:dyDescent="0.25">
      <c r="C1763"/>
      <c r="F1763"/>
      <c r="G1763"/>
      <c r="H1763"/>
      <c r="L1763"/>
      <c r="O1763"/>
    </row>
    <row r="1764" spans="3:15" x14ac:dyDescent="0.25">
      <c r="C1764"/>
      <c r="F1764"/>
      <c r="G1764"/>
      <c r="H1764"/>
      <c r="L1764"/>
      <c r="O1764"/>
    </row>
    <row r="1765" spans="3:15" x14ac:dyDescent="0.25">
      <c r="C1765"/>
      <c r="F1765"/>
      <c r="G1765"/>
      <c r="H1765"/>
      <c r="L1765"/>
      <c r="O1765"/>
    </row>
    <row r="1766" spans="3:15" x14ac:dyDescent="0.25">
      <c r="C1766"/>
      <c r="F1766"/>
      <c r="G1766"/>
      <c r="H1766"/>
      <c r="L1766"/>
      <c r="O1766"/>
    </row>
    <row r="1767" spans="3:15" x14ac:dyDescent="0.25">
      <c r="C1767"/>
      <c r="F1767"/>
      <c r="G1767"/>
      <c r="H1767"/>
      <c r="L1767"/>
      <c r="O1767"/>
    </row>
    <row r="1768" spans="3:15" x14ac:dyDescent="0.25">
      <c r="C1768"/>
      <c r="F1768"/>
      <c r="G1768"/>
      <c r="H1768"/>
      <c r="L1768"/>
      <c r="O1768"/>
    </row>
    <row r="1769" spans="3:15" x14ac:dyDescent="0.25">
      <c r="C1769"/>
      <c r="F1769"/>
      <c r="G1769"/>
      <c r="H1769"/>
      <c r="L1769"/>
      <c r="O1769"/>
    </row>
    <row r="1770" spans="3:15" x14ac:dyDescent="0.25">
      <c r="C1770"/>
      <c r="F1770"/>
      <c r="G1770"/>
      <c r="H1770"/>
      <c r="L1770"/>
      <c r="O1770"/>
    </row>
    <row r="1771" spans="3:15" x14ac:dyDescent="0.25">
      <c r="C1771"/>
      <c r="F1771"/>
      <c r="G1771"/>
      <c r="H1771"/>
      <c r="L1771"/>
      <c r="O1771"/>
    </row>
    <row r="1772" spans="3:15" x14ac:dyDescent="0.25">
      <c r="C1772"/>
      <c r="F1772"/>
      <c r="G1772"/>
      <c r="H1772"/>
      <c r="L1772"/>
      <c r="O1772"/>
    </row>
    <row r="1773" spans="3:15" x14ac:dyDescent="0.25">
      <c r="C1773"/>
      <c r="F1773"/>
      <c r="G1773"/>
      <c r="H1773"/>
      <c r="L1773"/>
      <c r="O1773"/>
    </row>
    <row r="1774" spans="3:15" x14ac:dyDescent="0.25">
      <c r="C1774"/>
      <c r="F1774"/>
      <c r="G1774"/>
      <c r="H1774"/>
      <c r="L1774"/>
      <c r="O1774"/>
    </row>
    <row r="1775" spans="3:15" x14ac:dyDescent="0.25">
      <c r="C1775"/>
      <c r="F1775"/>
      <c r="G1775"/>
      <c r="H1775"/>
      <c r="L1775"/>
      <c r="O1775"/>
    </row>
    <row r="1776" spans="3:15" x14ac:dyDescent="0.25">
      <c r="C1776"/>
      <c r="F1776"/>
      <c r="G1776"/>
      <c r="H1776"/>
      <c r="L1776"/>
      <c r="O1776"/>
    </row>
    <row r="1777" spans="3:15" x14ac:dyDescent="0.25">
      <c r="C1777"/>
      <c r="F1777"/>
      <c r="G1777"/>
      <c r="H1777"/>
      <c r="L1777"/>
      <c r="O1777"/>
    </row>
    <row r="1778" spans="3:15" x14ac:dyDescent="0.25">
      <c r="C1778"/>
      <c r="F1778"/>
      <c r="G1778"/>
      <c r="H1778"/>
      <c r="L1778"/>
      <c r="O1778"/>
    </row>
    <row r="1779" spans="3:15" x14ac:dyDescent="0.25">
      <c r="C1779"/>
      <c r="F1779"/>
      <c r="G1779"/>
      <c r="H1779"/>
      <c r="L1779"/>
      <c r="O1779"/>
    </row>
    <row r="1780" spans="3:15" x14ac:dyDescent="0.25">
      <c r="C1780"/>
      <c r="F1780"/>
      <c r="G1780"/>
      <c r="H1780"/>
      <c r="L1780"/>
      <c r="O1780"/>
    </row>
    <row r="1781" spans="3:15" x14ac:dyDescent="0.25">
      <c r="C1781"/>
      <c r="F1781"/>
      <c r="G1781"/>
      <c r="H1781"/>
      <c r="L1781"/>
      <c r="O1781"/>
    </row>
    <row r="1782" spans="3:15" x14ac:dyDescent="0.25">
      <c r="C1782"/>
      <c r="F1782"/>
      <c r="G1782"/>
      <c r="H1782"/>
      <c r="L1782"/>
      <c r="O1782"/>
    </row>
    <row r="1783" spans="3:15" x14ac:dyDescent="0.25">
      <c r="C1783"/>
      <c r="F1783"/>
      <c r="G1783"/>
      <c r="H1783"/>
      <c r="L1783"/>
      <c r="O1783"/>
    </row>
    <row r="1784" spans="3:15" x14ac:dyDescent="0.25">
      <c r="C1784"/>
      <c r="F1784"/>
      <c r="G1784"/>
      <c r="H1784"/>
      <c r="L1784"/>
      <c r="O1784"/>
    </row>
    <row r="1785" spans="3:15" x14ac:dyDescent="0.25">
      <c r="C1785"/>
      <c r="F1785"/>
      <c r="G1785"/>
      <c r="H1785"/>
      <c r="L1785"/>
      <c r="O1785"/>
    </row>
    <row r="1786" spans="3:15" x14ac:dyDescent="0.25">
      <c r="C1786"/>
      <c r="F1786"/>
      <c r="G1786"/>
      <c r="H1786"/>
      <c r="L1786"/>
      <c r="O1786"/>
    </row>
    <row r="1787" spans="3:15" x14ac:dyDescent="0.25">
      <c r="C1787"/>
      <c r="F1787"/>
      <c r="G1787"/>
      <c r="H1787"/>
      <c r="L1787"/>
      <c r="O1787"/>
    </row>
    <row r="1788" spans="3:15" x14ac:dyDescent="0.25">
      <c r="C1788"/>
      <c r="F1788"/>
      <c r="G1788"/>
      <c r="H1788"/>
      <c r="L1788"/>
      <c r="O1788"/>
    </row>
    <row r="1789" spans="3:15" x14ac:dyDescent="0.25">
      <c r="C1789"/>
      <c r="F1789"/>
      <c r="G1789"/>
      <c r="H1789"/>
      <c r="L1789"/>
      <c r="O1789"/>
    </row>
    <row r="1790" spans="3:15" x14ac:dyDescent="0.25">
      <c r="C1790"/>
      <c r="F1790"/>
      <c r="G1790"/>
      <c r="H1790"/>
      <c r="L1790"/>
      <c r="O1790"/>
    </row>
    <row r="1791" spans="3:15" x14ac:dyDescent="0.25">
      <c r="C1791"/>
      <c r="F1791"/>
      <c r="G1791"/>
      <c r="H1791"/>
      <c r="L1791"/>
      <c r="O1791"/>
    </row>
    <row r="1792" spans="3:15" x14ac:dyDescent="0.25">
      <c r="C1792"/>
      <c r="F1792"/>
      <c r="G1792"/>
      <c r="H1792"/>
      <c r="L1792"/>
      <c r="O1792"/>
    </row>
    <row r="1793" spans="3:15" x14ac:dyDescent="0.25">
      <c r="C1793"/>
      <c r="F1793"/>
      <c r="G1793"/>
      <c r="H1793"/>
      <c r="L1793"/>
      <c r="O1793"/>
    </row>
    <row r="1794" spans="3:15" x14ac:dyDescent="0.25">
      <c r="C1794"/>
      <c r="F1794"/>
      <c r="G1794"/>
      <c r="H1794"/>
      <c r="L1794"/>
      <c r="O1794"/>
    </row>
    <row r="1795" spans="3:15" x14ac:dyDescent="0.25">
      <c r="C1795"/>
      <c r="F1795"/>
      <c r="G1795"/>
      <c r="H1795"/>
      <c r="L1795"/>
      <c r="O1795"/>
    </row>
    <row r="1796" spans="3:15" x14ac:dyDescent="0.25">
      <c r="C1796"/>
      <c r="F1796"/>
      <c r="G1796"/>
      <c r="H1796"/>
      <c r="L1796"/>
      <c r="O1796"/>
    </row>
    <row r="1797" spans="3:15" x14ac:dyDescent="0.25">
      <c r="C1797"/>
      <c r="F1797"/>
      <c r="G1797"/>
      <c r="H1797"/>
      <c r="L1797"/>
      <c r="O1797"/>
    </row>
    <row r="1798" spans="3:15" x14ac:dyDescent="0.25">
      <c r="C1798"/>
      <c r="F1798"/>
      <c r="G1798"/>
      <c r="H1798"/>
      <c r="L1798"/>
      <c r="O1798"/>
    </row>
    <row r="1799" spans="3:15" x14ac:dyDescent="0.25">
      <c r="C1799"/>
      <c r="F1799"/>
      <c r="G1799"/>
      <c r="H1799"/>
      <c r="L1799"/>
      <c r="O1799"/>
    </row>
    <row r="1800" spans="3:15" x14ac:dyDescent="0.25">
      <c r="C1800"/>
      <c r="F1800"/>
      <c r="G1800"/>
      <c r="H1800"/>
      <c r="L1800"/>
      <c r="O1800"/>
    </row>
    <row r="1801" spans="3:15" x14ac:dyDescent="0.25">
      <c r="C1801"/>
      <c r="F1801"/>
      <c r="G1801"/>
      <c r="H1801"/>
      <c r="L1801"/>
      <c r="O1801"/>
    </row>
    <row r="1802" spans="3:15" x14ac:dyDescent="0.25">
      <c r="C1802"/>
      <c r="F1802"/>
      <c r="G1802"/>
      <c r="H1802"/>
      <c r="L1802"/>
      <c r="O1802"/>
    </row>
    <row r="1803" spans="3:15" x14ac:dyDescent="0.25">
      <c r="C1803"/>
      <c r="F1803"/>
      <c r="G1803"/>
      <c r="H1803"/>
      <c r="L1803"/>
      <c r="O1803"/>
    </row>
    <row r="1804" spans="3:15" x14ac:dyDescent="0.25">
      <c r="C1804"/>
      <c r="F1804"/>
      <c r="G1804"/>
      <c r="H1804"/>
      <c r="L1804"/>
      <c r="O1804"/>
    </row>
    <row r="1805" spans="3:15" x14ac:dyDescent="0.25">
      <c r="C1805"/>
      <c r="F1805"/>
      <c r="G1805"/>
      <c r="H1805"/>
      <c r="L1805"/>
      <c r="O1805"/>
    </row>
    <row r="1806" spans="3:15" x14ac:dyDescent="0.25">
      <c r="C1806"/>
      <c r="F1806"/>
      <c r="G1806"/>
      <c r="H1806"/>
      <c r="L1806"/>
      <c r="O1806"/>
    </row>
    <row r="1807" spans="3:15" x14ac:dyDescent="0.25">
      <c r="C1807"/>
      <c r="F1807"/>
      <c r="G1807"/>
      <c r="H1807"/>
      <c r="L1807"/>
      <c r="O1807"/>
    </row>
    <row r="1808" spans="3:15" x14ac:dyDescent="0.25">
      <c r="C1808"/>
      <c r="F1808"/>
      <c r="G1808"/>
      <c r="H1808"/>
      <c r="L1808"/>
      <c r="O1808"/>
    </row>
    <row r="1809" spans="3:15" x14ac:dyDescent="0.25">
      <c r="C1809"/>
      <c r="F1809"/>
      <c r="G1809"/>
      <c r="H1809"/>
      <c r="L1809"/>
      <c r="O1809"/>
    </row>
    <row r="1810" spans="3:15" x14ac:dyDescent="0.25">
      <c r="C1810"/>
      <c r="F1810"/>
      <c r="G1810"/>
      <c r="H1810"/>
      <c r="L1810"/>
      <c r="O1810"/>
    </row>
    <row r="1811" spans="3:15" x14ac:dyDescent="0.25">
      <c r="C1811"/>
      <c r="F1811"/>
      <c r="G1811"/>
      <c r="H1811"/>
      <c r="L1811"/>
      <c r="O1811"/>
    </row>
    <row r="1812" spans="3:15" x14ac:dyDescent="0.25">
      <c r="C1812"/>
      <c r="F1812"/>
      <c r="G1812"/>
      <c r="H1812"/>
      <c r="L1812"/>
      <c r="O1812"/>
    </row>
    <row r="1813" spans="3:15" x14ac:dyDescent="0.25">
      <c r="C1813"/>
      <c r="F1813"/>
      <c r="G1813"/>
      <c r="H1813"/>
      <c r="L1813"/>
      <c r="O1813"/>
    </row>
    <row r="1814" spans="3:15" x14ac:dyDescent="0.25">
      <c r="C1814"/>
      <c r="F1814"/>
      <c r="G1814"/>
      <c r="H1814"/>
      <c r="L1814"/>
      <c r="O1814"/>
    </row>
    <row r="1815" spans="3:15" x14ac:dyDescent="0.25">
      <c r="C1815"/>
      <c r="F1815"/>
      <c r="G1815"/>
      <c r="H1815"/>
      <c r="L1815"/>
      <c r="O1815"/>
    </row>
    <row r="1816" spans="3:15" x14ac:dyDescent="0.25">
      <c r="C1816"/>
      <c r="F1816"/>
      <c r="G1816"/>
      <c r="H1816"/>
      <c r="L1816"/>
      <c r="O1816"/>
    </row>
    <row r="1817" spans="3:15" x14ac:dyDescent="0.25">
      <c r="C1817"/>
      <c r="F1817"/>
      <c r="G1817"/>
      <c r="H1817"/>
      <c r="L1817"/>
      <c r="O1817"/>
    </row>
    <row r="1818" spans="3:15" x14ac:dyDescent="0.25">
      <c r="C1818"/>
      <c r="F1818"/>
      <c r="G1818"/>
      <c r="H1818"/>
      <c r="L1818"/>
      <c r="O1818"/>
    </row>
    <row r="1819" spans="3:15" x14ac:dyDescent="0.25">
      <c r="C1819"/>
      <c r="F1819"/>
      <c r="G1819"/>
      <c r="H1819"/>
      <c r="L1819"/>
      <c r="O1819"/>
    </row>
    <row r="1820" spans="3:15" x14ac:dyDescent="0.25">
      <c r="C1820"/>
      <c r="F1820"/>
      <c r="G1820"/>
      <c r="H1820"/>
      <c r="L1820"/>
      <c r="O1820"/>
    </row>
    <row r="1821" spans="3:15" x14ac:dyDescent="0.25">
      <c r="C1821"/>
      <c r="F1821"/>
      <c r="G1821"/>
      <c r="H1821"/>
      <c r="L1821"/>
      <c r="O1821"/>
    </row>
    <row r="1822" spans="3:15" x14ac:dyDescent="0.25">
      <c r="C1822"/>
      <c r="F1822"/>
      <c r="G1822"/>
      <c r="H1822"/>
      <c r="L1822"/>
      <c r="O1822"/>
    </row>
    <row r="1823" spans="3:15" x14ac:dyDescent="0.25">
      <c r="C1823"/>
      <c r="F1823"/>
      <c r="G1823"/>
      <c r="H1823"/>
      <c r="L1823"/>
      <c r="O1823"/>
    </row>
    <row r="1824" spans="3:15" x14ac:dyDescent="0.25">
      <c r="C1824"/>
      <c r="F1824"/>
      <c r="G1824"/>
      <c r="H1824"/>
      <c r="L1824"/>
      <c r="O1824"/>
    </row>
    <row r="1825" spans="3:15" x14ac:dyDescent="0.25">
      <c r="C1825"/>
      <c r="F1825"/>
      <c r="G1825"/>
      <c r="H1825"/>
      <c r="L1825"/>
      <c r="O1825"/>
    </row>
    <row r="1826" spans="3:15" x14ac:dyDescent="0.25">
      <c r="C1826"/>
      <c r="F1826"/>
      <c r="G1826"/>
      <c r="H1826"/>
      <c r="L1826"/>
      <c r="O1826"/>
    </row>
    <row r="1827" spans="3:15" x14ac:dyDescent="0.25">
      <c r="C1827"/>
      <c r="F1827"/>
      <c r="G1827"/>
      <c r="H1827"/>
      <c r="L1827"/>
      <c r="O1827"/>
    </row>
    <row r="1828" spans="3:15" x14ac:dyDescent="0.25">
      <c r="C1828"/>
      <c r="F1828"/>
      <c r="G1828"/>
      <c r="H1828"/>
      <c r="L1828"/>
      <c r="O1828"/>
    </row>
    <row r="1829" spans="3:15" x14ac:dyDescent="0.25">
      <c r="C1829"/>
      <c r="F1829"/>
      <c r="G1829"/>
      <c r="H1829"/>
      <c r="L1829"/>
      <c r="O1829"/>
    </row>
    <row r="1830" spans="3:15" x14ac:dyDescent="0.25">
      <c r="C1830"/>
      <c r="F1830"/>
      <c r="G1830"/>
      <c r="H1830"/>
      <c r="L1830"/>
      <c r="O1830"/>
    </row>
    <row r="1831" spans="3:15" x14ac:dyDescent="0.25">
      <c r="C1831"/>
      <c r="F1831"/>
      <c r="G1831"/>
      <c r="H1831"/>
      <c r="L1831"/>
      <c r="O1831"/>
    </row>
    <row r="1832" spans="3:15" x14ac:dyDescent="0.25">
      <c r="C1832"/>
      <c r="F1832"/>
      <c r="G1832"/>
      <c r="H1832"/>
      <c r="L1832"/>
      <c r="O1832"/>
    </row>
    <row r="1833" spans="3:15" x14ac:dyDescent="0.25">
      <c r="C1833"/>
      <c r="F1833"/>
      <c r="G1833"/>
      <c r="H1833"/>
      <c r="L1833"/>
      <c r="O1833"/>
    </row>
    <row r="1834" spans="3:15" x14ac:dyDescent="0.25">
      <c r="C1834"/>
      <c r="F1834"/>
      <c r="G1834"/>
      <c r="H1834"/>
      <c r="L1834"/>
      <c r="O1834"/>
    </row>
    <row r="1835" spans="3:15" x14ac:dyDescent="0.25">
      <c r="C1835"/>
      <c r="F1835"/>
      <c r="G1835"/>
      <c r="H1835"/>
      <c r="L1835"/>
      <c r="O1835"/>
    </row>
    <row r="1836" spans="3:15" x14ac:dyDescent="0.25">
      <c r="C1836"/>
      <c r="F1836"/>
      <c r="G1836"/>
      <c r="H1836"/>
      <c r="L1836"/>
      <c r="O1836"/>
    </row>
    <row r="1837" spans="3:15" x14ac:dyDescent="0.25">
      <c r="C1837"/>
      <c r="F1837"/>
      <c r="G1837"/>
      <c r="H1837"/>
      <c r="L1837"/>
      <c r="O1837"/>
    </row>
    <row r="1838" spans="3:15" x14ac:dyDescent="0.25">
      <c r="C1838"/>
      <c r="F1838"/>
      <c r="G1838"/>
      <c r="H1838"/>
      <c r="L1838"/>
      <c r="O1838"/>
    </row>
    <row r="1839" spans="3:15" x14ac:dyDescent="0.25">
      <c r="C1839"/>
      <c r="F1839"/>
      <c r="G1839"/>
      <c r="H1839"/>
      <c r="L1839"/>
      <c r="O1839"/>
    </row>
    <row r="1840" spans="3:15" x14ac:dyDescent="0.25">
      <c r="C1840"/>
      <c r="F1840"/>
      <c r="G1840"/>
      <c r="H1840"/>
      <c r="L1840"/>
      <c r="O1840"/>
    </row>
    <row r="1841" spans="3:15" x14ac:dyDescent="0.25">
      <c r="C1841"/>
      <c r="F1841"/>
      <c r="G1841"/>
      <c r="H1841"/>
      <c r="L1841"/>
      <c r="O1841"/>
    </row>
    <row r="1842" spans="3:15" x14ac:dyDescent="0.25">
      <c r="C1842"/>
      <c r="F1842"/>
      <c r="G1842"/>
      <c r="H1842"/>
      <c r="L1842"/>
      <c r="O1842"/>
    </row>
    <row r="1843" spans="3:15" x14ac:dyDescent="0.25">
      <c r="C1843"/>
      <c r="F1843"/>
      <c r="G1843"/>
      <c r="H1843"/>
      <c r="L1843"/>
      <c r="O1843"/>
    </row>
    <row r="1844" spans="3:15" x14ac:dyDescent="0.25">
      <c r="C1844"/>
      <c r="F1844"/>
      <c r="G1844"/>
      <c r="H1844"/>
      <c r="L1844"/>
      <c r="O1844"/>
    </row>
    <row r="1845" spans="3:15" x14ac:dyDescent="0.25">
      <c r="C1845"/>
      <c r="F1845"/>
      <c r="G1845"/>
      <c r="H1845"/>
      <c r="L1845"/>
      <c r="O1845"/>
    </row>
    <row r="1846" spans="3:15" x14ac:dyDescent="0.25">
      <c r="C1846"/>
      <c r="F1846"/>
      <c r="G1846"/>
      <c r="H1846"/>
      <c r="L1846"/>
      <c r="O1846"/>
    </row>
    <row r="1847" spans="3:15" x14ac:dyDescent="0.25">
      <c r="C1847"/>
      <c r="F1847"/>
      <c r="G1847"/>
      <c r="H1847"/>
      <c r="L1847"/>
      <c r="O1847"/>
    </row>
    <row r="1848" spans="3:15" x14ac:dyDescent="0.25">
      <c r="C1848"/>
      <c r="F1848"/>
      <c r="G1848"/>
      <c r="H1848"/>
      <c r="L1848"/>
      <c r="O1848"/>
    </row>
    <row r="1849" spans="3:15" x14ac:dyDescent="0.25">
      <c r="C1849"/>
      <c r="F1849"/>
      <c r="G1849"/>
      <c r="H1849"/>
      <c r="L1849"/>
      <c r="O1849"/>
    </row>
    <row r="1850" spans="3:15" x14ac:dyDescent="0.25">
      <c r="C1850"/>
      <c r="F1850"/>
      <c r="G1850"/>
      <c r="H1850"/>
      <c r="L1850"/>
      <c r="O1850"/>
    </row>
    <row r="1851" spans="3:15" x14ac:dyDescent="0.25">
      <c r="C1851"/>
      <c r="F1851"/>
      <c r="G1851"/>
      <c r="H1851"/>
      <c r="L1851"/>
      <c r="O1851"/>
    </row>
    <row r="1852" spans="3:15" x14ac:dyDescent="0.25">
      <c r="C1852"/>
      <c r="F1852"/>
      <c r="G1852"/>
      <c r="H1852"/>
      <c r="L1852"/>
      <c r="O1852"/>
    </row>
    <row r="1853" spans="3:15" x14ac:dyDescent="0.25">
      <c r="C1853"/>
      <c r="F1853"/>
      <c r="G1853"/>
      <c r="H1853"/>
      <c r="L1853"/>
      <c r="O1853"/>
    </row>
    <row r="1854" spans="3:15" x14ac:dyDescent="0.25">
      <c r="C1854"/>
      <c r="F1854"/>
      <c r="G1854"/>
      <c r="H1854"/>
      <c r="L1854"/>
      <c r="O1854"/>
    </row>
    <row r="1855" spans="3:15" x14ac:dyDescent="0.25">
      <c r="C1855"/>
      <c r="F1855"/>
      <c r="G1855"/>
      <c r="H1855"/>
      <c r="L1855"/>
      <c r="O1855"/>
    </row>
    <row r="1856" spans="3:15" x14ac:dyDescent="0.25">
      <c r="C1856"/>
      <c r="F1856"/>
      <c r="G1856"/>
      <c r="H1856"/>
      <c r="L1856"/>
      <c r="O1856"/>
    </row>
    <row r="1857" spans="3:15" x14ac:dyDescent="0.25">
      <c r="C1857"/>
      <c r="F1857"/>
      <c r="G1857"/>
      <c r="H1857"/>
      <c r="L1857"/>
      <c r="O1857"/>
    </row>
    <row r="1858" spans="3:15" x14ac:dyDescent="0.25">
      <c r="C1858"/>
      <c r="F1858"/>
      <c r="G1858"/>
      <c r="H1858"/>
      <c r="L1858"/>
      <c r="O1858"/>
    </row>
    <row r="1859" spans="3:15" x14ac:dyDescent="0.25">
      <c r="C1859"/>
      <c r="F1859"/>
      <c r="G1859"/>
      <c r="H1859"/>
      <c r="L1859"/>
      <c r="O1859"/>
    </row>
    <row r="1860" spans="3:15" x14ac:dyDescent="0.25">
      <c r="C1860"/>
      <c r="F1860"/>
      <c r="G1860"/>
      <c r="H1860"/>
      <c r="L1860"/>
      <c r="O1860"/>
    </row>
    <row r="1861" spans="3:15" x14ac:dyDescent="0.25">
      <c r="C1861"/>
      <c r="F1861"/>
      <c r="G1861"/>
      <c r="H1861"/>
      <c r="L1861"/>
      <c r="O1861"/>
    </row>
    <row r="1862" spans="3:15" x14ac:dyDescent="0.25">
      <c r="C1862"/>
      <c r="F1862"/>
      <c r="G1862"/>
      <c r="H1862"/>
      <c r="L1862"/>
      <c r="O1862"/>
    </row>
    <row r="1863" spans="3:15" x14ac:dyDescent="0.25">
      <c r="C1863"/>
      <c r="F1863"/>
      <c r="G1863"/>
      <c r="H1863"/>
      <c r="L1863"/>
      <c r="O1863"/>
    </row>
    <row r="1864" spans="3:15" x14ac:dyDescent="0.25">
      <c r="C1864"/>
      <c r="F1864"/>
      <c r="G1864"/>
      <c r="H1864"/>
      <c r="L1864"/>
      <c r="O1864"/>
    </row>
    <row r="1865" spans="3:15" x14ac:dyDescent="0.25">
      <c r="C1865"/>
      <c r="F1865"/>
      <c r="G1865"/>
      <c r="H1865"/>
      <c r="L1865"/>
      <c r="O1865"/>
    </row>
    <row r="1866" spans="3:15" x14ac:dyDescent="0.25">
      <c r="C1866"/>
      <c r="F1866"/>
      <c r="G1866"/>
      <c r="H1866"/>
      <c r="L1866"/>
      <c r="O1866"/>
    </row>
    <row r="1867" spans="3:15" x14ac:dyDescent="0.25">
      <c r="C1867"/>
      <c r="F1867"/>
      <c r="G1867"/>
      <c r="H1867"/>
      <c r="L1867"/>
      <c r="O1867"/>
    </row>
    <row r="1868" spans="3:15" x14ac:dyDescent="0.25">
      <c r="C1868"/>
      <c r="F1868"/>
      <c r="G1868"/>
      <c r="H1868"/>
      <c r="L1868"/>
      <c r="O1868"/>
    </row>
    <row r="1869" spans="3:15" x14ac:dyDescent="0.25">
      <c r="C1869"/>
      <c r="F1869"/>
      <c r="G1869"/>
      <c r="H1869"/>
      <c r="L1869"/>
      <c r="O1869"/>
    </row>
    <row r="1870" spans="3:15" x14ac:dyDescent="0.25">
      <c r="C1870"/>
      <c r="F1870"/>
      <c r="G1870"/>
      <c r="H1870"/>
      <c r="L1870"/>
      <c r="O1870"/>
    </row>
    <row r="1871" spans="3:15" x14ac:dyDescent="0.25">
      <c r="C1871"/>
      <c r="F1871"/>
      <c r="G1871"/>
      <c r="H1871"/>
      <c r="L1871"/>
      <c r="O1871"/>
    </row>
    <row r="1872" spans="3:15" x14ac:dyDescent="0.25">
      <c r="C1872"/>
      <c r="F1872"/>
      <c r="G1872"/>
      <c r="H1872"/>
      <c r="L1872"/>
      <c r="O1872"/>
    </row>
    <row r="1873" spans="3:15" x14ac:dyDescent="0.25">
      <c r="C1873"/>
      <c r="F1873"/>
      <c r="G1873"/>
      <c r="H1873"/>
      <c r="L1873"/>
      <c r="O1873"/>
    </row>
    <row r="1874" spans="3:15" x14ac:dyDescent="0.25">
      <c r="C1874"/>
      <c r="F1874"/>
      <c r="G1874"/>
      <c r="H1874"/>
      <c r="L1874"/>
      <c r="O1874"/>
    </row>
    <row r="1875" spans="3:15" x14ac:dyDescent="0.25">
      <c r="C1875"/>
      <c r="F1875"/>
      <c r="G1875"/>
      <c r="H1875"/>
      <c r="L1875"/>
      <c r="O1875"/>
    </row>
    <row r="1876" spans="3:15" x14ac:dyDescent="0.25">
      <c r="C1876"/>
      <c r="F1876"/>
      <c r="G1876"/>
      <c r="H1876"/>
      <c r="L1876"/>
      <c r="O1876"/>
    </row>
    <row r="1877" spans="3:15" x14ac:dyDescent="0.25">
      <c r="C1877"/>
      <c r="F1877"/>
      <c r="G1877"/>
      <c r="H1877"/>
      <c r="L1877"/>
      <c r="O1877"/>
    </row>
    <row r="1878" spans="3:15" x14ac:dyDescent="0.25">
      <c r="C1878"/>
      <c r="F1878"/>
      <c r="G1878"/>
      <c r="H1878"/>
      <c r="L1878"/>
      <c r="O1878"/>
    </row>
    <row r="1879" spans="3:15" x14ac:dyDescent="0.25">
      <c r="C1879"/>
      <c r="F1879"/>
      <c r="G1879"/>
      <c r="H1879"/>
      <c r="L1879"/>
      <c r="O1879"/>
    </row>
    <row r="1880" spans="3:15" x14ac:dyDescent="0.25">
      <c r="C1880"/>
      <c r="F1880"/>
      <c r="G1880"/>
      <c r="H1880"/>
      <c r="L1880"/>
      <c r="O1880"/>
    </row>
    <row r="1881" spans="3:15" x14ac:dyDescent="0.25">
      <c r="C1881"/>
      <c r="F1881"/>
      <c r="G1881"/>
      <c r="H1881"/>
      <c r="L1881"/>
      <c r="O1881"/>
    </row>
    <row r="1882" spans="3:15" x14ac:dyDescent="0.25">
      <c r="C1882"/>
      <c r="F1882"/>
      <c r="G1882"/>
      <c r="H1882"/>
      <c r="L1882"/>
      <c r="O1882"/>
    </row>
    <row r="1883" spans="3:15" x14ac:dyDescent="0.25">
      <c r="C1883"/>
      <c r="F1883"/>
      <c r="G1883"/>
      <c r="H1883"/>
      <c r="L1883"/>
      <c r="O1883"/>
    </row>
    <row r="1884" spans="3:15" x14ac:dyDescent="0.25">
      <c r="C1884"/>
      <c r="F1884"/>
      <c r="G1884"/>
      <c r="H1884"/>
      <c r="L1884"/>
      <c r="O1884"/>
    </row>
    <row r="1885" spans="3:15" x14ac:dyDescent="0.25">
      <c r="C1885"/>
      <c r="F1885"/>
      <c r="G1885"/>
      <c r="H1885"/>
      <c r="L1885"/>
      <c r="O1885"/>
    </row>
    <row r="1886" spans="3:15" x14ac:dyDescent="0.25">
      <c r="C1886"/>
      <c r="F1886"/>
      <c r="G1886"/>
      <c r="H1886"/>
      <c r="L1886"/>
      <c r="O1886"/>
    </row>
    <row r="1887" spans="3:15" x14ac:dyDescent="0.25">
      <c r="C1887"/>
      <c r="F1887"/>
      <c r="G1887"/>
      <c r="H1887"/>
      <c r="L1887"/>
      <c r="O1887"/>
    </row>
    <row r="1888" spans="3:15" x14ac:dyDescent="0.25">
      <c r="C1888"/>
      <c r="F1888"/>
      <c r="G1888"/>
      <c r="H1888"/>
      <c r="L1888"/>
      <c r="O1888"/>
    </row>
    <row r="1889" spans="3:15" x14ac:dyDescent="0.25">
      <c r="C1889"/>
      <c r="F1889"/>
      <c r="G1889"/>
      <c r="H1889"/>
      <c r="L1889"/>
      <c r="O1889"/>
    </row>
    <row r="1890" spans="3:15" x14ac:dyDescent="0.25">
      <c r="C1890"/>
      <c r="F1890"/>
      <c r="G1890"/>
      <c r="H1890"/>
      <c r="L1890"/>
      <c r="O1890"/>
    </row>
    <row r="1891" spans="3:15" x14ac:dyDescent="0.25">
      <c r="C1891"/>
      <c r="F1891"/>
      <c r="G1891"/>
      <c r="H1891"/>
      <c r="L1891"/>
      <c r="O1891"/>
    </row>
    <row r="1892" spans="3:15" x14ac:dyDescent="0.25">
      <c r="C1892"/>
      <c r="F1892"/>
      <c r="G1892"/>
      <c r="H1892"/>
      <c r="L1892"/>
      <c r="O1892"/>
    </row>
    <row r="1893" spans="3:15" x14ac:dyDescent="0.25">
      <c r="C1893"/>
      <c r="F1893"/>
      <c r="G1893"/>
      <c r="H1893"/>
      <c r="L1893"/>
      <c r="O1893"/>
    </row>
    <row r="1894" spans="3:15" x14ac:dyDescent="0.25">
      <c r="C1894"/>
      <c r="F1894"/>
      <c r="G1894"/>
      <c r="H1894"/>
      <c r="L1894"/>
      <c r="O1894"/>
    </row>
    <row r="1895" spans="3:15" x14ac:dyDescent="0.25">
      <c r="C1895"/>
      <c r="F1895"/>
      <c r="G1895"/>
      <c r="H1895"/>
      <c r="L1895"/>
      <c r="O1895"/>
    </row>
    <row r="1896" spans="3:15" x14ac:dyDescent="0.25">
      <c r="C1896"/>
      <c r="F1896"/>
      <c r="G1896"/>
      <c r="H1896"/>
      <c r="L1896"/>
      <c r="O1896"/>
    </row>
    <row r="1897" spans="3:15" x14ac:dyDescent="0.25">
      <c r="C1897"/>
      <c r="F1897"/>
      <c r="G1897"/>
      <c r="H1897"/>
      <c r="L1897"/>
      <c r="O1897"/>
    </row>
    <row r="1898" spans="3:15" x14ac:dyDescent="0.25">
      <c r="C1898"/>
      <c r="F1898"/>
      <c r="G1898"/>
      <c r="H1898"/>
      <c r="L1898"/>
      <c r="O1898"/>
    </row>
    <row r="1899" spans="3:15" x14ac:dyDescent="0.25">
      <c r="C1899"/>
      <c r="F1899"/>
      <c r="G1899"/>
      <c r="H1899"/>
      <c r="L1899"/>
      <c r="O1899"/>
    </row>
    <row r="1900" spans="3:15" x14ac:dyDescent="0.25">
      <c r="C1900"/>
      <c r="F1900"/>
      <c r="G1900"/>
      <c r="H1900"/>
      <c r="L1900"/>
      <c r="O1900"/>
    </row>
    <row r="1901" spans="3:15" x14ac:dyDescent="0.25">
      <c r="C1901"/>
      <c r="F1901"/>
      <c r="G1901"/>
      <c r="H1901"/>
      <c r="L1901"/>
      <c r="O1901"/>
    </row>
    <row r="1902" spans="3:15" x14ac:dyDescent="0.25">
      <c r="C1902"/>
      <c r="F1902"/>
      <c r="G1902"/>
      <c r="H1902"/>
      <c r="L1902"/>
      <c r="O1902"/>
    </row>
    <row r="1903" spans="3:15" x14ac:dyDescent="0.25">
      <c r="C1903"/>
      <c r="F1903"/>
      <c r="G1903"/>
      <c r="H1903"/>
      <c r="L1903"/>
      <c r="O1903"/>
    </row>
    <row r="1904" spans="3:15" x14ac:dyDescent="0.25">
      <c r="C1904"/>
      <c r="F1904"/>
      <c r="G1904"/>
      <c r="H1904"/>
      <c r="L1904"/>
      <c r="O1904"/>
    </row>
    <row r="1905" spans="3:15" x14ac:dyDescent="0.25">
      <c r="C1905"/>
      <c r="F1905"/>
      <c r="G1905"/>
      <c r="H1905"/>
      <c r="L1905"/>
      <c r="O1905"/>
    </row>
    <row r="1906" spans="3:15" x14ac:dyDescent="0.25">
      <c r="C1906"/>
      <c r="F1906"/>
      <c r="G1906"/>
      <c r="H1906"/>
      <c r="L1906"/>
      <c r="O1906"/>
    </row>
    <row r="1907" spans="3:15" x14ac:dyDescent="0.25">
      <c r="C1907"/>
      <c r="F1907"/>
      <c r="G1907"/>
      <c r="H1907"/>
      <c r="L1907"/>
      <c r="O1907"/>
    </row>
    <row r="1908" spans="3:15" x14ac:dyDescent="0.25">
      <c r="C1908"/>
      <c r="F1908"/>
      <c r="G1908"/>
      <c r="H1908"/>
      <c r="L1908"/>
      <c r="O1908"/>
    </row>
    <row r="1909" spans="3:15" x14ac:dyDescent="0.25">
      <c r="C1909"/>
      <c r="F1909"/>
      <c r="G1909"/>
      <c r="H1909"/>
      <c r="L1909"/>
      <c r="O1909"/>
    </row>
    <row r="1910" spans="3:15" x14ac:dyDescent="0.25">
      <c r="C1910"/>
      <c r="F1910"/>
      <c r="G1910"/>
      <c r="H1910"/>
      <c r="L1910"/>
      <c r="O1910"/>
    </row>
    <row r="1911" spans="3:15" x14ac:dyDescent="0.25">
      <c r="C1911"/>
      <c r="F1911"/>
      <c r="G1911"/>
      <c r="H1911"/>
      <c r="L1911"/>
      <c r="O1911"/>
    </row>
    <row r="1912" spans="3:15" x14ac:dyDescent="0.25">
      <c r="C1912"/>
      <c r="F1912"/>
      <c r="G1912"/>
      <c r="H1912"/>
      <c r="L1912"/>
      <c r="O1912"/>
    </row>
    <row r="1913" spans="3:15" x14ac:dyDescent="0.25">
      <c r="C1913"/>
      <c r="F1913"/>
      <c r="G1913"/>
      <c r="H1913"/>
      <c r="L1913"/>
      <c r="O1913"/>
    </row>
    <row r="1914" spans="3:15" x14ac:dyDescent="0.25">
      <c r="C1914"/>
      <c r="F1914"/>
      <c r="G1914"/>
      <c r="H1914"/>
      <c r="L1914"/>
      <c r="O1914"/>
    </row>
    <row r="1915" spans="3:15" x14ac:dyDescent="0.25">
      <c r="C1915"/>
      <c r="F1915"/>
      <c r="G1915"/>
      <c r="H1915"/>
      <c r="L1915"/>
      <c r="O1915"/>
    </row>
    <row r="1916" spans="3:15" x14ac:dyDescent="0.25">
      <c r="C1916"/>
      <c r="F1916"/>
      <c r="G1916"/>
      <c r="H1916"/>
      <c r="L1916"/>
      <c r="O1916"/>
    </row>
    <row r="1917" spans="3:15" x14ac:dyDescent="0.25">
      <c r="C1917"/>
      <c r="F1917"/>
      <c r="G1917"/>
      <c r="H1917"/>
      <c r="L1917"/>
      <c r="O1917"/>
    </row>
    <row r="1918" spans="3:15" x14ac:dyDescent="0.25">
      <c r="C1918"/>
      <c r="F1918"/>
      <c r="G1918"/>
      <c r="H1918"/>
      <c r="L1918"/>
      <c r="O1918"/>
    </row>
    <row r="1919" spans="3:15" x14ac:dyDescent="0.25">
      <c r="C1919"/>
      <c r="F1919"/>
      <c r="G1919"/>
      <c r="H1919"/>
      <c r="L1919"/>
      <c r="O1919"/>
    </row>
    <row r="1920" spans="3:15" x14ac:dyDescent="0.25">
      <c r="C1920"/>
      <c r="F1920"/>
      <c r="G1920"/>
      <c r="H1920"/>
      <c r="L1920"/>
      <c r="O1920"/>
    </row>
    <row r="1921" spans="3:15" x14ac:dyDescent="0.25">
      <c r="C1921"/>
      <c r="F1921"/>
      <c r="G1921"/>
      <c r="H1921"/>
      <c r="L1921"/>
      <c r="O1921"/>
    </row>
    <row r="1922" spans="3:15" x14ac:dyDescent="0.25">
      <c r="C1922"/>
      <c r="F1922"/>
      <c r="G1922"/>
      <c r="H1922"/>
      <c r="L1922"/>
      <c r="O1922"/>
    </row>
    <row r="1923" spans="3:15" x14ac:dyDescent="0.25">
      <c r="C1923"/>
      <c r="F1923"/>
      <c r="G1923"/>
      <c r="H1923"/>
      <c r="L1923"/>
      <c r="O1923"/>
    </row>
    <row r="1924" spans="3:15" x14ac:dyDescent="0.25">
      <c r="C1924"/>
      <c r="F1924"/>
      <c r="G1924"/>
      <c r="H1924"/>
      <c r="L1924"/>
      <c r="O1924"/>
    </row>
    <row r="1925" spans="3:15" x14ac:dyDescent="0.25">
      <c r="C1925"/>
      <c r="F1925"/>
      <c r="G1925"/>
      <c r="H1925"/>
      <c r="L1925"/>
      <c r="O1925"/>
    </row>
    <row r="1926" spans="3:15" x14ac:dyDescent="0.25">
      <c r="C1926"/>
      <c r="F1926"/>
      <c r="G1926"/>
      <c r="H1926"/>
      <c r="L1926"/>
      <c r="O1926"/>
    </row>
    <row r="1927" spans="3:15" x14ac:dyDescent="0.25">
      <c r="C1927"/>
      <c r="F1927"/>
      <c r="G1927"/>
      <c r="H1927"/>
      <c r="L1927"/>
      <c r="O1927"/>
    </row>
    <row r="1928" spans="3:15" x14ac:dyDescent="0.25">
      <c r="C1928"/>
      <c r="F1928"/>
      <c r="G1928"/>
      <c r="H1928"/>
      <c r="L1928"/>
      <c r="O1928"/>
    </row>
    <row r="1929" spans="3:15" x14ac:dyDescent="0.25">
      <c r="C1929"/>
      <c r="F1929"/>
      <c r="G1929"/>
      <c r="H1929"/>
      <c r="L1929"/>
      <c r="O1929"/>
    </row>
    <row r="1930" spans="3:15" x14ac:dyDescent="0.25">
      <c r="C1930"/>
      <c r="F1930"/>
      <c r="G1930"/>
      <c r="H1930"/>
      <c r="L1930"/>
      <c r="O1930"/>
    </row>
    <row r="1931" spans="3:15" x14ac:dyDescent="0.25">
      <c r="C1931"/>
      <c r="F1931"/>
      <c r="G1931"/>
      <c r="H1931"/>
      <c r="L1931"/>
      <c r="O1931"/>
    </row>
    <row r="1932" spans="3:15" x14ac:dyDescent="0.25">
      <c r="C1932"/>
      <c r="F1932"/>
      <c r="G1932"/>
      <c r="H1932"/>
      <c r="L1932"/>
      <c r="O1932"/>
    </row>
    <row r="1933" spans="3:15" x14ac:dyDescent="0.25">
      <c r="C1933"/>
      <c r="F1933"/>
      <c r="G1933"/>
      <c r="H1933"/>
      <c r="L1933"/>
      <c r="O1933"/>
    </row>
    <row r="1934" spans="3:15" x14ac:dyDescent="0.25">
      <c r="C1934"/>
      <c r="F1934"/>
      <c r="G1934"/>
      <c r="H1934"/>
      <c r="L1934"/>
      <c r="O1934"/>
    </row>
    <row r="1935" spans="3:15" x14ac:dyDescent="0.25">
      <c r="C1935"/>
      <c r="F1935"/>
      <c r="G1935"/>
      <c r="H1935"/>
      <c r="L1935"/>
      <c r="O1935"/>
    </row>
    <row r="1936" spans="3:15" x14ac:dyDescent="0.25">
      <c r="C1936"/>
      <c r="F1936"/>
      <c r="G1936"/>
      <c r="H1936"/>
      <c r="L1936"/>
      <c r="O1936"/>
    </row>
    <row r="1937" spans="3:15" x14ac:dyDescent="0.25">
      <c r="C1937"/>
      <c r="F1937"/>
      <c r="G1937"/>
      <c r="H1937"/>
      <c r="L1937"/>
      <c r="O1937"/>
    </row>
    <row r="1938" spans="3:15" x14ac:dyDescent="0.25">
      <c r="C1938"/>
      <c r="F1938"/>
      <c r="G1938"/>
      <c r="H1938"/>
      <c r="L1938"/>
      <c r="O1938"/>
    </row>
    <row r="1939" spans="3:15" x14ac:dyDescent="0.25">
      <c r="C1939"/>
      <c r="F1939"/>
      <c r="G1939"/>
      <c r="H1939"/>
      <c r="L1939"/>
      <c r="O1939"/>
    </row>
    <row r="1940" spans="3:15" x14ac:dyDescent="0.25">
      <c r="C1940"/>
      <c r="F1940"/>
      <c r="G1940"/>
      <c r="H1940"/>
      <c r="L1940"/>
      <c r="O1940"/>
    </row>
    <row r="1941" spans="3:15" x14ac:dyDescent="0.25">
      <c r="C1941"/>
      <c r="F1941"/>
      <c r="G1941"/>
      <c r="H1941"/>
      <c r="L1941"/>
      <c r="O1941"/>
    </row>
    <row r="1942" spans="3:15" x14ac:dyDescent="0.25">
      <c r="C1942"/>
      <c r="F1942"/>
      <c r="G1942"/>
      <c r="H1942"/>
      <c r="L1942"/>
      <c r="O1942"/>
    </row>
    <row r="1943" spans="3:15" x14ac:dyDescent="0.25">
      <c r="C1943"/>
      <c r="F1943"/>
      <c r="G1943"/>
      <c r="H1943"/>
      <c r="L1943"/>
      <c r="O1943"/>
    </row>
    <row r="1944" spans="3:15" x14ac:dyDescent="0.25">
      <c r="C1944"/>
      <c r="F1944"/>
      <c r="G1944"/>
      <c r="H1944"/>
      <c r="L1944"/>
      <c r="O1944"/>
    </row>
    <row r="1945" spans="3:15" x14ac:dyDescent="0.25">
      <c r="C1945"/>
      <c r="F1945"/>
      <c r="G1945"/>
      <c r="H1945"/>
      <c r="L1945"/>
      <c r="O1945"/>
    </row>
    <row r="1946" spans="3:15" x14ac:dyDescent="0.25">
      <c r="C1946"/>
      <c r="F1946"/>
      <c r="G1946"/>
      <c r="H1946"/>
      <c r="L1946"/>
      <c r="O1946"/>
    </row>
    <row r="1947" spans="3:15" x14ac:dyDescent="0.25">
      <c r="C1947"/>
      <c r="F1947"/>
      <c r="G1947"/>
      <c r="H1947"/>
      <c r="L1947"/>
      <c r="O1947"/>
    </row>
    <row r="1948" spans="3:15" x14ac:dyDescent="0.25">
      <c r="C1948"/>
      <c r="F1948"/>
      <c r="G1948"/>
      <c r="H1948"/>
      <c r="L1948"/>
      <c r="O1948"/>
    </row>
    <row r="1949" spans="3:15" x14ac:dyDescent="0.25">
      <c r="C1949"/>
      <c r="F1949"/>
      <c r="G1949"/>
      <c r="H1949"/>
      <c r="L1949"/>
      <c r="O1949"/>
    </row>
    <row r="1950" spans="3:15" x14ac:dyDescent="0.25">
      <c r="C1950"/>
      <c r="F1950"/>
      <c r="G1950"/>
      <c r="H1950"/>
      <c r="L1950"/>
      <c r="O1950"/>
    </row>
    <row r="1951" spans="3:15" x14ac:dyDescent="0.25">
      <c r="C1951"/>
      <c r="F1951"/>
      <c r="G1951"/>
      <c r="H1951"/>
      <c r="L1951"/>
      <c r="O1951"/>
    </row>
    <row r="1952" spans="3:15" x14ac:dyDescent="0.25">
      <c r="C1952"/>
      <c r="F1952"/>
      <c r="G1952"/>
      <c r="H1952"/>
      <c r="L1952"/>
      <c r="O1952"/>
    </row>
    <row r="1953" spans="3:15" x14ac:dyDescent="0.25">
      <c r="C1953"/>
      <c r="F1953"/>
      <c r="G1953"/>
      <c r="H1953"/>
      <c r="L1953"/>
      <c r="O1953"/>
    </row>
    <row r="1954" spans="3:15" x14ac:dyDescent="0.25">
      <c r="C1954"/>
      <c r="F1954"/>
      <c r="G1954"/>
      <c r="H1954"/>
      <c r="L1954"/>
      <c r="O1954"/>
    </row>
    <row r="1955" spans="3:15" x14ac:dyDescent="0.25">
      <c r="C1955"/>
      <c r="F1955"/>
      <c r="G1955"/>
      <c r="H1955"/>
      <c r="L1955"/>
      <c r="O1955"/>
    </row>
    <row r="1956" spans="3:15" x14ac:dyDescent="0.25">
      <c r="C1956"/>
      <c r="F1956"/>
      <c r="G1956"/>
      <c r="H1956"/>
      <c r="L1956"/>
      <c r="O1956"/>
    </row>
    <row r="1957" spans="3:15" x14ac:dyDescent="0.25">
      <c r="C1957"/>
      <c r="F1957"/>
      <c r="G1957"/>
      <c r="H1957"/>
      <c r="L1957"/>
      <c r="O1957"/>
    </row>
    <row r="1958" spans="3:15" x14ac:dyDescent="0.25">
      <c r="C1958"/>
      <c r="F1958"/>
      <c r="G1958"/>
      <c r="H1958"/>
      <c r="L1958"/>
      <c r="O1958"/>
    </row>
    <row r="1959" spans="3:15" x14ac:dyDescent="0.25">
      <c r="C1959"/>
      <c r="F1959"/>
      <c r="G1959"/>
      <c r="H1959"/>
      <c r="L1959"/>
      <c r="O1959"/>
    </row>
    <row r="1960" spans="3:15" x14ac:dyDescent="0.25">
      <c r="C1960"/>
      <c r="F1960"/>
      <c r="G1960"/>
      <c r="H1960"/>
      <c r="L1960"/>
      <c r="O1960"/>
    </row>
    <row r="1961" spans="3:15" x14ac:dyDescent="0.25">
      <c r="C1961"/>
      <c r="F1961"/>
      <c r="G1961"/>
      <c r="H1961"/>
      <c r="L1961"/>
      <c r="O1961"/>
    </row>
    <row r="1962" spans="3:15" x14ac:dyDescent="0.25">
      <c r="C1962"/>
      <c r="F1962"/>
      <c r="G1962"/>
      <c r="H1962"/>
      <c r="L1962"/>
      <c r="O1962"/>
    </row>
    <row r="1963" spans="3:15" x14ac:dyDescent="0.25">
      <c r="C1963"/>
      <c r="F1963"/>
      <c r="G1963"/>
      <c r="H1963"/>
      <c r="L1963"/>
      <c r="O1963"/>
    </row>
    <row r="1964" spans="3:15" x14ac:dyDescent="0.25">
      <c r="C1964"/>
      <c r="F1964"/>
      <c r="G1964"/>
      <c r="H1964"/>
      <c r="L1964"/>
      <c r="O1964"/>
    </row>
    <row r="1965" spans="3:15" x14ac:dyDescent="0.25">
      <c r="C1965"/>
      <c r="F1965"/>
      <c r="G1965"/>
      <c r="H1965"/>
      <c r="L1965"/>
      <c r="O1965"/>
    </row>
    <row r="1966" spans="3:15" x14ac:dyDescent="0.25">
      <c r="C1966"/>
      <c r="F1966"/>
      <c r="G1966"/>
      <c r="H1966"/>
      <c r="L1966"/>
      <c r="O1966"/>
    </row>
    <row r="1967" spans="3:15" x14ac:dyDescent="0.25">
      <c r="C1967"/>
      <c r="F1967"/>
      <c r="G1967"/>
      <c r="H1967"/>
      <c r="L1967"/>
      <c r="O1967"/>
    </row>
    <row r="1968" spans="3:15" x14ac:dyDescent="0.25">
      <c r="C1968"/>
      <c r="F1968"/>
      <c r="G1968"/>
      <c r="H1968"/>
      <c r="L1968"/>
      <c r="O1968"/>
    </row>
    <row r="1969" spans="3:15" x14ac:dyDescent="0.25">
      <c r="C1969"/>
      <c r="F1969"/>
      <c r="G1969"/>
      <c r="H1969"/>
      <c r="L1969"/>
      <c r="O1969"/>
    </row>
    <row r="1970" spans="3:15" x14ac:dyDescent="0.25">
      <c r="C1970"/>
      <c r="F1970"/>
      <c r="G1970"/>
      <c r="H1970"/>
      <c r="L1970"/>
      <c r="O1970"/>
    </row>
    <row r="1971" spans="3:15" x14ac:dyDescent="0.25">
      <c r="C1971"/>
      <c r="F1971"/>
      <c r="G1971"/>
      <c r="H1971"/>
      <c r="L1971"/>
      <c r="O1971"/>
    </row>
    <row r="1972" spans="3:15" x14ac:dyDescent="0.25">
      <c r="C1972"/>
      <c r="F1972"/>
      <c r="G1972"/>
      <c r="H1972"/>
      <c r="L1972"/>
      <c r="O1972"/>
    </row>
    <row r="1973" spans="3:15" x14ac:dyDescent="0.25">
      <c r="C1973"/>
      <c r="F1973"/>
      <c r="G1973"/>
      <c r="H1973"/>
      <c r="L1973"/>
      <c r="O1973"/>
    </row>
    <row r="1974" spans="3:15" x14ac:dyDescent="0.25">
      <c r="C1974"/>
      <c r="F1974"/>
      <c r="G1974"/>
      <c r="H1974"/>
      <c r="L1974"/>
      <c r="O1974"/>
    </row>
    <row r="1975" spans="3:15" x14ac:dyDescent="0.25">
      <c r="C1975"/>
      <c r="F1975"/>
      <c r="G1975"/>
      <c r="H1975"/>
      <c r="L1975"/>
      <c r="O1975"/>
    </row>
    <row r="1976" spans="3:15" x14ac:dyDescent="0.25">
      <c r="C1976"/>
      <c r="F1976"/>
      <c r="G1976"/>
      <c r="H1976"/>
      <c r="L1976"/>
      <c r="O1976"/>
    </row>
    <row r="1977" spans="3:15" x14ac:dyDescent="0.25">
      <c r="C1977"/>
      <c r="F1977"/>
      <c r="G1977"/>
      <c r="H1977"/>
      <c r="L1977"/>
      <c r="O1977"/>
    </row>
    <row r="1978" spans="3:15" x14ac:dyDescent="0.25">
      <c r="C1978"/>
      <c r="F1978"/>
      <c r="G1978"/>
      <c r="H1978"/>
      <c r="L1978"/>
      <c r="O1978"/>
    </row>
    <row r="1979" spans="3:15" x14ac:dyDescent="0.25">
      <c r="C1979"/>
      <c r="F1979"/>
      <c r="G1979"/>
      <c r="H1979"/>
      <c r="L1979"/>
      <c r="O1979"/>
    </row>
    <row r="1980" spans="3:15" x14ac:dyDescent="0.25">
      <c r="C1980"/>
      <c r="F1980"/>
      <c r="G1980"/>
      <c r="H1980"/>
      <c r="L1980"/>
      <c r="O1980"/>
    </row>
    <row r="1981" spans="3:15" x14ac:dyDescent="0.25">
      <c r="C1981"/>
      <c r="F1981"/>
      <c r="G1981"/>
      <c r="H1981"/>
      <c r="L1981"/>
      <c r="O1981"/>
    </row>
    <row r="1982" spans="3:15" x14ac:dyDescent="0.25">
      <c r="C1982"/>
      <c r="F1982"/>
      <c r="G1982"/>
      <c r="H1982"/>
      <c r="L1982"/>
      <c r="O1982"/>
    </row>
    <row r="1983" spans="3:15" x14ac:dyDescent="0.25">
      <c r="C1983"/>
      <c r="F1983"/>
      <c r="G1983"/>
      <c r="H1983"/>
      <c r="L1983"/>
      <c r="O1983"/>
    </row>
    <row r="1984" spans="3:15" x14ac:dyDescent="0.25">
      <c r="C1984"/>
      <c r="F1984"/>
      <c r="G1984"/>
      <c r="H1984"/>
      <c r="L1984"/>
      <c r="O1984"/>
    </row>
    <row r="1985" spans="3:15" x14ac:dyDescent="0.25">
      <c r="C1985"/>
      <c r="F1985"/>
      <c r="G1985"/>
      <c r="H1985"/>
      <c r="L1985"/>
      <c r="O1985"/>
    </row>
    <row r="1986" spans="3:15" x14ac:dyDescent="0.25">
      <c r="C1986"/>
      <c r="F1986"/>
      <c r="G1986"/>
      <c r="H1986"/>
      <c r="L1986"/>
      <c r="O1986"/>
    </row>
    <row r="1987" spans="3:15" x14ac:dyDescent="0.25">
      <c r="C1987"/>
      <c r="F1987"/>
      <c r="G1987"/>
      <c r="H1987"/>
      <c r="L1987"/>
      <c r="O1987"/>
    </row>
    <row r="1988" spans="3:15" x14ac:dyDescent="0.25">
      <c r="C1988"/>
      <c r="F1988"/>
      <c r="G1988"/>
      <c r="H1988"/>
      <c r="L1988"/>
      <c r="O1988"/>
    </row>
    <row r="1989" spans="3:15" x14ac:dyDescent="0.25">
      <c r="C1989"/>
      <c r="F1989"/>
      <c r="G1989"/>
      <c r="H1989"/>
      <c r="L1989"/>
      <c r="O1989"/>
    </row>
    <row r="1990" spans="3:15" x14ac:dyDescent="0.25">
      <c r="C1990"/>
      <c r="F1990"/>
      <c r="G1990"/>
      <c r="H1990"/>
      <c r="L1990"/>
      <c r="O1990"/>
    </row>
    <row r="1991" spans="3:15" x14ac:dyDescent="0.25">
      <c r="C1991"/>
      <c r="F1991"/>
      <c r="G1991"/>
      <c r="H1991"/>
      <c r="L1991"/>
      <c r="O1991"/>
    </row>
    <row r="1992" spans="3:15" x14ac:dyDescent="0.25">
      <c r="C1992"/>
      <c r="F1992"/>
      <c r="G1992"/>
      <c r="H1992"/>
      <c r="L1992"/>
      <c r="O1992"/>
    </row>
    <row r="1993" spans="3:15" x14ac:dyDescent="0.25">
      <c r="C1993"/>
      <c r="F1993"/>
      <c r="G1993"/>
      <c r="H1993"/>
      <c r="L1993"/>
      <c r="O1993"/>
    </row>
    <row r="1994" spans="3:15" x14ac:dyDescent="0.25">
      <c r="C1994"/>
      <c r="F1994"/>
      <c r="G1994"/>
      <c r="H1994"/>
      <c r="L1994"/>
      <c r="O1994"/>
    </row>
    <row r="1995" spans="3:15" x14ac:dyDescent="0.25">
      <c r="C1995"/>
      <c r="F1995"/>
      <c r="G1995"/>
      <c r="H1995"/>
      <c r="L1995"/>
      <c r="O1995"/>
    </row>
    <row r="1996" spans="3:15" x14ac:dyDescent="0.25">
      <c r="C1996"/>
      <c r="F1996"/>
      <c r="G1996"/>
      <c r="H1996"/>
      <c r="L1996"/>
      <c r="O1996"/>
    </row>
    <row r="1997" spans="3:15" x14ac:dyDescent="0.25">
      <c r="C1997"/>
      <c r="F1997"/>
      <c r="G1997"/>
      <c r="H1997"/>
      <c r="L1997"/>
      <c r="O1997"/>
    </row>
    <row r="1998" spans="3:15" x14ac:dyDescent="0.25">
      <c r="C1998"/>
      <c r="F1998"/>
      <c r="G1998"/>
      <c r="H1998"/>
      <c r="L1998"/>
      <c r="O1998"/>
    </row>
    <row r="1999" spans="3:15" x14ac:dyDescent="0.25">
      <c r="C1999"/>
      <c r="F1999"/>
      <c r="G1999"/>
      <c r="H1999"/>
      <c r="L1999"/>
      <c r="O1999"/>
    </row>
    <row r="2000" spans="3:15" x14ac:dyDescent="0.25">
      <c r="C2000"/>
      <c r="F2000"/>
      <c r="G2000"/>
      <c r="H2000"/>
      <c r="L2000"/>
      <c r="O2000"/>
    </row>
    <row r="2001" spans="3:15" x14ac:dyDescent="0.25">
      <c r="C2001"/>
      <c r="F2001"/>
      <c r="G2001"/>
      <c r="H2001"/>
      <c r="L2001"/>
      <c r="O2001"/>
    </row>
    <row r="2002" spans="3:15" x14ac:dyDescent="0.25">
      <c r="C2002"/>
      <c r="F2002"/>
      <c r="G2002"/>
      <c r="H2002"/>
      <c r="L2002"/>
      <c r="O2002"/>
    </row>
    <row r="2003" spans="3:15" x14ac:dyDescent="0.25">
      <c r="C2003"/>
      <c r="F2003"/>
      <c r="G2003"/>
      <c r="H2003"/>
      <c r="L2003"/>
      <c r="O2003"/>
    </row>
    <row r="2004" spans="3:15" x14ac:dyDescent="0.25">
      <c r="C2004"/>
      <c r="F2004"/>
      <c r="G2004"/>
      <c r="H2004"/>
      <c r="L2004"/>
      <c r="O2004"/>
    </row>
    <row r="2005" spans="3:15" x14ac:dyDescent="0.25">
      <c r="C2005"/>
      <c r="F2005"/>
      <c r="G2005"/>
      <c r="H2005"/>
      <c r="L2005"/>
      <c r="O2005"/>
    </row>
    <row r="2006" spans="3:15" x14ac:dyDescent="0.25">
      <c r="C2006"/>
      <c r="F2006"/>
      <c r="G2006"/>
      <c r="H2006"/>
      <c r="L2006"/>
      <c r="O2006"/>
    </row>
    <row r="2007" spans="3:15" x14ac:dyDescent="0.25">
      <c r="C2007"/>
      <c r="F2007"/>
      <c r="G2007"/>
      <c r="H2007"/>
      <c r="L2007"/>
      <c r="O2007"/>
    </row>
    <row r="2008" spans="3:15" x14ac:dyDescent="0.25">
      <c r="C2008"/>
      <c r="F2008"/>
      <c r="G2008"/>
      <c r="H2008"/>
      <c r="L2008"/>
      <c r="O2008"/>
    </row>
    <row r="2009" spans="3:15" x14ac:dyDescent="0.25">
      <c r="C2009"/>
      <c r="F2009"/>
      <c r="G2009"/>
      <c r="H2009"/>
      <c r="L2009"/>
      <c r="O2009"/>
    </row>
    <row r="2010" spans="3:15" x14ac:dyDescent="0.25">
      <c r="C2010"/>
      <c r="F2010"/>
      <c r="G2010"/>
      <c r="H2010"/>
      <c r="L2010"/>
      <c r="O2010"/>
    </row>
    <row r="2011" spans="3:15" x14ac:dyDescent="0.25">
      <c r="C2011"/>
      <c r="F2011"/>
      <c r="G2011"/>
      <c r="H2011"/>
      <c r="L2011"/>
      <c r="O2011"/>
    </row>
    <row r="2012" spans="3:15" x14ac:dyDescent="0.25">
      <c r="C2012"/>
      <c r="F2012"/>
      <c r="G2012"/>
      <c r="H2012"/>
      <c r="L2012"/>
      <c r="O2012"/>
    </row>
    <row r="2013" spans="3:15" x14ac:dyDescent="0.25">
      <c r="C2013"/>
      <c r="F2013"/>
      <c r="G2013"/>
      <c r="H2013"/>
      <c r="L2013"/>
      <c r="O2013"/>
    </row>
    <row r="2014" spans="3:15" x14ac:dyDescent="0.25">
      <c r="C2014"/>
      <c r="F2014"/>
      <c r="G2014"/>
      <c r="H2014"/>
      <c r="L2014"/>
      <c r="O2014"/>
    </row>
    <row r="2015" spans="3:15" x14ac:dyDescent="0.25">
      <c r="C2015"/>
      <c r="F2015"/>
      <c r="G2015"/>
      <c r="H2015"/>
      <c r="L2015"/>
      <c r="O2015"/>
    </row>
    <row r="2016" spans="3:15" x14ac:dyDescent="0.25">
      <c r="C2016"/>
      <c r="F2016"/>
      <c r="G2016"/>
      <c r="H2016"/>
      <c r="L2016"/>
      <c r="O2016"/>
    </row>
    <row r="2017" spans="3:15" x14ac:dyDescent="0.25">
      <c r="C2017"/>
      <c r="F2017"/>
      <c r="G2017"/>
      <c r="H2017"/>
      <c r="L2017"/>
      <c r="O2017"/>
    </row>
    <row r="2018" spans="3:15" x14ac:dyDescent="0.25">
      <c r="C2018"/>
      <c r="F2018"/>
      <c r="G2018"/>
      <c r="H2018"/>
      <c r="L2018"/>
      <c r="O2018"/>
    </row>
    <row r="2019" spans="3:15" x14ac:dyDescent="0.25">
      <c r="C2019"/>
      <c r="F2019"/>
      <c r="G2019"/>
      <c r="H2019"/>
      <c r="L2019"/>
      <c r="O2019"/>
    </row>
    <row r="2020" spans="3:15" x14ac:dyDescent="0.25">
      <c r="C2020"/>
      <c r="F2020"/>
      <c r="G2020"/>
      <c r="H2020"/>
      <c r="L2020"/>
      <c r="O2020"/>
    </row>
    <row r="2021" spans="3:15" x14ac:dyDescent="0.25">
      <c r="C2021"/>
      <c r="F2021"/>
      <c r="G2021"/>
      <c r="H2021"/>
      <c r="L2021"/>
      <c r="O2021"/>
    </row>
    <row r="2022" spans="3:15" x14ac:dyDescent="0.25">
      <c r="C2022"/>
      <c r="F2022"/>
      <c r="G2022"/>
      <c r="H2022"/>
      <c r="L2022"/>
      <c r="O2022"/>
    </row>
    <row r="2023" spans="3:15" x14ac:dyDescent="0.25">
      <c r="C2023"/>
      <c r="F2023"/>
      <c r="G2023"/>
      <c r="H2023"/>
      <c r="L2023"/>
      <c r="O2023"/>
    </row>
    <row r="2024" spans="3:15" x14ac:dyDescent="0.25">
      <c r="C2024"/>
      <c r="F2024"/>
      <c r="G2024"/>
      <c r="H2024"/>
      <c r="L2024"/>
      <c r="O2024"/>
    </row>
    <row r="2025" spans="3:15" x14ac:dyDescent="0.25">
      <c r="C2025"/>
      <c r="F2025"/>
      <c r="G2025"/>
      <c r="H2025"/>
      <c r="L2025"/>
      <c r="O2025"/>
    </row>
    <row r="2026" spans="3:15" x14ac:dyDescent="0.25">
      <c r="C2026"/>
      <c r="F2026"/>
      <c r="G2026"/>
      <c r="H2026"/>
      <c r="L2026"/>
      <c r="O2026"/>
    </row>
    <row r="2027" spans="3:15" x14ac:dyDescent="0.25">
      <c r="C2027"/>
      <c r="F2027"/>
      <c r="G2027"/>
      <c r="H2027"/>
      <c r="L2027"/>
      <c r="O2027"/>
    </row>
    <row r="2028" spans="3:15" x14ac:dyDescent="0.25">
      <c r="C2028"/>
      <c r="F2028"/>
      <c r="G2028"/>
      <c r="H2028"/>
      <c r="L2028"/>
      <c r="O2028"/>
    </row>
    <row r="2029" spans="3:15" x14ac:dyDescent="0.25">
      <c r="C2029"/>
      <c r="F2029"/>
      <c r="G2029"/>
      <c r="H2029"/>
      <c r="L2029"/>
      <c r="O2029"/>
    </row>
    <row r="2030" spans="3:15" x14ac:dyDescent="0.25">
      <c r="C2030"/>
      <c r="F2030"/>
      <c r="G2030"/>
      <c r="H2030"/>
      <c r="L2030"/>
      <c r="O2030"/>
    </row>
    <row r="2031" spans="3:15" x14ac:dyDescent="0.25">
      <c r="C2031"/>
      <c r="F2031"/>
      <c r="G2031"/>
      <c r="H2031"/>
      <c r="L2031"/>
      <c r="O2031"/>
    </row>
    <row r="2032" spans="3:15" x14ac:dyDescent="0.25">
      <c r="C2032"/>
      <c r="F2032"/>
      <c r="G2032"/>
      <c r="H2032"/>
      <c r="L2032"/>
      <c r="O2032"/>
    </row>
    <row r="2033" spans="3:15" x14ac:dyDescent="0.25">
      <c r="C2033"/>
      <c r="F2033"/>
      <c r="G2033"/>
      <c r="H2033"/>
      <c r="L2033"/>
      <c r="O2033"/>
    </row>
    <row r="2034" spans="3:15" x14ac:dyDescent="0.25">
      <c r="C2034"/>
      <c r="F2034"/>
      <c r="G2034"/>
      <c r="H2034"/>
      <c r="L2034"/>
      <c r="O2034"/>
    </row>
    <row r="2035" spans="3:15" x14ac:dyDescent="0.25">
      <c r="C2035"/>
      <c r="F2035"/>
      <c r="G2035"/>
      <c r="H2035"/>
      <c r="L2035"/>
      <c r="O2035"/>
    </row>
    <row r="2036" spans="3:15" x14ac:dyDescent="0.25">
      <c r="C2036"/>
      <c r="F2036"/>
      <c r="G2036"/>
      <c r="H2036"/>
      <c r="L2036"/>
      <c r="O2036"/>
    </row>
    <row r="2037" spans="3:15" x14ac:dyDescent="0.25">
      <c r="C2037"/>
      <c r="F2037"/>
      <c r="G2037"/>
      <c r="H2037"/>
      <c r="L2037"/>
      <c r="O2037"/>
    </row>
    <row r="2038" spans="3:15" x14ac:dyDescent="0.25">
      <c r="C2038"/>
      <c r="F2038"/>
      <c r="G2038"/>
      <c r="H2038"/>
      <c r="L2038"/>
      <c r="O2038"/>
    </row>
    <row r="2039" spans="3:15" x14ac:dyDescent="0.25">
      <c r="C2039"/>
      <c r="F2039"/>
      <c r="G2039"/>
      <c r="H2039"/>
      <c r="L2039"/>
      <c r="O2039"/>
    </row>
    <row r="2040" spans="3:15" x14ac:dyDescent="0.25">
      <c r="C2040"/>
      <c r="F2040"/>
      <c r="G2040"/>
      <c r="H2040"/>
      <c r="L2040"/>
      <c r="O2040"/>
    </row>
    <row r="2041" spans="3:15" x14ac:dyDescent="0.25">
      <c r="C2041"/>
      <c r="F2041"/>
      <c r="G2041"/>
      <c r="H2041"/>
      <c r="L2041"/>
      <c r="O2041"/>
    </row>
    <row r="2042" spans="3:15" x14ac:dyDescent="0.25">
      <c r="C2042"/>
      <c r="F2042"/>
      <c r="G2042"/>
      <c r="H2042"/>
      <c r="L2042"/>
      <c r="O2042"/>
    </row>
    <row r="2043" spans="3:15" x14ac:dyDescent="0.25">
      <c r="C2043"/>
      <c r="F2043"/>
      <c r="G2043"/>
      <c r="H2043"/>
      <c r="L2043"/>
      <c r="O2043"/>
    </row>
    <row r="2044" spans="3:15" x14ac:dyDescent="0.25">
      <c r="C2044"/>
      <c r="F2044"/>
      <c r="G2044"/>
      <c r="H2044"/>
      <c r="L2044"/>
      <c r="O2044"/>
    </row>
    <row r="2045" spans="3:15" x14ac:dyDescent="0.25">
      <c r="C2045"/>
      <c r="F2045"/>
      <c r="G2045"/>
      <c r="H2045"/>
      <c r="L2045"/>
      <c r="O2045"/>
    </row>
    <row r="2046" spans="3:15" x14ac:dyDescent="0.25">
      <c r="C2046"/>
      <c r="F2046"/>
      <c r="G2046"/>
      <c r="H2046"/>
      <c r="L2046"/>
      <c r="O2046"/>
    </row>
    <row r="2047" spans="3:15" x14ac:dyDescent="0.25">
      <c r="C2047"/>
      <c r="F2047"/>
      <c r="G2047"/>
      <c r="H2047"/>
      <c r="L2047"/>
      <c r="O2047"/>
    </row>
    <row r="2048" spans="3:15" x14ac:dyDescent="0.25">
      <c r="C2048"/>
      <c r="F2048"/>
      <c r="G2048"/>
      <c r="H2048"/>
      <c r="L2048"/>
      <c r="O2048"/>
    </row>
    <row r="2049" spans="3:15" x14ac:dyDescent="0.25">
      <c r="C2049"/>
      <c r="F2049"/>
      <c r="G2049"/>
      <c r="H2049"/>
      <c r="L2049"/>
      <c r="O2049"/>
    </row>
    <row r="2050" spans="3:15" x14ac:dyDescent="0.25">
      <c r="C2050"/>
      <c r="F2050"/>
      <c r="G2050"/>
      <c r="H2050"/>
      <c r="L2050"/>
      <c r="O2050"/>
    </row>
    <row r="2051" spans="3:15" x14ac:dyDescent="0.25">
      <c r="C2051"/>
      <c r="F2051"/>
      <c r="G2051"/>
      <c r="H2051"/>
      <c r="L2051"/>
      <c r="O2051"/>
    </row>
    <row r="2052" spans="3:15" x14ac:dyDescent="0.25">
      <c r="C2052"/>
      <c r="F2052"/>
      <c r="G2052"/>
      <c r="H2052"/>
      <c r="L2052"/>
      <c r="O2052"/>
    </row>
    <row r="2053" spans="3:15" x14ac:dyDescent="0.25">
      <c r="C2053"/>
      <c r="F2053"/>
      <c r="G2053"/>
      <c r="H2053"/>
      <c r="L2053"/>
      <c r="O2053"/>
    </row>
    <row r="2054" spans="3:15" x14ac:dyDescent="0.25">
      <c r="C2054"/>
      <c r="F2054"/>
      <c r="G2054"/>
      <c r="H2054"/>
      <c r="L2054"/>
      <c r="O2054"/>
    </row>
    <row r="2055" spans="3:15" x14ac:dyDescent="0.25">
      <c r="C2055"/>
      <c r="F2055"/>
      <c r="G2055"/>
      <c r="H2055"/>
      <c r="L2055"/>
      <c r="O2055"/>
    </row>
    <row r="2056" spans="3:15" x14ac:dyDescent="0.25">
      <c r="C2056"/>
      <c r="F2056"/>
      <c r="G2056"/>
      <c r="H2056"/>
      <c r="L2056"/>
      <c r="O2056"/>
    </row>
    <row r="2057" spans="3:15" x14ac:dyDescent="0.25">
      <c r="C2057"/>
      <c r="F2057"/>
      <c r="G2057"/>
      <c r="H2057"/>
      <c r="L2057"/>
      <c r="O2057"/>
    </row>
    <row r="2058" spans="3:15" x14ac:dyDescent="0.25">
      <c r="C2058"/>
      <c r="F2058"/>
      <c r="G2058"/>
      <c r="H2058"/>
      <c r="L2058"/>
      <c r="O2058"/>
    </row>
    <row r="2059" spans="3:15" x14ac:dyDescent="0.25">
      <c r="C2059"/>
      <c r="F2059"/>
      <c r="G2059"/>
      <c r="H2059"/>
      <c r="L2059"/>
      <c r="O2059"/>
    </row>
    <row r="2060" spans="3:15" x14ac:dyDescent="0.25">
      <c r="C2060"/>
      <c r="F2060"/>
      <c r="G2060"/>
      <c r="H2060"/>
      <c r="L2060"/>
      <c r="O2060"/>
    </row>
    <row r="2061" spans="3:15" x14ac:dyDescent="0.25">
      <c r="C2061"/>
      <c r="F2061"/>
      <c r="G2061"/>
      <c r="H2061"/>
      <c r="L2061"/>
      <c r="O2061"/>
    </row>
    <row r="2062" spans="3:15" x14ac:dyDescent="0.25">
      <c r="C2062"/>
      <c r="F2062"/>
      <c r="G2062"/>
      <c r="H2062"/>
      <c r="L2062"/>
      <c r="O2062"/>
    </row>
    <row r="2063" spans="3:15" x14ac:dyDescent="0.25">
      <c r="C2063"/>
      <c r="F2063"/>
      <c r="G2063"/>
      <c r="H2063"/>
      <c r="L2063"/>
      <c r="O2063"/>
    </row>
    <row r="2064" spans="3:15" x14ac:dyDescent="0.25">
      <c r="C2064"/>
      <c r="F2064"/>
      <c r="G2064"/>
      <c r="H2064"/>
      <c r="L2064"/>
      <c r="O2064"/>
    </row>
    <row r="2065" spans="3:15" x14ac:dyDescent="0.25">
      <c r="C2065"/>
      <c r="F2065"/>
      <c r="G2065"/>
      <c r="H2065"/>
      <c r="L2065"/>
      <c r="O2065"/>
    </row>
    <row r="2066" spans="3:15" x14ac:dyDescent="0.25">
      <c r="C2066"/>
      <c r="F2066"/>
      <c r="G2066"/>
      <c r="H2066"/>
      <c r="L2066"/>
      <c r="O2066"/>
    </row>
    <row r="2067" spans="3:15" x14ac:dyDescent="0.25">
      <c r="C2067"/>
      <c r="F2067"/>
      <c r="G2067"/>
      <c r="H2067"/>
      <c r="L2067"/>
      <c r="O2067"/>
    </row>
    <row r="2068" spans="3:15" x14ac:dyDescent="0.25">
      <c r="C2068"/>
      <c r="F2068"/>
      <c r="G2068"/>
      <c r="H2068"/>
      <c r="L2068"/>
      <c r="O2068"/>
    </row>
    <row r="2069" spans="3:15" x14ac:dyDescent="0.25">
      <c r="C2069"/>
      <c r="F2069"/>
      <c r="G2069"/>
      <c r="H2069"/>
      <c r="L2069"/>
      <c r="O2069"/>
    </row>
    <row r="2070" spans="3:15" x14ac:dyDescent="0.25">
      <c r="C2070"/>
      <c r="F2070"/>
      <c r="G2070"/>
      <c r="H2070"/>
      <c r="L2070"/>
      <c r="O2070"/>
    </row>
    <row r="2071" spans="3:15" x14ac:dyDescent="0.25">
      <c r="C2071"/>
      <c r="F2071"/>
      <c r="G2071"/>
      <c r="H2071"/>
      <c r="L2071"/>
      <c r="O2071"/>
    </row>
    <row r="2072" spans="3:15" x14ac:dyDescent="0.25">
      <c r="C2072"/>
      <c r="F2072"/>
      <c r="G2072"/>
      <c r="H2072"/>
      <c r="L2072"/>
      <c r="O2072"/>
    </row>
    <row r="2073" spans="3:15" x14ac:dyDescent="0.25">
      <c r="C2073"/>
      <c r="F2073"/>
      <c r="G2073"/>
      <c r="H2073"/>
      <c r="L2073"/>
      <c r="O2073"/>
    </row>
    <row r="2074" spans="3:15" x14ac:dyDescent="0.25">
      <c r="C2074"/>
      <c r="F2074"/>
      <c r="G2074"/>
      <c r="H2074"/>
      <c r="L2074"/>
      <c r="O2074"/>
    </row>
    <row r="2075" spans="3:15" x14ac:dyDescent="0.25">
      <c r="C2075"/>
      <c r="F2075"/>
      <c r="G2075"/>
      <c r="H2075"/>
      <c r="L2075"/>
      <c r="O2075"/>
    </row>
    <row r="2076" spans="3:15" x14ac:dyDescent="0.25">
      <c r="C2076"/>
      <c r="F2076"/>
      <c r="G2076"/>
      <c r="H2076"/>
      <c r="L2076"/>
      <c r="O2076"/>
    </row>
    <row r="2077" spans="3:15" x14ac:dyDescent="0.25">
      <c r="C2077"/>
      <c r="F2077"/>
      <c r="G2077"/>
      <c r="H2077"/>
      <c r="L2077"/>
      <c r="O2077"/>
    </row>
    <row r="2078" spans="3:15" x14ac:dyDescent="0.25">
      <c r="C2078"/>
      <c r="F2078"/>
      <c r="G2078"/>
      <c r="H2078"/>
      <c r="L2078"/>
      <c r="O2078"/>
    </row>
    <row r="2079" spans="3:15" x14ac:dyDescent="0.25">
      <c r="C2079"/>
      <c r="F2079"/>
      <c r="G2079"/>
      <c r="H2079"/>
      <c r="L2079"/>
      <c r="O2079"/>
    </row>
    <row r="2080" spans="3:15" x14ac:dyDescent="0.25">
      <c r="C2080"/>
      <c r="F2080"/>
      <c r="G2080"/>
      <c r="H2080"/>
      <c r="L2080"/>
      <c r="O2080"/>
    </row>
    <row r="2081" spans="3:15" x14ac:dyDescent="0.25">
      <c r="C2081"/>
      <c r="F2081"/>
      <c r="G2081"/>
      <c r="H2081"/>
      <c r="L2081"/>
      <c r="O2081"/>
    </row>
    <row r="2082" spans="3:15" x14ac:dyDescent="0.25">
      <c r="C2082"/>
      <c r="F2082"/>
      <c r="G2082"/>
      <c r="H2082"/>
      <c r="L2082"/>
      <c r="O2082"/>
    </row>
    <row r="2083" spans="3:15" x14ac:dyDescent="0.25">
      <c r="C2083"/>
      <c r="F2083"/>
      <c r="G2083"/>
      <c r="H2083"/>
      <c r="L2083"/>
      <c r="O2083"/>
    </row>
    <row r="2084" spans="3:15" x14ac:dyDescent="0.25">
      <c r="C2084"/>
      <c r="F2084"/>
      <c r="G2084"/>
      <c r="H2084"/>
      <c r="L2084"/>
      <c r="O2084"/>
    </row>
    <row r="2085" spans="3:15" x14ac:dyDescent="0.25">
      <c r="C2085"/>
      <c r="F2085"/>
      <c r="G2085"/>
      <c r="H2085"/>
      <c r="L2085"/>
      <c r="O2085"/>
    </row>
    <row r="2086" spans="3:15" x14ac:dyDescent="0.25">
      <c r="C2086"/>
      <c r="F2086"/>
      <c r="G2086"/>
      <c r="H2086"/>
      <c r="L2086"/>
      <c r="O2086"/>
    </row>
    <row r="2087" spans="3:15" x14ac:dyDescent="0.25">
      <c r="C2087"/>
      <c r="F2087"/>
      <c r="G2087"/>
      <c r="H2087"/>
      <c r="L2087"/>
      <c r="O2087"/>
    </row>
    <row r="2088" spans="3:15" x14ac:dyDescent="0.25">
      <c r="C2088"/>
      <c r="F2088"/>
      <c r="G2088"/>
      <c r="H2088"/>
      <c r="L2088"/>
      <c r="O2088"/>
    </row>
    <row r="2089" spans="3:15" x14ac:dyDescent="0.25">
      <c r="C2089"/>
      <c r="F2089"/>
      <c r="G2089"/>
      <c r="H2089"/>
      <c r="L2089"/>
      <c r="O2089"/>
    </row>
    <row r="2090" spans="3:15" x14ac:dyDescent="0.25">
      <c r="C2090"/>
      <c r="F2090"/>
      <c r="G2090"/>
      <c r="H2090"/>
      <c r="L2090"/>
      <c r="O2090"/>
    </row>
    <row r="2091" spans="3:15" x14ac:dyDescent="0.25">
      <c r="C2091"/>
      <c r="F2091"/>
      <c r="G2091"/>
      <c r="H2091"/>
      <c r="L2091"/>
      <c r="O2091"/>
    </row>
    <row r="2092" spans="3:15" x14ac:dyDescent="0.25">
      <c r="C2092"/>
      <c r="F2092"/>
      <c r="G2092"/>
      <c r="H2092"/>
      <c r="L2092"/>
      <c r="O2092"/>
    </row>
    <row r="2093" spans="3:15" x14ac:dyDescent="0.25">
      <c r="C2093"/>
      <c r="F2093"/>
      <c r="G2093"/>
      <c r="H2093"/>
      <c r="L2093"/>
      <c r="O2093"/>
    </row>
    <row r="2094" spans="3:15" x14ac:dyDescent="0.25">
      <c r="C2094"/>
      <c r="F2094"/>
      <c r="G2094"/>
      <c r="H2094"/>
      <c r="L2094"/>
      <c r="O2094"/>
    </row>
    <row r="2095" spans="3:15" x14ac:dyDescent="0.25">
      <c r="C2095"/>
      <c r="F2095"/>
      <c r="G2095"/>
      <c r="H2095"/>
      <c r="L2095"/>
      <c r="O2095"/>
    </row>
    <row r="2096" spans="3:15" x14ac:dyDescent="0.25">
      <c r="C2096"/>
      <c r="F2096"/>
      <c r="G2096"/>
      <c r="H2096"/>
      <c r="L2096"/>
      <c r="O2096"/>
    </row>
    <row r="2097" spans="3:15" x14ac:dyDescent="0.25">
      <c r="C2097"/>
      <c r="F2097"/>
      <c r="G2097"/>
      <c r="H2097"/>
      <c r="L2097"/>
      <c r="O2097"/>
    </row>
    <row r="2098" spans="3:15" x14ac:dyDescent="0.25">
      <c r="C2098"/>
      <c r="F2098"/>
      <c r="G2098"/>
      <c r="H2098"/>
      <c r="L2098"/>
      <c r="O2098"/>
    </row>
    <row r="2099" spans="3:15" x14ac:dyDescent="0.25">
      <c r="C2099"/>
      <c r="F2099"/>
      <c r="G2099"/>
      <c r="H2099"/>
      <c r="L2099"/>
      <c r="O2099"/>
    </row>
    <row r="2100" spans="3:15" x14ac:dyDescent="0.25">
      <c r="C2100"/>
      <c r="F2100"/>
      <c r="G2100"/>
      <c r="H2100"/>
      <c r="L2100"/>
      <c r="O2100"/>
    </row>
    <row r="2101" spans="3:15" x14ac:dyDescent="0.25">
      <c r="C2101"/>
      <c r="F2101"/>
      <c r="G2101"/>
      <c r="H2101"/>
      <c r="L2101"/>
      <c r="O2101"/>
    </row>
    <row r="2102" spans="3:15" x14ac:dyDescent="0.25">
      <c r="C2102"/>
      <c r="F2102"/>
      <c r="G2102"/>
      <c r="H2102"/>
      <c r="L2102"/>
      <c r="O2102"/>
    </row>
    <row r="2103" spans="3:15" x14ac:dyDescent="0.25">
      <c r="C2103"/>
      <c r="F2103"/>
      <c r="G2103"/>
      <c r="H2103"/>
      <c r="L2103"/>
      <c r="O2103"/>
    </row>
    <row r="2104" spans="3:15" x14ac:dyDescent="0.25">
      <c r="C2104"/>
      <c r="F2104"/>
      <c r="G2104"/>
      <c r="H2104"/>
      <c r="L2104"/>
      <c r="O2104"/>
    </row>
    <row r="2105" spans="3:15" x14ac:dyDescent="0.25">
      <c r="C2105"/>
      <c r="F2105"/>
      <c r="G2105"/>
      <c r="H2105"/>
      <c r="L2105"/>
      <c r="O2105"/>
    </row>
    <row r="2106" spans="3:15" x14ac:dyDescent="0.25">
      <c r="C2106"/>
      <c r="F2106"/>
      <c r="G2106"/>
      <c r="H2106"/>
      <c r="L2106"/>
      <c r="O2106"/>
    </row>
    <row r="2107" spans="3:15" x14ac:dyDescent="0.25">
      <c r="C2107"/>
      <c r="F2107"/>
      <c r="G2107"/>
      <c r="H2107"/>
      <c r="L2107"/>
      <c r="O2107"/>
    </row>
    <row r="2108" spans="3:15" x14ac:dyDescent="0.25">
      <c r="C2108"/>
      <c r="F2108"/>
      <c r="G2108"/>
      <c r="H2108"/>
      <c r="L2108"/>
      <c r="O2108"/>
    </row>
    <row r="2109" spans="3:15" x14ac:dyDescent="0.25">
      <c r="C2109"/>
      <c r="F2109"/>
      <c r="G2109"/>
      <c r="H2109"/>
      <c r="L2109"/>
      <c r="O2109"/>
    </row>
    <row r="2110" spans="3:15" x14ac:dyDescent="0.25">
      <c r="C2110"/>
      <c r="F2110"/>
      <c r="G2110"/>
      <c r="H2110"/>
      <c r="L2110"/>
      <c r="O2110"/>
    </row>
    <row r="2111" spans="3:15" x14ac:dyDescent="0.25">
      <c r="C2111"/>
      <c r="F2111"/>
      <c r="G2111"/>
      <c r="H2111"/>
      <c r="L2111"/>
      <c r="O2111"/>
    </row>
    <row r="2112" spans="3:15" x14ac:dyDescent="0.25">
      <c r="C2112"/>
      <c r="F2112"/>
      <c r="G2112"/>
      <c r="H2112"/>
      <c r="L2112"/>
      <c r="O2112"/>
    </row>
    <row r="2113" spans="3:15" x14ac:dyDescent="0.25">
      <c r="C2113"/>
      <c r="F2113"/>
      <c r="G2113"/>
      <c r="H2113"/>
      <c r="L2113"/>
      <c r="O2113"/>
    </row>
    <row r="2114" spans="3:15" x14ac:dyDescent="0.25">
      <c r="C2114"/>
      <c r="F2114"/>
      <c r="G2114"/>
      <c r="H2114"/>
      <c r="L2114"/>
      <c r="O2114"/>
    </row>
    <row r="2115" spans="3:15" x14ac:dyDescent="0.25">
      <c r="C2115"/>
      <c r="F2115"/>
      <c r="G2115"/>
      <c r="H2115"/>
      <c r="L2115"/>
      <c r="O2115"/>
    </row>
    <row r="2116" spans="3:15" x14ac:dyDescent="0.25">
      <c r="C2116"/>
      <c r="F2116"/>
      <c r="G2116"/>
      <c r="H2116"/>
      <c r="L2116"/>
      <c r="O2116"/>
    </row>
    <row r="2117" spans="3:15" x14ac:dyDescent="0.25">
      <c r="C2117"/>
      <c r="F2117"/>
      <c r="G2117"/>
      <c r="H2117"/>
      <c r="L2117"/>
      <c r="O2117"/>
    </row>
    <row r="2118" spans="3:15" x14ac:dyDescent="0.25">
      <c r="C2118"/>
      <c r="F2118"/>
      <c r="G2118"/>
      <c r="H2118"/>
      <c r="L2118"/>
      <c r="O2118"/>
    </row>
    <row r="2119" spans="3:15" x14ac:dyDescent="0.25">
      <c r="C2119"/>
      <c r="F2119"/>
      <c r="G2119"/>
      <c r="H2119"/>
      <c r="L2119"/>
      <c r="O2119"/>
    </row>
    <row r="2120" spans="3:15" x14ac:dyDescent="0.25">
      <c r="C2120"/>
      <c r="F2120"/>
      <c r="G2120"/>
      <c r="H2120"/>
      <c r="L2120"/>
      <c r="O2120"/>
    </row>
    <row r="2121" spans="3:15" x14ac:dyDescent="0.25">
      <c r="C2121"/>
      <c r="F2121"/>
      <c r="G2121"/>
      <c r="H2121"/>
      <c r="L2121"/>
      <c r="O2121"/>
    </row>
    <row r="2122" spans="3:15" x14ac:dyDescent="0.25">
      <c r="C2122"/>
      <c r="F2122"/>
      <c r="G2122"/>
      <c r="H2122"/>
      <c r="L2122"/>
      <c r="O2122"/>
    </row>
    <row r="2123" spans="3:15" x14ac:dyDescent="0.25">
      <c r="C2123"/>
      <c r="F2123"/>
      <c r="G2123"/>
      <c r="H2123"/>
      <c r="L2123"/>
      <c r="O2123"/>
    </row>
    <row r="2124" spans="3:15" x14ac:dyDescent="0.25">
      <c r="C2124"/>
      <c r="F2124"/>
      <c r="G2124"/>
      <c r="H2124"/>
      <c r="L2124"/>
      <c r="O2124"/>
    </row>
    <row r="2125" spans="3:15" x14ac:dyDescent="0.25">
      <c r="C2125"/>
      <c r="F2125"/>
      <c r="G2125"/>
      <c r="H2125"/>
      <c r="L2125"/>
      <c r="O2125"/>
    </row>
    <row r="2126" spans="3:15" x14ac:dyDescent="0.25">
      <c r="C2126"/>
      <c r="F2126"/>
      <c r="G2126"/>
      <c r="H2126"/>
      <c r="L2126"/>
      <c r="O2126"/>
    </row>
    <row r="2127" spans="3:15" x14ac:dyDescent="0.25">
      <c r="C2127"/>
      <c r="F2127"/>
      <c r="G2127"/>
      <c r="H2127"/>
      <c r="L2127"/>
      <c r="O2127"/>
    </row>
    <row r="2128" spans="3:15" x14ac:dyDescent="0.25">
      <c r="C2128"/>
      <c r="F2128"/>
      <c r="G2128"/>
      <c r="H2128"/>
      <c r="L2128"/>
      <c r="O2128"/>
    </row>
    <row r="2129" spans="3:15" x14ac:dyDescent="0.25">
      <c r="C2129"/>
      <c r="F2129"/>
      <c r="G2129"/>
      <c r="H2129"/>
      <c r="L2129"/>
      <c r="O2129"/>
    </row>
    <row r="2130" spans="3:15" x14ac:dyDescent="0.25">
      <c r="C2130"/>
      <c r="F2130"/>
      <c r="G2130"/>
      <c r="H2130"/>
      <c r="L2130"/>
      <c r="O2130"/>
    </row>
    <row r="2131" spans="3:15" x14ac:dyDescent="0.25">
      <c r="C2131"/>
      <c r="F2131"/>
      <c r="G2131"/>
      <c r="H2131"/>
      <c r="L2131"/>
      <c r="O2131"/>
    </row>
    <row r="2132" spans="3:15" x14ac:dyDescent="0.25">
      <c r="C2132"/>
      <c r="F2132"/>
      <c r="G2132"/>
      <c r="H2132"/>
      <c r="L2132"/>
      <c r="O2132"/>
    </row>
    <row r="2133" spans="3:15" x14ac:dyDescent="0.25">
      <c r="C2133"/>
      <c r="F2133"/>
      <c r="G2133"/>
      <c r="H2133"/>
      <c r="L2133"/>
      <c r="O2133"/>
    </row>
    <row r="2134" spans="3:15" x14ac:dyDescent="0.25">
      <c r="C2134"/>
      <c r="F2134"/>
      <c r="G2134"/>
      <c r="H2134"/>
      <c r="L2134"/>
      <c r="O2134"/>
    </row>
    <row r="2135" spans="3:15" x14ac:dyDescent="0.25">
      <c r="C2135"/>
      <c r="F2135"/>
      <c r="G2135"/>
      <c r="H2135"/>
      <c r="L2135"/>
      <c r="O2135"/>
    </row>
    <row r="2136" spans="3:15" x14ac:dyDescent="0.25">
      <c r="C2136"/>
      <c r="F2136"/>
      <c r="G2136"/>
      <c r="H2136"/>
      <c r="L2136"/>
      <c r="O2136"/>
    </row>
    <row r="2137" spans="3:15" x14ac:dyDescent="0.25">
      <c r="C2137"/>
      <c r="F2137"/>
      <c r="G2137"/>
      <c r="H2137"/>
      <c r="L2137"/>
      <c r="O2137"/>
    </row>
    <row r="2138" spans="3:15" x14ac:dyDescent="0.25">
      <c r="C2138"/>
      <c r="F2138"/>
      <c r="G2138"/>
      <c r="H2138"/>
      <c r="L2138"/>
      <c r="O2138"/>
    </row>
    <row r="2139" spans="3:15" x14ac:dyDescent="0.25">
      <c r="C2139"/>
      <c r="F2139"/>
      <c r="G2139"/>
      <c r="H2139"/>
      <c r="L2139"/>
      <c r="O2139"/>
    </row>
    <row r="2140" spans="3:15" x14ac:dyDescent="0.25">
      <c r="C2140"/>
      <c r="F2140"/>
      <c r="G2140"/>
      <c r="H2140"/>
      <c r="L2140"/>
      <c r="O2140"/>
    </row>
    <row r="2141" spans="3:15" x14ac:dyDescent="0.25">
      <c r="C2141"/>
      <c r="F2141"/>
      <c r="G2141"/>
      <c r="H2141"/>
      <c r="L2141"/>
      <c r="O2141"/>
    </row>
    <row r="2142" spans="3:15" x14ac:dyDescent="0.25">
      <c r="C2142"/>
      <c r="F2142"/>
      <c r="G2142"/>
      <c r="H2142"/>
      <c r="L2142"/>
      <c r="O2142"/>
    </row>
    <row r="2143" spans="3:15" x14ac:dyDescent="0.25">
      <c r="C2143"/>
      <c r="F2143"/>
      <c r="G2143"/>
      <c r="H2143"/>
      <c r="L2143"/>
      <c r="O2143"/>
    </row>
    <row r="2144" spans="3:15" x14ac:dyDescent="0.25">
      <c r="C2144"/>
      <c r="F2144"/>
      <c r="G2144"/>
      <c r="H2144"/>
      <c r="L2144"/>
      <c r="O2144"/>
    </row>
    <row r="2145" spans="3:15" x14ac:dyDescent="0.25">
      <c r="C2145"/>
      <c r="F2145"/>
      <c r="G2145"/>
      <c r="H2145"/>
      <c r="L2145"/>
      <c r="O2145"/>
    </row>
    <row r="2146" spans="3:15" x14ac:dyDescent="0.25">
      <c r="C2146"/>
      <c r="F2146"/>
      <c r="G2146"/>
      <c r="H2146"/>
      <c r="L2146"/>
      <c r="O2146"/>
    </row>
    <row r="2147" spans="3:15" x14ac:dyDescent="0.25">
      <c r="C2147"/>
      <c r="F2147"/>
      <c r="G2147"/>
      <c r="H2147"/>
      <c r="L2147"/>
      <c r="O2147"/>
    </row>
    <row r="2148" spans="3:15" x14ac:dyDescent="0.25">
      <c r="C2148"/>
      <c r="F2148"/>
      <c r="G2148"/>
      <c r="H2148"/>
      <c r="L2148"/>
      <c r="O2148"/>
    </row>
    <row r="2149" spans="3:15" x14ac:dyDescent="0.25">
      <c r="C2149"/>
      <c r="F2149"/>
      <c r="G2149"/>
      <c r="H2149"/>
      <c r="L2149"/>
      <c r="O2149"/>
    </row>
    <row r="2150" spans="3:15" x14ac:dyDescent="0.25">
      <c r="C2150"/>
      <c r="F2150"/>
      <c r="G2150"/>
      <c r="H2150"/>
      <c r="L2150"/>
      <c r="O2150"/>
    </row>
    <row r="2151" spans="3:15" x14ac:dyDescent="0.25">
      <c r="C2151"/>
      <c r="F2151"/>
      <c r="G2151"/>
      <c r="H2151"/>
      <c r="L2151"/>
      <c r="O2151"/>
    </row>
    <row r="2152" spans="3:15" x14ac:dyDescent="0.25">
      <c r="C2152"/>
      <c r="F2152"/>
      <c r="G2152"/>
      <c r="H2152"/>
      <c r="L2152"/>
      <c r="O2152"/>
    </row>
    <row r="2153" spans="3:15" x14ac:dyDescent="0.25">
      <c r="C2153"/>
      <c r="F2153"/>
      <c r="G2153"/>
      <c r="H2153"/>
      <c r="L2153"/>
      <c r="O2153"/>
    </row>
    <row r="2154" spans="3:15" x14ac:dyDescent="0.25">
      <c r="C2154"/>
      <c r="F2154"/>
      <c r="G2154"/>
      <c r="H2154"/>
      <c r="L2154"/>
      <c r="O2154"/>
    </row>
    <row r="2155" spans="3:15" x14ac:dyDescent="0.25">
      <c r="C2155"/>
      <c r="F2155"/>
      <c r="G2155"/>
      <c r="H2155"/>
      <c r="L2155"/>
      <c r="O2155"/>
    </row>
    <row r="2156" spans="3:15" x14ac:dyDescent="0.25">
      <c r="C2156"/>
      <c r="F2156"/>
      <c r="G2156"/>
      <c r="H2156"/>
      <c r="L2156"/>
      <c r="O2156"/>
    </row>
    <row r="2157" spans="3:15" x14ac:dyDescent="0.25">
      <c r="C2157"/>
      <c r="F2157"/>
      <c r="G2157"/>
      <c r="H2157"/>
      <c r="L2157"/>
      <c r="O2157"/>
    </row>
    <row r="2158" spans="3:15" x14ac:dyDescent="0.25">
      <c r="C2158"/>
      <c r="F2158"/>
      <c r="G2158"/>
      <c r="H2158"/>
      <c r="L2158"/>
      <c r="O2158"/>
    </row>
    <row r="2159" spans="3:15" x14ac:dyDescent="0.25">
      <c r="C2159"/>
      <c r="F2159"/>
      <c r="G2159"/>
      <c r="H2159"/>
      <c r="L2159"/>
      <c r="O2159"/>
    </row>
    <row r="2160" spans="3:15" x14ac:dyDescent="0.25">
      <c r="C2160"/>
      <c r="F2160"/>
      <c r="G2160"/>
      <c r="H2160"/>
      <c r="L2160"/>
      <c r="O2160"/>
    </row>
    <row r="2161" spans="3:15" x14ac:dyDescent="0.25">
      <c r="C2161"/>
      <c r="F2161"/>
      <c r="G2161"/>
      <c r="H2161"/>
      <c r="L2161"/>
      <c r="O2161"/>
    </row>
    <row r="2162" spans="3:15" x14ac:dyDescent="0.25">
      <c r="C2162"/>
      <c r="F2162"/>
      <c r="G2162"/>
      <c r="H2162"/>
      <c r="L2162"/>
      <c r="O2162"/>
    </row>
    <row r="2163" spans="3:15" x14ac:dyDescent="0.25">
      <c r="C2163"/>
      <c r="F2163"/>
      <c r="G2163"/>
      <c r="H2163"/>
      <c r="L2163"/>
      <c r="O2163"/>
    </row>
    <row r="2164" spans="3:15" x14ac:dyDescent="0.25">
      <c r="C2164"/>
      <c r="F2164"/>
      <c r="G2164"/>
      <c r="H2164"/>
      <c r="L2164"/>
      <c r="O2164"/>
    </row>
    <row r="2165" spans="3:15" x14ac:dyDescent="0.25">
      <c r="C2165"/>
      <c r="F2165"/>
      <c r="G2165"/>
      <c r="H2165"/>
      <c r="L2165"/>
      <c r="O2165"/>
    </row>
    <row r="2166" spans="3:15" x14ac:dyDescent="0.25">
      <c r="C2166"/>
      <c r="F2166"/>
      <c r="G2166"/>
      <c r="H2166"/>
      <c r="L2166"/>
      <c r="O2166"/>
    </row>
    <row r="2167" spans="3:15" x14ac:dyDescent="0.25">
      <c r="C2167"/>
      <c r="F2167"/>
      <c r="G2167"/>
      <c r="H2167"/>
      <c r="L2167"/>
      <c r="O2167"/>
    </row>
    <row r="2168" spans="3:15" x14ac:dyDescent="0.25">
      <c r="C2168"/>
      <c r="F2168"/>
      <c r="G2168"/>
      <c r="H2168"/>
      <c r="L2168"/>
      <c r="O2168"/>
    </row>
    <row r="2169" spans="3:15" x14ac:dyDescent="0.25">
      <c r="C2169"/>
      <c r="F2169"/>
      <c r="G2169"/>
      <c r="H2169"/>
      <c r="L2169"/>
      <c r="O2169"/>
    </row>
    <row r="2170" spans="3:15" x14ac:dyDescent="0.25">
      <c r="C2170"/>
      <c r="F2170"/>
      <c r="G2170"/>
      <c r="H2170"/>
      <c r="L2170"/>
      <c r="O2170"/>
    </row>
    <row r="2171" spans="3:15" x14ac:dyDescent="0.25">
      <c r="C2171"/>
      <c r="F2171"/>
      <c r="G2171"/>
      <c r="H2171"/>
      <c r="L2171"/>
      <c r="O2171"/>
    </row>
    <row r="2172" spans="3:15" x14ac:dyDescent="0.25">
      <c r="C2172"/>
      <c r="F2172"/>
      <c r="G2172"/>
      <c r="H2172"/>
      <c r="L2172"/>
      <c r="O2172"/>
    </row>
    <row r="2173" spans="3:15" x14ac:dyDescent="0.25">
      <c r="C2173"/>
      <c r="F2173"/>
      <c r="G2173"/>
      <c r="H2173"/>
      <c r="L2173"/>
      <c r="O2173"/>
    </row>
    <row r="2174" spans="3:15" x14ac:dyDescent="0.25">
      <c r="C2174"/>
      <c r="F2174"/>
      <c r="G2174"/>
      <c r="H2174"/>
      <c r="L2174"/>
      <c r="O2174"/>
    </row>
    <row r="2175" spans="3:15" x14ac:dyDescent="0.25">
      <c r="C2175"/>
      <c r="F2175"/>
      <c r="G2175"/>
      <c r="H2175"/>
      <c r="L2175"/>
      <c r="O2175"/>
    </row>
    <row r="2176" spans="3:15" x14ac:dyDescent="0.25">
      <c r="C2176"/>
      <c r="F2176"/>
      <c r="G2176"/>
      <c r="H2176"/>
      <c r="L2176"/>
      <c r="O2176"/>
    </row>
    <row r="2177" spans="3:15" x14ac:dyDescent="0.25">
      <c r="C2177"/>
      <c r="F2177"/>
      <c r="G2177"/>
      <c r="H2177"/>
      <c r="L2177"/>
      <c r="O2177"/>
    </row>
    <row r="2178" spans="3:15" x14ac:dyDescent="0.25">
      <c r="C2178"/>
      <c r="F2178"/>
      <c r="G2178"/>
      <c r="H2178"/>
      <c r="L2178"/>
      <c r="O2178"/>
    </row>
    <row r="2179" spans="3:15" x14ac:dyDescent="0.25">
      <c r="C2179"/>
      <c r="F2179"/>
      <c r="G2179"/>
      <c r="H2179"/>
      <c r="L2179"/>
      <c r="O2179"/>
    </row>
    <row r="2180" spans="3:15" x14ac:dyDescent="0.25">
      <c r="C2180"/>
      <c r="F2180"/>
      <c r="G2180"/>
      <c r="H2180"/>
      <c r="L2180"/>
      <c r="O2180"/>
    </row>
    <row r="2181" spans="3:15" x14ac:dyDescent="0.25">
      <c r="C2181"/>
      <c r="F2181"/>
      <c r="G2181"/>
      <c r="H2181"/>
      <c r="L2181"/>
      <c r="O2181"/>
    </row>
    <row r="2182" spans="3:15" x14ac:dyDescent="0.25">
      <c r="C2182"/>
      <c r="F2182"/>
      <c r="G2182"/>
      <c r="H2182"/>
      <c r="L2182"/>
      <c r="O2182"/>
    </row>
    <row r="2183" spans="3:15" x14ac:dyDescent="0.25">
      <c r="C2183"/>
      <c r="F2183"/>
      <c r="G2183"/>
      <c r="H2183"/>
      <c r="L2183"/>
      <c r="O2183"/>
    </row>
    <row r="2184" spans="3:15" x14ac:dyDescent="0.25">
      <c r="C2184"/>
      <c r="F2184"/>
      <c r="G2184"/>
      <c r="H2184"/>
      <c r="L2184"/>
      <c r="O2184"/>
    </row>
    <row r="2185" spans="3:15" x14ac:dyDescent="0.25">
      <c r="C2185"/>
      <c r="F2185"/>
      <c r="G2185"/>
      <c r="H2185"/>
      <c r="L2185"/>
      <c r="O2185"/>
    </row>
    <row r="2186" spans="3:15" x14ac:dyDescent="0.25">
      <c r="C2186"/>
      <c r="F2186"/>
      <c r="G2186"/>
      <c r="H2186"/>
      <c r="L2186"/>
      <c r="O2186"/>
    </row>
    <row r="2187" spans="3:15" x14ac:dyDescent="0.25">
      <c r="C2187"/>
      <c r="F2187"/>
      <c r="G2187"/>
      <c r="H2187"/>
      <c r="L2187"/>
      <c r="O2187"/>
    </row>
    <row r="2188" spans="3:15" x14ac:dyDescent="0.25">
      <c r="C2188"/>
      <c r="F2188"/>
      <c r="G2188"/>
      <c r="H2188"/>
      <c r="L2188"/>
      <c r="O2188"/>
    </row>
    <row r="2189" spans="3:15" x14ac:dyDescent="0.25">
      <c r="C2189"/>
      <c r="F2189"/>
      <c r="G2189"/>
      <c r="H2189"/>
      <c r="L2189"/>
      <c r="O2189"/>
    </row>
    <row r="2190" spans="3:15" x14ac:dyDescent="0.25">
      <c r="C2190"/>
      <c r="F2190"/>
      <c r="G2190"/>
      <c r="H2190"/>
      <c r="L2190"/>
      <c r="O2190"/>
    </row>
    <row r="2191" spans="3:15" x14ac:dyDescent="0.25">
      <c r="C2191"/>
      <c r="F2191"/>
      <c r="G2191"/>
      <c r="H2191"/>
      <c r="L2191"/>
      <c r="O2191"/>
    </row>
    <row r="2192" spans="3:15" x14ac:dyDescent="0.25">
      <c r="C2192"/>
      <c r="F2192"/>
      <c r="G2192"/>
      <c r="H2192"/>
      <c r="L2192"/>
      <c r="O2192"/>
    </row>
    <row r="2193" spans="3:15" x14ac:dyDescent="0.25">
      <c r="C2193"/>
      <c r="F2193"/>
      <c r="G2193"/>
      <c r="H2193"/>
      <c r="L2193"/>
      <c r="O2193"/>
    </row>
    <row r="2194" spans="3:15" x14ac:dyDescent="0.25">
      <c r="C2194"/>
      <c r="F2194"/>
      <c r="G2194"/>
      <c r="H2194"/>
      <c r="L2194"/>
      <c r="O2194"/>
    </row>
    <row r="2195" spans="3:15" x14ac:dyDescent="0.25">
      <c r="C2195"/>
      <c r="F2195"/>
      <c r="G2195"/>
      <c r="H2195"/>
      <c r="L2195"/>
      <c r="O2195"/>
    </row>
    <row r="2196" spans="3:15" x14ac:dyDescent="0.25">
      <c r="C2196"/>
      <c r="F2196"/>
      <c r="G2196"/>
      <c r="H2196"/>
      <c r="L2196"/>
      <c r="O2196"/>
    </row>
    <row r="2197" spans="3:15" x14ac:dyDescent="0.25">
      <c r="C2197"/>
      <c r="F2197"/>
      <c r="G2197"/>
      <c r="H2197"/>
      <c r="L2197"/>
      <c r="O2197"/>
    </row>
    <row r="2198" spans="3:15" x14ac:dyDescent="0.25">
      <c r="C2198"/>
      <c r="F2198"/>
      <c r="G2198"/>
      <c r="H2198"/>
      <c r="L2198"/>
      <c r="O2198"/>
    </row>
    <row r="2199" spans="3:15" x14ac:dyDescent="0.25">
      <c r="C2199"/>
      <c r="F2199"/>
      <c r="G2199"/>
      <c r="H2199"/>
      <c r="L2199"/>
      <c r="O2199"/>
    </row>
    <row r="2200" spans="3:15" x14ac:dyDescent="0.25">
      <c r="C2200"/>
      <c r="F2200"/>
      <c r="G2200"/>
      <c r="H2200"/>
      <c r="L2200"/>
      <c r="O2200"/>
    </row>
    <row r="2201" spans="3:15" x14ac:dyDescent="0.25">
      <c r="C2201"/>
      <c r="F2201"/>
      <c r="G2201"/>
      <c r="H2201"/>
      <c r="L2201"/>
      <c r="O2201"/>
    </row>
    <row r="2202" spans="3:15" x14ac:dyDescent="0.25">
      <c r="C2202"/>
      <c r="F2202"/>
      <c r="G2202"/>
      <c r="H2202"/>
      <c r="L2202"/>
      <c r="O2202"/>
    </row>
    <row r="2203" spans="3:15" x14ac:dyDescent="0.25">
      <c r="C2203"/>
      <c r="F2203"/>
      <c r="G2203"/>
      <c r="H2203"/>
      <c r="L2203"/>
      <c r="O2203"/>
    </row>
    <row r="2204" spans="3:15" x14ac:dyDescent="0.25">
      <c r="C2204"/>
      <c r="F2204"/>
      <c r="G2204"/>
      <c r="H2204"/>
      <c r="L2204"/>
      <c r="O2204"/>
    </row>
    <row r="2205" spans="3:15" x14ac:dyDescent="0.25">
      <c r="C2205"/>
      <c r="F2205"/>
      <c r="G2205"/>
      <c r="H2205"/>
      <c r="L2205"/>
      <c r="O2205"/>
    </row>
    <row r="2206" spans="3:15" x14ac:dyDescent="0.25">
      <c r="C2206"/>
      <c r="F2206"/>
      <c r="G2206"/>
      <c r="H2206"/>
      <c r="L2206"/>
      <c r="O2206"/>
    </row>
    <row r="2207" spans="3:15" x14ac:dyDescent="0.25">
      <c r="C2207"/>
      <c r="F2207"/>
      <c r="G2207"/>
      <c r="H2207"/>
      <c r="L2207"/>
      <c r="O2207"/>
    </row>
    <row r="2208" spans="3:15" x14ac:dyDescent="0.25">
      <c r="C2208"/>
      <c r="F2208"/>
      <c r="G2208"/>
      <c r="H2208"/>
      <c r="L2208"/>
      <c r="O2208"/>
    </row>
    <row r="2209" spans="3:15" x14ac:dyDescent="0.25">
      <c r="C2209"/>
      <c r="F2209"/>
      <c r="G2209"/>
      <c r="H2209"/>
      <c r="L2209"/>
      <c r="O2209"/>
    </row>
    <row r="2210" spans="3:15" x14ac:dyDescent="0.25">
      <c r="C2210"/>
      <c r="F2210"/>
      <c r="G2210"/>
      <c r="H2210"/>
      <c r="L2210"/>
      <c r="O2210"/>
    </row>
    <row r="2211" spans="3:15" x14ac:dyDescent="0.25">
      <c r="C2211"/>
      <c r="F2211"/>
      <c r="G2211"/>
      <c r="H2211"/>
      <c r="L2211"/>
      <c r="O2211"/>
    </row>
    <row r="2212" spans="3:15" x14ac:dyDescent="0.25">
      <c r="C2212"/>
      <c r="F2212"/>
      <c r="G2212"/>
      <c r="H2212"/>
      <c r="L2212"/>
      <c r="O2212"/>
    </row>
    <row r="2213" spans="3:15" x14ac:dyDescent="0.25">
      <c r="C2213"/>
      <c r="F2213"/>
      <c r="G2213"/>
      <c r="H2213"/>
      <c r="L2213"/>
      <c r="O2213"/>
    </row>
    <row r="2214" spans="3:15" x14ac:dyDescent="0.25">
      <c r="C2214"/>
      <c r="F2214"/>
      <c r="G2214"/>
      <c r="H2214"/>
      <c r="L2214"/>
      <c r="O2214"/>
    </row>
    <row r="2215" spans="3:15" x14ac:dyDescent="0.25">
      <c r="C2215"/>
      <c r="F2215"/>
      <c r="G2215"/>
      <c r="H2215"/>
      <c r="L2215"/>
      <c r="O2215"/>
    </row>
    <row r="2216" spans="3:15" x14ac:dyDescent="0.25">
      <c r="C2216"/>
      <c r="F2216"/>
      <c r="G2216"/>
      <c r="H2216"/>
      <c r="L2216"/>
      <c r="O2216"/>
    </row>
    <row r="2217" spans="3:15" x14ac:dyDescent="0.25">
      <c r="C2217"/>
      <c r="F2217"/>
      <c r="G2217"/>
      <c r="H2217"/>
      <c r="L2217"/>
      <c r="O2217"/>
    </row>
    <row r="2218" spans="3:15" x14ac:dyDescent="0.25">
      <c r="C2218"/>
      <c r="F2218"/>
      <c r="G2218"/>
      <c r="H2218"/>
      <c r="L2218"/>
      <c r="O2218"/>
    </row>
    <row r="2219" spans="3:15" x14ac:dyDescent="0.25">
      <c r="C2219"/>
      <c r="F2219"/>
      <c r="G2219"/>
      <c r="H2219"/>
      <c r="L2219"/>
      <c r="O2219"/>
    </row>
    <row r="2220" spans="3:15" x14ac:dyDescent="0.25">
      <c r="C2220"/>
      <c r="F2220"/>
      <c r="G2220"/>
      <c r="H2220"/>
      <c r="L2220"/>
      <c r="O2220"/>
    </row>
    <row r="2221" spans="3:15" x14ac:dyDescent="0.25">
      <c r="C2221"/>
      <c r="F2221"/>
      <c r="G2221"/>
      <c r="H2221"/>
      <c r="L2221"/>
      <c r="O2221"/>
    </row>
    <row r="2222" spans="3:15" x14ac:dyDescent="0.25">
      <c r="C2222"/>
      <c r="F2222"/>
      <c r="G2222"/>
      <c r="H2222"/>
      <c r="L2222"/>
      <c r="O2222"/>
    </row>
    <row r="2223" spans="3:15" x14ac:dyDescent="0.25">
      <c r="C2223"/>
      <c r="F2223"/>
      <c r="G2223"/>
      <c r="H2223"/>
      <c r="L2223"/>
      <c r="O2223"/>
    </row>
    <row r="2224" spans="3:15" x14ac:dyDescent="0.25">
      <c r="C2224"/>
      <c r="F2224"/>
      <c r="G2224"/>
      <c r="H2224"/>
      <c r="L2224"/>
      <c r="O2224"/>
    </row>
    <row r="2225" spans="3:15" x14ac:dyDescent="0.25">
      <c r="C2225"/>
      <c r="F2225"/>
      <c r="G2225"/>
      <c r="H2225"/>
      <c r="L2225"/>
      <c r="O2225"/>
    </row>
    <row r="2226" spans="3:15" x14ac:dyDescent="0.25">
      <c r="C2226"/>
      <c r="F2226"/>
      <c r="G2226"/>
      <c r="H2226"/>
      <c r="L2226"/>
      <c r="O2226"/>
    </row>
    <row r="2227" spans="3:15" x14ac:dyDescent="0.25">
      <c r="C2227"/>
      <c r="F2227"/>
      <c r="G2227"/>
      <c r="H2227"/>
      <c r="L2227"/>
      <c r="O2227"/>
    </row>
    <row r="2228" spans="3:15" x14ac:dyDescent="0.25">
      <c r="C2228"/>
      <c r="F2228"/>
      <c r="G2228"/>
      <c r="H2228"/>
      <c r="L2228"/>
      <c r="O2228"/>
    </row>
    <row r="2229" spans="3:15" x14ac:dyDescent="0.25">
      <c r="C2229"/>
      <c r="F2229"/>
      <c r="G2229"/>
      <c r="H2229"/>
      <c r="L2229"/>
      <c r="O2229"/>
    </row>
    <row r="2230" spans="3:15" x14ac:dyDescent="0.25">
      <c r="C2230"/>
      <c r="F2230"/>
      <c r="G2230"/>
      <c r="H2230"/>
      <c r="L2230"/>
      <c r="O2230"/>
    </row>
    <row r="2231" spans="3:15" x14ac:dyDescent="0.25">
      <c r="C2231"/>
      <c r="F2231"/>
      <c r="G2231"/>
      <c r="H2231"/>
      <c r="L2231"/>
      <c r="O2231"/>
    </row>
    <row r="2232" spans="3:15" x14ac:dyDescent="0.25">
      <c r="C2232"/>
      <c r="F2232"/>
      <c r="G2232"/>
      <c r="H2232"/>
      <c r="L2232"/>
      <c r="O2232"/>
    </row>
    <row r="2233" spans="3:15" x14ac:dyDescent="0.25">
      <c r="C2233"/>
      <c r="F2233"/>
      <c r="G2233"/>
      <c r="H2233"/>
      <c r="L2233"/>
      <c r="O2233"/>
    </row>
    <row r="2234" spans="3:15" x14ac:dyDescent="0.25">
      <c r="C2234"/>
      <c r="F2234"/>
      <c r="G2234"/>
      <c r="H2234"/>
      <c r="L2234"/>
      <c r="O2234"/>
    </row>
    <row r="2235" spans="3:15" x14ac:dyDescent="0.25">
      <c r="C2235"/>
      <c r="F2235"/>
      <c r="G2235"/>
      <c r="H2235"/>
      <c r="L2235"/>
      <c r="O2235"/>
    </row>
    <row r="2236" spans="3:15" x14ac:dyDescent="0.25">
      <c r="C2236"/>
      <c r="F2236"/>
      <c r="G2236"/>
      <c r="H2236"/>
      <c r="L2236"/>
      <c r="O2236"/>
    </row>
    <row r="2237" spans="3:15" x14ac:dyDescent="0.25">
      <c r="C2237"/>
      <c r="F2237"/>
      <c r="G2237"/>
      <c r="H2237"/>
      <c r="L2237"/>
      <c r="O2237"/>
    </row>
    <row r="2238" spans="3:15" x14ac:dyDescent="0.25">
      <c r="C2238"/>
      <c r="F2238"/>
      <c r="G2238"/>
      <c r="H2238"/>
      <c r="L2238"/>
      <c r="O2238"/>
    </row>
    <row r="2239" spans="3:15" x14ac:dyDescent="0.25">
      <c r="C2239"/>
      <c r="F2239"/>
      <c r="G2239"/>
      <c r="H2239"/>
      <c r="L2239"/>
      <c r="O2239"/>
    </row>
    <row r="2240" spans="3:15" x14ac:dyDescent="0.25">
      <c r="C2240"/>
      <c r="F2240"/>
      <c r="G2240"/>
      <c r="H2240"/>
      <c r="L2240"/>
      <c r="O2240"/>
    </row>
    <row r="2241" spans="3:15" x14ac:dyDescent="0.25">
      <c r="C2241"/>
      <c r="F2241"/>
      <c r="G2241"/>
      <c r="H2241"/>
      <c r="L2241"/>
      <c r="O2241"/>
    </row>
    <row r="2242" spans="3:15" x14ac:dyDescent="0.25">
      <c r="C2242"/>
      <c r="F2242"/>
      <c r="G2242"/>
      <c r="H2242"/>
      <c r="L2242"/>
      <c r="O2242"/>
    </row>
    <row r="2243" spans="3:15" x14ac:dyDescent="0.25">
      <c r="C2243"/>
      <c r="F2243"/>
      <c r="G2243"/>
      <c r="H2243"/>
      <c r="L2243"/>
      <c r="O2243"/>
    </row>
    <row r="2244" spans="3:15" x14ac:dyDescent="0.25">
      <c r="C2244"/>
      <c r="F2244"/>
      <c r="G2244"/>
      <c r="H2244"/>
      <c r="L2244"/>
      <c r="O2244"/>
    </row>
    <row r="2245" spans="3:15" x14ac:dyDescent="0.25">
      <c r="C2245"/>
      <c r="F2245"/>
      <c r="G2245"/>
      <c r="H2245"/>
      <c r="L2245"/>
      <c r="O2245"/>
    </row>
    <row r="2246" spans="3:15" x14ac:dyDescent="0.25">
      <c r="C2246"/>
      <c r="F2246"/>
      <c r="G2246"/>
      <c r="H2246"/>
      <c r="L2246"/>
      <c r="O2246"/>
    </row>
    <row r="2247" spans="3:15" x14ac:dyDescent="0.25">
      <c r="C2247"/>
      <c r="F2247"/>
      <c r="G2247"/>
      <c r="H2247"/>
      <c r="L2247"/>
      <c r="O2247"/>
    </row>
    <row r="2248" spans="3:15" x14ac:dyDescent="0.25">
      <c r="C2248"/>
      <c r="F2248"/>
      <c r="G2248"/>
      <c r="H2248"/>
      <c r="L2248"/>
      <c r="O2248"/>
    </row>
    <row r="2249" spans="3:15" x14ac:dyDescent="0.25">
      <c r="C2249"/>
      <c r="F2249"/>
      <c r="G2249"/>
      <c r="H2249"/>
      <c r="L2249"/>
      <c r="O2249"/>
    </row>
    <row r="2250" spans="3:15" x14ac:dyDescent="0.25">
      <c r="C2250"/>
      <c r="F2250"/>
      <c r="G2250"/>
      <c r="H2250"/>
      <c r="L2250"/>
      <c r="O2250"/>
    </row>
    <row r="2251" spans="3:15" x14ac:dyDescent="0.25">
      <c r="C2251"/>
      <c r="F2251"/>
      <c r="G2251"/>
      <c r="H2251"/>
      <c r="L2251"/>
      <c r="O2251"/>
    </row>
    <row r="2252" spans="3:15" x14ac:dyDescent="0.25">
      <c r="C2252"/>
      <c r="F2252"/>
      <c r="G2252"/>
      <c r="H2252"/>
      <c r="L2252"/>
      <c r="O2252"/>
    </row>
    <row r="2253" spans="3:15" x14ac:dyDescent="0.25">
      <c r="C2253"/>
      <c r="F2253"/>
      <c r="G2253"/>
      <c r="H2253"/>
      <c r="L2253"/>
      <c r="O2253"/>
    </row>
    <row r="2254" spans="3:15" x14ac:dyDescent="0.25">
      <c r="C2254"/>
      <c r="F2254"/>
      <c r="G2254"/>
      <c r="H2254"/>
      <c r="L2254"/>
      <c r="O2254"/>
    </row>
    <row r="2255" spans="3:15" x14ac:dyDescent="0.25">
      <c r="C2255"/>
      <c r="F2255"/>
      <c r="G2255"/>
      <c r="H2255"/>
      <c r="L2255"/>
      <c r="O2255"/>
    </row>
    <row r="2256" spans="3:15" x14ac:dyDescent="0.25">
      <c r="C2256"/>
      <c r="F2256"/>
      <c r="G2256"/>
      <c r="H2256"/>
      <c r="L2256"/>
      <c r="O2256"/>
    </row>
    <row r="2257" spans="3:15" x14ac:dyDescent="0.25">
      <c r="C2257"/>
      <c r="F2257"/>
      <c r="G2257"/>
      <c r="H2257"/>
      <c r="L2257"/>
      <c r="O2257"/>
    </row>
    <row r="2258" spans="3:15" x14ac:dyDescent="0.25">
      <c r="C2258"/>
      <c r="F2258"/>
      <c r="G2258"/>
      <c r="H2258"/>
      <c r="L2258"/>
      <c r="O2258"/>
    </row>
    <row r="2259" spans="3:15" x14ac:dyDescent="0.25">
      <c r="C2259"/>
      <c r="F2259"/>
      <c r="G2259"/>
      <c r="H2259"/>
      <c r="L2259"/>
      <c r="O2259"/>
    </row>
    <row r="2260" spans="3:15" x14ac:dyDescent="0.25">
      <c r="C2260"/>
      <c r="F2260"/>
      <c r="G2260"/>
      <c r="H2260"/>
      <c r="L2260"/>
      <c r="O2260"/>
    </row>
    <row r="2261" spans="3:15" x14ac:dyDescent="0.25">
      <c r="C2261"/>
      <c r="F2261"/>
      <c r="G2261"/>
      <c r="H2261"/>
      <c r="L2261"/>
      <c r="O2261"/>
    </row>
    <row r="2262" spans="3:15" x14ac:dyDescent="0.25">
      <c r="C2262"/>
      <c r="F2262"/>
      <c r="G2262"/>
      <c r="H2262"/>
      <c r="L2262"/>
      <c r="O2262"/>
    </row>
    <row r="2263" spans="3:15" x14ac:dyDescent="0.25">
      <c r="C2263"/>
      <c r="F2263"/>
      <c r="G2263"/>
      <c r="H2263"/>
      <c r="L2263"/>
      <c r="O2263"/>
    </row>
    <row r="2264" spans="3:15" x14ac:dyDescent="0.25">
      <c r="C2264"/>
      <c r="F2264"/>
      <c r="G2264"/>
      <c r="H2264"/>
      <c r="L2264"/>
      <c r="O2264"/>
    </row>
    <row r="2265" spans="3:15" x14ac:dyDescent="0.25">
      <c r="C2265"/>
      <c r="F2265"/>
      <c r="G2265"/>
      <c r="H2265"/>
      <c r="L2265"/>
      <c r="O2265"/>
    </row>
    <row r="2266" spans="3:15" x14ac:dyDescent="0.25">
      <c r="C2266"/>
      <c r="F2266"/>
      <c r="G2266"/>
      <c r="H2266"/>
      <c r="L2266"/>
      <c r="O2266"/>
    </row>
    <row r="2267" spans="3:15" x14ac:dyDescent="0.25">
      <c r="C2267"/>
      <c r="F2267"/>
      <c r="G2267"/>
      <c r="H2267"/>
      <c r="L2267"/>
      <c r="O2267"/>
    </row>
    <row r="2268" spans="3:15" x14ac:dyDescent="0.25">
      <c r="C2268"/>
      <c r="F2268"/>
      <c r="G2268"/>
      <c r="H2268"/>
      <c r="L2268"/>
      <c r="O2268"/>
    </row>
    <row r="2269" spans="3:15" x14ac:dyDescent="0.25">
      <c r="C2269"/>
      <c r="F2269"/>
      <c r="G2269"/>
      <c r="H2269"/>
      <c r="L2269"/>
      <c r="O2269"/>
    </row>
    <row r="2270" spans="3:15" x14ac:dyDescent="0.25">
      <c r="C2270"/>
      <c r="F2270"/>
      <c r="G2270"/>
      <c r="H2270"/>
      <c r="L2270"/>
      <c r="O2270"/>
    </row>
    <row r="2271" spans="3:15" x14ac:dyDescent="0.25">
      <c r="C2271"/>
      <c r="F2271"/>
      <c r="G2271"/>
      <c r="H2271"/>
      <c r="L2271"/>
      <c r="O2271"/>
    </row>
    <row r="2272" spans="3:15" x14ac:dyDescent="0.25">
      <c r="C2272"/>
      <c r="F2272"/>
      <c r="G2272"/>
      <c r="H2272"/>
      <c r="L2272"/>
      <c r="O2272"/>
    </row>
    <row r="2273" spans="3:15" x14ac:dyDescent="0.25">
      <c r="C2273"/>
      <c r="F2273"/>
      <c r="G2273"/>
      <c r="H2273"/>
      <c r="L2273"/>
      <c r="O2273"/>
    </row>
    <row r="2274" spans="3:15" x14ac:dyDescent="0.25">
      <c r="C2274"/>
      <c r="F2274"/>
      <c r="G2274"/>
      <c r="H2274"/>
      <c r="L2274"/>
      <c r="O2274"/>
    </row>
    <row r="2275" spans="3:15" x14ac:dyDescent="0.25">
      <c r="C2275"/>
      <c r="F2275"/>
      <c r="G2275"/>
      <c r="H2275"/>
      <c r="L2275"/>
      <c r="O2275"/>
    </row>
    <row r="2276" spans="3:15" x14ac:dyDescent="0.25">
      <c r="C2276"/>
      <c r="F2276"/>
      <c r="G2276"/>
      <c r="H2276"/>
      <c r="L2276"/>
      <c r="O2276"/>
    </row>
    <row r="2277" spans="3:15" x14ac:dyDescent="0.25">
      <c r="C2277"/>
      <c r="F2277"/>
      <c r="G2277"/>
      <c r="H2277"/>
      <c r="L2277"/>
      <c r="O2277"/>
    </row>
    <row r="2278" spans="3:15" x14ac:dyDescent="0.25">
      <c r="C2278"/>
      <c r="F2278"/>
      <c r="G2278"/>
      <c r="H2278"/>
      <c r="L2278"/>
      <c r="O2278"/>
    </row>
    <row r="2279" spans="3:15" x14ac:dyDescent="0.25">
      <c r="C2279"/>
      <c r="F2279"/>
      <c r="G2279"/>
      <c r="H2279"/>
      <c r="L2279"/>
      <c r="O2279"/>
    </row>
    <row r="2280" spans="3:15" x14ac:dyDescent="0.25">
      <c r="C2280"/>
      <c r="F2280"/>
      <c r="G2280"/>
      <c r="H2280"/>
      <c r="L2280"/>
      <c r="O2280"/>
    </row>
    <row r="2281" spans="3:15" x14ac:dyDescent="0.25">
      <c r="C2281"/>
      <c r="F2281"/>
      <c r="G2281"/>
      <c r="H2281"/>
      <c r="L2281"/>
      <c r="O2281"/>
    </row>
    <row r="2282" spans="3:15" x14ac:dyDescent="0.25">
      <c r="C2282"/>
      <c r="F2282"/>
      <c r="G2282"/>
      <c r="H2282"/>
      <c r="L2282"/>
      <c r="O2282"/>
    </row>
    <row r="2283" spans="3:15" x14ac:dyDescent="0.25">
      <c r="C2283"/>
      <c r="F2283"/>
      <c r="G2283"/>
      <c r="H2283"/>
      <c r="L2283"/>
      <c r="O2283"/>
    </row>
    <row r="2284" spans="3:15" x14ac:dyDescent="0.25">
      <c r="C2284"/>
      <c r="F2284"/>
      <c r="G2284"/>
      <c r="H2284"/>
      <c r="L2284"/>
      <c r="O2284"/>
    </row>
    <row r="2285" spans="3:15" x14ac:dyDescent="0.25">
      <c r="C2285"/>
      <c r="F2285"/>
      <c r="G2285"/>
      <c r="H2285"/>
      <c r="L2285"/>
      <c r="O2285"/>
    </row>
    <row r="2286" spans="3:15" x14ac:dyDescent="0.25">
      <c r="C2286"/>
      <c r="F2286"/>
      <c r="G2286"/>
      <c r="H2286"/>
      <c r="L2286"/>
      <c r="O2286"/>
    </row>
    <row r="2287" spans="3:15" x14ac:dyDescent="0.25">
      <c r="C2287"/>
      <c r="F2287"/>
      <c r="G2287"/>
      <c r="H2287"/>
      <c r="L2287"/>
      <c r="O2287"/>
    </row>
    <row r="2288" spans="3:15" x14ac:dyDescent="0.25">
      <c r="C2288"/>
      <c r="F2288"/>
      <c r="G2288"/>
      <c r="H2288"/>
      <c r="L2288"/>
      <c r="O2288"/>
    </row>
    <row r="2289" spans="3:15" x14ac:dyDescent="0.25">
      <c r="C2289"/>
      <c r="F2289"/>
      <c r="G2289"/>
      <c r="H2289"/>
      <c r="L2289"/>
      <c r="O2289"/>
    </row>
    <row r="2290" spans="3:15" x14ac:dyDescent="0.25">
      <c r="C2290"/>
      <c r="F2290"/>
      <c r="G2290"/>
      <c r="H2290"/>
      <c r="L2290"/>
      <c r="O2290"/>
    </row>
    <row r="2291" spans="3:15" x14ac:dyDescent="0.25">
      <c r="C2291"/>
      <c r="F2291"/>
      <c r="G2291"/>
      <c r="H2291"/>
      <c r="L2291"/>
      <c r="O2291"/>
    </row>
    <row r="2292" spans="3:15" x14ac:dyDescent="0.25">
      <c r="C2292"/>
      <c r="F2292"/>
      <c r="G2292"/>
      <c r="H2292"/>
      <c r="L2292"/>
      <c r="O2292"/>
    </row>
    <row r="2293" spans="3:15" x14ac:dyDescent="0.25">
      <c r="C2293"/>
      <c r="F2293"/>
      <c r="G2293"/>
      <c r="H2293"/>
      <c r="L2293"/>
      <c r="O2293"/>
    </row>
    <row r="2294" spans="3:15" x14ac:dyDescent="0.25">
      <c r="C2294"/>
      <c r="F2294"/>
      <c r="G2294"/>
      <c r="H2294"/>
      <c r="L2294"/>
      <c r="O2294"/>
    </row>
    <row r="2295" spans="3:15" x14ac:dyDescent="0.25">
      <c r="C2295"/>
      <c r="F2295"/>
      <c r="G2295"/>
      <c r="H2295"/>
      <c r="L2295"/>
      <c r="O2295"/>
    </row>
    <row r="2296" spans="3:15" x14ac:dyDescent="0.25">
      <c r="C2296"/>
      <c r="F2296"/>
      <c r="G2296"/>
      <c r="H2296"/>
      <c r="L2296"/>
      <c r="O2296"/>
    </row>
    <row r="2297" spans="3:15" x14ac:dyDescent="0.25">
      <c r="C2297"/>
      <c r="F2297"/>
      <c r="G2297"/>
      <c r="H2297"/>
      <c r="L2297"/>
      <c r="O2297"/>
    </row>
    <row r="2298" spans="3:15" x14ac:dyDescent="0.25">
      <c r="C2298"/>
      <c r="F2298"/>
      <c r="G2298"/>
      <c r="H2298"/>
      <c r="L2298"/>
      <c r="O2298"/>
    </row>
    <row r="2299" spans="3:15" x14ac:dyDescent="0.25">
      <c r="C2299"/>
      <c r="F2299"/>
      <c r="G2299"/>
      <c r="H2299"/>
      <c r="L2299"/>
      <c r="O2299"/>
    </row>
    <row r="2300" spans="3:15" x14ac:dyDescent="0.25">
      <c r="C2300"/>
      <c r="F2300"/>
      <c r="G2300"/>
      <c r="H2300"/>
      <c r="L2300"/>
      <c r="O2300"/>
    </row>
    <row r="2301" spans="3:15" x14ac:dyDescent="0.25">
      <c r="C2301"/>
      <c r="F2301"/>
      <c r="G2301"/>
      <c r="H2301"/>
      <c r="L2301"/>
      <c r="O2301"/>
    </row>
    <row r="2302" spans="3:15" x14ac:dyDescent="0.25">
      <c r="C2302"/>
      <c r="F2302"/>
      <c r="G2302"/>
      <c r="H2302"/>
      <c r="L2302"/>
      <c r="O2302"/>
    </row>
    <row r="2303" spans="3:15" x14ac:dyDescent="0.25">
      <c r="C2303"/>
      <c r="F2303"/>
      <c r="G2303"/>
      <c r="H2303"/>
      <c r="L2303"/>
      <c r="O2303"/>
    </row>
    <row r="2304" spans="3:15" x14ac:dyDescent="0.25">
      <c r="C2304"/>
      <c r="F2304"/>
      <c r="G2304"/>
      <c r="H2304"/>
      <c r="L2304"/>
      <c r="O2304"/>
    </row>
    <row r="2305" spans="3:15" x14ac:dyDescent="0.25">
      <c r="C2305"/>
      <c r="F2305"/>
      <c r="G2305"/>
      <c r="H2305"/>
      <c r="L2305"/>
      <c r="O2305"/>
    </row>
    <row r="2306" spans="3:15" x14ac:dyDescent="0.25">
      <c r="C2306"/>
      <c r="F2306"/>
      <c r="G2306"/>
      <c r="H2306"/>
      <c r="L2306"/>
      <c r="O2306"/>
    </row>
    <row r="2307" spans="3:15" x14ac:dyDescent="0.25">
      <c r="C2307"/>
      <c r="F2307"/>
      <c r="G2307"/>
      <c r="H2307"/>
      <c r="L2307"/>
      <c r="O2307"/>
    </row>
    <row r="2308" spans="3:15" x14ac:dyDescent="0.25">
      <c r="C2308"/>
      <c r="F2308"/>
      <c r="G2308"/>
      <c r="H2308"/>
      <c r="L2308"/>
      <c r="O2308"/>
    </row>
    <row r="2309" spans="3:15" x14ac:dyDescent="0.25">
      <c r="C2309"/>
      <c r="F2309"/>
      <c r="G2309"/>
      <c r="H2309"/>
      <c r="L2309"/>
      <c r="O2309"/>
    </row>
    <row r="2310" spans="3:15" x14ac:dyDescent="0.25">
      <c r="C2310"/>
      <c r="F2310"/>
      <c r="G2310"/>
      <c r="H2310"/>
      <c r="L2310"/>
      <c r="O2310"/>
    </row>
    <row r="2311" spans="3:15" x14ac:dyDescent="0.25">
      <c r="C2311"/>
      <c r="F2311"/>
      <c r="G2311"/>
      <c r="H2311"/>
      <c r="L2311"/>
      <c r="O2311"/>
    </row>
    <row r="2312" spans="3:15" x14ac:dyDescent="0.25">
      <c r="C2312"/>
      <c r="F2312"/>
      <c r="G2312"/>
      <c r="H2312"/>
      <c r="L2312"/>
      <c r="O2312"/>
    </row>
    <row r="2313" spans="3:15" x14ac:dyDescent="0.25">
      <c r="C2313"/>
      <c r="F2313"/>
      <c r="G2313"/>
      <c r="H2313"/>
      <c r="L2313"/>
      <c r="O2313"/>
    </row>
    <row r="2314" spans="3:15" x14ac:dyDescent="0.25">
      <c r="C2314"/>
      <c r="F2314"/>
      <c r="G2314"/>
      <c r="H2314"/>
      <c r="L2314"/>
      <c r="O2314"/>
    </row>
    <row r="2315" spans="3:15" x14ac:dyDescent="0.25">
      <c r="C2315"/>
      <c r="F2315"/>
      <c r="G2315"/>
      <c r="H2315"/>
      <c r="L2315"/>
      <c r="O2315"/>
    </row>
    <row r="2316" spans="3:15" x14ac:dyDescent="0.25">
      <c r="C2316"/>
      <c r="F2316"/>
      <c r="G2316"/>
      <c r="H2316"/>
      <c r="L2316"/>
      <c r="O2316"/>
    </row>
    <row r="2317" spans="3:15" x14ac:dyDescent="0.25">
      <c r="C2317"/>
      <c r="F2317"/>
      <c r="G2317"/>
      <c r="H2317"/>
      <c r="L2317"/>
      <c r="O2317"/>
    </row>
    <row r="2318" spans="3:15" x14ac:dyDescent="0.25">
      <c r="C2318"/>
      <c r="F2318"/>
      <c r="G2318"/>
      <c r="H2318"/>
      <c r="L2318"/>
      <c r="O2318"/>
    </row>
    <row r="2319" spans="3:15" x14ac:dyDescent="0.25">
      <c r="C2319"/>
      <c r="F2319"/>
      <c r="G2319"/>
      <c r="H2319"/>
      <c r="L2319"/>
      <c r="O2319"/>
    </row>
    <row r="2320" spans="3:15" x14ac:dyDescent="0.25">
      <c r="C2320"/>
      <c r="F2320"/>
      <c r="G2320"/>
      <c r="H2320"/>
      <c r="L2320"/>
      <c r="O2320"/>
    </row>
    <row r="2321" spans="3:15" x14ac:dyDescent="0.25">
      <c r="C2321"/>
      <c r="F2321"/>
      <c r="G2321"/>
      <c r="H2321"/>
      <c r="L2321"/>
      <c r="O2321"/>
    </row>
    <row r="2322" spans="3:15" x14ac:dyDescent="0.25">
      <c r="C2322"/>
      <c r="F2322"/>
      <c r="G2322"/>
      <c r="H2322"/>
      <c r="L2322"/>
      <c r="O2322"/>
    </row>
    <row r="2323" spans="3:15" x14ac:dyDescent="0.25">
      <c r="C2323"/>
      <c r="F2323"/>
      <c r="G2323"/>
      <c r="H2323"/>
      <c r="L2323"/>
      <c r="O2323"/>
    </row>
    <row r="2324" spans="3:15" x14ac:dyDescent="0.25">
      <c r="C2324"/>
      <c r="F2324"/>
      <c r="G2324"/>
      <c r="H2324"/>
      <c r="L2324"/>
      <c r="O2324"/>
    </row>
    <row r="2325" spans="3:15" x14ac:dyDescent="0.25">
      <c r="C2325"/>
      <c r="F2325"/>
      <c r="G2325"/>
      <c r="H2325"/>
      <c r="L2325"/>
      <c r="O2325"/>
    </row>
    <row r="2326" spans="3:15" x14ac:dyDescent="0.25">
      <c r="C2326"/>
      <c r="F2326"/>
      <c r="G2326"/>
      <c r="H2326"/>
      <c r="L2326"/>
      <c r="O2326"/>
    </row>
    <row r="2327" spans="3:15" x14ac:dyDescent="0.25">
      <c r="C2327"/>
      <c r="F2327"/>
      <c r="G2327"/>
      <c r="H2327"/>
      <c r="L2327"/>
      <c r="O2327"/>
    </row>
    <row r="2328" spans="3:15" x14ac:dyDescent="0.25">
      <c r="C2328"/>
      <c r="F2328"/>
      <c r="G2328"/>
      <c r="H2328"/>
      <c r="L2328"/>
      <c r="O2328"/>
    </row>
    <row r="2329" spans="3:15" x14ac:dyDescent="0.25">
      <c r="C2329"/>
      <c r="F2329"/>
      <c r="G2329"/>
      <c r="H2329"/>
      <c r="L2329"/>
      <c r="O2329"/>
    </row>
    <row r="2330" spans="3:15" x14ac:dyDescent="0.25">
      <c r="C2330"/>
      <c r="F2330"/>
      <c r="G2330"/>
      <c r="H2330"/>
      <c r="L2330"/>
      <c r="O2330"/>
    </row>
    <row r="2331" spans="3:15" x14ac:dyDescent="0.25">
      <c r="C2331"/>
      <c r="F2331"/>
      <c r="G2331"/>
      <c r="H2331"/>
      <c r="L2331"/>
      <c r="O2331"/>
    </row>
    <row r="2332" spans="3:15" x14ac:dyDescent="0.25">
      <c r="C2332"/>
      <c r="F2332"/>
      <c r="G2332"/>
      <c r="H2332"/>
      <c r="L2332"/>
      <c r="O2332"/>
    </row>
    <row r="2333" spans="3:15" x14ac:dyDescent="0.25">
      <c r="C2333"/>
      <c r="F2333"/>
      <c r="G2333"/>
      <c r="H2333"/>
      <c r="L2333"/>
      <c r="O2333"/>
    </row>
    <row r="2334" spans="3:15" x14ac:dyDescent="0.25">
      <c r="C2334"/>
      <c r="F2334"/>
      <c r="G2334"/>
      <c r="H2334"/>
      <c r="L2334"/>
      <c r="O2334"/>
    </row>
    <row r="2335" spans="3:15" x14ac:dyDescent="0.25">
      <c r="C2335"/>
      <c r="F2335"/>
      <c r="G2335"/>
      <c r="H2335"/>
      <c r="L2335"/>
      <c r="O2335"/>
    </row>
    <row r="2336" spans="3:15" x14ac:dyDescent="0.25">
      <c r="C2336"/>
      <c r="F2336"/>
      <c r="G2336"/>
      <c r="H2336"/>
      <c r="L2336"/>
      <c r="O2336"/>
    </row>
    <row r="2337" spans="3:15" x14ac:dyDescent="0.25">
      <c r="C2337"/>
      <c r="F2337"/>
      <c r="G2337"/>
      <c r="H2337"/>
      <c r="L2337"/>
      <c r="O2337"/>
    </row>
    <row r="2338" spans="3:15" x14ac:dyDescent="0.25">
      <c r="C2338"/>
      <c r="F2338"/>
      <c r="G2338"/>
      <c r="H2338"/>
      <c r="L2338"/>
      <c r="O2338"/>
    </row>
    <row r="2339" spans="3:15" x14ac:dyDescent="0.25">
      <c r="C2339"/>
      <c r="F2339"/>
      <c r="G2339"/>
      <c r="H2339"/>
      <c r="L2339"/>
      <c r="O2339"/>
    </row>
    <row r="2340" spans="3:15" x14ac:dyDescent="0.25">
      <c r="C2340"/>
      <c r="F2340"/>
      <c r="G2340"/>
      <c r="H2340"/>
      <c r="L2340"/>
      <c r="O2340"/>
    </row>
    <row r="2341" spans="3:15" x14ac:dyDescent="0.25">
      <c r="C2341"/>
      <c r="F2341"/>
      <c r="G2341"/>
      <c r="H2341"/>
      <c r="L2341"/>
      <c r="O2341"/>
    </row>
    <row r="2342" spans="3:15" x14ac:dyDescent="0.25">
      <c r="C2342"/>
      <c r="F2342"/>
      <c r="G2342"/>
      <c r="H2342"/>
      <c r="L2342"/>
      <c r="O2342"/>
    </row>
    <row r="2343" spans="3:15" x14ac:dyDescent="0.25">
      <c r="C2343"/>
      <c r="F2343"/>
      <c r="G2343"/>
      <c r="H2343"/>
      <c r="L2343"/>
      <c r="O2343"/>
    </row>
    <row r="2344" spans="3:15" x14ac:dyDescent="0.25">
      <c r="C2344"/>
      <c r="F2344"/>
      <c r="G2344"/>
      <c r="H2344"/>
      <c r="L2344"/>
      <c r="O2344"/>
    </row>
    <row r="2345" spans="3:15" x14ac:dyDescent="0.25">
      <c r="C2345"/>
      <c r="F2345"/>
      <c r="G2345"/>
      <c r="H2345"/>
      <c r="L2345"/>
      <c r="O2345"/>
    </row>
    <row r="2346" spans="3:15" x14ac:dyDescent="0.25">
      <c r="C2346"/>
      <c r="F2346"/>
      <c r="G2346"/>
      <c r="H2346"/>
      <c r="L2346"/>
      <c r="O2346"/>
    </row>
    <row r="2347" spans="3:15" x14ac:dyDescent="0.25">
      <c r="C2347"/>
      <c r="F2347"/>
      <c r="G2347"/>
      <c r="H2347"/>
      <c r="L2347"/>
      <c r="O2347"/>
    </row>
    <row r="2348" spans="3:15" x14ac:dyDescent="0.25">
      <c r="C2348"/>
      <c r="F2348"/>
      <c r="G2348"/>
      <c r="H2348"/>
      <c r="L2348"/>
      <c r="O2348"/>
    </row>
    <row r="2349" spans="3:15" x14ac:dyDescent="0.25">
      <c r="C2349"/>
      <c r="F2349"/>
      <c r="G2349"/>
      <c r="H2349"/>
      <c r="L2349"/>
      <c r="O2349"/>
    </row>
    <row r="2350" spans="3:15" x14ac:dyDescent="0.25">
      <c r="C2350"/>
      <c r="F2350"/>
      <c r="G2350"/>
      <c r="H2350"/>
      <c r="L2350"/>
      <c r="O2350"/>
    </row>
    <row r="2351" spans="3:15" x14ac:dyDescent="0.25">
      <c r="C2351"/>
      <c r="F2351"/>
      <c r="G2351"/>
      <c r="H2351"/>
      <c r="L2351"/>
      <c r="O2351"/>
    </row>
    <row r="2352" spans="3:15" x14ac:dyDescent="0.25">
      <c r="C2352"/>
      <c r="F2352"/>
      <c r="G2352"/>
      <c r="H2352"/>
      <c r="L2352"/>
      <c r="O2352"/>
    </row>
    <row r="2353" spans="3:15" x14ac:dyDescent="0.25">
      <c r="C2353"/>
      <c r="F2353"/>
      <c r="G2353"/>
      <c r="H2353"/>
      <c r="L2353"/>
      <c r="O2353"/>
    </row>
    <row r="2354" spans="3:15" x14ac:dyDescent="0.25">
      <c r="C2354"/>
      <c r="F2354"/>
      <c r="G2354"/>
      <c r="H2354"/>
      <c r="L2354"/>
      <c r="O2354"/>
    </row>
    <row r="2355" spans="3:15" x14ac:dyDescent="0.25">
      <c r="C2355"/>
      <c r="F2355"/>
      <c r="G2355"/>
      <c r="H2355"/>
      <c r="L2355"/>
      <c r="O2355"/>
    </row>
    <row r="2356" spans="3:15" x14ac:dyDescent="0.25">
      <c r="C2356"/>
      <c r="F2356"/>
      <c r="G2356"/>
      <c r="H2356"/>
      <c r="L2356"/>
      <c r="O2356"/>
    </row>
    <row r="2357" spans="3:15" x14ac:dyDescent="0.25">
      <c r="C2357"/>
      <c r="F2357"/>
      <c r="G2357"/>
      <c r="H2357"/>
      <c r="L2357"/>
      <c r="O2357"/>
    </row>
    <row r="2358" spans="3:15" x14ac:dyDescent="0.25">
      <c r="C2358"/>
      <c r="F2358"/>
      <c r="G2358"/>
      <c r="H2358"/>
      <c r="L2358"/>
      <c r="O2358"/>
    </row>
    <row r="2359" spans="3:15" x14ac:dyDescent="0.25">
      <c r="C2359"/>
      <c r="F2359"/>
      <c r="G2359"/>
      <c r="H2359"/>
      <c r="L2359"/>
      <c r="O2359"/>
    </row>
    <row r="2360" spans="3:15" x14ac:dyDescent="0.25">
      <c r="C2360"/>
      <c r="F2360"/>
      <c r="G2360"/>
      <c r="H2360"/>
      <c r="L2360"/>
      <c r="O2360"/>
    </row>
    <row r="2361" spans="3:15" x14ac:dyDescent="0.25">
      <c r="C2361"/>
      <c r="F2361"/>
      <c r="G2361"/>
      <c r="H2361"/>
      <c r="L2361"/>
      <c r="O2361"/>
    </row>
    <row r="2362" spans="3:15" x14ac:dyDescent="0.25">
      <c r="C2362"/>
      <c r="F2362"/>
      <c r="G2362"/>
      <c r="H2362"/>
      <c r="L2362"/>
      <c r="O2362"/>
    </row>
    <row r="2363" spans="3:15" x14ac:dyDescent="0.25">
      <c r="C2363"/>
      <c r="F2363"/>
      <c r="G2363"/>
      <c r="H2363"/>
      <c r="L2363"/>
      <c r="O2363"/>
    </row>
    <row r="2364" spans="3:15" x14ac:dyDescent="0.25">
      <c r="C2364"/>
      <c r="F2364"/>
      <c r="G2364"/>
      <c r="H2364"/>
      <c r="L2364"/>
      <c r="O2364"/>
    </row>
    <row r="2365" spans="3:15" x14ac:dyDescent="0.25">
      <c r="C2365"/>
      <c r="F2365"/>
      <c r="G2365"/>
      <c r="H2365"/>
      <c r="L2365"/>
      <c r="O2365"/>
    </row>
    <row r="2366" spans="3:15" x14ac:dyDescent="0.25">
      <c r="C2366"/>
      <c r="F2366"/>
      <c r="G2366"/>
      <c r="H2366"/>
      <c r="L2366"/>
      <c r="O2366"/>
    </row>
    <row r="2367" spans="3:15" x14ac:dyDescent="0.25">
      <c r="C2367"/>
      <c r="F2367"/>
      <c r="G2367"/>
      <c r="H2367"/>
      <c r="L2367"/>
      <c r="O2367"/>
    </row>
    <row r="2368" spans="3:15" x14ac:dyDescent="0.25">
      <c r="C2368"/>
      <c r="F2368"/>
      <c r="G2368"/>
      <c r="H2368"/>
      <c r="L2368"/>
      <c r="O2368"/>
    </row>
    <row r="2369" spans="3:15" x14ac:dyDescent="0.25">
      <c r="C2369"/>
      <c r="F2369"/>
      <c r="G2369"/>
      <c r="H2369"/>
      <c r="L2369"/>
      <c r="O2369"/>
    </row>
    <row r="2370" spans="3:15" x14ac:dyDescent="0.25">
      <c r="C2370"/>
      <c r="F2370"/>
      <c r="G2370"/>
      <c r="H2370"/>
      <c r="L2370"/>
      <c r="O2370"/>
    </row>
    <row r="2371" spans="3:15" x14ac:dyDescent="0.25">
      <c r="C2371"/>
      <c r="F2371"/>
      <c r="G2371"/>
      <c r="H2371"/>
      <c r="L2371"/>
      <c r="O2371"/>
    </row>
    <row r="2372" spans="3:15" x14ac:dyDescent="0.25">
      <c r="C2372"/>
      <c r="F2372"/>
      <c r="G2372"/>
      <c r="H2372"/>
      <c r="L2372"/>
      <c r="O2372"/>
    </row>
    <row r="2373" spans="3:15" x14ac:dyDescent="0.25">
      <c r="C2373"/>
      <c r="F2373"/>
      <c r="G2373"/>
      <c r="H2373"/>
      <c r="L2373"/>
      <c r="O2373"/>
    </row>
    <row r="2374" spans="3:15" x14ac:dyDescent="0.25">
      <c r="C2374"/>
      <c r="F2374"/>
      <c r="G2374"/>
      <c r="H2374"/>
      <c r="L2374"/>
      <c r="O2374"/>
    </row>
    <row r="2375" spans="3:15" x14ac:dyDescent="0.25">
      <c r="C2375"/>
      <c r="F2375"/>
      <c r="G2375"/>
      <c r="H2375"/>
      <c r="L2375"/>
      <c r="O2375"/>
    </row>
    <row r="2376" spans="3:15" x14ac:dyDescent="0.25">
      <c r="C2376"/>
      <c r="F2376"/>
      <c r="G2376"/>
      <c r="H2376"/>
      <c r="L2376"/>
      <c r="O2376"/>
    </row>
    <row r="2377" spans="3:15" x14ac:dyDescent="0.25">
      <c r="C2377"/>
      <c r="F2377"/>
      <c r="G2377"/>
      <c r="H2377"/>
      <c r="L2377"/>
      <c r="O2377"/>
    </row>
    <row r="2378" spans="3:15" x14ac:dyDescent="0.25">
      <c r="C2378"/>
      <c r="F2378"/>
      <c r="G2378"/>
      <c r="H2378"/>
      <c r="L2378"/>
      <c r="O2378"/>
    </row>
    <row r="2379" spans="3:15" x14ac:dyDescent="0.25">
      <c r="C2379"/>
      <c r="F2379"/>
      <c r="G2379"/>
      <c r="H2379"/>
      <c r="L2379"/>
      <c r="O2379"/>
    </row>
    <row r="2380" spans="3:15" x14ac:dyDescent="0.25">
      <c r="C2380"/>
      <c r="F2380"/>
      <c r="G2380"/>
      <c r="H2380"/>
      <c r="L2380"/>
      <c r="O2380"/>
    </row>
    <row r="2381" spans="3:15" x14ac:dyDescent="0.25">
      <c r="C2381"/>
      <c r="F2381"/>
      <c r="G2381"/>
      <c r="H2381"/>
      <c r="L2381"/>
      <c r="O2381"/>
    </row>
    <row r="2382" spans="3:15" x14ac:dyDescent="0.25">
      <c r="C2382"/>
      <c r="F2382"/>
      <c r="G2382"/>
      <c r="H2382"/>
      <c r="L2382"/>
      <c r="O2382"/>
    </row>
    <row r="2383" spans="3:15" x14ac:dyDescent="0.25">
      <c r="C2383"/>
      <c r="F2383"/>
      <c r="G2383"/>
      <c r="H2383"/>
      <c r="L2383"/>
      <c r="O2383"/>
    </row>
    <row r="2384" spans="3:15" x14ac:dyDescent="0.25">
      <c r="C2384"/>
      <c r="F2384"/>
      <c r="G2384"/>
      <c r="H2384"/>
      <c r="L2384"/>
      <c r="O2384"/>
    </row>
    <row r="2385" spans="3:15" x14ac:dyDescent="0.25">
      <c r="C2385"/>
      <c r="F2385"/>
      <c r="G2385"/>
      <c r="H2385"/>
      <c r="L2385"/>
      <c r="O2385"/>
    </row>
    <row r="2386" spans="3:15" x14ac:dyDescent="0.25">
      <c r="C2386"/>
      <c r="F2386"/>
      <c r="G2386"/>
      <c r="H2386"/>
      <c r="L2386"/>
      <c r="O2386"/>
    </row>
    <row r="2387" spans="3:15" x14ac:dyDescent="0.25">
      <c r="C2387"/>
      <c r="F2387"/>
      <c r="G2387"/>
      <c r="H2387"/>
      <c r="L2387"/>
      <c r="O2387"/>
    </row>
    <row r="2388" spans="3:15" x14ac:dyDescent="0.25">
      <c r="C2388"/>
      <c r="F2388"/>
      <c r="G2388"/>
      <c r="H2388"/>
      <c r="L2388"/>
      <c r="O2388"/>
    </row>
    <row r="2389" spans="3:15" x14ac:dyDescent="0.25">
      <c r="C2389"/>
      <c r="F2389"/>
      <c r="G2389"/>
      <c r="H2389"/>
      <c r="L2389"/>
      <c r="O2389"/>
    </row>
    <row r="2390" spans="3:15" x14ac:dyDescent="0.25">
      <c r="C2390"/>
      <c r="F2390"/>
      <c r="G2390"/>
      <c r="H2390"/>
      <c r="L2390"/>
      <c r="O2390"/>
    </row>
    <row r="2391" spans="3:15" x14ac:dyDescent="0.25">
      <c r="C2391"/>
      <c r="F2391"/>
      <c r="G2391"/>
      <c r="H2391"/>
      <c r="L2391"/>
      <c r="O2391"/>
    </row>
    <row r="2392" spans="3:15" x14ac:dyDescent="0.25">
      <c r="C2392"/>
      <c r="F2392"/>
      <c r="G2392"/>
      <c r="H2392"/>
      <c r="L2392"/>
      <c r="O2392"/>
    </row>
    <row r="2393" spans="3:15" x14ac:dyDescent="0.25">
      <c r="C2393"/>
      <c r="F2393"/>
      <c r="G2393"/>
      <c r="H2393"/>
      <c r="L2393"/>
      <c r="O2393"/>
    </row>
    <row r="2394" spans="3:15" x14ac:dyDescent="0.25">
      <c r="C2394"/>
      <c r="F2394"/>
      <c r="G2394"/>
      <c r="H2394"/>
      <c r="L2394"/>
      <c r="O2394"/>
    </row>
    <row r="2395" spans="3:15" x14ac:dyDescent="0.25">
      <c r="C2395"/>
      <c r="F2395"/>
      <c r="G2395"/>
      <c r="H2395"/>
      <c r="L2395"/>
      <c r="O2395"/>
    </row>
    <row r="2396" spans="3:15" x14ac:dyDescent="0.25">
      <c r="C2396"/>
      <c r="F2396"/>
      <c r="G2396"/>
      <c r="H2396"/>
      <c r="L2396"/>
      <c r="O2396"/>
    </row>
    <row r="2397" spans="3:15" x14ac:dyDescent="0.25">
      <c r="C2397"/>
      <c r="F2397"/>
      <c r="G2397"/>
      <c r="H2397"/>
      <c r="L2397"/>
      <c r="O2397"/>
    </row>
    <row r="2398" spans="3:15" x14ac:dyDescent="0.25">
      <c r="C2398"/>
      <c r="F2398"/>
      <c r="G2398"/>
      <c r="H2398"/>
      <c r="L2398"/>
      <c r="O2398"/>
    </row>
    <row r="2399" spans="3:15" x14ac:dyDescent="0.25">
      <c r="C2399"/>
      <c r="F2399"/>
      <c r="G2399"/>
      <c r="H2399"/>
      <c r="L2399"/>
      <c r="O2399"/>
    </row>
    <row r="2400" spans="3:15" x14ac:dyDescent="0.25">
      <c r="C2400"/>
      <c r="F2400"/>
      <c r="G2400"/>
      <c r="H2400"/>
      <c r="L2400"/>
      <c r="O2400"/>
    </row>
    <row r="2401" spans="3:15" x14ac:dyDescent="0.25">
      <c r="C2401"/>
      <c r="F2401"/>
      <c r="G2401"/>
      <c r="H2401"/>
      <c r="L2401"/>
      <c r="O2401"/>
    </row>
    <row r="2402" spans="3:15" x14ac:dyDescent="0.25">
      <c r="C2402"/>
      <c r="F2402"/>
      <c r="G2402"/>
      <c r="H2402"/>
      <c r="L2402"/>
      <c r="O2402"/>
    </row>
    <row r="2403" spans="3:15" x14ac:dyDescent="0.25">
      <c r="C2403"/>
      <c r="F2403"/>
      <c r="G2403"/>
      <c r="H2403"/>
      <c r="L2403"/>
      <c r="O2403"/>
    </row>
    <row r="2404" spans="3:15" x14ac:dyDescent="0.25">
      <c r="C2404"/>
      <c r="F2404"/>
      <c r="G2404"/>
      <c r="H2404"/>
      <c r="L2404"/>
      <c r="O2404"/>
    </row>
    <row r="2405" spans="3:15" x14ac:dyDescent="0.25">
      <c r="C2405"/>
      <c r="F2405"/>
      <c r="G2405"/>
      <c r="H2405"/>
      <c r="L2405"/>
      <c r="O2405"/>
    </row>
    <row r="2406" spans="3:15" x14ac:dyDescent="0.25">
      <c r="C2406"/>
      <c r="F2406"/>
      <c r="G2406"/>
      <c r="H2406"/>
      <c r="L2406"/>
      <c r="O2406"/>
    </row>
    <row r="2407" spans="3:15" x14ac:dyDescent="0.25">
      <c r="C2407"/>
      <c r="F2407"/>
      <c r="G2407"/>
      <c r="H2407"/>
      <c r="L2407"/>
      <c r="O2407"/>
    </row>
    <row r="2408" spans="3:15" x14ac:dyDescent="0.25">
      <c r="C2408"/>
      <c r="F2408"/>
      <c r="G2408"/>
      <c r="H2408"/>
      <c r="L2408"/>
      <c r="O2408"/>
    </row>
    <row r="2409" spans="3:15" x14ac:dyDescent="0.25">
      <c r="C2409"/>
      <c r="F2409"/>
      <c r="G2409"/>
      <c r="H2409"/>
      <c r="L2409"/>
      <c r="O2409"/>
    </row>
    <row r="2410" spans="3:15" x14ac:dyDescent="0.25">
      <c r="C2410"/>
      <c r="F2410"/>
      <c r="G2410"/>
      <c r="H2410"/>
      <c r="L2410"/>
      <c r="O2410"/>
    </row>
    <row r="2411" spans="3:15" x14ac:dyDescent="0.25">
      <c r="C2411"/>
      <c r="F2411"/>
      <c r="G2411"/>
      <c r="H2411"/>
      <c r="L2411"/>
      <c r="O2411"/>
    </row>
    <row r="2412" spans="3:15" x14ac:dyDescent="0.25">
      <c r="C2412"/>
      <c r="F2412"/>
      <c r="G2412"/>
      <c r="H2412"/>
      <c r="L2412"/>
      <c r="O2412"/>
    </row>
    <row r="2413" spans="3:15" x14ac:dyDescent="0.25">
      <c r="C2413"/>
      <c r="F2413"/>
      <c r="G2413"/>
      <c r="H2413"/>
      <c r="L2413"/>
      <c r="O2413"/>
    </row>
    <row r="2414" spans="3:15" x14ac:dyDescent="0.25">
      <c r="C2414"/>
      <c r="F2414"/>
      <c r="G2414"/>
      <c r="H2414"/>
      <c r="L2414"/>
      <c r="O2414"/>
    </row>
    <row r="2415" spans="3:15" x14ac:dyDescent="0.25">
      <c r="C2415"/>
      <c r="F2415"/>
      <c r="G2415"/>
      <c r="H2415"/>
      <c r="L2415"/>
      <c r="O2415"/>
    </row>
    <row r="2416" spans="3:15" x14ac:dyDescent="0.25">
      <c r="C2416"/>
      <c r="F2416"/>
      <c r="G2416"/>
      <c r="H2416"/>
      <c r="L2416"/>
      <c r="O2416"/>
    </row>
    <row r="2417" spans="3:15" x14ac:dyDescent="0.25">
      <c r="C2417"/>
      <c r="F2417"/>
      <c r="G2417"/>
      <c r="H2417"/>
      <c r="L2417"/>
      <c r="O2417"/>
    </row>
    <row r="2418" spans="3:15" x14ac:dyDescent="0.25">
      <c r="C2418"/>
      <c r="F2418"/>
      <c r="G2418"/>
      <c r="H2418"/>
      <c r="L2418"/>
      <c r="O2418"/>
    </row>
    <row r="2419" spans="3:15" x14ac:dyDescent="0.25">
      <c r="C2419"/>
      <c r="F2419"/>
      <c r="G2419"/>
      <c r="H2419"/>
      <c r="L2419"/>
      <c r="O2419"/>
    </row>
    <row r="2420" spans="3:15" x14ac:dyDescent="0.25">
      <c r="C2420"/>
      <c r="F2420"/>
      <c r="G2420"/>
      <c r="H2420"/>
      <c r="L2420"/>
      <c r="O2420"/>
    </row>
    <row r="2421" spans="3:15" x14ac:dyDescent="0.25">
      <c r="C2421"/>
      <c r="F2421"/>
      <c r="G2421"/>
      <c r="H2421"/>
      <c r="L2421"/>
      <c r="O2421"/>
    </row>
    <row r="2422" spans="3:15" x14ac:dyDescent="0.25">
      <c r="C2422"/>
      <c r="F2422"/>
      <c r="G2422"/>
      <c r="H2422"/>
      <c r="L2422"/>
      <c r="O2422"/>
    </row>
    <row r="2423" spans="3:15" x14ac:dyDescent="0.25">
      <c r="C2423"/>
      <c r="F2423"/>
      <c r="G2423"/>
      <c r="H2423"/>
      <c r="L2423"/>
      <c r="O2423"/>
    </row>
    <row r="2424" spans="3:15" x14ac:dyDescent="0.25">
      <c r="C2424"/>
      <c r="F2424"/>
      <c r="G2424"/>
      <c r="H2424"/>
      <c r="L2424"/>
      <c r="O2424"/>
    </row>
    <row r="2425" spans="3:15" x14ac:dyDescent="0.25">
      <c r="C2425"/>
      <c r="F2425"/>
      <c r="G2425"/>
      <c r="H2425"/>
      <c r="L2425"/>
      <c r="O2425"/>
    </row>
    <row r="2426" spans="3:15" x14ac:dyDescent="0.25">
      <c r="C2426"/>
      <c r="F2426"/>
      <c r="G2426"/>
      <c r="H2426"/>
      <c r="L2426"/>
      <c r="O2426"/>
    </row>
    <row r="2427" spans="3:15" x14ac:dyDescent="0.25">
      <c r="C2427"/>
      <c r="F2427"/>
      <c r="G2427"/>
      <c r="H2427"/>
      <c r="L2427"/>
      <c r="O2427"/>
    </row>
    <row r="2428" spans="3:15" x14ac:dyDescent="0.25">
      <c r="C2428"/>
      <c r="F2428"/>
      <c r="G2428"/>
      <c r="H2428"/>
      <c r="L2428"/>
      <c r="O2428"/>
    </row>
    <row r="2429" spans="3:15" x14ac:dyDescent="0.25">
      <c r="C2429"/>
      <c r="F2429"/>
      <c r="G2429"/>
      <c r="H2429"/>
      <c r="L2429"/>
      <c r="O2429"/>
    </row>
    <row r="2430" spans="3:15" x14ac:dyDescent="0.25">
      <c r="C2430"/>
      <c r="F2430"/>
      <c r="G2430"/>
      <c r="H2430"/>
      <c r="L2430"/>
      <c r="O2430"/>
    </row>
    <row r="2431" spans="3:15" x14ac:dyDescent="0.25">
      <c r="C2431"/>
      <c r="F2431"/>
      <c r="G2431"/>
      <c r="H2431"/>
      <c r="L2431"/>
      <c r="O2431"/>
    </row>
    <row r="2432" spans="3:15" x14ac:dyDescent="0.25">
      <c r="C2432"/>
      <c r="F2432"/>
      <c r="G2432"/>
      <c r="H2432"/>
      <c r="L2432"/>
      <c r="O2432"/>
    </row>
    <row r="2433" spans="3:15" x14ac:dyDescent="0.25">
      <c r="C2433"/>
      <c r="F2433"/>
      <c r="G2433"/>
      <c r="H2433"/>
      <c r="L2433"/>
      <c r="O2433"/>
    </row>
    <row r="2434" spans="3:15" x14ac:dyDescent="0.25">
      <c r="C2434"/>
      <c r="F2434"/>
      <c r="G2434"/>
      <c r="H2434"/>
      <c r="L2434"/>
      <c r="O2434"/>
    </row>
    <row r="2435" spans="3:15" x14ac:dyDescent="0.25">
      <c r="C2435"/>
      <c r="F2435"/>
      <c r="G2435"/>
      <c r="H2435"/>
      <c r="L2435"/>
      <c r="O2435"/>
    </row>
    <row r="2436" spans="3:15" x14ac:dyDescent="0.25">
      <c r="C2436"/>
      <c r="F2436"/>
      <c r="G2436"/>
      <c r="H2436"/>
      <c r="L2436"/>
      <c r="O2436"/>
    </row>
    <row r="2437" spans="3:15" x14ac:dyDescent="0.25">
      <c r="C2437"/>
      <c r="F2437"/>
      <c r="G2437"/>
      <c r="H2437"/>
      <c r="L2437"/>
      <c r="O2437"/>
    </row>
    <row r="2438" spans="3:15" x14ac:dyDescent="0.25">
      <c r="C2438"/>
      <c r="F2438"/>
      <c r="G2438"/>
      <c r="H2438"/>
      <c r="L2438"/>
      <c r="O2438"/>
    </row>
    <row r="2439" spans="3:15" x14ac:dyDescent="0.25">
      <c r="C2439"/>
      <c r="F2439"/>
      <c r="G2439"/>
      <c r="H2439"/>
      <c r="L2439"/>
      <c r="O2439"/>
    </row>
    <row r="2440" spans="3:15" x14ac:dyDescent="0.25">
      <c r="C2440"/>
      <c r="F2440"/>
      <c r="G2440"/>
      <c r="H2440"/>
      <c r="L2440"/>
      <c r="O2440"/>
    </row>
    <row r="2441" spans="3:15" x14ac:dyDescent="0.25">
      <c r="C2441"/>
      <c r="F2441"/>
      <c r="G2441"/>
      <c r="H2441"/>
      <c r="L2441"/>
      <c r="O2441"/>
    </row>
    <row r="2442" spans="3:15" x14ac:dyDescent="0.25">
      <c r="C2442"/>
      <c r="F2442"/>
      <c r="G2442"/>
      <c r="H2442"/>
      <c r="L2442"/>
      <c r="O2442"/>
    </row>
    <row r="2443" spans="3:15" x14ac:dyDescent="0.25">
      <c r="C2443"/>
      <c r="F2443"/>
      <c r="G2443"/>
      <c r="H2443"/>
      <c r="L2443"/>
      <c r="O2443"/>
    </row>
    <row r="2444" spans="3:15" x14ac:dyDescent="0.25">
      <c r="C2444"/>
      <c r="F2444"/>
      <c r="G2444"/>
      <c r="H2444"/>
      <c r="L2444"/>
      <c r="O2444"/>
    </row>
    <row r="2445" spans="3:15" x14ac:dyDescent="0.25">
      <c r="C2445"/>
      <c r="F2445"/>
      <c r="G2445"/>
      <c r="H2445"/>
      <c r="L2445"/>
      <c r="O2445"/>
    </row>
    <row r="2446" spans="3:15" x14ac:dyDescent="0.25">
      <c r="C2446"/>
      <c r="F2446"/>
      <c r="G2446"/>
      <c r="H2446"/>
      <c r="L2446"/>
      <c r="O2446"/>
    </row>
    <row r="2447" spans="3:15" x14ac:dyDescent="0.25">
      <c r="C2447"/>
      <c r="F2447"/>
      <c r="G2447"/>
      <c r="H2447"/>
      <c r="L2447"/>
      <c r="O2447"/>
    </row>
    <row r="2448" spans="3:15" x14ac:dyDescent="0.25">
      <c r="C2448"/>
      <c r="F2448"/>
      <c r="G2448"/>
      <c r="H2448"/>
      <c r="L2448"/>
      <c r="O2448"/>
    </row>
    <row r="2449" spans="3:15" x14ac:dyDescent="0.25">
      <c r="C2449"/>
      <c r="F2449"/>
      <c r="G2449"/>
      <c r="H2449"/>
      <c r="L2449"/>
      <c r="O2449"/>
    </row>
    <row r="2450" spans="3:15" x14ac:dyDescent="0.25">
      <c r="C2450"/>
      <c r="F2450"/>
      <c r="G2450"/>
      <c r="H2450"/>
      <c r="L2450"/>
      <c r="O2450"/>
    </row>
    <row r="2451" spans="3:15" x14ac:dyDescent="0.25">
      <c r="C2451"/>
      <c r="F2451"/>
      <c r="G2451"/>
      <c r="H2451"/>
      <c r="L2451"/>
      <c r="O2451"/>
    </row>
    <row r="2452" spans="3:15" x14ac:dyDescent="0.25">
      <c r="C2452"/>
      <c r="F2452"/>
      <c r="G2452"/>
      <c r="H2452"/>
      <c r="L2452"/>
      <c r="O2452"/>
    </row>
    <row r="2453" spans="3:15" x14ac:dyDescent="0.25">
      <c r="C2453"/>
      <c r="F2453"/>
      <c r="G2453"/>
      <c r="H2453"/>
      <c r="L2453"/>
      <c r="O2453"/>
    </row>
    <row r="2454" spans="3:15" x14ac:dyDescent="0.25">
      <c r="C2454"/>
      <c r="F2454"/>
      <c r="G2454"/>
      <c r="H2454"/>
      <c r="L2454"/>
      <c r="O2454"/>
    </row>
    <row r="2455" spans="3:15" x14ac:dyDescent="0.25">
      <c r="C2455"/>
      <c r="F2455"/>
      <c r="G2455"/>
      <c r="H2455"/>
      <c r="L2455"/>
      <c r="O2455"/>
    </row>
    <row r="2456" spans="3:15" x14ac:dyDescent="0.25">
      <c r="C2456"/>
      <c r="F2456"/>
      <c r="G2456"/>
      <c r="H2456"/>
      <c r="L2456"/>
      <c r="O2456"/>
    </row>
    <row r="2457" spans="3:15" x14ac:dyDescent="0.25">
      <c r="C2457"/>
      <c r="F2457"/>
      <c r="G2457"/>
      <c r="H2457"/>
      <c r="L2457"/>
      <c r="O2457"/>
    </row>
    <row r="2458" spans="3:15" x14ac:dyDescent="0.25">
      <c r="C2458"/>
      <c r="F2458"/>
      <c r="G2458"/>
      <c r="H2458"/>
      <c r="L2458"/>
      <c r="O2458"/>
    </row>
    <row r="2459" spans="3:15" x14ac:dyDescent="0.25">
      <c r="C2459"/>
      <c r="F2459"/>
      <c r="G2459"/>
      <c r="H2459"/>
      <c r="L2459"/>
      <c r="O2459"/>
    </row>
    <row r="2460" spans="3:15" x14ac:dyDescent="0.25">
      <c r="C2460"/>
      <c r="F2460"/>
      <c r="G2460"/>
      <c r="H2460"/>
      <c r="L2460"/>
      <c r="O2460"/>
    </row>
    <row r="2461" spans="3:15" x14ac:dyDescent="0.25">
      <c r="C2461"/>
      <c r="F2461"/>
      <c r="G2461"/>
      <c r="H2461"/>
      <c r="L2461"/>
      <c r="O2461"/>
    </row>
    <row r="2462" spans="3:15" x14ac:dyDescent="0.25">
      <c r="C2462"/>
      <c r="F2462"/>
      <c r="G2462"/>
      <c r="H2462"/>
      <c r="L2462"/>
      <c r="O2462"/>
    </row>
    <row r="2463" spans="3:15" x14ac:dyDescent="0.25">
      <c r="C2463"/>
      <c r="F2463"/>
      <c r="G2463"/>
      <c r="H2463"/>
      <c r="L2463"/>
      <c r="O2463"/>
    </row>
    <row r="2464" spans="3:15" x14ac:dyDescent="0.25">
      <c r="C2464"/>
      <c r="F2464"/>
      <c r="G2464"/>
      <c r="H2464"/>
      <c r="L2464"/>
      <c r="O2464"/>
    </row>
    <row r="2465" spans="3:15" x14ac:dyDescent="0.25">
      <c r="C2465"/>
      <c r="F2465"/>
      <c r="G2465"/>
      <c r="H2465"/>
      <c r="L2465"/>
      <c r="O2465"/>
    </row>
    <row r="2466" spans="3:15" x14ac:dyDescent="0.25">
      <c r="C2466"/>
      <c r="F2466"/>
      <c r="G2466"/>
      <c r="H2466"/>
      <c r="L2466"/>
      <c r="O2466"/>
    </row>
    <row r="2467" spans="3:15" x14ac:dyDescent="0.25">
      <c r="C2467"/>
      <c r="F2467"/>
      <c r="G2467"/>
      <c r="H2467"/>
      <c r="L2467"/>
      <c r="O2467"/>
    </row>
    <row r="2468" spans="3:15" x14ac:dyDescent="0.25">
      <c r="C2468"/>
      <c r="F2468"/>
      <c r="G2468"/>
      <c r="H2468"/>
      <c r="L2468"/>
      <c r="O2468"/>
    </row>
    <row r="2469" spans="3:15" x14ac:dyDescent="0.25">
      <c r="C2469"/>
      <c r="F2469"/>
      <c r="G2469"/>
      <c r="H2469"/>
      <c r="L2469"/>
      <c r="O2469"/>
    </row>
    <row r="2470" spans="3:15" x14ac:dyDescent="0.25">
      <c r="C2470"/>
      <c r="F2470"/>
      <c r="G2470"/>
      <c r="H2470"/>
      <c r="L2470"/>
      <c r="O2470"/>
    </row>
    <row r="2471" spans="3:15" x14ac:dyDescent="0.25">
      <c r="C2471"/>
      <c r="F2471"/>
      <c r="G2471"/>
      <c r="H2471"/>
      <c r="L2471"/>
      <c r="O2471"/>
    </row>
    <row r="2472" spans="3:15" x14ac:dyDescent="0.25">
      <c r="C2472"/>
      <c r="F2472"/>
      <c r="G2472"/>
      <c r="H2472"/>
      <c r="L2472"/>
      <c r="O2472"/>
    </row>
    <row r="2473" spans="3:15" x14ac:dyDescent="0.25">
      <c r="C2473"/>
      <c r="F2473"/>
      <c r="G2473"/>
      <c r="H2473"/>
      <c r="L2473"/>
      <c r="O2473"/>
    </row>
    <row r="2474" spans="3:15" x14ac:dyDescent="0.25">
      <c r="C2474"/>
      <c r="F2474"/>
      <c r="G2474"/>
      <c r="H2474"/>
      <c r="L2474"/>
      <c r="O2474"/>
    </row>
    <row r="2475" spans="3:15" x14ac:dyDescent="0.25">
      <c r="C2475"/>
      <c r="F2475"/>
      <c r="G2475"/>
      <c r="H2475"/>
      <c r="L2475"/>
      <c r="O2475"/>
    </row>
    <row r="2476" spans="3:15" x14ac:dyDescent="0.25">
      <c r="C2476"/>
      <c r="F2476"/>
      <c r="G2476"/>
      <c r="H2476"/>
      <c r="L2476"/>
      <c r="O2476"/>
    </row>
    <row r="2477" spans="3:15" x14ac:dyDescent="0.25">
      <c r="C2477"/>
      <c r="F2477"/>
      <c r="G2477"/>
      <c r="H2477"/>
      <c r="L2477"/>
      <c r="O2477"/>
    </row>
    <row r="2478" spans="3:15" x14ac:dyDescent="0.25">
      <c r="C2478"/>
      <c r="F2478"/>
      <c r="G2478"/>
      <c r="H2478"/>
      <c r="L2478"/>
      <c r="O2478"/>
    </row>
    <row r="2479" spans="3:15" x14ac:dyDescent="0.25">
      <c r="C2479"/>
      <c r="F2479"/>
      <c r="G2479"/>
      <c r="H2479"/>
      <c r="L2479"/>
      <c r="O2479"/>
    </row>
    <row r="2480" spans="3:15" x14ac:dyDescent="0.25">
      <c r="C2480"/>
      <c r="F2480"/>
      <c r="G2480"/>
      <c r="H2480"/>
      <c r="L2480"/>
      <c r="O2480"/>
    </row>
    <row r="2481" spans="3:15" x14ac:dyDescent="0.25">
      <c r="C2481"/>
      <c r="F2481"/>
      <c r="G2481"/>
      <c r="H2481"/>
      <c r="L2481"/>
      <c r="O2481"/>
    </row>
    <row r="2482" spans="3:15" x14ac:dyDescent="0.25">
      <c r="C2482"/>
      <c r="F2482"/>
      <c r="G2482"/>
      <c r="H2482"/>
      <c r="L2482"/>
      <c r="O2482"/>
    </row>
    <row r="2483" spans="3:15" x14ac:dyDescent="0.25">
      <c r="C2483"/>
      <c r="F2483"/>
      <c r="G2483"/>
      <c r="H2483"/>
      <c r="L2483"/>
      <c r="O2483"/>
    </row>
    <row r="2484" spans="3:15" x14ac:dyDescent="0.25">
      <c r="C2484"/>
      <c r="F2484"/>
      <c r="G2484"/>
      <c r="H2484"/>
      <c r="L2484"/>
      <c r="O2484"/>
    </row>
    <row r="2485" spans="3:15" x14ac:dyDescent="0.25">
      <c r="C2485"/>
      <c r="F2485"/>
      <c r="G2485"/>
      <c r="H2485"/>
      <c r="L2485"/>
      <c r="O2485"/>
    </row>
    <row r="2486" spans="3:15" x14ac:dyDescent="0.25">
      <c r="C2486"/>
      <c r="F2486"/>
      <c r="G2486"/>
      <c r="H2486"/>
      <c r="L2486"/>
      <c r="O2486"/>
    </row>
    <row r="2487" spans="3:15" x14ac:dyDescent="0.25">
      <c r="C2487"/>
      <c r="F2487"/>
      <c r="G2487"/>
      <c r="H2487"/>
      <c r="L2487"/>
      <c r="O2487"/>
    </row>
    <row r="2488" spans="3:15" x14ac:dyDescent="0.25">
      <c r="C2488"/>
      <c r="F2488"/>
      <c r="G2488"/>
      <c r="H2488"/>
      <c r="L2488"/>
      <c r="O2488"/>
    </row>
    <row r="2489" spans="3:15" x14ac:dyDescent="0.25">
      <c r="C2489"/>
      <c r="F2489"/>
      <c r="G2489"/>
      <c r="H2489"/>
      <c r="L2489"/>
      <c r="O2489"/>
    </row>
    <row r="2490" spans="3:15" x14ac:dyDescent="0.25">
      <c r="C2490"/>
      <c r="F2490"/>
      <c r="G2490"/>
      <c r="H2490"/>
      <c r="L2490"/>
      <c r="O2490"/>
    </row>
    <row r="2491" spans="3:15" x14ac:dyDescent="0.25">
      <c r="C2491"/>
      <c r="F2491"/>
      <c r="G2491"/>
      <c r="H2491"/>
      <c r="L2491"/>
      <c r="O2491"/>
    </row>
    <row r="2492" spans="3:15" x14ac:dyDescent="0.25">
      <c r="C2492"/>
      <c r="F2492"/>
      <c r="G2492"/>
      <c r="H2492"/>
      <c r="L2492"/>
      <c r="O2492"/>
    </row>
    <row r="2493" spans="3:15" x14ac:dyDescent="0.25">
      <c r="C2493"/>
      <c r="F2493"/>
      <c r="G2493"/>
      <c r="H2493"/>
      <c r="L2493"/>
      <c r="O2493"/>
    </row>
    <row r="2494" spans="3:15" x14ac:dyDescent="0.25">
      <c r="C2494"/>
      <c r="F2494"/>
      <c r="G2494"/>
      <c r="H2494"/>
      <c r="L2494"/>
      <c r="O2494"/>
    </row>
    <row r="2495" spans="3:15" x14ac:dyDescent="0.25">
      <c r="C2495"/>
      <c r="F2495"/>
      <c r="G2495"/>
      <c r="H2495"/>
      <c r="L2495"/>
      <c r="O2495"/>
    </row>
    <row r="2496" spans="3:15" x14ac:dyDescent="0.25">
      <c r="C2496"/>
      <c r="F2496"/>
      <c r="G2496"/>
      <c r="H2496"/>
      <c r="L2496"/>
      <c r="O2496"/>
    </row>
    <row r="2497" spans="3:15" x14ac:dyDescent="0.25">
      <c r="C2497"/>
      <c r="F2497"/>
      <c r="G2497"/>
      <c r="H2497"/>
      <c r="L2497"/>
      <c r="O2497"/>
    </row>
    <row r="2498" spans="3:15" x14ac:dyDescent="0.25">
      <c r="C2498"/>
      <c r="F2498"/>
      <c r="G2498"/>
      <c r="H2498"/>
      <c r="L2498"/>
      <c r="O2498"/>
    </row>
    <row r="2499" spans="3:15" x14ac:dyDescent="0.25">
      <c r="C2499"/>
      <c r="F2499"/>
      <c r="G2499"/>
      <c r="H2499"/>
      <c r="L2499"/>
      <c r="O2499"/>
    </row>
    <row r="2500" spans="3:15" x14ac:dyDescent="0.25">
      <c r="C2500"/>
      <c r="F2500"/>
      <c r="G2500"/>
      <c r="H2500"/>
      <c r="L2500"/>
      <c r="O2500"/>
    </row>
    <row r="2501" spans="3:15" x14ac:dyDescent="0.25">
      <c r="C2501"/>
      <c r="F2501"/>
      <c r="G2501"/>
      <c r="H2501"/>
      <c r="L2501"/>
      <c r="O2501"/>
    </row>
    <row r="2502" spans="3:15" x14ac:dyDescent="0.25">
      <c r="C2502"/>
      <c r="F2502"/>
      <c r="G2502"/>
      <c r="H2502"/>
      <c r="L2502"/>
      <c r="O2502"/>
    </row>
    <row r="2503" spans="3:15" x14ac:dyDescent="0.25">
      <c r="C2503"/>
      <c r="F2503"/>
      <c r="G2503"/>
      <c r="H2503"/>
      <c r="L2503"/>
      <c r="O2503"/>
    </row>
    <row r="2504" spans="3:15" x14ac:dyDescent="0.25">
      <c r="C2504"/>
      <c r="F2504"/>
      <c r="G2504"/>
      <c r="H2504"/>
      <c r="L2504"/>
      <c r="O2504"/>
    </row>
    <row r="2505" spans="3:15" x14ac:dyDescent="0.25">
      <c r="C2505"/>
      <c r="F2505"/>
      <c r="G2505"/>
      <c r="H2505"/>
      <c r="L2505"/>
      <c r="O2505"/>
    </row>
    <row r="2506" spans="3:15" x14ac:dyDescent="0.25">
      <c r="C2506"/>
      <c r="F2506"/>
      <c r="G2506"/>
      <c r="H2506"/>
      <c r="L2506"/>
      <c r="O2506"/>
    </row>
    <row r="2507" spans="3:15" x14ac:dyDescent="0.25">
      <c r="C2507"/>
      <c r="F2507"/>
      <c r="G2507"/>
      <c r="H2507"/>
      <c r="L2507"/>
      <c r="O2507"/>
    </row>
    <row r="2508" spans="3:15" x14ac:dyDescent="0.25">
      <c r="C2508"/>
      <c r="F2508"/>
      <c r="G2508"/>
      <c r="H2508"/>
      <c r="L2508"/>
      <c r="O2508"/>
    </row>
    <row r="2509" spans="3:15" x14ac:dyDescent="0.25">
      <c r="C2509"/>
      <c r="F2509"/>
      <c r="G2509"/>
      <c r="H2509"/>
      <c r="L2509"/>
      <c r="O2509"/>
    </row>
    <row r="2510" spans="3:15" x14ac:dyDescent="0.25">
      <c r="C2510"/>
      <c r="F2510"/>
      <c r="G2510"/>
      <c r="H2510"/>
      <c r="L2510"/>
      <c r="O2510"/>
    </row>
    <row r="2511" spans="3:15" x14ac:dyDescent="0.25">
      <c r="C2511"/>
      <c r="F2511"/>
      <c r="G2511"/>
      <c r="H2511"/>
      <c r="L2511"/>
      <c r="O2511"/>
    </row>
    <row r="2512" spans="3:15" x14ac:dyDescent="0.25">
      <c r="C2512"/>
      <c r="F2512"/>
      <c r="G2512"/>
      <c r="H2512"/>
      <c r="L2512"/>
      <c r="O2512"/>
    </row>
    <row r="2513" spans="3:15" x14ac:dyDescent="0.25">
      <c r="C2513"/>
      <c r="F2513"/>
      <c r="G2513"/>
      <c r="H2513"/>
      <c r="L2513"/>
      <c r="O2513"/>
    </row>
    <row r="2514" spans="3:15" x14ac:dyDescent="0.25">
      <c r="C2514"/>
      <c r="F2514"/>
      <c r="G2514"/>
      <c r="H2514"/>
      <c r="L2514"/>
      <c r="O2514"/>
    </row>
    <row r="2515" spans="3:15" x14ac:dyDescent="0.25">
      <c r="C2515"/>
      <c r="F2515"/>
      <c r="G2515"/>
      <c r="H2515"/>
      <c r="L2515"/>
      <c r="O2515"/>
    </row>
    <row r="2516" spans="3:15" x14ac:dyDescent="0.25">
      <c r="C2516"/>
      <c r="F2516"/>
      <c r="G2516"/>
      <c r="H2516"/>
      <c r="L2516"/>
      <c r="O2516"/>
    </row>
    <row r="2517" spans="3:15" x14ac:dyDescent="0.25">
      <c r="C2517"/>
      <c r="F2517"/>
      <c r="G2517"/>
      <c r="H2517"/>
      <c r="L2517"/>
      <c r="O2517"/>
    </row>
    <row r="2518" spans="3:15" x14ac:dyDescent="0.25">
      <c r="C2518"/>
      <c r="F2518"/>
      <c r="G2518"/>
      <c r="H2518"/>
      <c r="L2518"/>
      <c r="O2518"/>
    </row>
    <row r="2519" spans="3:15" x14ac:dyDescent="0.25">
      <c r="C2519"/>
      <c r="F2519"/>
      <c r="G2519"/>
      <c r="H2519"/>
      <c r="L2519"/>
      <c r="O2519"/>
    </row>
    <row r="2520" spans="3:15" x14ac:dyDescent="0.25">
      <c r="C2520"/>
      <c r="F2520"/>
      <c r="G2520"/>
      <c r="H2520"/>
      <c r="L2520"/>
      <c r="O2520"/>
    </row>
    <row r="2521" spans="3:15" x14ac:dyDescent="0.25">
      <c r="C2521"/>
      <c r="F2521"/>
      <c r="G2521"/>
      <c r="H2521"/>
      <c r="L2521"/>
      <c r="O2521"/>
    </row>
    <row r="2522" spans="3:15" x14ac:dyDescent="0.25">
      <c r="C2522"/>
      <c r="F2522"/>
      <c r="G2522"/>
      <c r="H2522"/>
      <c r="L2522"/>
      <c r="O2522"/>
    </row>
    <row r="2523" spans="3:15" x14ac:dyDescent="0.25">
      <c r="C2523"/>
      <c r="F2523"/>
      <c r="G2523"/>
      <c r="H2523"/>
      <c r="L2523"/>
      <c r="O2523"/>
    </row>
    <row r="2524" spans="3:15" x14ac:dyDescent="0.25">
      <c r="C2524"/>
      <c r="F2524"/>
      <c r="G2524"/>
      <c r="H2524"/>
      <c r="L2524"/>
      <c r="O2524"/>
    </row>
    <row r="2525" spans="3:15" x14ac:dyDescent="0.25">
      <c r="C2525"/>
      <c r="F2525"/>
      <c r="G2525"/>
      <c r="H2525"/>
      <c r="L2525"/>
      <c r="O2525"/>
    </row>
    <row r="2526" spans="3:15" x14ac:dyDescent="0.25">
      <c r="C2526"/>
      <c r="F2526"/>
      <c r="G2526"/>
      <c r="H2526"/>
      <c r="L2526"/>
      <c r="O2526"/>
    </row>
    <row r="2527" spans="3:15" x14ac:dyDescent="0.25">
      <c r="C2527"/>
      <c r="F2527"/>
      <c r="G2527"/>
      <c r="H2527"/>
      <c r="L2527"/>
      <c r="O2527"/>
    </row>
    <row r="2528" spans="3:15" x14ac:dyDescent="0.25">
      <c r="C2528"/>
      <c r="F2528"/>
      <c r="G2528"/>
      <c r="H2528"/>
      <c r="L2528"/>
      <c r="O2528"/>
    </row>
    <row r="2529" spans="3:15" x14ac:dyDescent="0.25">
      <c r="C2529"/>
      <c r="F2529"/>
      <c r="G2529"/>
      <c r="H2529"/>
      <c r="L2529"/>
      <c r="O2529"/>
    </row>
    <row r="2530" spans="3:15" x14ac:dyDescent="0.25">
      <c r="C2530"/>
      <c r="F2530"/>
      <c r="G2530"/>
      <c r="H2530"/>
      <c r="L2530"/>
      <c r="O2530"/>
    </row>
    <row r="2531" spans="3:15" x14ac:dyDescent="0.25">
      <c r="C2531"/>
      <c r="F2531"/>
      <c r="G2531"/>
      <c r="H2531"/>
      <c r="L2531"/>
      <c r="O2531"/>
    </row>
    <row r="2532" spans="3:15" x14ac:dyDescent="0.25">
      <c r="C2532"/>
      <c r="F2532"/>
      <c r="G2532"/>
      <c r="H2532"/>
      <c r="L2532"/>
      <c r="O2532"/>
    </row>
    <row r="2533" spans="3:15" x14ac:dyDescent="0.25">
      <c r="C2533"/>
      <c r="F2533"/>
      <c r="G2533"/>
      <c r="H2533"/>
      <c r="L2533"/>
      <c r="O2533"/>
    </row>
    <row r="2534" spans="3:15" x14ac:dyDescent="0.25">
      <c r="C2534"/>
      <c r="F2534"/>
      <c r="G2534"/>
      <c r="H2534"/>
      <c r="L2534"/>
      <c r="O2534"/>
    </row>
    <row r="2535" spans="3:15" x14ac:dyDescent="0.25">
      <c r="C2535"/>
      <c r="F2535"/>
      <c r="G2535"/>
      <c r="H2535"/>
      <c r="L2535"/>
      <c r="O2535"/>
    </row>
    <row r="2536" spans="3:15" x14ac:dyDescent="0.25">
      <c r="C2536"/>
      <c r="F2536"/>
      <c r="G2536"/>
      <c r="H2536"/>
      <c r="L2536"/>
      <c r="O2536"/>
    </row>
    <row r="2537" spans="3:15" x14ac:dyDescent="0.25">
      <c r="C2537"/>
      <c r="F2537"/>
      <c r="G2537"/>
      <c r="H2537"/>
      <c r="L2537"/>
      <c r="O2537"/>
    </row>
    <row r="2538" spans="3:15" x14ac:dyDescent="0.25">
      <c r="C2538"/>
      <c r="F2538"/>
      <c r="G2538"/>
      <c r="H2538"/>
      <c r="L2538"/>
      <c r="O2538"/>
    </row>
    <row r="2539" spans="3:15" x14ac:dyDescent="0.25">
      <c r="C2539"/>
      <c r="F2539"/>
      <c r="G2539"/>
      <c r="H2539"/>
      <c r="L2539"/>
      <c r="O2539"/>
    </row>
    <row r="2540" spans="3:15" x14ac:dyDescent="0.25">
      <c r="C2540"/>
      <c r="F2540"/>
      <c r="G2540"/>
      <c r="H2540"/>
      <c r="L2540"/>
      <c r="O2540"/>
    </row>
    <row r="2541" spans="3:15" x14ac:dyDescent="0.25">
      <c r="C2541"/>
      <c r="F2541"/>
      <c r="G2541"/>
      <c r="H2541"/>
      <c r="L2541"/>
      <c r="O2541"/>
    </row>
    <row r="2542" spans="3:15" x14ac:dyDescent="0.25">
      <c r="C2542"/>
      <c r="F2542"/>
      <c r="G2542"/>
      <c r="H2542"/>
      <c r="L2542"/>
      <c r="O2542"/>
    </row>
    <row r="2543" spans="3:15" x14ac:dyDescent="0.25">
      <c r="C2543"/>
      <c r="F2543"/>
      <c r="G2543"/>
      <c r="H2543"/>
      <c r="L2543"/>
      <c r="O2543"/>
    </row>
    <row r="2544" spans="3:15" x14ac:dyDescent="0.25">
      <c r="C2544"/>
      <c r="F2544"/>
      <c r="G2544"/>
      <c r="H2544"/>
      <c r="L2544"/>
      <c r="O2544"/>
    </row>
    <row r="2545" spans="3:15" x14ac:dyDescent="0.25">
      <c r="C2545"/>
      <c r="F2545"/>
      <c r="G2545"/>
      <c r="H2545"/>
      <c r="L2545"/>
      <c r="O2545"/>
    </row>
    <row r="2546" spans="3:15" x14ac:dyDescent="0.25">
      <c r="C2546"/>
      <c r="F2546"/>
      <c r="G2546"/>
      <c r="H2546"/>
      <c r="L2546"/>
      <c r="O2546"/>
    </row>
    <row r="2547" spans="3:15" x14ac:dyDescent="0.25">
      <c r="C2547"/>
      <c r="F2547"/>
      <c r="G2547"/>
      <c r="H2547"/>
      <c r="L2547"/>
      <c r="O2547"/>
    </row>
    <row r="2548" spans="3:15" x14ac:dyDescent="0.25">
      <c r="C2548"/>
      <c r="F2548"/>
      <c r="G2548"/>
      <c r="H2548"/>
      <c r="L2548"/>
      <c r="O2548"/>
    </row>
    <row r="2549" spans="3:15" x14ac:dyDescent="0.25">
      <c r="C2549"/>
      <c r="F2549"/>
      <c r="G2549"/>
      <c r="H2549"/>
      <c r="L2549"/>
      <c r="O2549"/>
    </row>
    <row r="2550" spans="3:15" x14ac:dyDescent="0.25">
      <c r="C2550"/>
      <c r="F2550"/>
      <c r="G2550"/>
      <c r="H2550"/>
      <c r="L2550"/>
      <c r="O2550"/>
    </row>
    <row r="2551" spans="3:15" x14ac:dyDescent="0.25">
      <c r="C2551"/>
      <c r="F2551"/>
      <c r="G2551"/>
      <c r="H2551"/>
      <c r="L2551"/>
      <c r="O2551"/>
    </row>
    <row r="2552" spans="3:15" x14ac:dyDescent="0.25">
      <c r="C2552"/>
      <c r="F2552"/>
      <c r="G2552"/>
      <c r="H2552"/>
      <c r="L2552"/>
      <c r="O2552"/>
    </row>
    <row r="2553" spans="3:15" x14ac:dyDescent="0.25">
      <c r="C2553"/>
      <c r="F2553"/>
      <c r="G2553"/>
      <c r="H2553"/>
      <c r="L2553"/>
      <c r="O2553"/>
    </row>
    <row r="2554" spans="3:15" x14ac:dyDescent="0.25">
      <c r="C2554"/>
      <c r="F2554"/>
      <c r="G2554"/>
      <c r="H2554"/>
      <c r="L2554"/>
      <c r="O2554"/>
    </row>
    <row r="2555" spans="3:15" x14ac:dyDescent="0.25">
      <c r="C2555"/>
      <c r="F2555"/>
      <c r="G2555"/>
      <c r="H2555"/>
      <c r="L2555"/>
      <c r="O2555"/>
    </row>
    <row r="2556" spans="3:15" x14ac:dyDescent="0.25">
      <c r="C2556"/>
      <c r="F2556"/>
      <c r="G2556"/>
      <c r="H2556"/>
      <c r="L2556"/>
      <c r="O2556"/>
    </row>
    <row r="2557" spans="3:15" x14ac:dyDescent="0.25">
      <c r="C2557"/>
      <c r="F2557"/>
      <c r="G2557"/>
      <c r="H2557"/>
      <c r="L2557"/>
      <c r="O2557"/>
    </row>
    <row r="2558" spans="3:15" x14ac:dyDescent="0.25">
      <c r="C2558"/>
      <c r="F2558"/>
      <c r="G2558"/>
      <c r="H2558"/>
      <c r="L2558"/>
      <c r="O2558"/>
    </row>
    <row r="2559" spans="3:15" x14ac:dyDescent="0.25">
      <c r="C2559"/>
      <c r="F2559"/>
      <c r="G2559"/>
      <c r="H2559"/>
      <c r="L2559"/>
      <c r="O2559"/>
    </row>
    <row r="2560" spans="3:15" x14ac:dyDescent="0.25">
      <c r="C2560"/>
      <c r="F2560"/>
      <c r="G2560"/>
      <c r="H2560"/>
      <c r="L2560"/>
      <c r="O2560"/>
    </row>
    <row r="2561" spans="3:15" x14ac:dyDescent="0.25">
      <c r="C2561"/>
      <c r="F2561"/>
      <c r="G2561"/>
      <c r="H2561"/>
      <c r="L2561"/>
      <c r="O2561"/>
    </row>
    <row r="2562" spans="3:15" x14ac:dyDescent="0.25">
      <c r="C2562"/>
      <c r="F2562"/>
      <c r="G2562"/>
      <c r="H2562"/>
      <c r="L2562"/>
      <c r="O2562"/>
    </row>
    <row r="2563" spans="3:15" x14ac:dyDescent="0.25">
      <c r="C2563"/>
      <c r="F2563"/>
      <c r="G2563"/>
      <c r="H2563"/>
      <c r="L2563"/>
      <c r="O2563"/>
    </row>
    <row r="2564" spans="3:15" x14ac:dyDescent="0.25">
      <c r="C2564"/>
      <c r="F2564"/>
      <c r="G2564"/>
      <c r="H2564"/>
      <c r="L2564"/>
      <c r="O2564"/>
    </row>
    <row r="2565" spans="3:15" x14ac:dyDescent="0.25">
      <c r="C2565"/>
      <c r="F2565"/>
      <c r="G2565"/>
      <c r="H2565"/>
      <c r="L2565"/>
      <c r="O2565"/>
    </row>
    <row r="2566" spans="3:15" x14ac:dyDescent="0.25">
      <c r="C2566"/>
      <c r="F2566"/>
      <c r="G2566"/>
      <c r="H2566"/>
      <c r="L2566"/>
      <c r="O2566"/>
    </row>
    <row r="2567" spans="3:15" x14ac:dyDescent="0.25">
      <c r="C2567"/>
      <c r="F2567"/>
      <c r="G2567"/>
      <c r="H2567"/>
      <c r="L2567"/>
      <c r="O2567"/>
    </row>
    <row r="2568" spans="3:15" x14ac:dyDescent="0.25">
      <c r="C2568"/>
      <c r="F2568"/>
      <c r="G2568"/>
      <c r="H2568"/>
      <c r="L2568"/>
      <c r="O2568"/>
    </row>
    <row r="2569" spans="3:15" x14ac:dyDescent="0.25">
      <c r="C2569"/>
      <c r="F2569"/>
      <c r="G2569"/>
      <c r="H2569"/>
      <c r="L2569"/>
      <c r="O2569"/>
    </row>
    <row r="2570" spans="3:15" x14ac:dyDescent="0.25">
      <c r="C2570"/>
      <c r="F2570"/>
      <c r="G2570"/>
      <c r="H2570"/>
      <c r="L2570"/>
      <c r="O2570"/>
    </row>
    <row r="2571" spans="3:15" x14ac:dyDescent="0.25">
      <c r="C2571"/>
      <c r="F2571"/>
      <c r="G2571"/>
      <c r="H2571"/>
      <c r="L2571"/>
      <c r="O2571"/>
    </row>
    <row r="2572" spans="3:15" x14ac:dyDescent="0.25">
      <c r="C2572"/>
      <c r="F2572"/>
      <c r="G2572"/>
      <c r="H2572"/>
      <c r="L2572"/>
      <c r="O2572"/>
    </row>
    <row r="2573" spans="3:15" x14ac:dyDescent="0.25">
      <c r="C2573"/>
      <c r="F2573"/>
      <c r="G2573"/>
      <c r="H2573"/>
      <c r="L2573"/>
      <c r="O2573"/>
    </row>
    <row r="2574" spans="3:15" x14ac:dyDescent="0.25">
      <c r="C2574"/>
      <c r="F2574"/>
      <c r="G2574"/>
      <c r="H2574"/>
      <c r="L2574"/>
      <c r="O2574"/>
    </row>
    <row r="2575" spans="3:15" x14ac:dyDescent="0.25">
      <c r="C2575"/>
      <c r="F2575"/>
      <c r="G2575"/>
      <c r="H2575"/>
      <c r="L2575"/>
      <c r="O2575"/>
    </row>
    <row r="2576" spans="3:15" x14ac:dyDescent="0.25">
      <c r="C2576"/>
      <c r="F2576"/>
      <c r="G2576"/>
      <c r="H2576"/>
      <c r="L2576"/>
      <c r="O2576"/>
    </row>
    <row r="2577" spans="3:15" x14ac:dyDescent="0.25">
      <c r="C2577"/>
      <c r="F2577"/>
      <c r="G2577"/>
      <c r="H2577"/>
      <c r="L2577"/>
      <c r="O2577"/>
    </row>
    <row r="2578" spans="3:15" x14ac:dyDescent="0.25">
      <c r="C2578"/>
      <c r="F2578"/>
      <c r="G2578"/>
      <c r="H2578"/>
      <c r="L2578"/>
      <c r="O2578"/>
    </row>
    <row r="2579" spans="3:15" x14ac:dyDescent="0.25">
      <c r="C2579"/>
      <c r="F2579"/>
      <c r="G2579"/>
      <c r="H2579"/>
      <c r="L2579"/>
      <c r="O2579"/>
    </row>
    <row r="2580" spans="3:15" x14ac:dyDescent="0.25">
      <c r="C2580"/>
      <c r="F2580"/>
      <c r="G2580"/>
      <c r="H2580"/>
      <c r="L2580"/>
      <c r="O2580"/>
    </row>
    <row r="2581" spans="3:15" x14ac:dyDescent="0.25">
      <c r="C2581"/>
      <c r="F2581"/>
      <c r="G2581"/>
      <c r="H2581"/>
      <c r="L2581"/>
      <c r="O2581"/>
    </row>
    <row r="2582" spans="3:15" x14ac:dyDescent="0.25">
      <c r="C2582"/>
      <c r="F2582"/>
      <c r="G2582"/>
      <c r="H2582"/>
      <c r="L2582"/>
      <c r="O2582"/>
    </row>
    <row r="2583" spans="3:15" x14ac:dyDescent="0.25">
      <c r="C2583"/>
      <c r="F2583"/>
      <c r="G2583"/>
      <c r="H2583"/>
      <c r="L2583"/>
      <c r="O2583"/>
    </row>
    <row r="2584" spans="3:15" x14ac:dyDescent="0.25">
      <c r="C2584"/>
      <c r="F2584"/>
      <c r="G2584"/>
      <c r="H2584"/>
      <c r="L2584"/>
      <c r="O2584"/>
    </row>
    <row r="2585" spans="3:15" x14ac:dyDescent="0.25">
      <c r="C2585"/>
      <c r="F2585"/>
      <c r="G2585"/>
      <c r="H2585"/>
      <c r="L2585"/>
      <c r="O2585"/>
    </row>
    <row r="2586" spans="3:15" x14ac:dyDescent="0.25">
      <c r="C2586"/>
      <c r="F2586"/>
      <c r="G2586"/>
      <c r="H2586"/>
      <c r="L2586"/>
      <c r="O2586"/>
    </row>
    <row r="2587" spans="3:15" x14ac:dyDescent="0.25">
      <c r="C2587"/>
      <c r="F2587"/>
      <c r="G2587"/>
      <c r="H2587"/>
      <c r="L2587"/>
      <c r="O2587"/>
    </row>
    <row r="2588" spans="3:15" x14ac:dyDescent="0.25">
      <c r="C2588"/>
      <c r="F2588"/>
      <c r="G2588"/>
      <c r="H2588"/>
      <c r="L2588"/>
      <c r="O2588"/>
    </row>
    <row r="2589" spans="3:15" x14ac:dyDescent="0.25">
      <c r="C2589"/>
      <c r="F2589"/>
      <c r="G2589"/>
      <c r="H2589"/>
      <c r="L2589"/>
      <c r="O2589"/>
    </row>
    <row r="2590" spans="3:15" x14ac:dyDescent="0.25">
      <c r="C2590"/>
      <c r="F2590"/>
      <c r="G2590"/>
      <c r="H2590"/>
      <c r="L2590"/>
      <c r="O2590"/>
    </row>
    <row r="2591" spans="3:15" x14ac:dyDescent="0.25">
      <c r="C2591"/>
      <c r="F2591"/>
      <c r="G2591"/>
      <c r="H2591"/>
      <c r="L2591"/>
      <c r="O2591"/>
    </row>
    <row r="2592" spans="3:15" x14ac:dyDescent="0.25">
      <c r="C2592"/>
      <c r="F2592"/>
      <c r="G2592"/>
      <c r="H2592"/>
      <c r="L2592"/>
      <c r="O2592"/>
    </row>
    <row r="2593" spans="3:15" x14ac:dyDescent="0.25">
      <c r="C2593"/>
      <c r="F2593"/>
      <c r="G2593"/>
      <c r="H2593"/>
      <c r="L2593"/>
      <c r="O2593"/>
    </row>
    <row r="2594" spans="3:15" x14ac:dyDescent="0.25">
      <c r="C2594"/>
      <c r="F2594"/>
      <c r="G2594"/>
      <c r="H2594"/>
      <c r="L2594"/>
      <c r="O2594"/>
    </row>
    <row r="2595" spans="3:15" x14ac:dyDescent="0.25">
      <c r="C2595"/>
      <c r="F2595"/>
      <c r="G2595"/>
      <c r="H2595"/>
      <c r="L2595"/>
      <c r="O2595"/>
    </row>
    <row r="2596" spans="3:15" x14ac:dyDescent="0.25">
      <c r="C2596"/>
      <c r="F2596"/>
      <c r="G2596"/>
      <c r="H2596"/>
      <c r="L2596"/>
      <c r="O2596"/>
    </row>
    <row r="2597" spans="3:15" x14ac:dyDescent="0.25">
      <c r="C2597"/>
      <c r="F2597"/>
      <c r="G2597"/>
      <c r="H2597"/>
      <c r="L2597"/>
      <c r="O2597"/>
    </row>
    <row r="2598" spans="3:15" x14ac:dyDescent="0.25">
      <c r="C2598"/>
      <c r="F2598"/>
      <c r="G2598"/>
      <c r="H2598"/>
      <c r="L2598"/>
      <c r="O2598"/>
    </row>
    <row r="2599" spans="3:15" x14ac:dyDescent="0.25">
      <c r="C2599"/>
      <c r="F2599"/>
      <c r="G2599"/>
      <c r="H2599"/>
      <c r="L2599"/>
      <c r="O2599"/>
    </row>
    <row r="2600" spans="3:15" x14ac:dyDescent="0.25">
      <c r="C2600"/>
      <c r="F2600"/>
      <c r="G2600"/>
      <c r="H2600"/>
      <c r="L2600"/>
      <c r="O2600"/>
    </row>
    <row r="2601" spans="3:15" x14ac:dyDescent="0.25">
      <c r="C2601"/>
      <c r="F2601"/>
      <c r="G2601"/>
      <c r="H2601"/>
      <c r="L2601"/>
      <c r="O2601"/>
    </row>
    <row r="2602" spans="3:15" x14ac:dyDescent="0.25">
      <c r="C2602"/>
      <c r="F2602"/>
      <c r="G2602"/>
      <c r="H2602"/>
      <c r="L2602"/>
      <c r="O2602"/>
    </row>
    <row r="2603" spans="3:15" x14ac:dyDescent="0.25">
      <c r="C2603"/>
      <c r="F2603"/>
      <c r="G2603"/>
      <c r="H2603"/>
      <c r="L2603"/>
      <c r="O2603"/>
    </row>
    <row r="2604" spans="3:15" x14ac:dyDescent="0.25">
      <c r="C2604"/>
      <c r="F2604"/>
      <c r="G2604"/>
      <c r="H2604"/>
      <c r="L2604"/>
      <c r="O2604"/>
    </row>
    <row r="2605" spans="3:15" x14ac:dyDescent="0.25">
      <c r="C2605"/>
      <c r="F2605"/>
      <c r="G2605"/>
      <c r="H2605"/>
      <c r="L2605"/>
      <c r="O2605"/>
    </row>
    <row r="2606" spans="3:15" x14ac:dyDescent="0.25">
      <c r="C2606"/>
      <c r="F2606"/>
      <c r="G2606"/>
      <c r="H2606"/>
      <c r="L2606"/>
      <c r="O2606"/>
    </row>
    <row r="2607" spans="3:15" x14ac:dyDescent="0.25">
      <c r="C2607"/>
      <c r="F2607"/>
      <c r="G2607"/>
      <c r="H2607"/>
      <c r="L2607"/>
      <c r="O2607"/>
    </row>
    <row r="2608" spans="3:15" x14ac:dyDescent="0.25">
      <c r="C2608"/>
      <c r="F2608"/>
      <c r="G2608"/>
      <c r="H2608"/>
      <c r="L2608"/>
      <c r="O2608"/>
    </row>
    <row r="2609" spans="3:15" x14ac:dyDescent="0.25">
      <c r="C2609"/>
      <c r="F2609"/>
      <c r="G2609"/>
      <c r="H2609"/>
      <c r="L2609"/>
      <c r="O2609"/>
    </row>
    <row r="2610" spans="3:15" x14ac:dyDescent="0.25">
      <c r="C2610"/>
      <c r="F2610"/>
      <c r="G2610"/>
      <c r="H2610"/>
      <c r="L2610"/>
      <c r="O2610"/>
    </row>
    <row r="2611" spans="3:15" x14ac:dyDescent="0.25">
      <c r="C2611"/>
      <c r="F2611"/>
      <c r="G2611"/>
      <c r="H2611"/>
      <c r="L2611"/>
      <c r="O2611"/>
    </row>
    <row r="2612" spans="3:15" x14ac:dyDescent="0.25">
      <c r="C2612"/>
      <c r="F2612"/>
      <c r="G2612"/>
      <c r="H2612"/>
      <c r="L2612"/>
      <c r="O2612"/>
    </row>
    <row r="2613" spans="3:15" x14ac:dyDescent="0.25">
      <c r="C2613"/>
      <c r="F2613"/>
      <c r="G2613"/>
      <c r="H2613"/>
      <c r="L2613"/>
      <c r="O2613"/>
    </row>
    <row r="2614" spans="3:15" x14ac:dyDescent="0.25">
      <c r="C2614"/>
      <c r="F2614"/>
      <c r="G2614"/>
      <c r="H2614"/>
      <c r="L2614"/>
      <c r="O2614"/>
    </row>
    <row r="2615" spans="3:15" x14ac:dyDescent="0.25">
      <c r="C2615"/>
      <c r="F2615"/>
      <c r="G2615"/>
      <c r="H2615"/>
      <c r="L2615"/>
      <c r="O2615"/>
    </row>
    <row r="2616" spans="3:15" x14ac:dyDescent="0.25">
      <c r="C2616"/>
      <c r="F2616"/>
      <c r="G2616"/>
      <c r="H2616"/>
      <c r="L2616"/>
      <c r="O2616"/>
    </row>
    <row r="2617" spans="3:15" x14ac:dyDescent="0.25">
      <c r="C2617"/>
      <c r="F2617"/>
      <c r="G2617"/>
      <c r="H2617"/>
      <c r="L2617"/>
      <c r="O2617"/>
    </row>
    <row r="2618" spans="3:15" x14ac:dyDescent="0.25">
      <c r="C2618"/>
      <c r="F2618"/>
      <c r="G2618"/>
      <c r="H2618"/>
      <c r="L2618"/>
      <c r="O2618"/>
    </row>
    <row r="2619" spans="3:15" x14ac:dyDescent="0.25">
      <c r="C2619"/>
      <c r="F2619"/>
      <c r="G2619"/>
      <c r="H2619"/>
      <c r="L2619"/>
      <c r="O2619"/>
    </row>
    <row r="2620" spans="3:15" x14ac:dyDescent="0.25">
      <c r="C2620"/>
      <c r="F2620"/>
      <c r="G2620"/>
      <c r="H2620"/>
      <c r="L2620"/>
      <c r="O2620"/>
    </row>
    <row r="2621" spans="3:15" x14ac:dyDescent="0.25">
      <c r="C2621"/>
      <c r="F2621"/>
      <c r="G2621"/>
      <c r="H2621"/>
      <c r="L2621"/>
      <c r="O2621"/>
    </row>
    <row r="2622" spans="3:15" x14ac:dyDescent="0.25">
      <c r="C2622"/>
      <c r="F2622"/>
      <c r="G2622"/>
      <c r="H2622"/>
      <c r="L2622"/>
      <c r="O2622"/>
    </row>
    <row r="2623" spans="3:15" x14ac:dyDescent="0.25">
      <c r="C2623"/>
      <c r="F2623"/>
      <c r="G2623"/>
      <c r="H2623"/>
      <c r="L2623"/>
      <c r="O2623"/>
    </row>
    <row r="2624" spans="3:15" x14ac:dyDescent="0.25">
      <c r="C2624"/>
      <c r="F2624"/>
      <c r="G2624"/>
      <c r="H2624"/>
      <c r="L2624"/>
      <c r="O2624"/>
    </row>
    <row r="2625" spans="3:15" x14ac:dyDescent="0.25">
      <c r="C2625"/>
      <c r="F2625"/>
      <c r="G2625"/>
      <c r="H2625"/>
      <c r="L2625"/>
      <c r="O2625"/>
    </row>
    <row r="2626" spans="3:15" x14ac:dyDescent="0.25">
      <c r="C2626"/>
      <c r="F2626"/>
      <c r="G2626"/>
      <c r="H2626"/>
      <c r="L2626"/>
      <c r="O2626"/>
    </row>
    <row r="2627" spans="3:15" x14ac:dyDescent="0.25">
      <c r="C2627"/>
      <c r="F2627"/>
      <c r="G2627"/>
      <c r="H2627"/>
      <c r="L2627"/>
      <c r="O2627"/>
    </row>
    <row r="2628" spans="3:15" x14ac:dyDescent="0.25">
      <c r="C2628"/>
      <c r="F2628"/>
      <c r="G2628"/>
      <c r="H2628"/>
      <c r="L2628"/>
      <c r="O2628"/>
    </row>
    <row r="2629" spans="3:15" x14ac:dyDescent="0.25">
      <c r="C2629"/>
      <c r="F2629"/>
      <c r="G2629"/>
      <c r="H2629"/>
      <c r="L2629"/>
      <c r="O2629"/>
    </row>
    <row r="2630" spans="3:15" x14ac:dyDescent="0.25">
      <c r="C2630"/>
      <c r="F2630"/>
      <c r="G2630"/>
      <c r="H2630"/>
      <c r="L2630"/>
      <c r="O2630"/>
    </row>
    <row r="2631" spans="3:15" x14ac:dyDescent="0.25">
      <c r="C2631"/>
      <c r="F2631"/>
      <c r="G2631"/>
      <c r="H2631"/>
      <c r="L2631"/>
      <c r="O2631"/>
    </row>
    <row r="2632" spans="3:15" x14ac:dyDescent="0.25">
      <c r="C2632"/>
      <c r="F2632"/>
      <c r="G2632"/>
      <c r="H2632"/>
      <c r="L2632"/>
      <c r="O2632"/>
    </row>
    <row r="2633" spans="3:15" x14ac:dyDescent="0.25">
      <c r="C2633"/>
      <c r="F2633"/>
      <c r="G2633"/>
      <c r="H2633"/>
      <c r="L2633"/>
      <c r="O2633"/>
    </row>
    <row r="2634" spans="3:15" x14ac:dyDescent="0.25">
      <c r="C2634"/>
      <c r="F2634"/>
      <c r="G2634"/>
      <c r="H2634"/>
      <c r="L2634"/>
      <c r="O2634"/>
    </row>
    <row r="2635" spans="3:15" x14ac:dyDescent="0.25">
      <c r="C2635"/>
      <c r="F2635"/>
      <c r="G2635"/>
      <c r="H2635"/>
      <c r="L2635"/>
      <c r="O2635"/>
    </row>
    <row r="2636" spans="3:15" x14ac:dyDescent="0.25">
      <c r="C2636"/>
      <c r="F2636"/>
      <c r="G2636"/>
      <c r="H2636"/>
      <c r="L2636"/>
      <c r="O2636"/>
    </row>
    <row r="2637" spans="3:15" x14ac:dyDescent="0.25">
      <c r="C2637"/>
      <c r="F2637"/>
      <c r="G2637"/>
      <c r="H2637"/>
      <c r="L2637"/>
      <c r="O2637"/>
    </row>
    <row r="2638" spans="3:15" x14ac:dyDescent="0.25">
      <c r="C2638"/>
      <c r="F2638"/>
      <c r="G2638"/>
      <c r="H2638"/>
      <c r="L2638"/>
      <c r="O2638"/>
    </row>
    <row r="2639" spans="3:15" x14ac:dyDescent="0.25">
      <c r="C2639"/>
      <c r="F2639"/>
      <c r="G2639"/>
      <c r="H2639"/>
      <c r="L2639"/>
      <c r="O2639"/>
    </row>
    <row r="2640" spans="3:15" x14ac:dyDescent="0.25">
      <c r="C2640"/>
      <c r="F2640"/>
      <c r="G2640"/>
      <c r="H2640"/>
      <c r="L2640"/>
      <c r="O2640"/>
    </row>
    <row r="2641" spans="3:15" x14ac:dyDescent="0.25">
      <c r="C2641"/>
      <c r="F2641"/>
      <c r="G2641"/>
      <c r="H2641"/>
      <c r="L2641"/>
      <c r="O2641"/>
    </row>
    <row r="2642" spans="3:15" x14ac:dyDescent="0.25">
      <c r="C2642"/>
      <c r="F2642"/>
      <c r="G2642"/>
      <c r="H2642"/>
      <c r="L2642"/>
      <c r="O2642"/>
    </row>
    <row r="2643" spans="3:15" x14ac:dyDescent="0.25">
      <c r="C2643"/>
      <c r="F2643"/>
      <c r="G2643"/>
      <c r="H2643"/>
      <c r="L2643"/>
      <c r="O2643"/>
    </row>
    <row r="2644" spans="3:15" x14ac:dyDescent="0.25">
      <c r="C2644"/>
      <c r="F2644"/>
      <c r="G2644"/>
      <c r="H2644"/>
      <c r="L2644"/>
      <c r="O2644"/>
    </row>
    <row r="2645" spans="3:15" x14ac:dyDescent="0.25">
      <c r="C2645"/>
      <c r="F2645"/>
      <c r="G2645"/>
      <c r="H2645"/>
      <c r="L2645"/>
      <c r="O2645"/>
    </row>
    <row r="2646" spans="3:15" x14ac:dyDescent="0.25">
      <c r="C2646"/>
      <c r="F2646"/>
      <c r="G2646"/>
      <c r="H2646"/>
      <c r="L2646"/>
      <c r="O2646"/>
    </row>
    <row r="2647" spans="3:15" x14ac:dyDescent="0.25">
      <c r="C2647"/>
      <c r="F2647"/>
      <c r="G2647"/>
      <c r="H2647"/>
      <c r="L2647"/>
      <c r="O2647"/>
    </row>
    <row r="2648" spans="3:15" x14ac:dyDescent="0.25">
      <c r="C2648"/>
      <c r="F2648"/>
      <c r="G2648"/>
      <c r="H2648"/>
      <c r="L2648"/>
      <c r="O2648"/>
    </row>
    <row r="2649" spans="3:15" x14ac:dyDescent="0.25">
      <c r="C2649"/>
      <c r="F2649"/>
      <c r="G2649"/>
      <c r="H2649"/>
      <c r="L2649"/>
      <c r="O2649"/>
    </row>
    <row r="2650" spans="3:15" x14ac:dyDescent="0.25">
      <c r="C2650"/>
      <c r="F2650"/>
      <c r="G2650"/>
      <c r="H2650"/>
      <c r="L2650"/>
      <c r="O2650"/>
    </row>
    <row r="2651" spans="3:15" x14ac:dyDescent="0.25">
      <c r="C2651"/>
      <c r="F2651"/>
      <c r="G2651"/>
      <c r="H2651"/>
      <c r="L2651"/>
      <c r="O2651"/>
    </row>
    <row r="2652" spans="3:15" x14ac:dyDescent="0.25">
      <c r="C2652"/>
      <c r="F2652"/>
      <c r="G2652"/>
      <c r="H2652"/>
      <c r="L2652"/>
      <c r="O2652"/>
    </row>
    <row r="2653" spans="3:15" x14ac:dyDescent="0.25">
      <c r="C2653"/>
      <c r="F2653"/>
      <c r="G2653"/>
      <c r="H2653"/>
      <c r="L2653"/>
      <c r="O2653"/>
    </row>
    <row r="2654" spans="3:15" x14ac:dyDescent="0.25">
      <c r="C2654"/>
      <c r="F2654"/>
      <c r="G2654"/>
      <c r="H2654"/>
      <c r="L2654"/>
      <c r="O2654"/>
    </row>
    <row r="2655" spans="3:15" x14ac:dyDescent="0.25">
      <c r="C2655"/>
      <c r="F2655"/>
      <c r="G2655"/>
      <c r="H2655"/>
      <c r="L2655"/>
      <c r="O2655"/>
    </row>
    <row r="2656" spans="3:15" x14ac:dyDescent="0.25">
      <c r="C2656"/>
      <c r="F2656"/>
      <c r="G2656"/>
      <c r="H2656"/>
      <c r="L2656"/>
      <c r="O2656"/>
    </row>
    <row r="2657" spans="3:15" x14ac:dyDescent="0.25">
      <c r="C2657"/>
      <c r="F2657"/>
      <c r="G2657"/>
      <c r="H2657"/>
      <c r="L2657"/>
      <c r="O2657"/>
    </row>
    <row r="2658" spans="3:15" x14ac:dyDescent="0.25">
      <c r="C2658"/>
      <c r="F2658"/>
      <c r="G2658"/>
      <c r="H2658"/>
      <c r="L2658"/>
      <c r="O2658"/>
    </row>
    <row r="2659" spans="3:15" x14ac:dyDescent="0.25">
      <c r="C2659"/>
      <c r="F2659"/>
      <c r="G2659"/>
      <c r="H2659"/>
      <c r="L2659"/>
      <c r="O2659"/>
    </row>
    <row r="2660" spans="3:15" x14ac:dyDescent="0.25">
      <c r="C2660"/>
      <c r="F2660"/>
      <c r="G2660"/>
      <c r="H2660"/>
      <c r="L2660"/>
      <c r="O2660"/>
    </row>
    <row r="2661" spans="3:15" x14ac:dyDescent="0.25">
      <c r="C2661"/>
      <c r="F2661"/>
      <c r="G2661"/>
      <c r="H2661"/>
      <c r="L2661"/>
      <c r="O2661"/>
    </row>
    <row r="2662" spans="3:15" x14ac:dyDescent="0.25">
      <c r="C2662"/>
      <c r="F2662"/>
      <c r="G2662"/>
      <c r="H2662"/>
      <c r="L2662"/>
      <c r="O2662"/>
    </row>
    <row r="2663" spans="3:15" x14ac:dyDescent="0.25">
      <c r="C2663"/>
      <c r="F2663"/>
      <c r="G2663"/>
      <c r="H2663"/>
      <c r="L2663"/>
      <c r="O2663"/>
    </row>
    <row r="2664" spans="3:15" x14ac:dyDescent="0.25">
      <c r="C2664"/>
      <c r="F2664"/>
      <c r="G2664"/>
      <c r="H2664"/>
      <c r="L2664"/>
      <c r="O2664"/>
    </row>
    <row r="2665" spans="3:15" x14ac:dyDescent="0.25">
      <c r="C2665"/>
      <c r="F2665"/>
      <c r="G2665"/>
      <c r="H2665"/>
      <c r="L2665"/>
      <c r="O2665"/>
    </row>
    <row r="2666" spans="3:15" x14ac:dyDescent="0.25">
      <c r="C2666"/>
      <c r="F2666"/>
      <c r="G2666"/>
      <c r="H2666"/>
      <c r="L2666"/>
      <c r="O2666"/>
    </row>
    <row r="2667" spans="3:15" x14ac:dyDescent="0.25">
      <c r="C2667"/>
      <c r="F2667"/>
      <c r="G2667"/>
      <c r="H2667"/>
      <c r="L2667"/>
      <c r="O2667"/>
    </row>
    <row r="2668" spans="3:15" x14ac:dyDescent="0.25">
      <c r="C2668"/>
      <c r="F2668"/>
      <c r="G2668"/>
      <c r="H2668"/>
      <c r="L2668"/>
      <c r="O2668"/>
    </row>
    <row r="2669" spans="3:15" x14ac:dyDescent="0.25">
      <c r="C2669"/>
      <c r="F2669"/>
      <c r="G2669"/>
      <c r="H2669"/>
      <c r="L2669"/>
      <c r="O2669"/>
    </row>
    <row r="2670" spans="3:15" x14ac:dyDescent="0.25">
      <c r="C2670"/>
      <c r="F2670"/>
      <c r="G2670"/>
      <c r="H2670"/>
      <c r="L2670"/>
      <c r="O2670"/>
    </row>
    <row r="2671" spans="3:15" x14ac:dyDescent="0.25">
      <c r="C2671"/>
      <c r="F2671"/>
      <c r="G2671"/>
      <c r="H2671"/>
      <c r="L2671"/>
      <c r="O2671"/>
    </row>
    <row r="2672" spans="3:15" x14ac:dyDescent="0.25">
      <c r="C2672"/>
      <c r="F2672"/>
      <c r="G2672"/>
      <c r="H2672"/>
      <c r="L2672"/>
      <c r="O2672"/>
    </row>
    <row r="2673" spans="3:15" x14ac:dyDescent="0.25">
      <c r="C2673"/>
      <c r="F2673"/>
      <c r="G2673"/>
      <c r="H2673"/>
      <c r="L2673"/>
      <c r="O2673"/>
    </row>
    <row r="2674" spans="3:15" x14ac:dyDescent="0.25">
      <c r="C2674"/>
      <c r="F2674"/>
      <c r="G2674"/>
      <c r="H2674"/>
      <c r="L2674"/>
      <c r="O2674"/>
    </row>
    <row r="2675" spans="3:15" x14ac:dyDescent="0.25">
      <c r="C2675"/>
      <c r="F2675"/>
      <c r="G2675"/>
      <c r="H2675"/>
      <c r="L2675"/>
      <c r="O2675"/>
    </row>
    <row r="2676" spans="3:15" x14ac:dyDescent="0.25">
      <c r="C2676"/>
      <c r="F2676"/>
      <c r="G2676"/>
      <c r="H2676"/>
      <c r="L2676"/>
      <c r="O2676"/>
    </row>
    <row r="2677" spans="3:15" x14ac:dyDescent="0.25">
      <c r="C2677"/>
      <c r="F2677"/>
      <c r="G2677"/>
      <c r="H2677"/>
      <c r="L2677"/>
      <c r="O2677"/>
    </row>
    <row r="2678" spans="3:15" x14ac:dyDescent="0.25">
      <c r="C2678"/>
      <c r="F2678"/>
      <c r="G2678"/>
      <c r="H2678"/>
      <c r="L2678"/>
      <c r="O2678"/>
    </row>
    <row r="2679" spans="3:15" x14ac:dyDescent="0.25">
      <c r="C2679"/>
      <c r="F2679"/>
      <c r="G2679"/>
      <c r="H2679"/>
      <c r="L2679"/>
      <c r="O2679"/>
    </row>
    <row r="2680" spans="3:15" x14ac:dyDescent="0.25">
      <c r="C2680"/>
      <c r="F2680"/>
      <c r="G2680"/>
      <c r="H2680"/>
      <c r="L2680"/>
      <c r="O2680"/>
    </row>
    <row r="2681" spans="3:15" x14ac:dyDescent="0.25">
      <c r="C2681"/>
      <c r="F2681"/>
      <c r="G2681"/>
      <c r="H2681"/>
      <c r="L2681"/>
      <c r="O2681"/>
    </row>
    <row r="2682" spans="3:15" x14ac:dyDescent="0.25">
      <c r="C2682"/>
      <c r="F2682"/>
      <c r="G2682"/>
      <c r="H2682"/>
      <c r="L2682"/>
      <c r="O2682"/>
    </row>
    <row r="2683" spans="3:15" x14ac:dyDescent="0.25">
      <c r="C2683"/>
      <c r="F2683"/>
      <c r="G2683"/>
      <c r="H2683"/>
      <c r="L2683"/>
      <c r="O2683"/>
    </row>
    <row r="2684" spans="3:15" x14ac:dyDescent="0.25">
      <c r="C2684"/>
      <c r="F2684"/>
      <c r="G2684"/>
      <c r="H2684"/>
      <c r="L2684"/>
      <c r="O2684"/>
    </row>
    <row r="2685" spans="3:15" x14ac:dyDescent="0.25">
      <c r="C2685"/>
      <c r="F2685"/>
      <c r="G2685"/>
      <c r="H2685"/>
      <c r="L2685"/>
      <c r="O2685"/>
    </row>
    <row r="2686" spans="3:15" x14ac:dyDescent="0.25">
      <c r="C2686"/>
      <c r="F2686"/>
      <c r="G2686"/>
      <c r="H2686"/>
      <c r="L2686"/>
      <c r="O2686"/>
    </row>
    <row r="2687" spans="3:15" x14ac:dyDescent="0.25">
      <c r="C2687"/>
      <c r="F2687"/>
      <c r="G2687"/>
      <c r="H2687"/>
      <c r="L2687"/>
      <c r="O2687"/>
    </row>
    <row r="2688" spans="3:15" x14ac:dyDescent="0.25">
      <c r="C2688"/>
      <c r="F2688"/>
      <c r="G2688"/>
      <c r="H2688"/>
      <c r="L2688"/>
      <c r="O2688"/>
    </row>
    <row r="2689" spans="3:15" x14ac:dyDescent="0.25">
      <c r="C2689"/>
      <c r="F2689"/>
      <c r="G2689"/>
      <c r="H2689"/>
      <c r="L2689"/>
      <c r="O2689"/>
    </row>
    <row r="2690" spans="3:15" x14ac:dyDescent="0.25">
      <c r="C2690"/>
      <c r="F2690"/>
      <c r="G2690"/>
      <c r="H2690"/>
      <c r="L2690"/>
      <c r="O2690"/>
    </row>
    <row r="2691" spans="3:15" x14ac:dyDescent="0.25">
      <c r="C2691"/>
      <c r="F2691"/>
      <c r="G2691"/>
      <c r="H2691"/>
      <c r="L2691"/>
      <c r="O2691"/>
    </row>
    <row r="2692" spans="3:15" x14ac:dyDescent="0.25">
      <c r="C2692"/>
      <c r="F2692"/>
      <c r="G2692"/>
      <c r="H2692"/>
      <c r="L2692"/>
      <c r="O2692"/>
    </row>
    <row r="2693" spans="3:15" x14ac:dyDescent="0.25">
      <c r="C2693"/>
      <c r="F2693"/>
      <c r="G2693"/>
      <c r="H2693"/>
      <c r="L2693"/>
      <c r="O2693"/>
    </row>
    <row r="2694" spans="3:15" x14ac:dyDescent="0.25">
      <c r="C2694"/>
      <c r="F2694"/>
      <c r="G2694"/>
      <c r="H2694"/>
      <c r="L2694"/>
      <c r="O2694"/>
    </row>
    <row r="2695" spans="3:15" x14ac:dyDescent="0.25">
      <c r="C2695"/>
      <c r="F2695"/>
      <c r="G2695"/>
      <c r="H2695"/>
      <c r="L2695"/>
      <c r="O2695"/>
    </row>
    <row r="2696" spans="3:15" x14ac:dyDescent="0.25">
      <c r="C2696"/>
      <c r="F2696"/>
      <c r="G2696"/>
      <c r="H2696"/>
      <c r="L2696"/>
      <c r="O2696"/>
    </row>
    <row r="2697" spans="3:15" x14ac:dyDescent="0.25">
      <c r="C2697"/>
      <c r="F2697"/>
      <c r="G2697"/>
      <c r="H2697"/>
      <c r="L2697"/>
      <c r="O2697"/>
    </row>
    <row r="2698" spans="3:15" x14ac:dyDescent="0.25">
      <c r="C2698"/>
      <c r="F2698"/>
      <c r="G2698"/>
      <c r="H2698"/>
      <c r="L2698"/>
      <c r="O2698"/>
    </row>
    <row r="2699" spans="3:15" x14ac:dyDescent="0.25">
      <c r="C2699"/>
      <c r="F2699"/>
      <c r="G2699"/>
      <c r="H2699"/>
      <c r="L2699"/>
      <c r="O2699"/>
    </row>
    <row r="2700" spans="3:15" x14ac:dyDescent="0.25">
      <c r="C2700"/>
      <c r="F2700"/>
      <c r="G2700"/>
      <c r="H2700"/>
      <c r="L2700"/>
      <c r="O2700"/>
    </row>
    <row r="2701" spans="3:15" x14ac:dyDescent="0.25">
      <c r="C2701"/>
      <c r="F2701"/>
      <c r="G2701"/>
      <c r="H2701"/>
      <c r="L2701"/>
      <c r="O2701"/>
    </row>
    <row r="2702" spans="3:15" x14ac:dyDescent="0.25">
      <c r="C2702"/>
      <c r="F2702"/>
      <c r="G2702"/>
      <c r="H2702"/>
      <c r="L2702"/>
      <c r="O2702"/>
    </row>
    <row r="2703" spans="3:15" x14ac:dyDescent="0.25">
      <c r="C2703"/>
      <c r="F2703"/>
      <c r="G2703"/>
      <c r="H2703"/>
      <c r="L2703"/>
      <c r="O2703"/>
    </row>
    <row r="2704" spans="3:15" x14ac:dyDescent="0.25">
      <c r="C2704"/>
      <c r="F2704"/>
      <c r="G2704"/>
      <c r="H2704"/>
      <c r="L2704"/>
      <c r="O2704"/>
    </row>
    <row r="2705" spans="3:15" x14ac:dyDescent="0.25">
      <c r="C2705"/>
      <c r="F2705"/>
      <c r="G2705"/>
      <c r="H2705"/>
      <c r="L2705"/>
      <c r="O2705"/>
    </row>
    <row r="2706" spans="3:15" x14ac:dyDescent="0.25">
      <c r="C2706"/>
      <c r="F2706"/>
      <c r="G2706"/>
      <c r="H2706"/>
      <c r="L2706"/>
      <c r="O2706"/>
    </row>
    <row r="2707" spans="3:15" x14ac:dyDescent="0.25">
      <c r="C2707"/>
      <c r="F2707"/>
      <c r="G2707"/>
      <c r="H2707"/>
      <c r="L2707"/>
      <c r="O2707"/>
    </row>
    <row r="2708" spans="3:15" x14ac:dyDescent="0.25">
      <c r="C2708"/>
      <c r="F2708"/>
      <c r="G2708"/>
      <c r="H2708"/>
      <c r="L2708"/>
      <c r="O2708"/>
    </row>
    <row r="2709" spans="3:15" x14ac:dyDescent="0.25">
      <c r="C2709"/>
      <c r="F2709"/>
      <c r="G2709"/>
      <c r="H2709"/>
      <c r="L2709"/>
      <c r="O2709"/>
    </row>
    <row r="2710" spans="3:15" x14ac:dyDescent="0.25">
      <c r="C2710"/>
      <c r="F2710"/>
      <c r="G2710"/>
      <c r="H2710"/>
      <c r="L2710"/>
      <c r="O2710"/>
    </row>
    <row r="2711" spans="3:15" x14ac:dyDescent="0.25">
      <c r="C2711"/>
      <c r="F2711"/>
      <c r="G2711"/>
      <c r="H2711"/>
      <c r="L2711"/>
      <c r="O2711"/>
    </row>
    <row r="2712" spans="3:15" x14ac:dyDescent="0.25">
      <c r="C2712"/>
      <c r="F2712"/>
      <c r="G2712"/>
      <c r="H2712"/>
      <c r="L2712"/>
      <c r="O2712"/>
    </row>
    <row r="2713" spans="3:15" x14ac:dyDescent="0.25">
      <c r="C2713"/>
      <c r="F2713"/>
      <c r="G2713"/>
      <c r="H2713"/>
      <c r="L2713"/>
      <c r="O2713"/>
    </row>
    <row r="2714" spans="3:15" x14ac:dyDescent="0.25">
      <c r="C2714"/>
      <c r="F2714"/>
      <c r="G2714"/>
      <c r="H2714"/>
      <c r="L2714"/>
      <c r="O2714"/>
    </row>
    <row r="2715" spans="3:15" x14ac:dyDescent="0.25">
      <c r="C2715"/>
      <c r="F2715"/>
      <c r="G2715"/>
      <c r="H2715"/>
      <c r="L2715"/>
      <c r="O2715"/>
    </row>
    <row r="2716" spans="3:15" x14ac:dyDescent="0.25">
      <c r="C2716"/>
      <c r="F2716"/>
      <c r="G2716"/>
      <c r="H2716"/>
      <c r="L2716"/>
      <c r="O2716"/>
    </row>
    <row r="2717" spans="3:15" x14ac:dyDescent="0.25">
      <c r="C2717"/>
      <c r="F2717"/>
      <c r="G2717"/>
      <c r="H2717"/>
      <c r="L2717"/>
      <c r="O2717"/>
    </row>
    <row r="2718" spans="3:15" x14ac:dyDescent="0.25">
      <c r="C2718"/>
      <c r="F2718"/>
      <c r="G2718"/>
      <c r="H2718"/>
      <c r="L2718"/>
      <c r="O2718"/>
    </row>
    <row r="2719" spans="3:15" x14ac:dyDescent="0.25">
      <c r="C2719"/>
      <c r="F2719"/>
      <c r="G2719"/>
      <c r="H2719"/>
      <c r="L2719"/>
      <c r="O2719"/>
    </row>
    <row r="2720" spans="3:15" x14ac:dyDescent="0.25">
      <c r="C2720"/>
      <c r="F2720"/>
      <c r="G2720"/>
      <c r="H2720"/>
      <c r="L2720"/>
      <c r="O2720"/>
    </row>
    <row r="2721" spans="3:15" x14ac:dyDescent="0.25">
      <c r="C2721"/>
      <c r="F2721"/>
      <c r="G2721"/>
      <c r="H2721"/>
      <c r="L2721"/>
      <c r="O2721"/>
    </row>
    <row r="2722" spans="3:15" x14ac:dyDescent="0.25">
      <c r="C2722"/>
      <c r="F2722"/>
      <c r="G2722"/>
      <c r="H2722"/>
      <c r="L2722"/>
      <c r="O2722"/>
    </row>
    <row r="2723" spans="3:15" x14ac:dyDescent="0.25">
      <c r="C2723"/>
      <c r="F2723"/>
      <c r="G2723"/>
      <c r="H2723"/>
      <c r="L2723"/>
      <c r="O2723"/>
    </row>
    <row r="2724" spans="3:15" x14ac:dyDescent="0.25">
      <c r="C2724"/>
      <c r="F2724"/>
      <c r="G2724"/>
      <c r="H2724"/>
      <c r="L2724"/>
      <c r="O2724"/>
    </row>
    <row r="2725" spans="3:15" x14ac:dyDescent="0.25">
      <c r="C2725"/>
      <c r="F2725"/>
      <c r="G2725"/>
      <c r="H2725"/>
      <c r="L2725"/>
      <c r="O2725"/>
    </row>
    <row r="2726" spans="3:15" x14ac:dyDescent="0.25">
      <c r="C2726"/>
      <c r="F2726"/>
      <c r="G2726"/>
      <c r="H2726"/>
      <c r="L2726"/>
      <c r="O2726"/>
    </row>
    <row r="2727" spans="3:15" x14ac:dyDescent="0.25">
      <c r="C2727"/>
      <c r="F2727"/>
      <c r="G2727"/>
      <c r="H2727"/>
      <c r="L2727"/>
      <c r="O2727"/>
    </row>
    <row r="2728" spans="3:15" x14ac:dyDescent="0.25">
      <c r="C2728"/>
      <c r="F2728"/>
      <c r="G2728"/>
      <c r="H2728"/>
      <c r="L2728"/>
      <c r="O2728"/>
    </row>
    <row r="2729" spans="3:15" x14ac:dyDescent="0.25">
      <c r="C2729"/>
      <c r="F2729"/>
      <c r="G2729"/>
      <c r="H2729"/>
      <c r="L2729"/>
      <c r="O2729"/>
    </row>
    <row r="2730" spans="3:15" x14ac:dyDescent="0.25">
      <c r="C2730"/>
      <c r="F2730"/>
      <c r="G2730"/>
      <c r="H2730"/>
      <c r="L2730"/>
      <c r="O2730"/>
    </row>
    <row r="2731" spans="3:15" x14ac:dyDescent="0.25">
      <c r="C2731"/>
      <c r="F2731"/>
      <c r="G2731"/>
      <c r="H2731"/>
      <c r="L2731"/>
      <c r="O2731"/>
    </row>
    <row r="2732" spans="3:15" x14ac:dyDescent="0.25">
      <c r="C2732"/>
      <c r="F2732"/>
      <c r="G2732"/>
      <c r="H2732"/>
      <c r="L2732"/>
      <c r="O2732"/>
    </row>
    <row r="2733" spans="3:15" x14ac:dyDescent="0.25">
      <c r="C2733"/>
      <c r="F2733"/>
      <c r="G2733"/>
      <c r="H2733"/>
      <c r="L2733"/>
      <c r="O2733"/>
    </row>
    <row r="2734" spans="3:15" x14ac:dyDescent="0.25">
      <c r="C2734"/>
      <c r="F2734"/>
      <c r="G2734"/>
      <c r="H2734"/>
      <c r="L2734"/>
      <c r="O2734"/>
    </row>
    <row r="2735" spans="3:15" x14ac:dyDescent="0.25">
      <c r="C2735"/>
      <c r="F2735"/>
      <c r="G2735"/>
      <c r="H2735"/>
      <c r="L2735"/>
      <c r="O2735"/>
    </row>
    <row r="2736" spans="3:15" x14ac:dyDescent="0.25">
      <c r="C2736"/>
      <c r="F2736"/>
      <c r="G2736"/>
      <c r="H2736"/>
      <c r="L2736"/>
      <c r="O2736"/>
    </row>
    <row r="2737" spans="3:15" x14ac:dyDescent="0.25">
      <c r="C2737"/>
      <c r="F2737"/>
      <c r="G2737"/>
      <c r="H2737"/>
      <c r="L2737"/>
      <c r="O2737"/>
    </row>
    <row r="2738" spans="3:15" x14ac:dyDescent="0.25">
      <c r="C2738"/>
      <c r="F2738"/>
      <c r="G2738"/>
      <c r="H2738"/>
      <c r="L2738"/>
      <c r="O2738"/>
    </row>
    <row r="2739" spans="3:15" x14ac:dyDescent="0.25">
      <c r="C2739"/>
      <c r="F2739"/>
      <c r="G2739"/>
      <c r="H2739"/>
      <c r="L2739"/>
      <c r="O2739"/>
    </row>
    <row r="2740" spans="3:15" x14ac:dyDescent="0.25">
      <c r="C2740"/>
      <c r="F2740"/>
      <c r="G2740"/>
      <c r="H2740"/>
      <c r="L2740"/>
      <c r="O2740"/>
    </row>
    <row r="2741" spans="3:15" x14ac:dyDescent="0.25">
      <c r="C2741"/>
      <c r="F2741"/>
      <c r="G2741"/>
      <c r="H2741"/>
      <c r="L2741"/>
      <c r="O2741"/>
    </row>
    <row r="2742" spans="3:15" x14ac:dyDescent="0.25">
      <c r="C2742"/>
      <c r="F2742"/>
      <c r="G2742"/>
      <c r="H2742"/>
      <c r="L2742"/>
      <c r="O2742"/>
    </row>
    <row r="2743" spans="3:15" x14ac:dyDescent="0.25">
      <c r="C2743"/>
      <c r="F2743"/>
      <c r="G2743"/>
      <c r="H2743"/>
      <c r="L2743"/>
      <c r="O2743"/>
    </row>
    <row r="2744" spans="3:15" x14ac:dyDescent="0.25">
      <c r="C2744"/>
      <c r="F2744"/>
      <c r="G2744"/>
      <c r="H2744"/>
      <c r="L2744"/>
      <c r="O2744"/>
    </row>
    <row r="2745" spans="3:15" x14ac:dyDescent="0.25">
      <c r="C2745"/>
      <c r="F2745"/>
      <c r="G2745"/>
      <c r="H2745"/>
      <c r="L2745"/>
      <c r="O2745"/>
    </row>
    <row r="2746" spans="3:15" x14ac:dyDescent="0.25">
      <c r="C2746"/>
      <c r="F2746"/>
      <c r="G2746"/>
      <c r="H2746"/>
      <c r="L2746"/>
      <c r="O2746"/>
    </row>
    <row r="2747" spans="3:15" x14ac:dyDescent="0.25">
      <c r="C2747"/>
      <c r="F2747"/>
      <c r="G2747"/>
      <c r="H2747"/>
      <c r="L2747"/>
      <c r="O2747"/>
    </row>
    <row r="2748" spans="3:15" x14ac:dyDescent="0.25">
      <c r="C2748"/>
      <c r="F2748"/>
      <c r="G2748"/>
      <c r="H2748"/>
      <c r="L2748"/>
      <c r="O2748"/>
    </row>
    <row r="2749" spans="3:15" x14ac:dyDescent="0.25">
      <c r="C2749"/>
      <c r="F2749"/>
      <c r="G2749"/>
      <c r="H2749"/>
      <c r="L2749"/>
      <c r="O2749"/>
    </row>
    <row r="2750" spans="3:15" x14ac:dyDescent="0.25">
      <c r="C2750"/>
      <c r="F2750"/>
      <c r="G2750"/>
      <c r="H2750"/>
      <c r="L2750"/>
      <c r="O2750"/>
    </row>
    <row r="2751" spans="3:15" x14ac:dyDescent="0.25">
      <c r="C2751"/>
      <c r="F2751"/>
      <c r="G2751"/>
      <c r="H2751"/>
      <c r="L2751"/>
      <c r="O2751"/>
    </row>
    <row r="2752" spans="3:15" x14ac:dyDescent="0.25">
      <c r="C2752"/>
      <c r="F2752"/>
      <c r="G2752"/>
      <c r="H2752"/>
      <c r="L2752"/>
      <c r="O2752"/>
    </row>
    <row r="2753" spans="3:15" x14ac:dyDescent="0.25">
      <c r="C2753"/>
      <c r="F2753"/>
      <c r="G2753"/>
      <c r="H2753"/>
      <c r="L2753"/>
      <c r="O2753"/>
    </row>
    <row r="2754" spans="3:15" x14ac:dyDescent="0.25">
      <c r="C2754"/>
      <c r="F2754"/>
      <c r="G2754"/>
      <c r="H2754"/>
      <c r="L2754"/>
      <c r="O2754"/>
    </row>
    <row r="2755" spans="3:15" x14ac:dyDescent="0.25">
      <c r="C2755"/>
      <c r="F2755"/>
      <c r="G2755"/>
      <c r="H2755"/>
      <c r="L2755"/>
      <c r="O2755"/>
    </row>
    <row r="2756" spans="3:15" x14ac:dyDescent="0.25">
      <c r="C2756"/>
      <c r="F2756"/>
      <c r="G2756"/>
      <c r="H2756"/>
      <c r="L2756"/>
      <c r="O2756"/>
    </row>
    <row r="2757" spans="3:15" x14ac:dyDescent="0.25">
      <c r="C2757"/>
      <c r="F2757"/>
      <c r="G2757"/>
      <c r="H2757"/>
      <c r="L2757"/>
      <c r="O2757"/>
    </row>
    <row r="2758" spans="3:15" x14ac:dyDescent="0.25">
      <c r="C2758"/>
      <c r="F2758"/>
      <c r="G2758"/>
      <c r="H2758"/>
      <c r="L2758"/>
      <c r="O2758"/>
    </row>
    <row r="2759" spans="3:15" x14ac:dyDescent="0.25">
      <c r="C2759"/>
      <c r="F2759"/>
      <c r="G2759"/>
      <c r="H2759"/>
      <c r="L2759"/>
      <c r="O2759"/>
    </row>
    <row r="2760" spans="3:15" x14ac:dyDescent="0.25">
      <c r="C2760"/>
      <c r="F2760"/>
      <c r="G2760"/>
      <c r="H2760"/>
      <c r="L2760"/>
      <c r="O2760"/>
    </row>
    <row r="2761" spans="3:15" x14ac:dyDescent="0.25">
      <c r="C2761"/>
      <c r="F2761"/>
      <c r="G2761"/>
      <c r="H2761"/>
      <c r="L2761"/>
      <c r="O2761"/>
    </row>
    <row r="2762" spans="3:15" x14ac:dyDescent="0.25">
      <c r="C2762"/>
      <c r="F2762"/>
      <c r="G2762"/>
      <c r="H2762"/>
      <c r="L2762"/>
      <c r="O2762"/>
    </row>
    <row r="2763" spans="3:15" x14ac:dyDescent="0.25">
      <c r="C2763"/>
      <c r="F2763"/>
      <c r="G2763"/>
      <c r="H2763"/>
      <c r="L2763"/>
      <c r="O2763"/>
    </row>
    <row r="2764" spans="3:15" x14ac:dyDescent="0.25">
      <c r="C2764"/>
      <c r="F2764"/>
      <c r="G2764"/>
      <c r="H2764"/>
      <c r="L2764"/>
      <c r="O2764"/>
    </row>
    <row r="2765" spans="3:15" x14ac:dyDescent="0.25">
      <c r="C2765"/>
      <c r="F2765"/>
      <c r="G2765"/>
      <c r="H2765"/>
      <c r="L2765"/>
      <c r="O2765"/>
    </row>
    <row r="2766" spans="3:15" x14ac:dyDescent="0.25">
      <c r="C2766"/>
      <c r="F2766"/>
      <c r="G2766"/>
      <c r="H2766"/>
      <c r="L2766"/>
      <c r="O2766"/>
    </row>
    <row r="2767" spans="3:15" x14ac:dyDescent="0.25">
      <c r="C2767"/>
      <c r="F2767"/>
      <c r="G2767"/>
      <c r="H2767"/>
      <c r="L2767"/>
      <c r="O2767"/>
    </row>
    <row r="2768" spans="3:15" x14ac:dyDescent="0.25">
      <c r="C2768"/>
      <c r="F2768"/>
      <c r="G2768"/>
      <c r="H2768"/>
      <c r="L2768"/>
      <c r="O2768"/>
    </row>
    <row r="2769" spans="3:15" x14ac:dyDescent="0.25">
      <c r="C2769"/>
      <c r="F2769"/>
      <c r="G2769"/>
      <c r="H2769"/>
      <c r="L2769"/>
      <c r="O2769"/>
    </row>
    <row r="2770" spans="3:15" x14ac:dyDescent="0.25">
      <c r="C2770"/>
      <c r="F2770"/>
      <c r="G2770"/>
      <c r="H2770"/>
      <c r="L2770"/>
      <c r="O2770"/>
    </row>
    <row r="2771" spans="3:15" x14ac:dyDescent="0.25">
      <c r="C2771"/>
      <c r="F2771"/>
      <c r="G2771"/>
      <c r="H2771"/>
      <c r="L2771"/>
      <c r="O2771"/>
    </row>
    <row r="2772" spans="3:15" x14ac:dyDescent="0.25">
      <c r="C2772"/>
      <c r="F2772"/>
      <c r="G2772"/>
      <c r="H2772"/>
      <c r="L2772"/>
      <c r="O2772"/>
    </row>
    <row r="2773" spans="3:15" x14ac:dyDescent="0.25">
      <c r="C2773"/>
      <c r="F2773"/>
      <c r="G2773"/>
      <c r="H2773"/>
      <c r="L2773"/>
      <c r="O2773"/>
    </row>
    <row r="2774" spans="3:15" x14ac:dyDescent="0.25">
      <c r="C2774"/>
      <c r="F2774"/>
      <c r="G2774"/>
      <c r="H2774"/>
      <c r="L2774"/>
      <c r="O2774"/>
    </row>
    <row r="2775" spans="3:15" x14ac:dyDescent="0.25">
      <c r="C2775"/>
      <c r="F2775"/>
      <c r="G2775"/>
      <c r="H2775"/>
      <c r="L2775"/>
      <c r="O2775"/>
    </row>
    <row r="2776" spans="3:15" x14ac:dyDescent="0.25">
      <c r="C2776"/>
      <c r="F2776"/>
      <c r="G2776"/>
      <c r="H2776"/>
      <c r="L2776"/>
      <c r="O2776"/>
    </row>
    <row r="2777" spans="3:15" x14ac:dyDescent="0.25">
      <c r="C2777"/>
      <c r="F2777"/>
      <c r="G2777"/>
      <c r="H2777"/>
      <c r="L2777"/>
      <c r="O2777"/>
    </row>
    <row r="2778" spans="3:15" x14ac:dyDescent="0.25">
      <c r="C2778"/>
      <c r="F2778"/>
      <c r="G2778"/>
      <c r="H2778"/>
      <c r="L2778"/>
      <c r="O2778"/>
    </row>
    <row r="2779" spans="3:15" x14ac:dyDescent="0.25">
      <c r="C2779"/>
      <c r="F2779"/>
      <c r="G2779"/>
      <c r="H2779"/>
      <c r="L2779"/>
      <c r="O2779"/>
    </row>
    <row r="2780" spans="3:15" x14ac:dyDescent="0.25">
      <c r="C2780"/>
      <c r="F2780"/>
      <c r="G2780"/>
      <c r="H2780"/>
      <c r="L2780"/>
      <c r="O2780"/>
    </row>
    <row r="2781" spans="3:15" x14ac:dyDescent="0.25">
      <c r="C2781"/>
      <c r="F2781"/>
      <c r="G2781"/>
      <c r="H2781"/>
      <c r="L2781"/>
      <c r="O2781"/>
    </row>
    <row r="2782" spans="3:15" x14ac:dyDescent="0.25">
      <c r="C2782"/>
      <c r="F2782"/>
      <c r="G2782"/>
      <c r="H2782"/>
      <c r="L2782"/>
      <c r="O2782"/>
    </row>
    <row r="2783" spans="3:15" x14ac:dyDescent="0.25">
      <c r="C2783"/>
      <c r="F2783"/>
      <c r="G2783"/>
      <c r="H2783"/>
      <c r="L2783"/>
      <c r="O2783"/>
    </row>
    <row r="2784" spans="3:15" x14ac:dyDescent="0.25">
      <c r="C2784"/>
      <c r="F2784"/>
      <c r="G2784"/>
      <c r="H2784"/>
      <c r="L2784"/>
      <c r="O2784"/>
    </row>
    <row r="2785" spans="3:15" x14ac:dyDescent="0.25">
      <c r="C2785"/>
      <c r="F2785"/>
      <c r="G2785"/>
      <c r="H2785"/>
      <c r="L2785"/>
      <c r="O2785"/>
    </row>
    <row r="2786" spans="3:15" x14ac:dyDescent="0.25">
      <c r="C2786"/>
      <c r="F2786"/>
      <c r="G2786"/>
      <c r="H2786"/>
      <c r="L2786"/>
      <c r="O2786"/>
    </row>
    <row r="2787" spans="3:15" x14ac:dyDescent="0.25">
      <c r="C2787"/>
      <c r="F2787"/>
      <c r="G2787"/>
      <c r="H2787"/>
      <c r="L2787"/>
      <c r="O2787"/>
    </row>
    <row r="2788" spans="3:15" x14ac:dyDescent="0.25">
      <c r="C2788"/>
      <c r="F2788"/>
      <c r="G2788"/>
      <c r="H2788"/>
      <c r="L2788"/>
      <c r="O2788"/>
    </row>
    <row r="2789" spans="3:15" x14ac:dyDescent="0.25">
      <c r="C2789"/>
      <c r="F2789"/>
      <c r="G2789"/>
      <c r="H2789"/>
      <c r="L2789"/>
      <c r="O2789"/>
    </row>
    <row r="2790" spans="3:15" x14ac:dyDescent="0.25">
      <c r="C2790"/>
      <c r="F2790"/>
      <c r="G2790"/>
      <c r="H2790"/>
      <c r="L2790"/>
      <c r="O2790"/>
    </row>
    <row r="2791" spans="3:15" x14ac:dyDescent="0.25">
      <c r="C2791"/>
      <c r="F2791"/>
      <c r="G2791"/>
      <c r="H2791"/>
      <c r="L2791"/>
      <c r="O2791"/>
    </row>
    <row r="2792" spans="3:15" x14ac:dyDescent="0.25">
      <c r="C2792"/>
      <c r="F2792"/>
      <c r="G2792"/>
      <c r="H2792"/>
      <c r="L2792"/>
      <c r="O2792"/>
    </row>
    <row r="2793" spans="3:15" x14ac:dyDescent="0.25">
      <c r="C2793"/>
      <c r="F2793"/>
      <c r="G2793"/>
      <c r="H2793"/>
      <c r="L2793"/>
      <c r="O2793"/>
    </row>
    <row r="2794" spans="3:15" x14ac:dyDescent="0.25">
      <c r="C2794"/>
      <c r="F2794"/>
      <c r="G2794"/>
      <c r="H2794"/>
      <c r="L2794"/>
      <c r="O2794"/>
    </row>
    <row r="2795" spans="3:15" x14ac:dyDescent="0.25">
      <c r="C2795"/>
      <c r="F2795"/>
      <c r="G2795"/>
      <c r="H2795"/>
      <c r="L2795"/>
      <c r="O2795"/>
    </row>
    <row r="2796" spans="3:15" x14ac:dyDescent="0.25">
      <c r="C2796"/>
      <c r="F2796"/>
      <c r="G2796"/>
      <c r="H2796"/>
      <c r="L2796"/>
      <c r="O2796"/>
    </row>
    <row r="2797" spans="3:15" x14ac:dyDescent="0.25">
      <c r="C2797"/>
      <c r="F2797"/>
      <c r="G2797"/>
      <c r="H2797"/>
      <c r="L2797"/>
      <c r="O2797"/>
    </row>
    <row r="2798" spans="3:15" x14ac:dyDescent="0.25">
      <c r="C2798"/>
      <c r="F2798"/>
      <c r="G2798"/>
      <c r="H2798"/>
      <c r="L2798"/>
      <c r="O2798"/>
    </row>
    <row r="2799" spans="3:15" x14ac:dyDescent="0.25">
      <c r="C2799"/>
      <c r="F2799"/>
      <c r="G2799"/>
      <c r="H2799"/>
      <c r="L2799"/>
      <c r="O2799"/>
    </row>
    <row r="2800" spans="3:15" x14ac:dyDescent="0.25">
      <c r="C2800"/>
      <c r="F2800"/>
      <c r="G2800"/>
      <c r="H2800"/>
      <c r="L2800"/>
      <c r="O2800"/>
    </row>
    <row r="2801" spans="3:15" x14ac:dyDescent="0.25">
      <c r="C2801"/>
      <c r="F2801"/>
      <c r="G2801"/>
      <c r="H2801"/>
      <c r="L2801"/>
      <c r="O2801"/>
    </row>
    <row r="2802" spans="3:15" x14ac:dyDescent="0.25">
      <c r="C2802"/>
      <c r="F2802"/>
      <c r="G2802"/>
      <c r="H2802"/>
      <c r="L2802"/>
      <c r="O2802"/>
    </row>
    <row r="2803" spans="3:15" x14ac:dyDescent="0.25">
      <c r="C2803"/>
      <c r="F2803"/>
      <c r="G2803"/>
      <c r="H2803"/>
      <c r="L2803"/>
      <c r="O2803"/>
    </row>
    <row r="2804" spans="3:15" x14ac:dyDescent="0.25">
      <c r="C2804"/>
      <c r="F2804"/>
      <c r="G2804"/>
      <c r="H2804"/>
      <c r="L2804"/>
      <c r="O2804"/>
    </row>
    <row r="2805" spans="3:15" x14ac:dyDescent="0.25">
      <c r="C2805"/>
      <c r="F2805"/>
      <c r="G2805"/>
      <c r="H2805"/>
      <c r="L2805"/>
      <c r="O2805"/>
    </row>
    <row r="2806" spans="3:15" x14ac:dyDescent="0.25">
      <c r="C2806"/>
      <c r="F2806"/>
      <c r="G2806"/>
      <c r="H2806"/>
      <c r="L2806"/>
      <c r="O2806"/>
    </row>
    <row r="2807" spans="3:15" x14ac:dyDescent="0.25">
      <c r="C2807"/>
      <c r="F2807"/>
      <c r="G2807"/>
      <c r="H2807"/>
      <c r="L2807"/>
      <c r="O2807"/>
    </row>
    <row r="2808" spans="3:15" x14ac:dyDescent="0.25">
      <c r="C2808"/>
      <c r="F2808"/>
      <c r="G2808"/>
      <c r="H2808"/>
      <c r="L2808"/>
      <c r="O2808"/>
    </row>
    <row r="2809" spans="3:15" x14ac:dyDescent="0.25">
      <c r="C2809"/>
      <c r="F2809"/>
      <c r="G2809"/>
      <c r="H2809"/>
      <c r="L2809"/>
      <c r="O2809"/>
    </row>
    <row r="2810" spans="3:15" x14ac:dyDescent="0.25">
      <c r="C2810"/>
      <c r="F2810"/>
      <c r="G2810"/>
      <c r="H2810"/>
      <c r="L2810"/>
      <c r="O2810"/>
    </row>
    <row r="2811" spans="3:15" x14ac:dyDescent="0.25">
      <c r="C2811"/>
      <c r="F2811"/>
      <c r="G2811"/>
      <c r="H2811"/>
      <c r="L2811"/>
      <c r="O2811"/>
    </row>
    <row r="2812" spans="3:15" x14ac:dyDescent="0.25">
      <c r="C2812"/>
      <c r="F2812"/>
      <c r="G2812"/>
      <c r="H2812"/>
      <c r="L2812"/>
      <c r="O2812"/>
    </row>
    <row r="2813" spans="3:15" x14ac:dyDescent="0.25">
      <c r="C2813"/>
      <c r="F2813"/>
      <c r="G2813"/>
      <c r="H2813"/>
      <c r="L2813"/>
      <c r="O2813"/>
    </row>
    <row r="2814" spans="3:15" x14ac:dyDescent="0.25">
      <c r="C2814"/>
      <c r="F2814"/>
      <c r="G2814"/>
      <c r="H2814"/>
      <c r="L2814"/>
      <c r="O2814"/>
    </row>
    <row r="2815" spans="3:15" x14ac:dyDescent="0.25">
      <c r="C2815"/>
      <c r="F2815"/>
      <c r="G2815"/>
      <c r="H2815"/>
      <c r="L2815"/>
      <c r="O2815"/>
    </row>
    <row r="2816" spans="3:15" x14ac:dyDescent="0.25">
      <c r="C2816"/>
      <c r="F2816"/>
      <c r="G2816"/>
      <c r="H2816"/>
      <c r="L2816"/>
      <c r="O2816"/>
    </row>
    <row r="2817" spans="3:15" x14ac:dyDescent="0.25">
      <c r="C2817"/>
      <c r="F2817"/>
      <c r="G2817"/>
      <c r="H2817"/>
      <c r="L2817"/>
      <c r="O2817"/>
    </row>
    <row r="2818" spans="3:15" x14ac:dyDescent="0.25">
      <c r="C2818"/>
      <c r="F2818"/>
      <c r="G2818"/>
      <c r="H2818"/>
      <c r="L2818"/>
      <c r="O2818"/>
    </row>
    <row r="2819" spans="3:15" x14ac:dyDescent="0.25">
      <c r="C2819"/>
      <c r="F2819"/>
      <c r="G2819"/>
      <c r="H2819"/>
      <c r="L2819"/>
      <c r="O2819"/>
    </row>
    <row r="2820" spans="3:15" x14ac:dyDescent="0.25">
      <c r="C2820"/>
      <c r="F2820"/>
      <c r="G2820"/>
      <c r="H2820"/>
      <c r="L2820"/>
      <c r="O2820"/>
    </row>
    <row r="2821" spans="3:15" x14ac:dyDescent="0.25">
      <c r="C2821"/>
      <c r="F2821"/>
      <c r="G2821"/>
      <c r="H2821"/>
      <c r="L2821"/>
      <c r="O2821"/>
    </row>
    <row r="2822" spans="3:15" x14ac:dyDescent="0.25">
      <c r="C2822"/>
      <c r="F2822"/>
      <c r="G2822"/>
      <c r="H2822"/>
      <c r="L2822"/>
      <c r="O2822"/>
    </row>
    <row r="2823" spans="3:15" x14ac:dyDescent="0.25">
      <c r="C2823"/>
      <c r="F2823"/>
      <c r="G2823"/>
      <c r="H2823"/>
      <c r="L2823"/>
      <c r="O2823"/>
    </row>
    <row r="2824" spans="3:15" x14ac:dyDescent="0.25">
      <c r="C2824"/>
      <c r="F2824"/>
      <c r="G2824"/>
      <c r="H2824"/>
      <c r="L2824"/>
      <c r="O2824"/>
    </row>
    <row r="2825" spans="3:15" x14ac:dyDescent="0.25">
      <c r="C2825"/>
      <c r="F2825"/>
      <c r="G2825"/>
      <c r="H2825"/>
      <c r="L2825"/>
      <c r="O2825"/>
    </row>
    <row r="2826" spans="3:15" x14ac:dyDescent="0.25">
      <c r="C2826"/>
      <c r="F2826"/>
      <c r="G2826"/>
      <c r="H2826"/>
      <c r="L2826"/>
      <c r="O2826"/>
    </row>
    <row r="2827" spans="3:15" x14ac:dyDescent="0.25">
      <c r="C2827"/>
      <c r="F2827"/>
      <c r="G2827"/>
      <c r="H2827"/>
      <c r="L2827"/>
      <c r="O2827"/>
    </row>
    <row r="2828" spans="3:15" x14ac:dyDescent="0.25">
      <c r="C2828"/>
      <c r="F2828"/>
      <c r="G2828"/>
      <c r="H2828"/>
      <c r="L2828"/>
      <c r="O2828"/>
    </row>
    <row r="2829" spans="3:15" x14ac:dyDescent="0.25">
      <c r="C2829"/>
      <c r="F2829"/>
      <c r="G2829"/>
      <c r="H2829"/>
      <c r="L2829"/>
      <c r="O2829"/>
    </row>
    <row r="2830" spans="3:15" x14ac:dyDescent="0.25">
      <c r="C2830"/>
      <c r="F2830"/>
      <c r="G2830"/>
      <c r="H2830"/>
      <c r="L2830"/>
      <c r="O2830"/>
    </row>
    <row r="2831" spans="3:15" x14ac:dyDescent="0.25">
      <c r="C2831"/>
      <c r="F2831"/>
      <c r="G2831"/>
      <c r="H2831"/>
      <c r="L2831"/>
      <c r="O2831"/>
    </row>
    <row r="2832" spans="3:15" x14ac:dyDescent="0.25">
      <c r="C2832"/>
      <c r="F2832"/>
      <c r="G2832"/>
      <c r="H2832"/>
      <c r="L2832"/>
      <c r="O2832"/>
    </row>
    <row r="2833" spans="3:15" x14ac:dyDescent="0.25">
      <c r="C2833"/>
      <c r="F2833"/>
      <c r="G2833"/>
      <c r="H2833"/>
      <c r="L2833"/>
      <c r="O2833"/>
    </row>
    <row r="2834" spans="3:15" x14ac:dyDescent="0.25">
      <c r="C2834"/>
      <c r="F2834"/>
      <c r="G2834"/>
      <c r="H2834"/>
      <c r="L2834"/>
      <c r="O2834"/>
    </row>
    <row r="2835" spans="3:15" x14ac:dyDescent="0.25">
      <c r="C2835"/>
      <c r="F2835"/>
      <c r="G2835"/>
      <c r="H2835"/>
      <c r="L2835"/>
      <c r="O2835"/>
    </row>
    <row r="2836" spans="3:15" x14ac:dyDescent="0.25">
      <c r="C2836"/>
      <c r="F2836"/>
      <c r="G2836"/>
      <c r="H2836"/>
      <c r="L2836"/>
      <c r="O2836"/>
    </row>
    <row r="2837" spans="3:15" x14ac:dyDescent="0.25">
      <c r="C2837"/>
      <c r="F2837"/>
      <c r="G2837"/>
      <c r="H2837"/>
      <c r="L2837"/>
      <c r="O2837"/>
    </row>
    <row r="2838" spans="3:15" x14ac:dyDescent="0.25">
      <c r="C2838"/>
      <c r="F2838"/>
      <c r="G2838"/>
      <c r="H2838"/>
      <c r="L2838"/>
      <c r="O2838"/>
    </row>
    <row r="2839" spans="3:15" x14ac:dyDescent="0.25">
      <c r="C2839"/>
      <c r="F2839"/>
      <c r="G2839"/>
      <c r="H2839"/>
      <c r="L2839"/>
      <c r="O2839"/>
    </row>
    <row r="2840" spans="3:15" x14ac:dyDescent="0.25">
      <c r="C2840"/>
      <c r="F2840"/>
      <c r="G2840"/>
      <c r="H2840"/>
      <c r="L2840"/>
      <c r="O2840"/>
    </row>
    <row r="2841" spans="3:15" x14ac:dyDescent="0.25">
      <c r="C2841"/>
      <c r="F2841"/>
      <c r="G2841"/>
      <c r="H2841"/>
      <c r="L2841"/>
      <c r="O2841"/>
    </row>
    <row r="2842" spans="3:15" x14ac:dyDescent="0.25">
      <c r="C2842"/>
      <c r="F2842"/>
      <c r="G2842"/>
      <c r="H2842"/>
      <c r="L2842"/>
      <c r="O2842"/>
    </row>
    <row r="2843" spans="3:15" x14ac:dyDescent="0.25">
      <c r="C2843"/>
      <c r="F2843"/>
      <c r="G2843"/>
      <c r="H2843"/>
      <c r="L2843"/>
      <c r="O2843"/>
    </row>
    <row r="2844" spans="3:15" x14ac:dyDescent="0.25">
      <c r="C2844"/>
      <c r="F2844"/>
      <c r="G2844"/>
      <c r="H2844"/>
      <c r="L2844"/>
      <c r="O2844"/>
    </row>
    <row r="2845" spans="3:15" x14ac:dyDescent="0.25">
      <c r="C2845"/>
      <c r="F2845"/>
      <c r="G2845"/>
      <c r="H2845"/>
      <c r="L2845"/>
      <c r="O2845"/>
    </row>
    <row r="2846" spans="3:15" x14ac:dyDescent="0.25">
      <c r="C2846"/>
      <c r="F2846"/>
      <c r="G2846"/>
      <c r="H2846"/>
      <c r="L2846"/>
      <c r="O2846"/>
    </row>
    <row r="2847" spans="3:15" x14ac:dyDescent="0.25">
      <c r="C2847"/>
      <c r="F2847"/>
      <c r="G2847"/>
      <c r="H2847"/>
      <c r="L2847"/>
      <c r="O2847"/>
    </row>
    <row r="2848" spans="3:15" x14ac:dyDescent="0.25">
      <c r="C2848"/>
      <c r="F2848"/>
      <c r="G2848"/>
      <c r="H2848"/>
      <c r="L2848"/>
      <c r="O2848"/>
    </row>
    <row r="2849" spans="3:15" x14ac:dyDescent="0.25">
      <c r="C2849"/>
      <c r="F2849"/>
      <c r="G2849"/>
      <c r="H2849"/>
      <c r="L2849"/>
      <c r="O2849"/>
    </row>
    <row r="2850" spans="3:15" x14ac:dyDescent="0.25">
      <c r="C2850"/>
      <c r="F2850"/>
      <c r="G2850"/>
      <c r="H2850"/>
      <c r="L2850"/>
      <c r="O2850"/>
    </row>
    <row r="2851" spans="3:15" x14ac:dyDescent="0.25">
      <c r="C2851"/>
      <c r="F2851"/>
      <c r="G2851"/>
      <c r="H2851"/>
      <c r="L2851"/>
      <c r="O2851"/>
    </row>
    <row r="2852" spans="3:15" x14ac:dyDescent="0.25">
      <c r="C2852"/>
      <c r="F2852"/>
      <c r="G2852"/>
      <c r="H2852"/>
      <c r="L2852"/>
      <c r="O2852"/>
    </row>
    <row r="2853" spans="3:15" x14ac:dyDescent="0.25">
      <c r="C2853"/>
      <c r="F2853"/>
      <c r="G2853"/>
      <c r="H2853"/>
      <c r="L2853"/>
      <c r="O2853"/>
    </row>
    <row r="2854" spans="3:15" x14ac:dyDescent="0.25">
      <c r="C2854"/>
      <c r="F2854"/>
      <c r="G2854"/>
      <c r="H2854"/>
      <c r="L2854"/>
      <c r="O2854"/>
    </row>
    <row r="2855" spans="3:15" x14ac:dyDescent="0.25">
      <c r="C2855"/>
      <c r="F2855"/>
      <c r="G2855"/>
      <c r="H2855"/>
      <c r="L2855"/>
      <c r="O2855"/>
    </row>
    <row r="2856" spans="3:15" x14ac:dyDescent="0.25">
      <c r="C2856"/>
      <c r="F2856"/>
      <c r="G2856"/>
      <c r="H2856"/>
      <c r="L2856"/>
      <c r="O2856"/>
    </row>
    <row r="2857" spans="3:15" x14ac:dyDescent="0.25">
      <c r="C2857"/>
      <c r="F2857"/>
      <c r="G2857"/>
      <c r="H2857"/>
      <c r="L2857"/>
      <c r="O2857"/>
    </row>
    <row r="2858" spans="3:15" x14ac:dyDescent="0.25">
      <c r="C2858"/>
      <c r="F2858"/>
      <c r="G2858"/>
      <c r="H2858"/>
      <c r="L2858"/>
      <c r="O2858"/>
    </row>
    <row r="2859" spans="3:15" x14ac:dyDescent="0.25">
      <c r="C2859"/>
      <c r="F2859"/>
      <c r="G2859"/>
      <c r="H2859"/>
      <c r="L2859"/>
      <c r="O2859"/>
    </row>
    <row r="2860" spans="3:15" x14ac:dyDescent="0.25">
      <c r="C2860"/>
      <c r="F2860"/>
      <c r="G2860"/>
      <c r="H2860"/>
      <c r="L2860"/>
      <c r="O2860"/>
    </row>
    <row r="2861" spans="3:15" x14ac:dyDescent="0.25">
      <c r="C2861"/>
      <c r="F2861"/>
      <c r="G2861"/>
      <c r="H2861"/>
      <c r="L2861"/>
      <c r="O2861"/>
    </row>
    <row r="2862" spans="3:15" x14ac:dyDescent="0.25">
      <c r="C2862"/>
      <c r="F2862"/>
      <c r="G2862"/>
      <c r="H2862"/>
      <c r="L2862"/>
      <c r="O2862"/>
    </row>
    <row r="2863" spans="3:15" x14ac:dyDescent="0.25">
      <c r="C2863"/>
      <c r="F2863"/>
      <c r="G2863"/>
      <c r="H2863"/>
      <c r="L2863"/>
      <c r="O2863"/>
    </row>
    <row r="2864" spans="3:15" x14ac:dyDescent="0.25">
      <c r="C2864"/>
      <c r="F2864"/>
      <c r="G2864"/>
      <c r="H2864"/>
      <c r="L2864"/>
      <c r="O2864"/>
    </row>
    <row r="2865" spans="3:15" x14ac:dyDescent="0.25">
      <c r="C2865"/>
      <c r="F2865"/>
      <c r="G2865"/>
      <c r="H2865"/>
      <c r="L2865"/>
      <c r="O2865"/>
    </row>
    <row r="2866" spans="3:15" x14ac:dyDescent="0.25">
      <c r="C2866"/>
      <c r="F2866"/>
      <c r="G2866"/>
      <c r="H2866"/>
      <c r="L2866"/>
      <c r="O2866"/>
    </row>
    <row r="2867" spans="3:15" x14ac:dyDescent="0.25">
      <c r="C2867"/>
      <c r="F2867"/>
      <c r="G2867"/>
      <c r="H2867"/>
      <c r="L2867"/>
      <c r="O2867"/>
    </row>
    <row r="2868" spans="3:15" x14ac:dyDescent="0.25">
      <c r="C2868"/>
      <c r="F2868"/>
      <c r="G2868"/>
      <c r="H2868"/>
      <c r="L2868"/>
      <c r="O2868"/>
    </row>
    <row r="2869" spans="3:15" x14ac:dyDescent="0.25">
      <c r="C2869"/>
      <c r="F2869"/>
      <c r="G2869"/>
      <c r="H2869"/>
      <c r="L2869"/>
      <c r="O2869"/>
    </row>
    <row r="2870" spans="3:15" x14ac:dyDescent="0.25">
      <c r="C2870"/>
      <c r="F2870"/>
      <c r="G2870"/>
      <c r="H2870"/>
      <c r="L2870"/>
      <c r="O2870"/>
    </row>
    <row r="2871" spans="3:15" x14ac:dyDescent="0.25">
      <c r="C2871"/>
      <c r="F2871"/>
      <c r="G2871"/>
      <c r="H2871"/>
      <c r="L2871"/>
      <c r="O2871"/>
    </row>
    <row r="2872" spans="3:15" x14ac:dyDescent="0.25">
      <c r="C2872"/>
      <c r="F2872"/>
      <c r="G2872"/>
      <c r="H2872"/>
      <c r="L2872"/>
      <c r="O2872"/>
    </row>
    <row r="2873" spans="3:15" x14ac:dyDescent="0.25">
      <c r="C2873"/>
      <c r="F2873"/>
      <c r="G2873"/>
      <c r="H2873"/>
      <c r="L2873"/>
      <c r="O2873"/>
    </row>
    <row r="2874" spans="3:15" x14ac:dyDescent="0.25">
      <c r="C2874"/>
      <c r="F2874"/>
      <c r="G2874"/>
      <c r="H2874"/>
      <c r="L2874"/>
      <c r="O2874"/>
    </row>
    <row r="2875" spans="3:15" x14ac:dyDescent="0.25">
      <c r="C2875"/>
      <c r="F2875"/>
      <c r="G2875"/>
      <c r="H2875"/>
      <c r="L2875"/>
      <c r="O2875"/>
    </row>
    <row r="2876" spans="3:15" x14ac:dyDescent="0.25">
      <c r="C2876"/>
      <c r="F2876"/>
      <c r="G2876"/>
      <c r="H2876"/>
      <c r="L2876"/>
      <c r="O2876"/>
    </row>
    <row r="2877" spans="3:15" x14ac:dyDescent="0.25">
      <c r="C2877"/>
      <c r="F2877"/>
      <c r="G2877"/>
      <c r="H2877"/>
      <c r="L2877"/>
      <c r="O2877"/>
    </row>
    <row r="2878" spans="3:15" x14ac:dyDescent="0.25">
      <c r="C2878"/>
      <c r="F2878"/>
      <c r="G2878"/>
      <c r="H2878"/>
      <c r="L2878"/>
      <c r="O2878"/>
    </row>
    <row r="2879" spans="3:15" x14ac:dyDescent="0.25">
      <c r="C2879"/>
      <c r="F2879"/>
      <c r="G2879"/>
      <c r="H2879"/>
      <c r="L2879"/>
      <c r="O2879"/>
    </row>
    <row r="2880" spans="3:15" x14ac:dyDescent="0.25">
      <c r="C2880"/>
      <c r="F2880"/>
      <c r="G2880"/>
      <c r="H2880"/>
      <c r="L2880"/>
      <c r="O2880"/>
    </row>
    <row r="2881" spans="3:15" x14ac:dyDescent="0.25">
      <c r="C2881"/>
      <c r="F2881"/>
      <c r="G2881"/>
      <c r="H2881"/>
      <c r="L2881"/>
      <c r="O2881"/>
    </row>
    <row r="2882" spans="3:15" x14ac:dyDescent="0.25">
      <c r="C2882"/>
      <c r="F2882"/>
      <c r="G2882"/>
      <c r="H2882"/>
      <c r="L2882"/>
      <c r="O2882"/>
    </row>
    <row r="2883" spans="3:15" x14ac:dyDescent="0.25">
      <c r="C2883"/>
      <c r="F2883"/>
      <c r="G2883"/>
      <c r="H2883"/>
      <c r="L2883"/>
      <c r="O2883"/>
    </row>
    <row r="2884" spans="3:15" x14ac:dyDescent="0.25">
      <c r="C2884"/>
      <c r="F2884"/>
      <c r="G2884"/>
      <c r="H2884"/>
      <c r="L2884"/>
      <c r="O2884"/>
    </row>
    <row r="2885" spans="3:15" x14ac:dyDescent="0.25">
      <c r="C2885"/>
      <c r="F2885"/>
      <c r="G2885"/>
      <c r="H2885"/>
      <c r="L2885"/>
      <c r="O2885"/>
    </row>
    <row r="2886" spans="3:15" x14ac:dyDescent="0.25">
      <c r="C2886"/>
      <c r="F2886"/>
      <c r="G2886"/>
      <c r="H2886"/>
      <c r="L2886"/>
      <c r="O2886"/>
    </row>
    <row r="2887" spans="3:15" x14ac:dyDescent="0.25">
      <c r="C2887"/>
      <c r="F2887"/>
      <c r="G2887"/>
      <c r="H2887"/>
      <c r="L2887"/>
      <c r="O2887"/>
    </row>
    <row r="2888" spans="3:15" x14ac:dyDescent="0.25">
      <c r="C2888"/>
      <c r="F2888"/>
      <c r="G2888"/>
      <c r="H2888"/>
      <c r="L2888"/>
      <c r="O2888"/>
    </row>
    <row r="2889" spans="3:15" x14ac:dyDescent="0.25">
      <c r="C2889"/>
      <c r="F2889"/>
      <c r="G2889"/>
      <c r="H2889"/>
      <c r="L2889"/>
      <c r="O2889"/>
    </row>
    <row r="2890" spans="3:15" x14ac:dyDescent="0.25">
      <c r="C2890"/>
      <c r="F2890"/>
      <c r="G2890"/>
      <c r="H2890"/>
      <c r="L2890"/>
      <c r="O2890"/>
    </row>
    <row r="2891" spans="3:15" x14ac:dyDescent="0.25">
      <c r="C2891"/>
      <c r="F2891"/>
      <c r="G2891"/>
      <c r="H2891"/>
      <c r="L2891"/>
      <c r="O2891"/>
    </row>
    <row r="2892" spans="3:15" x14ac:dyDescent="0.25">
      <c r="C2892"/>
      <c r="F2892"/>
      <c r="G2892"/>
      <c r="H2892"/>
      <c r="L2892"/>
      <c r="O2892"/>
    </row>
    <row r="2893" spans="3:15" x14ac:dyDescent="0.25">
      <c r="C2893"/>
      <c r="F2893"/>
      <c r="G2893"/>
      <c r="H2893"/>
      <c r="L2893"/>
      <c r="O2893"/>
    </row>
    <row r="2894" spans="3:15" x14ac:dyDescent="0.25">
      <c r="C2894"/>
      <c r="F2894"/>
      <c r="G2894"/>
      <c r="H2894"/>
      <c r="L2894"/>
      <c r="O2894"/>
    </row>
    <row r="2895" spans="3:15" x14ac:dyDescent="0.25">
      <c r="C2895"/>
      <c r="F2895"/>
      <c r="G2895"/>
      <c r="H2895"/>
      <c r="L2895"/>
      <c r="O2895"/>
    </row>
    <row r="2896" spans="3:15" x14ac:dyDescent="0.25">
      <c r="C2896"/>
      <c r="F2896"/>
      <c r="G2896"/>
      <c r="H2896"/>
      <c r="L2896"/>
      <c r="O2896"/>
    </row>
    <row r="2897" spans="3:15" x14ac:dyDescent="0.25">
      <c r="C2897"/>
      <c r="F2897"/>
      <c r="G2897"/>
      <c r="H2897"/>
      <c r="L2897"/>
      <c r="O2897"/>
    </row>
    <row r="2898" spans="3:15" x14ac:dyDescent="0.25">
      <c r="C2898"/>
      <c r="F2898"/>
      <c r="G2898"/>
      <c r="H2898"/>
      <c r="L2898"/>
      <c r="O2898"/>
    </row>
    <row r="2899" spans="3:15" x14ac:dyDescent="0.25">
      <c r="C2899"/>
      <c r="F2899"/>
      <c r="G2899"/>
      <c r="H2899"/>
      <c r="L2899"/>
      <c r="O2899"/>
    </row>
    <row r="2900" spans="3:15" x14ac:dyDescent="0.25">
      <c r="C2900"/>
      <c r="F2900"/>
      <c r="G2900"/>
      <c r="H2900"/>
      <c r="L2900"/>
      <c r="O2900"/>
    </row>
    <row r="2901" spans="3:15" x14ac:dyDescent="0.25">
      <c r="C2901"/>
      <c r="F2901"/>
      <c r="G2901"/>
      <c r="H2901"/>
      <c r="L2901"/>
      <c r="O2901"/>
    </row>
    <row r="2902" spans="3:15" x14ac:dyDescent="0.25">
      <c r="C2902"/>
      <c r="F2902"/>
      <c r="G2902"/>
      <c r="H2902"/>
      <c r="L2902"/>
      <c r="O2902"/>
    </row>
    <row r="2903" spans="3:15" x14ac:dyDescent="0.25">
      <c r="C2903"/>
      <c r="F2903"/>
      <c r="G2903"/>
      <c r="H2903"/>
      <c r="L2903"/>
      <c r="O2903"/>
    </row>
    <row r="2904" spans="3:15" x14ac:dyDescent="0.25">
      <c r="C2904"/>
      <c r="F2904"/>
      <c r="G2904"/>
      <c r="H2904"/>
      <c r="L2904"/>
      <c r="O2904"/>
    </row>
    <row r="2905" spans="3:15" x14ac:dyDescent="0.25">
      <c r="C2905"/>
      <c r="F2905"/>
      <c r="G2905"/>
      <c r="H2905"/>
      <c r="L2905"/>
      <c r="O2905"/>
    </row>
    <row r="2906" spans="3:15" x14ac:dyDescent="0.25">
      <c r="C2906"/>
      <c r="F2906"/>
      <c r="G2906"/>
      <c r="H2906"/>
      <c r="L2906"/>
      <c r="O2906"/>
    </row>
    <row r="2907" spans="3:15" x14ac:dyDescent="0.25">
      <c r="C2907"/>
      <c r="F2907"/>
      <c r="G2907"/>
      <c r="H2907"/>
      <c r="L2907"/>
      <c r="O2907"/>
    </row>
    <row r="2908" spans="3:15" x14ac:dyDescent="0.25">
      <c r="C2908"/>
      <c r="F2908"/>
      <c r="G2908"/>
      <c r="H2908"/>
      <c r="L2908"/>
      <c r="O2908"/>
    </row>
    <row r="2909" spans="3:15" x14ac:dyDescent="0.25">
      <c r="C2909"/>
      <c r="F2909"/>
      <c r="G2909"/>
      <c r="H2909"/>
      <c r="L2909"/>
      <c r="O2909"/>
    </row>
    <row r="2910" spans="3:15" x14ac:dyDescent="0.25">
      <c r="C2910"/>
      <c r="F2910"/>
      <c r="G2910"/>
      <c r="H2910"/>
      <c r="L2910"/>
      <c r="O2910"/>
    </row>
    <row r="2911" spans="3:15" x14ac:dyDescent="0.25">
      <c r="C2911"/>
      <c r="F2911"/>
      <c r="G2911"/>
      <c r="H2911"/>
      <c r="L2911"/>
      <c r="O2911"/>
    </row>
    <row r="2912" spans="3:15" x14ac:dyDescent="0.25">
      <c r="C2912"/>
      <c r="F2912"/>
      <c r="G2912"/>
      <c r="H2912"/>
      <c r="L2912"/>
      <c r="O2912"/>
    </row>
    <row r="2913" spans="3:15" x14ac:dyDescent="0.25">
      <c r="C2913"/>
      <c r="F2913"/>
      <c r="G2913"/>
      <c r="H2913"/>
      <c r="L2913"/>
      <c r="O2913"/>
    </row>
    <row r="2914" spans="3:15" x14ac:dyDescent="0.25">
      <c r="C2914"/>
      <c r="F2914"/>
      <c r="G2914"/>
      <c r="H2914"/>
      <c r="L2914"/>
      <c r="O2914"/>
    </row>
    <row r="2915" spans="3:15" x14ac:dyDescent="0.25">
      <c r="C2915"/>
      <c r="F2915"/>
      <c r="G2915"/>
      <c r="H2915"/>
      <c r="L2915"/>
      <c r="O2915"/>
    </row>
    <row r="2916" spans="3:15" x14ac:dyDescent="0.25">
      <c r="C2916"/>
      <c r="F2916"/>
      <c r="G2916"/>
      <c r="H2916"/>
      <c r="L2916"/>
      <c r="O2916"/>
    </row>
    <row r="2917" spans="3:15" x14ac:dyDescent="0.25">
      <c r="C2917"/>
      <c r="F2917"/>
      <c r="G2917"/>
      <c r="H2917"/>
      <c r="L2917"/>
      <c r="O2917"/>
    </row>
    <row r="2918" spans="3:15" x14ac:dyDescent="0.25">
      <c r="C2918"/>
      <c r="F2918"/>
      <c r="G2918"/>
      <c r="H2918"/>
      <c r="L2918"/>
      <c r="O2918"/>
    </row>
    <row r="2919" spans="3:15" x14ac:dyDescent="0.25">
      <c r="C2919"/>
      <c r="F2919"/>
      <c r="G2919"/>
      <c r="H2919"/>
      <c r="L2919"/>
      <c r="O2919"/>
    </row>
    <row r="2920" spans="3:15" x14ac:dyDescent="0.25">
      <c r="C2920"/>
      <c r="F2920"/>
      <c r="G2920"/>
      <c r="H2920"/>
      <c r="L2920"/>
      <c r="O2920"/>
    </row>
    <row r="2921" spans="3:15" x14ac:dyDescent="0.25">
      <c r="C2921"/>
      <c r="F2921"/>
      <c r="G2921"/>
      <c r="H2921"/>
      <c r="L2921"/>
      <c r="O2921"/>
    </row>
    <row r="2922" spans="3:15" x14ac:dyDescent="0.25">
      <c r="C2922"/>
      <c r="F2922"/>
      <c r="G2922"/>
      <c r="H2922"/>
      <c r="L2922"/>
      <c r="O2922"/>
    </row>
    <row r="2923" spans="3:15" x14ac:dyDescent="0.25">
      <c r="C2923"/>
      <c r="F2923"/>
      <c r="G2923"/>
      <c r="H2923"/>
      <c r="L2923"/>
      <c r="O2923"/>
    </row>
    <row r="2924" spans="3:15" x14ac:dyDescent="0.25">
      <c r="C2924"/>
      <c r="F2924"/>
      <c r="G2924"/>
      <c r="H2924"/>
      <c r="L2924"/>
      <c r="O2924"/>
    </row>
    <row r="2925" spans="3:15" x14ac:dyDescent="0.25">
      <c r="C2925"/>
      <c r="F2925"/>
      <c r="G2925"/>
      <c r="H2925"/>
      <c r="L2925"/>
      <c r="O2925"/>
    </row>
    <row r="2926" spans="3:15" x14ac:dyDescent="0.25">
      <c r="C2926"/>
      <c r="F2926"/>
      <c r="G2926"/>
      <c r="H2926"/>
      <c r="L2926"/>
      <c r="O2926"/>
    </row>
    <row r="2927" spans="3:15" x14ac:dyDescent="0.25">
      <c r="C2927"/>
      <c r="F2927"/>
      <c r="G2927"/>
      <c r="H2927"/>
      <c r="L2927"/>
      <c r="O2927"/>
    </row>
    <row r="2928" spans="3:15" x14ac:dyDescent="0.25">
      <c r="C2928"/>
      <c r="F2928"/>
      <c r="G2928"/>
      <c r="H2928"/>
      <c r="L2928"/>
      <c r="O2928"/>
    </row>
    <row r="2929" spans="3:15" x14ac:dyDescent="0.25">
      <c r="C2929"/>
      <c r="F2929"/>
      <c r="G2929"/>
      <c r="H2929"/>
      <c r="L2929"/>
      <c r="O2929"/>
    </row>
    <row r="2930" spans="3:15" x14ac:dyDescent="0.25">
      <c r="C2930"/>
      <c r="F2930"/>
      <c r="G2930"/>
      <c r="H2930"/>
      <c r="L2930"/>
      <c r="O2930"/>
    </row>
    <row r="2931" spans="3:15" x14ac:dyDescent="0.25">
      <c r="C2931"/>
      <c r="F2931"/>
      <c r="G2931"/>
      <c r="H2931"/>
      <c r="L2931"/>
      <c r="O2931"/>
    </row>
    <row r="2932" spans="3:15" x14ac:dyDescent="0.25">
      <c r="C2932"/>
      <c r="F2932"/>
      <c r="G2932"/>
      <c r="H2932"/>
      <c r="L2932"/>
      <c r="O2932"/>
    </row>
    <row r="2933" spans="3:15" x14ac:dyDescent="0.25">
      <c r="C2933"/>
      <c r="F2933"/>
      <c r="G2933"/>
      <c r="H2933"/>
      <c r="L2933"/>
      <c r="O2933"/>
    </row>
    <row r="2934" spans="3:15" x14ac:dyDescent="0.25">
      <c r="C2934"/>
      <c r="F2934"/>
      <c r="G2934"/>
      <c r="H2934"/>
      <c r="L2934"/>
      <c r="O2934"/>
    </row>
    <row r="2935" spans="3:15" x14ac:dyDescent="0.25">
      <c r="C2935"/>
      <c r="F2935"/>
      <c r="G2935"/>
      <c r="H2935"/>
      <c r="L2935"/>
      <c r="O2935"/>
    </row>
    <row r="2936" spans="3:15" x14ac:dyDescent="0.25">
      <c r="C2936"/>
      <c r="F2936"/>
      <c r="G2936"/>
      <c r="H2936"/>
      <c r="L2936"/>
      <c r="O2936"/>
    </row>
    <row r="2937" spans="3:15" x14ac:dyDescent="0.25">
      <c r="C2937"/>
      <c r="F2937"/>
      <c r="G2937"/>
      <c r="H2937"/>
      <c r="L2937"/>
      <c r="O2937"/>
    </row>
    <row r="2938" spans="3:15" x14ac:dyDescent="0.25">
      <c r="C2938"/>
      <c r="F2938"/>
      <c r="G2938"/>
      <c r="H2938"/>
      <c r="L2938"/>
      <c r="O2938"/>
    </row>
    <row r="2939" spans="3:15" x14ac:dyDescent="0.25">
      <c r="C2939"/>
      <c r="F2939"/>
      <c r="G2939"/>
      <c r="H2939"/>
      <c r="L2939"/>
      <c r="O2939"/>
    </row>
    <row r="2940" spans="3:15" x14ac:dyDescent="0.25">
      <c r="C2940"/>
      <c r="F2940"/>
      <c r="G2940"/>
      <c r="H2940"/>
      <c r="L2940"/>
      <c r="O2940"/>
    </row>
    <row r="2941" spans="3:15" x14ac:dyDescent="0.25">
      <c r="C2941"/>
      <c r="F2941"/>
      <c r="G2941"/>
      <c r="H2941"/>
      <c r="L2941"/>
      <c r="O2941"/>
    </row>
    <row r="2942" spans="3:15" x14ac:dyDescent="0.25">
      <c r="C2942"/>
      <c r="F2942"/>
      <c r="G2942"/>
      <c r="H2942"/>
      <c r="L2942"/>
      <c r="O2942"/>
    </row>
    <row r="2943" spans="3:15" x14ac:dyDescent="0.25">
      <c r="C2943"/>
      <c r="F2943"/>
      <c r="G2943"/>
      <c r="H2943"/>
      <c r="L2943"/>
      <c r="O2943"/>
    </row>
    <row r="2944" spans="3:15" x14ac:dyDescent="0.25">
      <c r="C2944"/>
      <c r="F2944"/>
      <c r="G2944"/>
      <c r="H2944"/>
      <c r="L2944"/>
      <c r="O2944"/>
    </row>
    <row r="2945" spans="3:15" x14ac:dyDescent="0.25">
      <c r="C2945"/>
      <c r="F2945"/>
      <c r="G2945"/>
      <c r="H2945"/>
      <c r="L2945"/>
      <c r="O2945"/>
    </row>
    <row r="2946" spans="3:15" x14ac:dyDescent="0.25">
      <c r="C2946"/>
      <c r="F2946"/>
      <c r="G2946"/>
      <c r="H2946"/>
      <c r="L2946"/>
      <c r="O2946"/>
    </row>
    <row r="2947" spans="3:15" x14ac:dyDescent="0.25">
      <c r="C2947"/>
      <c r="F2947"/>
      <c r="G2947"/>
      <c r="H2947"/>
      <c r="L2947"/>
      <c r="O2947"/>
    </row>
    <row r="2948" spans="3:15" x14ac:dyDescent="0.25">
      <c r="C2948"/>
      <c r="F2948"/>
      <c r="G2948"/>
      <c r="H2948"/>
      <c r="L2948"/>
      <c r="O2948"/>
    </row>
    <row r="2949" spans="3:15" x14ac:dyDescent="0.25">
      <c r="C2949"/>
      <c r="F2949"/>
      <c r="G2949"/>
      <c r="H2949"/>
      <c r="L2949"/>
      <c r="O2949"/>
    </row>
    <row r="2950" spans="3:15" x14ac:dyDescent="0.25">
      <c r="C2950"/>
      <c r="F2950"/>
      <c r="G2950"/>
      <c r="H2950"/>
      <c r="L2950"/>
      <c r="O2950"/>
    </row>
    <row r="2951" spans="3:15" x14ac:dyDescent="0.25">
      <c r="C2951"/>
      <c r="F2951"/>
      <c r="G2951"/>
      <c r="H2951"/>
      <c r="L2951"/>
      <c r="O2951"/>
    </row>
    <row r="2952" spans="3:15" x14ac:dyDescent="0.25">
      <c r="C2952"/>
      <c r="F2952"/>
      <c r="G2952"/>
      <c r="H2952"/>
      <c r="L2952"/>
      <c r="O2952"/>
    </row>
    <row r="2953" spans="3:15" x14ac:dyDescent="0.25">
      <c r="C2953"/>
      <c r="F2953"/>
      <c r="G2953"/>
      <c r="H2953"/>
      <c r="L2953"/>
      <c r="O2953"/>
    </row>
    <row r="2954" spans="3:15" x14ac:dyDescent="0.25">
      <c r="C2954"/>
      <c r="F2954"/>
      <c r="G2954"/>
      <c r="H2954"/>
      <c r="L2954"/>
      <c r="O2954"/>
    </row>
    <row r="2955" spans="3:15" x14ac:dyDescent="0.25">
      <c r="C2955"/>
      <c r="F2955"/>
      <c r="G2955"/>
      <c r="H2955"/>
      <c r="L2955"/>
      <c r="O2955"/>
    </row>
    <row r="2956" spans="3:15" x14ac:dyDescent="0.25">
      <c r="C2956"/>
      <c r="F2956"/>
      <c r="G2956"/>
      <c r="H2956"/>
      <c r="L2956"/>
      <c r="O2956"/>
    </row>
    <row r="2957" spans="3:15" x14ac:dyDescent="0.25">
      <c r="C2957"/>
      <c r="F2957"/>
      <c r="G2957"/>
      <c r="H2957"/>
      <c r="L2957"/>
      <c r="O2957"/>
    </row>
    <row r="2958" spans="3:15" x14ac:dyDescent="0.25">
      <c r="C2958"/>
      <c r="F2958"/>
      <c r="G2958"/>
      <c r="H2958"/>
      <c r="L2958"/>
      <c r="O2958"/>
    </row>
    <row r="2959" spans="3:15" x14ac:dyDescent="0.25">
      <c r="C2959"/>
      <c r="F2959"/>
      <c r="G2959"/>
      <c r="H2959"/>
      <c r="L2959"/>
      <c r="O2959"/>
    </row>
    <row r="2960" spans="3:15" x14ac:dyDescent="0.25">
      <c r="C2960"/>
      <c r="F2960"/>
      <c r="G2960"/>
      <c r="H2960"/>
      <c r="L2960"/>
      <c r="O2960"/>
    </row>
    <row r="2961" spans="3:15" x14ac:dyDescent="0.25">
      <c r="C2961"/>
      <c r="F2961"/>
      <c r="G2961"/>
      <c r="H2961"/>
      <c r="L2961"/>
      <c r="O2961"/>
    </row>
    <row r="2962" spans="3:15" x14ac:dyDescent="0.25">
      <c r="C2962"/>
      <c r="F2962"/>
      <c r="G2962"/>
      <c r="H2962"/>
      <c r="L2962"/>
      <c r="O2962"/>
    </row>
    <row r="2963" spans="3:15" x14ac:dyDescent="0.25">
      <c r="C2963"/>
      <c r="F2963"/>
      <c r="G2963"/>
      <c r="H2963"/>
      <c r="L2963"/>
      <c r="O2963"/>
    </row>
    <row r="2964" spans="3:15" x14ac:dyDescent="0.25">
      <c r="C2964"/>
      <c r="F2964"/>
      <c r="G2964"/>
      <c r="H2964"/>
      <c r="L2964"/>
      <c r="O2964"/>
    </row>
    <row r="2965" spans="3:15" x14ac:dyDescent="0.25">
      <c r="C2965"/>
      <c r="F2965"/>
      <c r="G2965"/>
      <c r="H2965"/>
      <c r="L2965"/>
      <c r="O2965"/>
    </row>
    <row r="2966" spans="3:15" x14ac:dyDescent="0.25">
      <c r="C2966"/>
      <c r="F2966"/>
      <c r="G2966"/>
      <c r="H2966"/>
      <c r="L2966"/>
      <c r="O2966"/>
    </row>
    <row r="2967" spans="3:15" x14ac:dyDescent="0.25">
      <c r="C2967"/>
      <c r="F2967"/>
      <c r="G2967"/>
      <c r="H2967"/>
      <c r="L2967"/>
      <c r="O2967"/>
    </row>
    <row r="2968" spans="3:15" x14ac:dyDescent="0.25">
      <c r="C2968"/>
      <c r="F2968"/>
      <c r="G2968"/>
      <c r="H2968"/>
      <c r="L2968"/>
      <c r="O2968"/>
    </row>
    <row r="2969" spans="3:15" x14ac:dyDescent="0.25">
      <c r="C2969"/>
      <c r="F2969"/>
      <c r="G2969"/>
      <c r="H2969"/>
      <c r="L2969"/>
      <c r="O2969"/>
    </row>
    <row r="2970" spans="3:15" x14ac:dyDescent="0.25">
      <c r="C2970"/>
      <c r="F2970"/>
      <c r="G2970"/>
      <c r="H2970"/>
      <c r="L2970"/>
      <c r="O2970"/>
    </row>
    <row r="2971" spans="3:15" x14ac:dyDescent="0.25">
      <c r="C2971"/>
      <c r="F2971"/>
      <c r="G2971"/>
      <c r="H2971"/>
      <c r="L2971"/>
      <c r="O2971"/>
    </row>
    <row r="2972" spans="3:15" x14ac:dyDescent="0.25">
      <c r="C2972"/>
      <c r="F2972"/>
      <c r="G2972"/>
      <c r="H2972"/>
      <c r="L2972"/>
      <c r="O2972"/>
    </row>
    <row r="2973" spans="3:15" x14ac:dyDescent="0.25">
      <c r="C2973"/>
      <c r="F2973"/>
      <c r="G2973"/>
      <c r="H2973"/>
      <c r="L2973"/>
      <c r="O2973"/>
    </row>
    <row r="2974" spans="3:15" x14ac:dyDescent="0.25">
      <c r="C2974"/>
      <c r="F2974"/>
      <c r="G2974"/>
      <c r="H2974"/>
      <c r="L2974"/>
      <c r="O2974"/>
    </row>
    <row r="2975" spans="3:15" x14ac:dyDescent="0.25">
      <c r="C2975"/>
      <c r="F2975"/>
      <c r="G2975"/>
      <c r="H2975"/>
      <c r="L2975"/>
      <c r="O2975"/>
    </row>
    <row r="2976" spans="3:15" x14ac:dyDescent="0.25">
      <c r="C2976"/>
      <c r="F2976"/>
      <c r="G2976"/>
      <c r="H2976"/>
      <c r="L2976"/>
      <c r="O2976"/>
    </row>
    <row r="2977" spans="3:15" x14ac:dyDescent="0.25">
      <c r="C2977"/>
      <c r="F2977"/>
      <c r="G2977"/>
      <c r="H2977"/>
      <c r="L2977"/>
      <c r="O2977"/>
    </row>
    <row r="2978" spans="3:15" x14ac:dyDescent="0.25">
      <c r="C2978"/>
      <c r="F2978"/>
      <c r="G2978"/>
      <c r="H2978"/>
      <c r="L2978"/>
      <c r="O2978"/>
    </row>
    <row r="2979" spans="3:15" x14ac:dyDescent="0.25">
      <c r="C2979"/>
      <c r="F2979"/>
      <c r="G2979"/>
      <c r="H2979"/>
      <c r="L2979"/>
      <c r="O2979"/>
    </row>
    <row r="2980" spans="3:15" x14ac:dyDescent="0.25">
      <c r="C2980"/>
      <c r="F2980"/>
      <c r="G2980"/>
      <c r="H2980"/>
      <c r="L2980"/>
      <c r="O2980"/>
    </row>
    <row r="2981" spans="3:15" x14ac:dyDescent="0.25">
      <c r="C2981"/>
      <c r="F2981"/>
      <c r="G2981"/>
      <c r="H2981"/>
      <c r="L2981"/>
      <c r="O2981"/>
    </row>
    <row r="2982" spans="3:15" x14ac:dyDescent="0.25">
      <c r="C2982"/>
      <c r="F2982"/>
      <c r="G2982"/>
      <c r="H2982"/>
      <c r="L2982"/>
      <c r="O2982"/>
    </row>
    <row r="2983" spans="3:15" x14ac:dyDescent="0.25">
      <c r="C2983"/>
      <c r="F2983"/>
      <c r="G2983"/>
      <c r="H2983"/>
      <c r="L2983"/>
      <c r="O2983"/>
    </row>
    <row r="2984" spans="3:15" x14ac:dyDescent="0.25">
      <c r="C2984"/>
      <c r="F2984"/>
      <c r="G2984"/>
      <c r="H2984"/>
      <c r="L2984"/>
      <c r="O2984"/>
    </row>
    <row r="2985" spans="3:15" x14ac:dyDescent="0.25">
      <c r="C2985"/>
      <c r="F2985"/>
      <c r="G2985"/>
      <c r="H2985"/>
      <c r="L2985"/>
      <c r="O2985"/>
    </row>
    <row r="2986" spans="3:15" x14ac:dyDescent="0.25">
      <c r="C2986"/>
      <c r="F2986"/>
      <c r="G2986"/>
      <c r="H2986"/>
      <c r="L2986"/>
      <c r="O2986"/>
    </row>
    <row r="2987" spans="3:15" x14ac:dyDescent="0.25">
      <c r="C2987"/>
      <c r="F2987"/>
      <c r="G2987"/>
      <c r="H2987"/>
      <c r="L2987"/>
      <c r="O2987"/>
    </row>
    <row r="2988" spans="3:15" x14ac:dyDescent="0.25">
      <c r="C2988"/>
      <c r="F2988"/>
      <c r="G2988"/>
      <c r="H2988"/>
      <c r="L2988"/>
      <c r="O2988"/>
    </row>
    <row r="2989" spans="3:15" x14ac:dyDescent="0.25">
      <c r="C2989"/>
      <c r="F2989"/>
      <c r="G2989"/>
      <c r="H2989"/>
      <c r="L2989"/>
      <c r="O2989"/>
    </row>
    <row r="2990" spans="3:15" x14ac:dyDescent="0.25">
      <c r="C2990"/>
      <c r="F2990"/>
      <c r="G2990"/>
      <c r="H2990"/>
      <c r="L2990"/>
      <c r="O2990"/>
    </row>
    <row r="2991" spans="3:15" x14ac:dyDescent="0.25">
      <c r="C2991"/>
      <c r="F2991"/>
      <c r="G2991"/>
      <c r="H2991"/>
      <c r="L2991"/>
      <c r="O2991"/>
    </row>
    <row r="2992" spans="3:15" x14ac:dyDescent="0.25">
      <c r="C2992"/>
      <c r="F2992"/>
      <c r="G2992"/>
      <c r="H2992"/>
      <c r="L2992"/>
      <c r="O2992"/>
    </row>
    <row r="2993" spans="3:15" x14ac:dyDescent="0.25">
      <c r="C2993"/>
      <c r="F2993"/>
      <c r="G2993"/>
      <c r="H2993"/>
      <c r="L2993"/>
      <c r="O2993"/>
    </row>
    <row r="2994" spans="3:15" x14ac:dyDescent="0.25">
      <c r="C2994"/>
      <c r="F2994"/>
      <c r="G2994"/>
      <c r="H2994"/>
      <c r="L2994"/>
      <c r="O2994"/>
    </row>
    <row r="2995" spans="3:15" x14ac:dyDescent="0.25">
      <c r="C2995"/>
      <c r="F2995"/>
      <c r="G2995"/>
      <c r="H2995"/>
      <c r="L2995"/>
      <c r="O2995"/>
    </row>
    <row r="2996" spans="3:15" x14ac:dyDescent="0.25">
      <c r="C2996"/>
      <c r="F2996"/>
      <c r="G2996"/>
      <c r="H2996"/>
      <c r="L2996"/>
      <c r="O2996"/>
    </row>
    <row r="2997" spans="3:15" x14ac:dyDescent="0.25">
      <c r="C2997"/>
      <c r="F2997"/>
      <c r="G2997"/>
      <c r="H2997"/>
      <c r="L2997"/>
      <c r="O2997"/>
    </row>
    <row r="2998" spans="3:15" x14ac:dyDescent="0.25">
      <c r="C2998"/>
      <c r="F2998"/>
      <c r="G2998"/>
      <c r="H2998"/>
      <c r="L2998"/>
      <c r="O2998"/>
    </row>
    <row r="2999" spans="3:15" x14ac:dyDescent="0.25">
      <c r="C2999"/>
      <c r="F2999"/>
      <c r="G2999"/>
      <c r="H2999"/>
      <c r="L2999"/>
      <c r="O2999"/>
    </row>
    <row r="3000" spans="3:15" x14ac:dyDescent="0.25">
      <c r="C3000"/>
      <c r="F3000"/>
      <c r="G3000"/>
      <c r="H3000"/>
      <c r="L3000"/>
      <c r="O3000"/>
    </row>
    <row r="3001" spans="3:15" x14ac:dyDescent="0.25">
      <c r="C3001"/>
      <c r="F3001"/>
      <c r="G3001"/>
      <c r="H3001"/>
      <c r="L3001"/>
      <c r="O3001"/>
    </row>
    <row r="3002" spans="3:15" x14ac:dyDescent="0.25">
      <c r="C3002"/>
      <c r="F3002"/>
      <c r="G3002"/>
      <c r="H3002"/>
      <c r="L3002"/>
      <c r="O3002"/>
    </row>
    <row r="3003" spans="3:15" x14ac:dyDescent="0.25">
      <c r="C3003"/>
      <c r="F3003"/>
      <c r="G3003"/>
      <c r="H3003"/>
      <c r="L3003"/>
      <c r="O3003"/>
    </row>
    <row r="3004" spans="3:15" x14ac:dyDescent="0.25">
      <c r="C3004"/>
      <c r="F3004"/>
      <c r="G3004"/>
      <c r="H3004"/>
      <c r="L3004"/>
      <c r="O3004"/>
    </row>
    <row r="3005" spans="3:15" x14ac:dyDescent="0.25">
      <c r="C3005"/>
      <c r="F3005"/>
      <c r="G3005"/>
      <c r="H3005"/>
      <c r="L3005"/>
      <c r="O3005"/>
    </row>
    <row r="3006" spans="3:15" x14ac:dyDescent="0.25">
      <c r="C3006"/>
      <c r="F3006"/>
      <c r="G3006"/>
      <c r="H3006"/>
      <c r="L3006"/>
      <c r="O3006"/>
    </row>
    <row r="3007" spans="3:15" x14ac:dyDescent="0.25">
      <c r="C3007"/>
      <c r="F3007"/>
      <c r="G3007"/>
      <c r="H3007"/>
      <c r="L3007"/>
      <c r="O3007"/>
    </row>
    <row r="3008" spans="3:15" x14ac:dyDescent="0.25">
      <c r="C3008"/>
      <c r="F3008"/>
      <c r="G3008"/>
      <c r="H3008"/>
      <c r="L3008"/>
      <c r="O3008"/>
    </row>
    <row r="3009" spans="3:15" x14ac:dyDescent="0.25">
      <c r="C3009"/>
      <c r="F3009"/>
      <c r="G3009"/>
      <c r="H3009"/>
      <c r="L3009"/>
      <c r="O3009"/>
    </row>
    <row r="3010" spans="3:15" x14ac:dyDescent="0.25">
      <c r="C3010"/>
      <c r="F3010"/>
      <c r="G3010"/>
      <c r="H3010"/>
      <c r="L3010"/>
      <c r="O3010"/>
    </row>
    <row r="3011" spans="3:15" x14ac:dyDescent="0.25">
      <c r="C3011"/>
      <c r="F3011"/>
      <c r="G3011"/>
      <c r="H3011"/>
      <c r="L3011"/>
      <c r="O3011"/>
    </row>
    <row r="3012" spans="3:15" x14ac:dyDescent="0.25">
      <c r="C3012"/>
      <c r="F3012"/>
      <c r="G3012"/>
      <c r="H3012"/>
      <c r="L3012"/>
      <c r="O3012"/>
    </row>
    <row r="3013" spans="3:15" x14ac:dyDescent="0.25">
      <c r="C3013"/>
      <c r="F3013"/>
      <c r="G3013"/>
      <c r="H3013"/>
      <c r="L3013"/>
      <c r="O3013"/>
    </row>
    <row r="3014" spans="3:15" x14ac:dyDescent="0.25">
      <c r="C3014"/>
      <c r="F3014"/>
      <c r="G3014"/>
      <c r="H3014"/>
      <c r="L3014"/>
      <c r="O3014"/>
    </row>
    <row r="3015" spans="3:15" x14ac:dyDescent="0.25">
      <c r="C3015"/>
      <c r="F3015"/>
      <c r="G3015"/>
      <c r="H3015"/>
      <c r="L3015"/>
      <c r="O3015"/>
    </row>
    <row r="3016" spans="3:15" x14ac:dyDescent="0.25">
      <c r="C3016"/>
      <c r="F3016"/>
      <c r="G3016"/>
      <c r="H3016"/>
      <c r="L3016"/>
      <c r="O3016"/>
    </row>
    <row r="3017" spans="3:15" x14ac:dyDescent="0.25">
      <c r="C3017"/>
      <c r="F3017"/>
      <c r="G3017"/>
      <c r="H3017"/>
      <c r="L3017"/>
      <c r="O3017"/>
    </row>
    <row r="3018" spans="3:15" x14ac:dyDescent="0.25">
      <c r="C3018"/>
      <c r="F3018"/>
      <c r="G3018"/>
      <c r="H3018"/>
      <c r="L3018"/>
      <c r="O3018"/>
    </row>
    <row r="3019" spans="3:15" x14ac:dyDescent="0.25">
      <c r="C3019"/>
      <c r="F3019"/>
      <c r="G3019"/>
      <c r="H3019"/>
      <c r="L3019"/>
      <c r="O3019"/>
    </row>
    <row r="3020" spans="3:15" x14ac:dyDescent="0.25">
      <c r="C3020"/>
      <c r="F3020"/>
      <c r="G3020"/>
      <c r="H3020"/>
      <c r="L3020"/>
      <c r="O3020"/>
    </row>
    <row r="3021" spans="3:15" x14ac:dyDescent="0.25">
      <c r="C3021"/>
      <c r="F3021"/>
      <c r="G3021"/>
      <c r="H3021"/>
      <c r="L3021"/>
      <c r="O3021"/>
    </row>
    <row r="3022" spans="3:15" x14ac:dyDescent="0.25">
      <c r="C3022"/>
      <c r="F3022"/>
      <c r="G3022"/>
      <c r="H3022"/>
      <c r="L3022"/>
      <c r="O3022"/>
    </row>
    <row r="3023" spans="3:15" x14ac:dyDescent="0.25">
      <c r="C3023"/>
      <c r="F3023"/>
      <c r="G3023"/>
      <c r="H3023"/>
      <c r="L3023"/>
      <c r="O3023"/>
    </row>
    <row r="3024" spans="3:15" x14ac:dyDescent="0.25">
      <c r="C3024"/>
      <c r="F3024"/>
      <c r="G3024"/>
      <c r="H3024"/>
      <c r="L3024"/>
      <c r="O3024"/>
    </row>
    <row r="3025" spans="3:15" x14ac:dyDescent="0.25">
      <c r="C3025"/>
      <c r="F3025"/>
      <c r="G3025"/>
      <c r="H3025"/>
      <c r="L3025"/>
      <c r="O3025"/>
    </row>
    <row r="3026" spans="3:15" x14ac:dyDescent="0.25">
      <c r="C3026"/>
      <c r="F3026"/>
      <c r="G3026"/>
      <c r="H3026"/>
      <c r="L3026"/>
      <c r="O3026"/>
    </row>
    <row r="3027" spans="3:15" x14ac:dyDescent="0.25">
      <c r="C3027"/>
      <c r="F3027"/>
      <c r="G3027"/>
      <c r="H3027"/>
      <c r="L3027"/>
      <c r="O3027"/>
    </row>
    <row r="3028" spans="3:15" x14ac:dyDescent="0.25">
      <c r="C3028"/>
      <c r="F3028"/>
      <c r="G3028"/>
      <c r="H3028"/>
      <c r="L3028"/>
      <c r="O3028"/>
    </row>
    <row r="3029" spans="3:15" x14ac:dyDescent="0.25">
      <c r="C3029"/>
      <c r="F3029"/>
      <c r="G3029"/>
      <c r="H3029"/>
      <c r="L3029"/>
      <c r="O3029"/>
    </row>
    <row r="3030" spans="3:15" x14ac:dyDescent="0.25">
      <c r="C3030"/>
      <c r="F3030"/>
      <c r="G3030"/>
      <c r="H3030"/>
      <c r="L3030"/>
      <c r="O3030"/>
    </row>
    <row r="3031" spans="3:15" x14ac:dyDescent="0.25">
      <c r="C3031"/>
      <c r="F3031"/>
      <c r="G3031"/>
      <c r="H3031"/>
      <c r="L3031"/>
      <c r="O3031"/>
    </row>
    <row r="3032" spans="3:15" x14ac:dyDescent="0.25">
      <c r="C3032"/>
      <c r="F3032"/>
      <c r="G3032"/>
      <c r="H3032"/>
      <c r="L3032"/>
      <c r="O3032"/>
    </row>
    <row r="3033" spans="3:15" x14ac:dyDescent="0.25">
      <c r="C3033"/>
      <c r="F3033"/>
      <c r="G3033"/>
      <c r="H3033"/>
      <c r="L3033"/>
      <c r="O3033"/>
    </row>
    <row r="3034" spans="3:15" x14ac:dyDescent="0.25">
      <c r="C3034"/>
      <c r="F3034"/>
      <c r="G3034"/>
      <c r="H3034"/>
      <c r="L3034"/>
      <c r="O3034"/>
    </row>
    <row r="3035" spans="3:15" x14ac:dyDescent="0.25">
      <c r="C3035"/>
      <c r="F3035"/>
      <c r="G3035"/>
      <c r="H3035"/>
      <c r="L3035"/>
      <c r="O3035"/>
    </row>
    <row r="3036" spans="3:15" x14ac:dyDescent="0.25">
      <c r="C3036"/>
      <c r="F3036"/>
      <c r="G3036"/>
      <c r="H3036"/>
      <c r="L3036"/>
      <c r="O3036"/>
    </row>
    <row r="3037" spans="3:15" x14ac:dyDescent="0.25">
      <c r="C3037"/>
      <c r="F3037"/>
      <c r="G3037"/>
      <c r="H3037"/>
      <c r="L3037"/>
      <c r="O3037"/>
    </row>
    <row r="3038" spans="3:15" x14ac:dyDescent="0.25">
      <c r="C3038"/>
      <c r="F3038"/>
      <c r="G3038"/>
      <c r="H3038"/>
      <c r="L3038"/>
      <c r="O3038"/>
    </row>
    <row r="3039" spans="3:15" x14ac:dyDescent="0.25">
      <c r="C3039"/>
      <c r="F3039"/>
      <c r="G3039"/>
      <c r="H3039"/>
      <c r="L3039"/>
      <c r="O3039"/>
    </row>
    <row r="3040" spans="3:15" x14ac:dyDescent="0.25">
      <c r="C3040"/>
      <c r="F3040"/>
      <c r="G3040"/>
      <c r="H3040"/>
      <c r="L3040"/>
      <c r="O3040"/>
    </row>
    <row r="3041" spans="3:15" x14ac:dyDescent="0.25">
      <c r="C3041"/>
      <c r="F3041"/>
      <c r="G3041"/>
      <c r="H3041"/>
      <c r="L3041"/>
      <c r="O3041"/>
    </row>
    <row r="3042" spans="3:15" x14ac:dyDescent="0.25">
      <c r="C3042"/>
      <c r="F3042"/>
      <c r="G3042"/>
      <c r="H3042"/>
      <c r="L3042"/>
      <c r="O3042"/>
    </row>
    <row r="3043" spans="3:15" x14ac:dyDescent="0.25">
      <c r="C3043"/>
      <c r="F3043"/>
      <c r="G3043"/>
      <c r="H3043"/>
      <c r="L3043"/>
      <c r="O3043"/>
    </row>
    <row r="3044" spans="3:15" x14ac:dyDescent="0.25">
      <c r="C3044"/>
      <c r="F3044"/>
      <c r="G3044"/>
      <c r="H3044"/>
      <c r="L3044"/>
      <c r="O3044"/>
    </row>
    <row r="3045" spans="3:15" x14ac:dyDescent="0.25">
      <c r="C3045"/>
      <c r="F3045"/>
      <c r="G3045"/>
      <c r="H3045"/>
      <c r="L3045"/>
      <c r="O3045"/>
    </row>
    <row r="3046" spans="3:15" x14ac:dyDescent="0.25">
      <c r="C3046"/>
      <c r="F3046"/>
      <c r="G3046"/>
      <c r="H3046"/>
      <c r="L3046"/>
      <c r="O3046"/>
    </row>
    <row r="3047" spans="3:15" x14ac:dyDescent="0.25">
      <c r="C3047"/>
      <c r="F3047"/>
      <c r="G3047"/>
      <c r="H3047"/>
      <c r="L3047"/>
      <c r="O3047"/>
    </row>
    <row r="3048" spans="3:15" x14ac:dyDescent="0.25">
      <c r="C3048"/>
      <c r="F3048"/>
      <c r="G3048"/>
      <c r="H3048"/>
      <c r="L3048"/>
      <c r="O3048"/>
    </row>
    <row r="3049" spans="3:15" x14ac:dyDescent="0.25">
      <c r="C3049"/>
      <c r="F3049"/>
      <c r="G3049"/>
      <c r="H3049"/>
      <c r="L3049"/>
      <c r="O3049"/>
    </row>
    <row r="3050" spans="3:15" x14ac:dyDescent="0.25">
      <c r="C3050"/>
      <c r="F3050"/>
      <c r="G3050"/>
      <c r="H3050"/>
      <c r="L3050"/>
      <c r="O3050"/>
    </row>
    <row r="3051" spans="3:15" x14ac:dyDescent="0.25">
      <c r="C3051"/>
      <c r="F3051"/>
      <c r="G3051"/>
      <c r="H3051"/>
      <c r="L3051"/>
      <c r="O3051"/>
    </row>
    <row r="3052" spans="3:15" x14ac:dyDescent="0.25">
      <c r="C3052"/>
      <c r="F3052"/>
      <c r="G3052"/>
      <c r="H3052"/>
      <c r="L3052"/>
      <c r="O3052"/>
    </row>
    <row r="3053" spans="3:15" x14ac:dyDescent="0.25">
      <c r="C3053"/>
      <c r="F3053"/>
      <c r="G3053"/>
      <c r="H3053"/>
      <c r="L3053"/>
      <c r="O3053"/>
    </row>
    <row r="3054" spans="3:15" x14ac:dyDescent="0.25">
      <c r="C3054"/>
      <c r="F3054"/>
      <c r="G3054"/>
      <c r="H3054"/>
      <c r="L3054"/>
      <c r="O3054"/>
    </row>
    <row r="3055" spans="3:15" x14ac:dyDescent="0.25">
      <c r="C3055"/>
      <c r="F3055"/>
      <c r="G3055"/>
      <c r="H3055"/>
      <c r="L3055"/>
      <c r="O3055"/>
    </row>
    <row r="3056" spans="3:15" x14ac:dyDescent="0.25">
      <c r="C3056"/>
      <c r="F3056"/>
      <c r="G3056"/>
      <c r="H3056"/>
      <c r="L3056"/>
      <c r="O3056"/>
    </row>
    <row r="3057" spans="3:15" x14ac:dyDescent="0.25">
      <c r="C3057"/>
      <c r="F3057"/>
      <c r="G3057"/>
      <c r="H3057"/>
      <c r="L3057"/>
      <c r="O3057"/>
    </row>
    <row r="3058" spans="3:15" x14ac:dyDescent="0.25">
      <c r="C3058"/>
      <c r="F3058"/>
      <c r="G3058"/>
      <c r="H3058"/>
      <c r="L3058"/>
      <c r="O3058"/>
    </row>
    <row r="3059" spans="3:15" x14ac:dyDescent="0.25">
      <c r="C3059"/>
      <c r="F3059"/>
      <c r="G3059"/>
      <c r="H3059"/>
      <c r="L3059"/>
      <c r="O3059"/>
    </row>
    <row r="3060" spans="3:15" x14ac:dyDescent="0.25">
      <c r="C3060"/>
      <c r="F3060"/>
      <c r="G3060"/>
      <c r="H3060"/>
      <c r="L3060"/>
      <c r="O3060"/>
    </row>
    <row r="3061" spans="3:15" x14ac:dyDescent="0.25">
      <c r="C3061"/>
      <c r="F3061"/>
      <c r="G3061"/>
      <c r="H3061"/>
      <c r="L3061"/>
      <c r="O3061"/>
    </row>
    <row r="3062" spans="3:15" x14ac:dyDescent="0.25">
      <c r="C3062"/>
      <c r="F3062"/>
      <c r="G3062"/>
      <c r="H3062"/>
      <c r="L3062"/>
      <c r="O3062"/>
    </row>
    <row r="3063" spans="3:15" x14ac:dyDescent="0.25">
      <c r="C3063"/>
      <c r="F3063"/>
      <c r="G3063"/>
      <c r="H3063"/>
      <c r="L3063"/>
      <c r="O3063"/>
    </row>
    <row r="3064" spans="3:15" x14ac:dyDescent="0.25">
      <c r="C3064"/>
      <c r="F3064"/>
      <c r="G3064"/>
      <c r="H3064"/>
      <c r="L3064"/>
      <c r="O3064"/>
    </row>
    <row r="3065" spans="3:15" x14ac:dyDescent="0.25">
      <c r="C3065"/>
      <c r="F3065"/>
      <c r="G3065"/>
      <c r="H3065"/>
      <c r="L3065"/>
      <c r="O3065"/>
    </row>
    <row r="3066" spans="3:15" x14ac:dyDescent="0.25">
      <c r="C3066"/>
      <c r="F3066"/>
      <c r="G3066"/>
      <c r="H3066"/>
      <c r="L3066"/>
      <c r="O3066"/>
    </row>
    <row r="3067" spans="3:15" x14ac:dyDescent="0.25">
      <c r="C3067"/>
      <c r="F3067"/>
      <c r="G3067"/>
      <c r="H3067"/>
      <c r="L3067"/>
      <c r="O3067"/>
    </row>
    <row r="3068" spans="3:15" x14ac:dyDescent="0.25">
      <c r="C3068"/>
      <c r="F3068"/>
      <c r="G3068"/>
      <c r="H3068"/>
      <c r="L3068"/>
      <c r="O3068"/>
    </row>
    <row r="3069" spans="3:15" x14ac:dyDescent="0.25">
      <c r="C3069"/>
      <c r="F3069"/>
      <c r="G3069"/>
      <c r="H3069"/>
      <c r="L3069"/>
      <c r="O3069"/>
    </row>
    <row r="3070" spans="3:15" x14ac:dyDescent="0.25">
      <c r="C3070"/>
      <c r="F3070"/>
      <c r="G3070"/>
      <c r="H3070"/>
      <c r="L3070"/>
      <c r="O3070"/>
    </row>
    <row r="3071" spans="3:15" x14ac:dyDescent="0.25">
      <c r="C3071"/>
      <c r="F3071"/>
      <c r="G3071"/>
      <c r="H3071"/>
      <c r="L3071"/>
      <c r="O3071"/>
    </row>
    <row r="3072" spans="3:15" x14ac:dyDescent="0.25">
      <c r="C3072"/>
      <c r="F3072"/>
      <c r="G3072"/>
      <c r="H3072"/>
      <c r="L3072"/>
      <c r="O3072"/>
    </row>
    <row r="3073" spans="3:15" x14ac:dyDescent="0.25">
      <c r="C3073"/>
      <c r="F3073"/>
      <c r="G3073"/>
      <c r="H3073"/>
      <c r="L3073"/>
      <c r="O3073"/>
    </row>
    <row r="3074" spans="3:15" x14ac:dyDescent="0.25">
      <c r="C3074"/>
      <c r="F3074"/>
      <c r="G3074"/>
      <c r="H3074"/>
      <c r="L3074"/>
      <c r="O3074"/>
    </row>
    <row r="3075" spans="3:15" x14ac:dyDescent="0.25">
      <c r="C3075"/>
      <c r="F3075"/>
      <c r="G3075"/>
      <c r="H3075"/>
      <c r="L3075"/>
      <c r="O3075"/>
    </row>
    <row r="3076" spans="3:15" x14ac:dyDescent="0.25">
      <c r="C3076"/>
      <c r="F3076"/>
      <c r="G3076"/>
      <c r="H3076"/>
      <c r="L3076"/>
      <c r="O3076"/>
    </row>
    <row r="3077" spans="3:15" x14ac:dyDescent="0.25">
      <c r="C3077"/>
      <c r="F3077"/>
      <c r="G3077"/>
      <c r="H3077"/>
      <c r="L3077"/>
      <c r="O3077"/>
    </row>
    <row r="3078" spans="3:15" x14ac:dyDescent="0.25">
      <c r="C3078"/>
      <c r="F3078"/>
      <c r="G3078"/>
      <c r="H3078"/>
      <c r="L3078"/>
      <c r="O3078"/>
    </row>
    <row r="3079" spans="3:15" x14ac:dyDescent="0.25">
      <c r="C3079"/>
      <c r="F3079"/>
      <c r="G3079"/>
      <c r="H3079"/>
      <c r="L3079"/>
      <c r="O3079"/>
    </row>
    <row r="3080" spans="3:15" x14ac:dyDescent="0.25">
      <c r="C3080"/>
      <c r="F3080"/>
      <c r="G3080"/>
      <c r="H3080"/>
      <c r="L3080"/>
      <c r="O3080"/>
    </row>
    <row r="3081" spans="3:15" x14ac:dyDescent="0.25">
      <c r="C3081"/>
      <c r="F3081"/>
      <c r="G3081"/>
      <c r="H3081"/>
      <c r="L3081"/>
      <c r="O3081"/>
    </row>
    <row r="3082" spans="3:15" x14ac:dyDescent="0.25">
      <c r="C3082"/>
      <c r="F3082"/>
      <c r="G3082"/>
      <c r="H3082"/>
      <c r="L3082"/>
      <c r="O3082"/>
    </row>
    <row r="3083" spans="3:15" x14ac:dyDescent="0.25">
      <c r="C3083"/>
      <c r="F3083"/>
      <c r="G3083"/>
      <c r="H3083"/>
      <c r="L3083"/>
      <c r="O3083"/>
    </row>
    <row r="3084" spans="3:15" x14ac:dyDescent="0.25">
      <c r="C3084"/>
      <c r="F3084"/>
      <c r="G3084"/>
      <c r="H3084"/>
      <c r="L3084"/>
      <c r="O3084"/>
    </row>
    <row r="3085" spans="3:15" x14ac:dyDescent="0.25">
      <c r="C3085"/>
      <c r="F3085"/>
      <c r="G3085"/>
      <c r="H3085"/>
      <c r="L3085"/>
      <c r="O3085"/>
    </row>
    <row r="3086" spans="3:15" x14ac:dyDescent="0.25">
      <c r="C3086"/>
      <c r="F3086"/>
      <c r="G3086"/>
      <c r="H3086"/>
      <c r="L3086"/>
      <c r="O3086"/>
    </row>
    <row r="3087" spans="3:15" x14ac:dyDescent="0.25">
      <c r="C3087"/>
      <c r="F3087"/>
      <c r="G3087"/>
      <c r="H3087"/>
      <c r="L3087"/>
      <c r="O3087"/>
    </row>
    <row r="3088" spans="3:15" x14ac:dyDescent="0.25">
      <c r="C3088"/>
      <c r="F3088"/>
      <c r="G3088"/>
      <c r="H3088"/>
      <c r="L3088"/>
      <c r="O3088"/>
    </row>
    <row r="3089" spans="3:15" x14ac:dyDescent="0.25">
      <c r="C3089"/>
      <c r="F3089"/>
      <c r="G3089"/>
      <c r="H3089"/>
      <c r="L3089"/>
      <c r="O3089"/>
    </row>
    <row r="3090" spans="3:15" x14ac:dyDescent="0.25">
      <c r="C3090"/>
      <c r="F3090"/>
      <c r="G3090"/>
      <c r="H3090"/>
      <c r="L3090"/>
      <c r="O3090"/>
    </row>
    <row r="3091" spans="3:15" x14ac:dyDescent="0.25">
      <c r="C3091"/>
      <c r="F3091"/>
      <c r="G3091"/>
      <c r="H3091"/>
      <c r="L3091"/>
      <c r="O3091"/>
    </row>
    <row r="3092" spans="3:15" x14ac:dyDescent="0.25">
      <c r="C3092"/>
      <c r="F3092"/>
      <c r="G3092"/>
      <c r="H3092"/>
      <c r="L3092"/>
      <c r="O3092"/>
    </row>
    <row r="3093" spans="3:15" x14ac:dyDescent="0.25">
      <c r="C3093"/>
      <c r="F3093"/>
      <c r="G3093"/>
      <c r="H3093"/>
      <c r="L3093"/>
      <c r="O3093"/>
    </row>
    <row r="3094" spans="3:15" x14ac:dyDescent="0.25">
      <c r="C3094"/>
      <c r="F3094"/>
      <c r="G3094"/>
      <c r="H3094"/>
      <c r="L3094"/>
      <c r="O3094"/>
    </row>
    <row r="3095" spans="3:15" x14ac:dyDescent="0.25">
      <c r="C3095"/>
      <c r="F3095"/>
      <c r="G3095"/>
      <c r="H3095"/>
      <c r="L3095"/>
      <c r="O3095"/>
    </row>
    <row r="3096" spans="3:15" x14ac:dyDescent="0.25">
      <c r="C3096"/>
      <c r="F3096"/>
      <c r="G3096"/>
      <c r="H3096"/>
      <c r="L3096"/>
      <c r="O3096"/>
    </row>
    <row r="3097" spans="3:15" x14ac:dyDescent="0.25">
      <c r="C3097"/>
      <c r="F3097"/>
      <c r="G3097"/>
      <c r="H3097"/>
      <c r="L3097"/>
      <c r="O3097"/>
    </row>
    <row r="3098" spans="3:15" x14ac:dyDescent="0.25">
      <c r="C3098"/>
      <c r="F3098"/>
      <c r="G3098"/>
      <c r="H3098"/>
      <c r="L3098"/>
      <c r="O3098"/>
    </row>
    <row r="3099" spans="3:15" x14ac:dyDescent="0.25">
      <c r="C3099"/>
      <c r="F3099"/>
      <c r="G3099"/>
      <c r="H3099"/>
      <c r="L3099"/>
      <c r="O3099"/>
    </row>
    <row r="3100" spans="3:15" x14ac:dyDescent="0.25">
      <c r="C3100"/>
      <c r="F3100"/>
      <c r="G3100"/>
      <c r="H3100"/>
      <c r="L3100"/>
      <c r="O3100"/>
    </row>
    <row r="3101" spans="3:15" x14ac:dyDescent="0.25">
      <c r="C3101"/>
      <c r="F3101"/>
      <c r="G3101"/>
      <c r="H3101"/>
      <c r="L3101"/>
      <c r="O3101"/>
    </row>
    <row r="3102" spans="3:15" x14ac:dyDescent="0.25">
      <c r="C3102"/>
      <c r="F3102"/>
      <c r="G3102"/>
      <c r="H3102"/>
      <c r="L3102"/>
      <c r="O3102"/>
    </row>
    <row r="3103" spans="3:15" x14ac:dyDescent="0.25">
      <c r="C3103"/>
      <c r="F3103"/>
      <c r="G3103"/>
      <c r="H3103"/>
      <c r="L3103"/>
      <c r="O3103"/>
    </row>
    <row r="3104" spans="3:15" x14ac:dyDescent="0.25">
      <c r="C3104"/>
      <c r="F3104"/>
      <c r="G3104"/>
      <c r="H3104"/>
      <c r="L3104"/>
      <c r="O3104"/>
    </row>
    <row r="3105" spans="3:15" x14ac:dyDescent="0.25">
      <c r="C3105"/>
      <c r="F3105"/>
      <c r="G3105"/>
      <c r="H3105"/>
      <c r="L3105"/>
      <c r="O3105"/>
    </row>
    <row r="3106" spans="3:15" x14ac:dyDescent="0.25">
      <c r="C3106"/>
      <c r="F3106"/>
      <c r="G3106"/>
      <c r="H3106"/>
      <c r="L3106"/>
      <c r="O3106"/>
    </row>
    <row r="3107" spans="3:15" x14ac:dyDescent="0.25">
      <c r="C3107"/>
      <c r="F3107"/>
      <c r="G3107"/>
      <c r="H3107"/>
      <c r="L3107"/>
      <c r="O3107"/>
    </row>
    <row r="3108" spans="3:15" x14ac:dyDescent="0.25">
      <c r="C3108"/>
      <c r="F3108"/>
      <c r="G3108"/>
      <c r="H3108"/>
      <c r="L3108"/>
      <c r="O3108"/>
    </row>
    <row r="3109" spans="3:15" x14ac:dyDescent="0.25">
      <c r="C3109"/>
      <c r="F3109"/>
      <c r="G3109"/>
      <c r="H3109"/>
      <c r="L3109"/>
      <c r="O3109"/>
    </row>
    <row r="3110" spans="3:15" x14ac:dyDescent="0.25">
      <c r="C3110"/>
      <c r="F3110"/>
      <c r="G3110"/>
      <c r="H3110"/>
      <c r="L3110"/>
      <c r="O3110"/>
    </row>
    <row r="3111" spans="3:15" x14ac:dyDescent="0.25">
      <c r="C3111"/>
      <c r="F3111"/>
      <c r="G3111"/>
      <c r="H3111"/>
      <c r="L3111"/>
      <c r="O3111"/>
    </row>
    <row r="3112" spans="3:15" x14ac:dyDescent="0.25">
      <c r="C3112"/>
      <c r="F3112"/>
      <c r="G3112"/>
      <c r="H3112"/>
      <c r="L3112"/>
      <c r="O3112"/>
    </row>
    <row r="3113" spans="3:15" x14ac:dyDescent="0.25">
      <c r="C3113"/>
      <c r="F3113"/>
      <c r="G3113"/>
      <c r="H3113"/>
      <c r="L3113"/>
      <c r="O3113"/>
    </row>
    <row r="3114" spans="3:15" x14ac:dyDescent="0.25">
      <c r="C3114"/>
      <c r="F3114"/>
      <c r="G3114"/>
      <c r="H3114"/>
      <c r="L3114"/>
      <c r="O3114"/>
    </row>
    <row r="3115" spans="3:15" x14ac:dyDescent="0.25">
      <c r="C3115"/>
      <c r="F3115"/>
      <c r="G3115"/>
      <c r="H3115"/>
      <c r="L3115"/>
      <c r="O3115"/>
    </row>
    <row r="3116" spans="3:15" x14ac:dyDescent="0.25">
      <c r="C3116"/>
      <c r="F3116"/>
      <c r="G3116"/>
      <c r="H3116"/>
      <c r="L3116"/>
      <c r="O3116"/>
    </row>
    <row r="3117" spans="3:15" x14ac:dyDescent="0.25">
      <c r="C3117"/>
      <c r="F3117"/>
      <c r="G3117"/>
      <c r="H3117"/>
      <c r="L3117"/>
      <c r="O3117"/>
    </row>
    <row r="3118" spans="3:15" x14ac:dyDescent="0.25">
      <c r="C3118"/>
      <c r="F3118"/>
      <c r="G3118"/>
      <c r="H3118"/>
      <c r="L3118"/>
      <c r="O3118"/>
    </row>
    <row r="3119" spans="3:15" x14ac:dyDescent="0.25">
      <c r="C3119"/>
      <c r="F3119"/>
      <c r="G3119"/>
      <c r="H3119"/>
      <c r="L3119"/>
      <c r="O3119"/>
    </row>
    <row r="3120" spans="3:15" x14ac:dyDescent="0.25">
      <c r="C3120"/>
      <c r="F3120"/>
      <c r="G3120"/>
      <c r="H3120"/>
      <c r="L3120"/>
      <c r="O3120"/>
    </row>
    <row r="3121" spans="3:15" x14ac:dyDescent="0.25">
      <c r="C3121"/>
      <c r="F3121"/>
      <c r="G3121"/>
      <c r="H3121"/>
      <c r="L3121"/>
      <c r="O3121"/>
    </row>
    <row r="3122" spans="3:15" x14ac:dyDescent="0.25">
      <c r="C3122"/>
      <c r="F3122"/>
      <c r="G3122"/>
      <c r="H3122"/>
      <c r="L3122"/>
      <c r="O3122"/>
    </row>
    <row r="3123" spans="3:15" x14ac:dyDescent="0.25">
      <c r="C3123"/>
      <c r="F3123"/>
      <c r="G3123"/>
      <c r="H3123"/>
      <c r="L3123"/>
      <c r="O3123"/>
    </row>
    <row r="3124" spans="3:15" x14ac:dyDescent="0.25">
      <c r="C3124"/>
      <c r="F3124"/>
      <c r="G3124"/>
      <c r="H3124"/>
      <c r="L3124"/>
      <c r="O3124"/>
    </row>
    <row r="3125" spans="3:15" x14ac:dyDescent="0.25">
      <c r="C3125"/>
      <c r="F3125"/>
      <c r="G3125"/>
      <c r="H3125"/>
      <c r="L3125"/>
      <c r="O3125"/>
    </row>
    <row r="3126" spans="3:15" x14ac:dyDescent="0.25">
      <c r="C3126"/>
      <c r="F3126"/>
      <c r="G3126"/>
      <c r="H3126"/>
      <c r="L3126"/>
      <c r="O3126"/>
    </row>
    <row r="3127" spans="3:15" x14ac:dyDescent="0.25">
      <c r="C3127"/>
      <c r="F3127"/>
      <c r="G3127"/>
      <c r="H3127"/>
      <c r="L3127"/>
      <c r="O3127"/>
    </row>
    <row r="3128" spans="3:15" x14ac:dyDescent="0.25">
      <c r="C3128"/>
      <c r="F3128"/>
      <c r="G3128"/>
      <c r="H3128"/>
      <c r="L3128"/>
      <c r="O3128"/>
    </row>
    <row r="3129" spans="3:15" x14ac:dyDescent="0.25">
      <c r="C3129"/>
      <c r="F3129"/>
      <c r="G3129"/>
      <c r="H3129"/>
      <c r="L3129"/>
      <c r="O3129"/>
    </row>
    <row r="3130" spans="3:15" x14ac:dyDescent="0.25">
      <c r="C3130"/>
      <c r="F3130"/>
      <c r="G3130"/>
      <c r="H3130"/>
      <c r="L3130"/>
      <c r="O3130"/>
    </row>
    <row r="3131" spans="3:15" x14ac:dyDescent="0.25">
      <c r="C3131"/>
      <c r="F3131"/>
      <c r="G3131"/>
      <c r="H3131"/>
      <c r="L3131"/>
      <c r="O3131"/>
    </row>
    <row r="3132" spans="3:15" x14ac:dyDescent="0.25">
      <c r="C3132"/>
      <c r="F3132"/>
      <c r="G3132"/>
      <c r="H3132"/>
      <c r="L3132"/>
      <c r="O3132"/>
    </row>
    <row r="3133" spans="3:15" x14ac:dyDescent="0.25">
      <c r="C3133"/>
      <c r="F3133"/>
      <c r="G3133"/>
      <c r="H3133"/>
      <c r="L3133"/>
      <c r="O3133"/>
    </row>
    <row r="3134" spans="3:15" x14ac:dyDescent="0.25">
      <c r="C3134"/>
      <c r="F3134"/>
      <c r="G3134"/>
      <c r="H3134"/>
      <c r="L3134"/>
      <c r="O3134"/>
    </row>
    <row r="3135" spans="3:15" x14ac:dyDescent="0.25">
      <c r="C3135"/>
      <c r="F3135"/>
      <c r="G3135"/>
      <c r="H3135"/>
      <c r="L3135"/>
      <c r="O3135"/>
    </row>
    <row r="3136" spans="3:15" x14ac:dyDescent="0.25">
      <c r="C3136"/>
      <c r="F3136"/>
      <c r="G3136"/>
      <c r="H3136"/>
      <c r="L3136"/>
      <c r="O3136"/>
    </row>
    <row r="3137" spans="3:15" x14ac:dyDescent="0.25">
      <c r="C3137"/>
      <c r="F3137"/>
      <c r="G3137"/>
      <c r="H3137"/>
      <c r="L3137"/>
      <c r="O3137"/>
    </row>
    <row r="3138" spans="3:15" x14ac:dyDescent="0.25">
      <c r="C3138"/>
      <c r="F3138"/>
      <c r="G3138"/>
      <c r="H3138"/>
      <c r="L3138"/>
      <c r="O3138"/>
    </row>
    <row r="3139" spans="3:15" x14ac:dyDescent="0.25">
      <c r="C3139"/>
      <c r="F3139"/>
      <c r="G3139"/>
      <c r="H3139"/>
      <c r="L3139"/>
      <c r="O3139"/>
    </row>
    <row r="3140" spans="3:15" x14ac:dyDescent="0.25">
      <c r="C3140"/>
      <c r="F3140"/>
      <c r="G3140"/>
      <c r="H3140"/>
      <c r="L3140"/>
      <c r="O3140"/>
    </row>
    <row r="3141" spans="3:15" x14ac:dyDescent="0.25">
      <c r="C3141"/>
      <c r="F3141"/>
      <c r="G3141"/>
      <c r="H3141"/>
      <c r="L3141"/>
      <c r="O3141"/>
    </row>
    <row r="3142" spans="3:15" x14ac:dyDescent="0.25">
      <c r="C3142"/>
      <c r="F3142"/>
      <c r="G3142"/>
      <c r="H3142"/>
      <c r="L3142"/>
      <c r="O3142"/>
    </row>
    <row r="3143" spans="3:15" x14ac:dyDescent="0.25">
      <c r="C3143"/>
      <c r="F3143"/>
      <c r="G3143"/>
      <c r="H3143"/>
      <c r="L3143"/>
      <c r="O3143"/>
    </row>
    <row r="3144" spans="3:15" x14ac:dyDescent="0.25">
      <c r="C3144"/>
      <c r="F3144"/>
      <c r="G3144"/>
      <c r="H3144"/>
      <c r="L3144"/>
      <c r="O3144"/>
    </row>
    <row r="3145" spans="3:15" x14ac:dyDescent="0.25">
      <c r="C3145"/>
      <c r="F3145"/>
      <c r="G3145"/>
      <c r="H3145"/>
      <c r="L3145"/>
      <c r="O3145"/>
    </row>
    <row r="3146" spans="3:15" x14ac:dyDescent="0.25">
      <c r="C3146"/>
      <c r="F3146"/>
      <c r="G3146"/>
      <c r="H3146"/>
      <c r="L3146"/>
      <c r="O3146"/>
    </row>
    <row r="3147" spans="3:15" x14ac:dyDescent="0.25">
      <c r="C3147"/>
      <c r="F3147"/>
      <c r="G3147"/>
      <c r="H3147"/>
      <c r="L3147"/>
      <c r="O3147"/>
    </row>
    <row r="3148" spans="3:15" x14ac:dyDescent="0.25">
      <c r="C3148"/>
      <c r="F3148"/>
      <c r="G3148"/>
      <c r="H3148"/>
      <c r="L3148"/>
      <c r="O3148"/>
    </row>
    <row r="3149" spans="3:15" x14ac:dyDescent="0.25">
      <c r="C3149"/>
      <c r="F3149"/>
      <c r="G3149"/>
      <c r="H3149"/>
      <c r="L3149"/>
      <c r="O3149"/>
    </row>
    <row r="3150" spans="3:15" x14ac:dyDescent="0.25">
      <c r="C3150"/>
      <c r="F3150"/>
      <c r="G3150"/>
      <c r="H3150"/>
      <c r="L3150"/>
      <c r="O3150"/>
    </row>
    <row r="3151" spans="3:15" x14ac:dyDescent="0.25">
      <c r="C3151"/>
      <c r="F3151"/>
      <c r="G3151"/>
      <c r="H3151"/>
      <c r="L3151"/>
      <c r="O3151"/>
    </row>
    <row r="3152" spans="3:15" x14ac:dyDescent="0.25">
      <c r="C3152"/>
      <c r="F3152"/>
      <c r="G3152"/>
      <c r="H3152"/>
      <c r="L3152"/>
      <c r="O3152"/>
    </row>
    <row r="3153" spans="3:15" x14ac:dyDescent="0.25">
      <c r="C3153"/>
      <c r="F3153"/>
      <c r="G3153"/>
      <c r="H3153"/>
      <c r="L3153"/>
      <c r="O3153"/>
    </row>
    <row r="3154" spans="3:15" x14ac:dyDescent="0.25">
      <c r="C3154"/>
      <c r="F3154"/>
      <c r="G3154"/>
      <c r="H3154"/>
      <c r="L3154"/>
      <c r="O3154"/>
    </row>
    <row r="3155" spans="3:15" x14ac:dyDescent="0.25">
      <c r="C3155"/>
      <c r="F3155"/>
      <c r="G3155"/>
      <c r="H3155"/>
      <c r="L3155"/>
      <c r="O3155"/>
    </row>
    <row r="3156" spans="3:15" x14ac:dyDescent="0.25">
      <c r="C3156"/>
      <c r="F3156"/>
      <c r="G3156"/>
      <c r="H3156"/>
      <c r="L3156"/>
      <c r="O3156"/>
    </row>
    <row r="3157" spans="3:15" x14ac:dyDescent="0.25">
      <c r="C3157"/>
      <c r="F3157"/>
      <c r="G3157"/>
      <c r="H3157"/>
      <c r="L3157"/>
      <c r="O3157"/>
    </row>
    <row r="3158" spans="3:15" x14ac:dyDescent="0.25">
      <c r="C3158"/>
      <c r="F3158"/>
      <c r="G3158"/>
      <c r="H3158"/>
      <c r="L3158"/>
      <c r="O3158"/>
    </row>
    <row r="3159" spans="3:15" x14ac:dyDescent="0.25">
      <c r="C3159"/>
      <c r="F3159"/>
      <c r="G3159"/>
      <c r="H3159"/>
      <c r="L3159"/>
      <c r="O3159"/>
    </row>
    <row r="3160" spans="3:15" x14ac:dyDescent="0.25">
      <c r="C3160"/>
      <c r="F3160"/>
      <c r="G3160"/>
      <c r="H3160"/>
      <c r="L3160"/>
      <c r="O3160"/>
    </row>
    <row r="3161" spans="3:15" x14ac:dyDescent="0.25">
      <c r="C3161"/>
      <c r="F3161"/>
      <c r="G3161"/>
      <c r="H3161"/>
      <c r="L3161"/>
      <c r="O3161"/>
    </row>
    <row r="3162" spans="3:15" x14ac:dyDescent="0.25">
      <c r="C3162"/>
      <c r="F3162"/>
      <c r="G3162"/>
      <c r="H3162"/>
      <c r="L3162"/>
      <c r="O3162"/>
    </row>
    <row r="3163" spans="3:15" x14ac:dyDescent="0.25">
      <c r="C3163"/>
      <c r="F3163"/>
      <c r="G3163"/>
      <c r="H3163"/>
      <c r="L3163"/>
      <c r="O3163"/>
    </row>
    <row r="3164" spans="3:15" x14ac:dyDescent="0.25">
      <c r="C3164"/>
      <c r="F3164"/>
      <c r="G3164"/>
      <c r="H3164"/>
      <c r="L3164"/>
      <c r="O3164"/>
    </row>
    <row r="3165" spans="3:15" x14ac:dyDescent="0.25">
      <c r="C3165"/>
      <c r="F3165"/>
      <c r="G3165"/>
      <c r="H3165"/>
      <c r="L3165"/>
      <c r="O3165"/>
    </row>
    <row r="3166" spans="3:15" x14ac:dyDescent="0.25">
      <c r="C3166"/>
      <c r="F3166"/>
      <c r="G3166"/>
      <c r="H3166"/>
      <c r="L3166"/>
      <c r="O3166"/>
    </row>
    <row r="3167" spans="3:15" x14ac:dyDescent="0.25">
      <c r="C3167"/>
      <c r="F3167"/>
      <c r="G3167"/>
      <c r="H3167"/>
      <c r="L3167"/>
      <c r="O3167"/>
    </row>
    <row r="3168" spans="3:15" x14ac:dyDescent="0.25">
      <c r="C3168"/>
      <c r="F3168"/>
      <c r="G3168"/>
      <c r="H3168"/>
      <c r="L3168"/>
      <c r="O3168"/>
    </row>
    <row r="3169" spans="3:15" x14ac:dyDescent="0.25">
      <c r="C3169"/>
      <c r="F3169"/>
      <c r="G3169"/>
      <c r="H3169"/>
      <c r="L3169"/>
      <c r="O3169"/>
    </row>
    <row r="3170" spans="3:15" x14ac:dyDescent="0.25">
      <c r="C3170"/>
      <c r="F3170"/>
      <c r="G3170"/>
      <c r="H3170"/>
      <c r="L3170"/>
      <c r="O3170"/>
    </row>
    <row r="3171" spans="3:15" x14ac:dyDescent="0.25">
      <c r="C3171"/>
      <c r="F3171"/>
      <c r="G3171"/>
      <c r="H3171"/>
      <c r="L3171"/>
      <c r="O3171"/>
    </row>
    <row r="3172" spans="3:15" x14ac:dyDescent="0.25">
      <c r="C3172"/>
      <c r="F3172"/>
      <c r="G3172"/>
      <c r="H3172"/>
      <c r="L3172"/>
      <c r="O3172"/>
    </row>
    <row r="3173" spans="3:15" x14ac:dyDescent="0.25">
      <c r="C3173"/>
      <c r="F3173"/>
      <c r="G3173"/>
      <c r="H3173"/>
      <c r="L3173"/>
      <c r="O3173"/>
    </row>
    <row r="3174" spans="3:15" x14ac:dyDescent="0.25">
      <c r="C3174"/>
      <c r="F3174"/>
      <c r="G3174"/>
      <c r="H3174"/>
      <c r="L3174"/>
      <c r="O3174"/>
    </row>
    <row r="3175" spans="3:15" x14ac:dyDescent="0.25">
      <c r="C3175"/>
      <c r="F3175"/>
      <c r="G3175"/>
      <c r="H3175"/>
      <c r="L3175"/>
      <c r="O3175"/>
    </row>
    <row r="3176" spans="3:15" x14ac:dyDescent="0.25">
      <c r="C3176"/>
      <c r="F3176"/>
      <c r="G3176"/>
      <c r="H3176"/>
      <c r="L3176"/>
      <c r="O3176"/>
    </row>
    <row r="3177" spans="3:15" x14ac:dyDescent="0.25">
      <c r="C3177"/>
      <c r="F3177"/>
      <c r="G3177"/>
      <c r="H3177"/>
      <c r="L3177"/>
      <c r="O3177"/>
    </row>
    <row r="3178" spans="3:15" x14ac:dyDescent="0.25">
      <c r="C3178"/>
      <c r="F3178"/>
      <c r="G3178"/>
      <c r="H3178"/>
      <c r="L3178"/>
      <c r="O3178"/>
    </row>
    <row r="3179" spans="3:15" x14ac:dyDescent="0.25">
      <c r="C3179"/>
      <c r="F3179"/>
      <c r="G3179"/>
      <c r="H3179"/>
      <c r="L3179"/>
      <c r="O3179"/>
    </row>
    <row r="3180" spans="3:15" x14ac:dyDescent="0.25">
      <c r="C3180"/>
      <c r="F3180"/>
      <c r="G3180"/>
      <c r="H3180"/>
      <c r="L3180"/>
      <c r="O3180"/>
    </row>
    <row r="3181" spans="3:15" x14ac:dyDescent="0.25">
      <c r="C3181"/>
      <c r="F3181"/>
      <c r="G3181"/>
      <c r="H3181"/>
      <c r="L3181"/>
      <c r="O3181"/>
    </row>
    <row r="3182" spans="3:15" x14ac:dyDescent="0.25">
      <c r="C3182"/>
      <c r="F3182"/>
      <c r="G3182"/>
      <c r="H3182"/>
      <c r="L3182"/>
      <c r="O3182"/>
    </row>
    <row r="3183" spans="3:15" x14ac:dyDescent="0.25">
      <c r="C3183"/>
      <c r="F3183"/>
      <c r="G3183"/>
      <c r="H3183"/>
      <c r="L3183"/>
      <c r="O3183"/>
    </row>
    <row r="3184" spans="3:15" x14ac:dyDescent="0.25">
      <c r="C3184"/>
      <c r="F3184"/>
      <c r="G3184"/>
      <c r="H3184"/>
      <c r="L3184"/>
      <c r="O3184"/>
    </row>
    <row r="3185" spans="3:15" x14ac:dyDescent="0.25">
      <c r="C3185"/>
      <c r="F3185"/>
      <c r="G3185"/>
      <c r="H3185"/>
      <c r="L3185"/>
      <c r="O3185"/>
    </row>
    <row r="3186" spans="3:15" x14ac:dyDescent="0.25">
      <c r="C3186"/>
      <c r="F3186"/>
      <c r="G3186"/>
      <c r="H3186"/>
      <c r="L3186"/>
      <c r="O3186"/>
    </row>
    <row r="3187" spans="3:15" x14ac:dyDescent="0.25">
      <c r="C3187"/>
      <c r="F3187"/>
      <c r="G3187"/>
      <c r="H3187"/>
      <c r="L3187"/>
      <c r="O3187"/>
    </row>
    <row r="3188" spans="3:15" x14ac:dyDescent="0.25">
      <c r="C3188"/>
      <c r="F3188"/>
      <c r="G3188"/>
      <c r="H3188"/>
      <c r="L3188"/>
      <c r="O3188"/>
    </row>
    <row r="3189" spans="3:15" x14ac:dyDescent="0.25">
      <c r="C3189"/>
      <c r="F3189"/>
      <c r="G3189"/>
      <c r="H3189"/>
      <c r="L3189"/>
      <c r="O3189"/>
    </row>
    <row r="3190" spans="3:15" x14ac:dyDescent="0.25">
      <c r="C3190"/>
      <c r="F3190"/>
      <c r="G3190"/>
      <c r="H3190"/>
      <c r="L3190"/>
      <c r="O3190"/>
    </row>
    <row r="3191" spans="3:15" x14ac:dyDescent="0.25">
      <c r="C3191"/>
      <c r="F3191"/>
      <c r="G3191"/>
      <c r="H3191"/>
      <c r="L3191"/>
      <c r="O3191"/>
    </row>
    <row r="3192" spans="3:15" x14ac:dyDescent="0.25">
      <c r="C3192"/>
      <c r="F3192"/>
      <c r="G3192"/>
      <c r="H3192"/>
      <c r="L3192"/>
      <c r="O3192"/>
    </row>
    <row r="3193" spans="3:15" x14ac:dyDescent="0.25">
      <c r="C3193"/>
      <c r="F3193"/>
      <c r="G3193"/>
      <c r="H3193"/>
      <c r="L3193"/>
      <c r="O3193"/>
    </row>
    <row r="3194" spans="3:15" x14ac:dyDescent="0.25">
      <c r="C3194"/>
      <c r="F3194"/>
      <c r="G3194"/>
      <c r="H3194"/>
      <c r="L3194"/>
      <c r="O3194"/>
    </row>
    <row r="3195" spans="3:15" x14ac:dyDescent="0.25">
      <c r="C3195"/>
      <c r="F3195"/>
      <c r="G3195"/>
      <c r="H3195"/>
      <c r="L3195"/>
      <c r="O3195"/>
    </row>
    <row r="3196" spans="3:15" x14ac:dyDescent="0.25">
      <c r="C3196"/>
      <c r="F3196"/>
      <c r="G3196"/>
      <c r="H3196"/>
      <c r="L3196"/>
      <c r="O3196"/>
    </row>
    <row r="3197" spans="3:15" x14ac:dyDescent="0.25">
      <c r="C3197"/>
      <c r="F3197"/>
      <c r="G3197"/>
      <c r="H3197"/>
      <c r="L3197"/>
      <c r="O3197"/>
    </row>
    <row r="3198" spans="3:15" x14ac:dyDescent="0.25">
      <c r="C3198"/>
      <c r="F3198"/>
      <c r="G3198"/>
      <c r="H3198"/>
      <c r="L3198"/>
      <c r="O3198"/>
    </row>
    <row r="3199" spans="3:15" x14ac:dyDescent="0.25">
      <c r="C3199"/>
      <c r="F3199"/>
      <c r="G3199"/>
      <c r="H3199"/>
      <c r="L3199"/>
      <c r="O3199"/>
    </row>
    <row r="3200" spans="3:15" x14ac:dyDescent="0.25">
      <c r="C3200"/>
      <c r="F3200"/>
      <c r="G3200"/>
      <c r="H3200"/>
      <c r="L3200"/>
      <c r="O3200"/>
    </row>
    <row r="3201" spans="3:15" x14ac:dyDescent="0.25">
      <c r="C3201"/>
      <c r="F3201"/>
      <c r="G3201"/>
      <c r="H3201"/>
      <c r="L3201"/>
      <c r="O3201"/>
    </row>
    <row r="3202" spans="3:15" x14ac:dyDescent="0.25">
      <c r="C3202"/>
      <c r="F3202"/>
      <c r="G3202"/>
      <c r="H3202"/>
      <c r="L3202"/>
      <c r="O3202"/>
    </row>
    <row r="3203" spans="3:15" x14ac:dyDescent="0.25">
      <c r="C3203"/>
      <c r="F3203"/>
      <c r="G3203"/>
      <c r="H3203"/>
      <c r="L3203"/>
      <c r="O3203"/>
    </row>
    <row r="3204" spans="3:15" x14ac:dyDescent="0.25">
      <c r="C3204"/>
      <c r="F3204"/>
      <c r="G3204"/>
      <c r="H3204"/>
      <c r="L3204"/>
      <c r="O3204"/>
    </row>
    <row r="3205" spans="3:15" x14ac:dyDescent="0.25">
      <c r="C3205"/>
      <c r="F3205"/>
      <c r="G3205"/>
      <c r="H3205"/>
      <c r="L3205"/>
      <c r="O3205"/>
    </row>
    <row r="3206" spans="3:15" x14ac:dyDescent="0.25">
      <c r="C3206"/>
      <c r="F3206"/>
      <c r="G3206"/>
      <c r="H3206"/>
      <c r="L3206"/>
      <c r="O3206"/>
    </row>
    <row r="3207" spans="3:15" x14ac:dyDescent="0.25">
      <c r="C3207"/>
      <c r="F3207"/>
      <c r="G3207"/>
      <c r="H3207"/>
      <c r="L3207"/>
      <c r="O3207"/>
    </row>
    <row r="3208" spans="3:15" x14ac:dyDescent="0.25">
      <c r="C3208"/>
      <c r="F3208"/>
      <c r="G3208"/>
      <c r="H3208"/>
      <c r="L3208"/>
      <c r="O3208"/>
    </row>
    <row r="3209" spans="3:15" x14ac:dyDescent="0.25">
      <c r="C3209"/>
      <c r="F3209"/>
      <c r="G3209"/>
      <c r="H3209"/>
      <c r="L3209"/>
      <c r="O3209"/>
    </row>
    <row r="3210" spans="3:15" x14ac:dyDescent="0.25">
      <c r="C3210"/>
      <c r="F3210"/>
      <c r="G3210"/>
      <c r="H3210"/>
      <c r="L3210"/>
      <c r="O3210"/>
    </row>
    <row r="3211" spans="3:15" x14ac:dyDescent="0.25">
      <c r="C3211"/>
      <c r="F3211"/>
      <c r="G3211"/>
      <c r="H3211"/>
      <c r="L3211"/>
      <c r="O3211"/>
    </row>
    <row r="3212" spans="3:15" x14ac:dyDescent="0.25">
      <c r="C3212"/>
      <c r="F3212"/>
      <c r="G3212"/>
      <c r="H3212"/>
      <c r="L3212"/>
      <c r="O3212"/>
    </row>
    <row r="3213" spans="3:15" x14ac:dyDescent="0.25">
      <c r="C3213"/>
      <c r="F3213"/>
      <c r="G3213"/>
      <c r="H3213"/>
      <c r="L3213"/>
      <c r="O3213"/>
    </row>
    <row r="3214" spans="3:15" x14ac:dyDescent="0.25">
      <c r="C3214"/>
      <c r="F3214"/>
      <c r="G3214"/>
      <c r="H3214"/>
      <c r="L3214"/>
      <c r="O3214"/>
    </row>
    <row r="3215" spans="3:15" x14ac:dyDescent="0.25">
      <c r="C3215"/>
      <c r="F3215"/>
      <c r="G3215"/>
      <c r="H3215"/>
      <c r="L3215"/>
      <c r="O3215"/>
    </row>
    <row r="3216" spans="3:15" x14ac:dyDescent="0.25">
      <c r="C3216"/>
      <c r="F3216"/>
      <c r="G3216"/>
      <c r="H3216"/>
      <c r="L3216"/>
      <c r="O3216"/>
    </row>
    <row r="3217" spans="3:15" x14ac:dyDescent="0.25">
      <c r="C3217"/>
      <c r="F3217"/>
      <c r="G3217"/>
      <c r="H3217"/>
      <c r="L3217"/>
      <c r="O3217"/>
    </row>
    <row r="3218" spans="3:15" x14ac:dyDescent="0.25">
      <c r="C3218"/>
      <c r="F3218"/>
      <c r="G3218"/>
      <c r="H3218"/>
      <c r="L3218"/>
      <c r="O3218"/>
    </row>
    <row r="3219" spans="3:15" x14ac:dyDescent="0.25">
      <c r="C3219"/>
      <c r="F3219"/>
      <c r="G3219"/>
      <c r="H3219"/>
      <c r="L3219"/>
      <c r="O3219"/>
    </row>
    <row r="3220" spans="3:15" x14ac:dyDescent="0.25">
      <c r="C3220"/>
      <c r="F3220"/>
      <c r="G3220"/>
      <c r="H3220"/>
      <c r="L3220"/>
      <c r="O3220"/>
    </row>
    <row r="3221" spans="3:15" x14ac:dyDescent="0.25">
      <c r="C3221"/>
      <c r="F3221"/>
      <c r="G3221"/>
      <c r="H3221"/>
      <c r="L3221"/>
      <c r="O3221"/>
    </row>
    <row r="3222" spans="3:15" x14ac:dyDescent="0.25">
      <c r="C3222"/>
      <c r="F3222"/>
      <c r="G3222"/>
      <c r="H3222"/>
      <c r="L3222"/>
      <c r="O3222"/>
    </row>
    <row r="3223" spans="3:15" x14ac:dyDescent="0.25">
      <c r="C3223"/>
      <c r="F3223"/>
      <c r="G3223"/>
      <c r="H3223"/>
      <c r="L3223"/>
      <c r="O3223"/>
    </row>
    <row r="3224" spans="3:15" x14ac:dyDescent="0.25">
      <c r="C3224"/>
      <c r="F3224"/>
      <c r="G3224"/>
      <c r="H3224"/>
      <c r="L3224"/>
      <c r="O3224"/>
    </row>
    <row r="3225" spans="3:15" x14ac:dyDescent="0.25">
      <c r="C3225"/>
      <c r="F3225"/>
      <c r="G3225"/>
      <c r="H3225"/>
      <c r="L3225"/>
      <c r="O3225"/>
    </row>
    <row r="3226" spans="3:15" x14ac:dyDescent="0.25">
      <c r="C3226"/>
      <c r="F3226"/>
      <c r="G3226"/>
      <c r="H3226"/>
      <c r="L3226"/>
      <c r="O3226"/>
    </row>
    <row r="3227" spans="3:15" x14ac:dyDescent="0.25">
      <c r="C3227"/>
      <c r="F3227"/>
      <c r="G3227"/>
      <c r="H3227"/>
      <c r="L3227"/>
      <c r="O3227"/>
    </row>
    <row r="3228" spans="3:15" x14ac:dyDescent="0.25">
      <c r="C3228"/>
      <c r="F3228"/>
      <c r="G3228"/>
      <c r="H3228"/>
      <c r="L3228"/>
      <c r="O3228"/>
    </row>
    <row r="3229" spans="3:15" x14ac:dyDescent="0.25">
      <c r="C3229"/>
      <c r="F3229"/>
      <c r="G3229"/>
      <c r="H3229"/>
      <c r="L3229"/>
      <c r="O3229"/>
    </row>
    <row r="3230" spans="3:15" x14ac:dyDescent="0.25">
      <c r="C3230"/>
      <c r="F3230"/>
      <c r="G3230"/>
      <c r="H3230"/>
      <c r="L3230"/>
      <c r="O3230"/>
    </row>
    <row r="3231" spans="3:15" x14ac:dyDescent="0.25">
      <c r="C3231"/>
      <c r="F3231"/>
      <c r="G3231"/>
      <c r="H3231"/>
      <c r="L3231"/>
      <c r="O3231"/>
    </row>
    <row r="3232" spans="3:15" x14ac:dyDescent="0.25">
      <c r="C3232"/>
      <c r="F3232"/>
      <c r="G3232"/>
      <c r="H3232"/>
      <c r="L3232"/>
      <c r="O3232"/>
    </row>
    <row r="3233" spans="3:15" x14ac:dyDescent="0.25">
      <c r="C3233"/>
      <c r="F3233"/>
      <c r="G3233"/>
      <c r="H3233"/>
      <c r="L3233"/>
      <c r="O3233"/>
    </row>
    <row r="3234" spans="3:15" x14ac:dyDescent="0.25">
      <c r="C3234"/>
      <c r="F3234"/>
      <c r="G3234"/>
      <c r="H3234"/>
      <c r="L3234"/>
      <c r="O3234"/>
    </row>
    <row r="3235" spans="3:15" x14ac:dyDescent="0.25">
      <c r="C3235"/>
      <c r="F3235"/>
      <c r="G3235"/>
      <c r="H3235"/>
      <c r="L3235"/>
      <c r="O3235"/>
    </row>
    <row r="3236" spans="3:15" x14ac:dyDescent="0.25">
      <c r="C3236"/>
      <c r="F3236"/>
      <c r="G3236"/>
      <c r="H3236"/>
      <c r="L3236"/>
      <c r="O3236"/>
    </row>
    <row r="3237" spans="3:15" x14ac:dyDescent="0.25">
      <c r="C3237"/>
      <c r="F3237"/>
      <c r="G3237"/>
      <c r="H3237"/>
      <c r="L3237"/>
      <c r="O3237"/>
    </row>
    <row r="3238" spans="3:15" x14ac:dyDescent="0.25">
      <c r="C3238"/>
      <c r="F3238"/>
      <c r="G3238"/>
      <c r="H3238"/>
      <c r="L3238"/>
      <c r="O3238"/>
    </row>
    <row r="3239" spans="3:15" x14ac:dyDescent="0.25">
      <c r="C3239"/>
      <c r="F3239"/>
      <c r="G3239"/>
      <c r="H3239"/>
      <c r="L3239"/>
      <c r="O3239"/>
    </row>
    <row r="3240" spans="3:15" x14ac:dyDescent="0.25">
      <c r="C3240"/>
      <c r="F3240"/>
      <c r="G3240"/>
      <c r="H3240"/>
      <c r="L3240"/>
      <c r="O3240"/>
    </row>
    <row r="3241" spans="3:15" x14ac:dyDescent="0.25">
      <c r="C3241"/>
      <c r="F3241"/>
      <c r="G3241"/>
      <c r="H3241"/>
      <c r="L3241"/>
      <c r="O3241"/>
    </row>
    <row r="3242" spans="3:15" x14ac:dyDescent="0.25">
      <c r="C3242"/>
      <c r="F3242"/>
      <c r="G3242"/>
      <c r="H3242"/>
      <c r="L3242"/>
      <c r="O3242"/>
    </row>
    <row r="3243" spans="3:15" x14ac:dyDescent="0.25">
      <c r="C3243"/>
      <c r="F3243"/>
      <c r="G3243"/>
      <c r="H3243"/>
      <c r="L3243"/>
      <c r="O3243"/>
    </row>
    <row r="3244" spans="3:15" x14ac:dyDescent="0.25">
      <c r="C3244"/>
      <c r="F3244"/>
      <c r="G3244"/>
      <c r="H3244"/>
      <c r="L3244"/>
      <c r="O3244"/>
    </row>
    <row r="3245" spans="3:15" x14ac:dyDescent="0.25">
      <c r="C3245"/>
      <c r="F3245"/>
      <c r="G3245"/>
      <c r="H3245"/>
      <c r="L3245"/>
      <c r="O3245"/>
    </row>
    <row r="3246" spans="3:15" x14ac:dyDescent="0.25">
      <c r="C3246"/>
      <c r="F3246"/>
      <c r="G3246"/>
      <c r="H3246"/>
      <c r="L3246"/>
      <c r="O3246"/>
    </row>
    <row r="3247" spans="3:15" x14ac:dyDescent="0.25">
      <c r="C3247"/>
      <c r="F3247"/>
      <c r="G3247"/>
      <c r="H3247"/>
      <c r="L3247"/>
      <c r="O3247"/>
    </row>
    <row r="3248" spans="3:15" x14ac:dyDescent="0.25">
      <c r="C3248"/>
      <c r="F3248"/>
      <c r="G3248"/>
      <c r="H3248"/>
      <c r="L3248"/>
      <c r="O3248"/>
    </row>
    <row r="3249" spans="3:15" x14ac:dyDescent="0.25">
      <c r="C3249"/>
      <c r="F3249"/>
      <c r="G3249"/>
      <c r="H3249"/>
      <c r="L3249"/>
      <c r="O3249"/>
    </row>
    <row r="3250" spans="3:15" x14ac:dyDescent="0.25">
      <c r="C3250"/>
      <c r="F3250"/>
      <c r="G3250"/>
      <c r="H3250"/>
      <c r="L3250"/>
      <c r="O3250"/>
    </row>
    <row r="3251" spans="3:15" x14ac:dyDescent="0.25">
      <c r="C3251"/>
      <c r="F3251"/>
      <c r="G3251"/>
      <c r="H3251"/>
      <c r="L3251"/>
      <c r="O3251"/>
    </row>
    <row r="3252" spans="3:15" x14ac:dyDescent="0.25">
      <c r="C3252"/>
      <c r="F3252"/>
      <c r="G3252"/>
      <c r="H3252"/>
      <c r="L3252"/>
      <c r="O3252"/>
    </row>
    <row r="3253" spans="3:15" x14ac:dyDescent="0.25">
      <c r="C3253"/>
      <c r="F3253"/>
      <c r="G3253"/>
      <c r="H3253"/>
      <c r="L3253"/>
      <c r="O3253"/>
    </row>
    <row r="3254" spans="3:15" x14ac:dyDescent="0.25">
      <c r="C3254"/>
      <c r="F3254"/>
      <c r="G3254"/>
      <c r="H3254"/>
      <c r="L3254"/>
      <c r="O3254"/>
    </row>
    <row r="3255" spans="3:15" x14ac:dyDescent="0.25">
      <c r="C3255"/>
      <c r="F3255"/>
      <c r="G3255"/>
      <c r="H3255"/>
      <c r="L3255"/>
      <c r="O3255"/>
    </row>
    <row r="3256" spans="3:15" x14ac:dyDescent="0.25">
      <c r="C3256"/>
      <c r="F3256"/>
      <c r="G3256"/>
      <c r="H3256"/>
      <c r="L3256"/>
      <c r="O3256"/>
    </row>
    <row r="3257" spans="3:15" x14ac:dyDescent="0.25">
      <c r="C3257"/>
      <c r="F3257"/>
      <c r="G3257"/>
      <c r="H3257"/>
      <c r="L3257"/>
      <c r="O3257"/>
    </row>
    <row r="3258" spans="3:15" x14ac:dyDescent="0.25">
      <c r="C3258"/>
      <c r="F3258"/>
      <c r="G3258"/>
      <c r="H3258"/>
      <c r="L3258"/>
      <c r="O3258"/>
    </row>
    <row r="3259" spans="3:15" x14ac:dyDescent="0.25">
      <c r="C3259"/>
      <c r="F3259"/>
      <c r="G3259"/>
      <c r="H3259"/>
      <c r="L3259"/>
      <c r="O3259"/>
    </row>
    <row r="3260" spans="3:15" x14ac:dyDescent="0.25">
      <c r="C3260"/>
      <c r="F3260"/>
      <c r="G3260"/>
      <c r="H3260"/>
      <c r="L3260"/>
      <c r="O3260"/>
    </row>
    <row r="3261" spans="3:15" x14ac:dyDescent="0.25">
      <c r="C3261"/>
      <c r="F3261"/>
      <c r="G3261"/>
      <c r="H3261"/>
      <c r="L3261"/>
      <c r="O3261"/>
    </row>
    <row r="3262" spans="3:15" x14ac:dyDescent="0.25">
      <c r="C3262"/>
      <c r="F3262"/>
      <c r="G3262"/>
      <c r="H3262"/>
      <c r="L3262"/>
      <c r="O3262"/>
    </row>
    <row r="3263" spans="3:15" x14ac:dyDescent="0.25">
      <c r="C3263"/>
      <c r="F3263"/>
      <c r="G3263"/>
      <c r="H3263"/>
      <c r="L3263"/>
      <c r="O3263"/>
    </row>
    <row r="3264" spans="3:15" x14ac:dyDescent="0.25">
      <c r="C3264"/>
      <c r="F3264"/>
      <c r="G3264"/>
      <c r="H3264"/>
      <c r="L3264"/>
      <c r="O3264"/>
    </row>
    <row r="3265" spans="3:15" x14ac:dyDescent="0.25">
      <c r="C3265"/>
      <c r="F3265"/>
      <c r="G3265"/>
      <c r="H3265"/>
      <c r="L3265"/>
      <c r="O3265"/>
    </row>
    <row r="3266" spans="3:15" x14ac:dyDescent="0.25">
      <c r="C3266"/>
      <c r="F3266"/>
      <c r="G3266"/>
      <c r="H3266"/>
      <c r="L3266"/>
      <c r="O3266"/>
    </row>
    <row r="3267" spans="3:15" x14ac:dyDescent="0.25">
      <c r="C3267"/>
      <c r="F3267"/>
      <c r="G3267"/>
      <c r="H3267"/>
      <c r="L3267"/>
      <c r="O3267"/>
    </row>
    <row r="3268" spans="3:15" x14ac:dyDescent="0.25">
      <c r="C3268"/>
      <c r="F3268"/>
      <c r="G3268"/>
      <c r="H3268"/>
      <c r="L3268"/>
      <c r="O3268"/>
    </row>
    <row r="3269" spans="3:15" x14ac:dyDescent="0.25">
      <c r="C3269"/>
      <c r="F3269"/>
      <c r="G3269"/>
      <c r="H3269"/>
      <c r="L3269"/>
      <c r="O3269"/>
    </row>
    <row r="3270" spans="3:15" x14ac:dyDescent="0.25">
      <c r="C3270"/>
      <c r="F3270"/>
      <c r="G3270"/>
      <c r="H3270"/>
      <c r="L3270"/>
      <c r="O3270"/>
    </row>
    <row r="3271" spans="3:15" x14ac:dyDescent="0.25">
      <c r="C3271"/>
      <c r="F3271"/>
      <c r="G3271"/>
      <c r="H3271"/>
      <c r="L3271"/>
      <c r="O3271"/>
    </row>
    <row r="3272" spans="3:15" x14ac:dyDescent="0.25">
      <c r="C3272"/>
      <c r="F3272"/>
      <c r="G3272"/>
      <c r="H3272"/>
      <c r="L3272"/>
      <c r="O3272"/>
    </row>
    <row r="3273" spans="3:15" x14ac:dyDescent="0.25">
      <c r="C3273"/>
      <c r="F3273"/>
      <c r="G3273"/>
      <c r="H3273"/>
      <c r="L3273"/>
      <c r="O3273"/>
    </row>
    <row r="3274" spans="3:15" x14ac:dyDescent="0.25">
      <c r="C3274"/>
      <c r="F3274"/>
      <c r="G3274"/>
      <c r="H3274"/>
      <c r="L3274"/>
      <c r="O3274"/>
    </row>
    <row r="3275" spans="3:15" x14ac:dyDescent="0.25">
      <c r="C3275"/>
      <c r="F3275"/>
      <c r="G3275"/>
      <c r="H3275"/>
      <c r="L3275"/>
      <c r="O3275"/>
    </row>
    <row r="3276" spans="3:15" x14ac:dyDescent="0.25">
      <c r="C3276"/>
      <c r="F3276"/>
      <c r="G3276"/>
      <c r="H3276"/>
      <c r="L3276"/>
      <c r="O3276"/>
    </row>
    <row r="3277" spans="3:15" x14ac:dyDescent="0.25">
      <c r="C3277"/>
      <c r="F3277"/>
      <c r="G3277"/>
      <c r="H3277"/>
      <c r="L3277"/>
      <c r="O3277"/>
    </row>
    <row r="3278" spans="3:15" x14ac:dyDescent="0.25">
      <c r="C3278"/>
      <c r="F3278"/>
      <c r="G3278"/>
      <c r="H3278"/>
      <c r="L3278"/>
      <c r="O3278"/>
    </row>
    <row r="3279" spans="3:15" x14ac:dyDescent="0.25">
      <c r="C3279"/>
      <c r="F3279"/>
      <c r="G3279"/>
      <c r="H3279"/>
      <c r="L3279"/>
      <c r="O3279"/>
    </row>
    <row r="3280" spans="3:15" x14ac:dyDescent="0.25">
      <c r="C3280"/>
      <c r="F3280"/>
      <c r="G3280"/>
      <c r="H3280"/>
      <c r="L3280"/>
      <c r="O3280"/>
    </row>
    <row r="3281" spans="3:15" x14ac:dyDescent="0.25">
      <c r="C3281"/>
      <c r="F3281"/>
      <c r="G3281"/>
      <c r="H3281"/>
      <c r="L3281"/>
      <c r="O3281"/>
    </row>
    <row r="3282" spans="3:15" x14ac:dyDescent="0.25">
      <c r="C3282"/>
      <c r="F3282"/>
      <c r="G3282"/>
      <c r="H3282"/>
      <c r="L3282"/>
      <c r="O3282"/>
    </row>
    <row r="3283" spans="3:15" x14ac:dyDescent="0.25">
      <c r="C3283"/>
      <c r="F3283"/>
      <c r="G3283"/>
      <c r="H3283"/>
      <c r="L3283"/>
      <c r="O3283"/>
    </row>
    <row r="3284" spans="3:15" x14ac:dyDescent="0.25">
      <c r="C3284"/>
      <c r="F3284"/>
      <c r="G3284"/>
      <c r="H3284"/>
      <c r="L3284"/>
      <c r="O3284"/>
    </row>
    <row r="3285" spans="3:15" x14ac:dyDescent="0.25">
      <c r="C3285"/>
      <c r="F3285"/>
      <c r="G3285"/>
      <c r="H3285"/>
      <c r="L3285"/>
      <c r="O3285"/>
    </row>
    <row r="3286" spans="3:15" x14ac:dyDescent="0.25">
      <c r="C3286"/>
      <c r="F3286"/>
      <c r="G3286"/>
      <c r="H3286"/>
      <c r="L3286"/>
      <c r="O3286"/>
    </row>
    <row r="3287" spans="3:15" x14ac:dyDescent="0.25">
      <c r="C3287"/>
      <c r="F3287"/>
      <c r="G3287"/>
      <c r="H3287"/>
      <c r="L3287"/>
      <c r="O3287"/>
    </row>
    <row r="3288" spans="3:15" x14ac:dyDescent="0.25">
      <c r="C3288"/>
      <c r="F3288"/>
      <c r="G3288"/>
      <c r="H3288"/>
      <c r="L3288"/>
      <c r="O3288"/>
    </row>
    <row r="3289" spans="3:15" x14ac:dyDescent="0.25">
      <c r="C3289"/>
      <c r="F3289"/>
      <c r="G3289"/>
      <c r="H3289"/>
      <c r="L3289"/>
      <c r="O3289"/>
    </row>
    <row r="3290" spans="3:15" x14ac:dyDescent="0.25">
      <c r="C3290"/>
      <c r="F3290"/>
      <c r="G3290"/>
      <c r="H3290"/>
      <c r="L3290"/>
      <c r="O3290"/>
    </row>
    <row r="3291" spans="3:15" x14ac:dyDescent="0.25">
      <c r="C3291"/>
      <c r="F3291"/>
      <c r="G3291"/>
      <c r="H3291"/>
      <c r="L3291"/>
      <c r="O3291"/>
    </row>
    <row r="3292" spans="3:15" x14ac:dyDescent="0.25">
      <c r="C3292"/>
      <c r="F3292"/>
      <c r="G3292"/>
      <c r="H3292"/>
      <c r="L3292"/>
      <c r="O3292"/>
    </row>
    <row r="3293" spans="3:15" x14ac:dyDescent="0.25">
      <c r="C3293"/>
      <c r="F3293"/>
      <c r="G3293"/>
      <c r="H3293"/>
      <c r="L3293"/>
      <c r="O3293"/>
    </row>
    <row r="3294" spans="3:15" x14ac:dyDescent="0.25">
      <c r="C3294"/>
      <c r="F3294"/>
      <c r="G3294"/>
      <c r="H3294"/>
      <c r="L3294"/>
      <c r="O3294"/>
    </row>
    <row r="3295" spans="3:15" x14ac:dyDescent="0.25">
      <c r="C3295"/>
      <c r="F3295"/>
      <c r="G3295"/>
      <c r="H3295"/>
      <c r="L3295"/>
      <c r="O3295"/>
    </row>
    <row r="3296" spans="3:15" x14ac:dyDescent="0.25">
      <c r="C3296"/>
      <c r="F3296"/>
      <c r="G3296"/>
      <c r="H3296"/>
      <c r="L3296"/>
      <c r="O3296"/>
    </row>
    <row r="3297" spans="3:15" x14ac:dyDescent="0.25">
      <c r="C3297"/>
      <c r="F3297"/>
      <c r="G3297"/>
      <c r="H3297"/>
      <c r="L3297"/>
      <c r="O3297"/>
    </row>
    <row r="3298" spans="3:15" x14ac:dyDescent="0.25">
      <c r="C3298"/>
      <c r="F3298"/>
      <c r="G3298"/>
      <c r="H3298"/>
      <c r="L3298"/>
      <c r="O3298"/>
    </row>
    <row r="3299" spans="3:15" x14ac:dyDescent="0.25">
      <c r="C3299"/>
      <c r="F3299"/>
      <c r="G3299"/>
      <c r="H3299"/>
      <c r="L3299"/>
      <c r="O3299"/>
    </row>
    <row r="3300" spans="3:15" x14ac:dyDescent="0.25">
      <c r="C3300"/>
      <c r="F3300"/>
      <c r="G3300"/>
      <c r="H3300"/>
      <c r="L3300"/>
      <c r="O3300"/>
    </row>
    <row r="3301" spans="3:15" x14ac:dyDescent="0.25">
      <c r="C3301"/>
      <c r="F3301"/>
      <c r="G3301"/>
      <c r="H3301"/>
      <c r="L3301"/>
      <c r="O3301"/>
    </row>
    <row r="3302" spans="3:15" x14ac:dyDescent="0.25">
      <c r="C3302"/>
      <c r="F3302"/>
      <c r="G3302"/>
      <c r="H3302"/>
      <c r="L3302"/>
      <c r="O3302"/>
    </row>
    <row r="3303" spans="3:15" x14ac:dyDescent="0.25">
      <c r="C3303"/>
      <c r="F3303"/>
      <c r="G3303"/>
      <c r="H3303"/>
      <c r="L3303"/>
      <c r="O3303"/>
    </row>
    <row r="3304" spans="3:15" x14ac:dyDescent="0.25">
      <c r="C3304"/>
      <c r="F3304"/>
      <c r="G3304"/>
      <c r="H3304"/>
      <c r="L3304"/>
      <c r="O3304"/>
    </row>
    <row r="3305" spans="3:15" x14ac:dyDescent="0.25">
      <c r="C3305"/>
      <c r="F3305"/>
      <c r="G3305"/>
      <c r="H3305"/>
      <c r="L3305"/>
      <c r="O3305"/>
    </row>
    <row r="3306" spans="3:15" x14ac:dyDescent="0.25">
      <c r="C3306"/>
      <c r="F3306"/>
      <c r="G3306"/>
      <c r="H3306"/>
      <c r="L3306"/>
      <c r="O3306"/>
    </row>
    <row r="3307" spans="3:15" x14ac:dyDescent="0.25">
      <c r="C3307"/>
      <c r="F3307"/>
      <c r="G3307"/>
      <c r="H3307"/>
      <c r="L3307"/>
      <c r="O3307"/>
    </row>
    <row r="3308" spans="3:15" x14ac:dyDescent="0.25">
      <c r="C3308"/>
      <c r="F3308"/>
      <c r="G3308"/>
      <c r="H3308"/>
      <c r="L3308"/>
      <c r="O3308"/>
    </row>
    <row r="3309" spans="3:15" x14ac:dyDescent="0.25">
      <c r="C3309"/>
      <c r="F3309"/>
      <c r="G3309"/>
      <c r="H3309"/>
      <c r="L3309"/>
      <c r="O3309"/>
    </row>
    <row r="3310" spans="3:15" x14ac:dyDescent="0.25">
      <c r="C3310"/>
      <c r="F3310"/>
      <c r="G3310"/>
      <c r="H3310"/>
      <c r="L3310"/>
      <c r="O3310"/>
    </row>
    <row r="3311" spans="3:15" x14ac:dyDescent="0.25">
      <c r="C3311"/>
      <c r="F3311"/>
      <c r="G3311"/>
      <c r="H3311"/>
      <c r="L3311"/>
      <c r="O3311"/>
    </row>
    <row r="3312" spans="3:15" x14ac:dyDescent="0.25">
      <c r="C3312"/>
      <c r="F3312"/>
      <c r="G3312"/>
      <c r="H3312"/>
      <c r="L3312"/>
      <c r="O3312"/>
    </row>
    <row r="3313" spans="3:15" x14ac:dyDescent="0.25">
      <c r="C3313"/>
      <c r="F3313"/>
      <c r="G3313"/>
      <c r="H3313"/>
      <c r="L3313"/>
      <c r="O3313"/>
    </row>
    <row r="3314" spans="3:15" x14ac:dyDescent="0.25">
      <c r="C3314"/>
      <c r="F3314"/>
      <c r="G3314"/>
      <c r="H3314"/>
      <c r="L3314"/>
      <c r="O3314"/>
    </row>
    <row r="3315" spans="3:15" x14ac:dyDescent="0.25">
      <c r="C3315"/>
      <c r="F3315"/>
      <c r="G3315"/>
      <c r="H3315"/>
      <c r="L3315"/>
      <c r="O3315"/>
    </row>
    <row r="3316" spans="3:15" x14ac:dyDescent="0.25">
      <c r="C3316"/>
      <c r="F3316"/>
      <c r="G3316"/>
      <c r="H3316"/>
      <c r="L3316"/>
      <c r="O3316"/>
    </row>
    <row r="3317" spans="3:15" x14ac:dyDescent="0.25">
      <c r="C3317"/>
      <c r="F3317"/>
      <c r="G3317"/>
      <c r="H3317"/>
      <c r="L3317"/>
      <c r="O3317"/>
    </row>
    <row r="3318" spans="3:15" x14ac:dyDescent="0.25">
      <c r="C3318"/>
      <c r="F3318"/>
      <c r="G3318"/>
      <c r="H3318"/>
      <c r="L3318"/>
      <c r="O3318"/>
    </row>
    <row r="3319" spans="3:15" x14ac:dyDescent="0.25">
      <c r="C3319"/>
      <c r="F3319"/>
      <c r="G3319"/>
      <c r="H3319"/>
      <c r="L3319"/>
      <c r="O3319"/>
    </row>
    <row r="3320" spans="3:15" x14ac:dyDescent="0.25">
      <c r="C3320"/>
      <c r="F3320"/>
      <c r="G3320"/>
      <c r="H3320"/>
      <c r="L3320"/>
      <c r="O3320"/>
    </row>
    <row r="3321" spans="3:15" x14ac:dyDescent="0.25">
      <c r="C3321"/>
      <c r="F3321"/>
      <c r="G3321"/>
      <c r="H3321"/>
      <c r="L3321"/>
      <c r="O3321"/>
    </row>
    <row r="3322" spans="3:15" x14ac:dyDescent="0.25">
      <c r="C3322"/>
      <c r="F3322"/>
      <c r="G3322"/>
      <c r="H3322"/>
      <c r="L3322"/>
      <c r="O3322"/>
    </row>
    <row r="3323" spans="3:15" x14ac:dyDescent="0.25">
      <c r="C3323"/>
      <c r="F3323"/>
      <c r="G3323"/>
      <c r="H3323"/>
      <c r="L3323"/>
      <c r="O3323"/>
    </row>
    <row r="3324" spans="3:15" x14ac:dyDescent="0.25">
      <c r="C3324"/>
      <c r="F3324"/>
      <c r="G3324"/>
      <c r="H3324"/>
      <c r="L3324"/>
      <c r="O3324"/>
    </row>
    <row r="3325" spans="3:15" x14ac:dyDescent="0.25">
      <c r="C3325"/>
      <c r="F3325"/>
      <c r="G3325"/>
      <c r="H3325"/>
      <c r="L3325"/>
      <c r="O3325"/>
    </row>
    <row r="3326" spans="3:15" x14ac:dyDescent="0.25">
      <c r="C3326"/>
      <c r="F3326"/>
      <c r="G3326"/>
      <c r="H3326"/>
      <c r="L3326"/>
      <c r="O3326"/>
    </row>
    <row r="3327" spans="3:15" x14ac:dyDescent="0.25">
      <c r="C3327"/>
      <c r="F3327"/>
      <c r="G3327"/>
      <c r="H3327"/>
      <c r="L3327"/>
      <c r="O3327"/>
    </row>
    <row r="3328" spans="3:15" x14ac:dyDescent="0.25">
      <c r="C3328"/>
      <c r="F3328"/>
      <c r="G3328"/>
      <c r="H3328"/>
      <c r="L3328"/>
      <c r="O3328"/>
    </row>
    <row r="3329" spans="3:15" x14ac:dyDescent="0.25">
      <c r="C3329"/>
      <c r="F3329"/>
      <c r="G3329"/>
      <c r="H3329"/>
      <c r="L3329"/>
      <c r="O3329"/>
    </row>
    <row r="3330" spans="3:15" x14ac:dyDescent="0.25">
      <c r="C3330"/>
      <c r="F3330"/>
      <c r="G3330"/>
      <c r="H3330"/>
      <c r="L3330"/>
      <c r="O3330"/>
    </row>
    <row r="3331" spans="3:15" x14ac:dyDescent="0.25">
      <c r="C3331"/>
      <c r="F3331"/>
      <c r="G3331"/>
      <c r="H3331"/>
      <c r="L3331"/>
      <c r="O3331"/>
    </row>
    <row r="3332" spans="3:15" x14ac:dyDescent="0.25">
      <c r="C3332"/>
      <c r="F3332"/>
      <c r="G3332"/>
      <c r="H3332"/>
      <c r="L3332"/>
      <c r="O3332"/>
    </row>
    <row r="3333" spans="3:15" x14ac:dyDescent="0.25">
      <c r="C3333"/>
      <c r="F3333"/>
      <c r="G3333"/>
      <c r="H3333"/>
      <c r="L3333"/>
      <c r="O3333"/>
    </row>
    <row r="3334" spans="3:15" x14ac:dyDescent="0.25">
      <c r="C3334"/>
      <c r="F3334"/>
      <c r="G3334"/>
      <c r="H3334"/>
      <c r="L3334"/>
      <c r="O3334"/>
    </row>
    <row r="3335" spans="3:15" x14ac:dyDescent="0.25">
      <c r="C3335"/>
      <c r="F3335"/>
      <c r="G3335"/>
      <c r="H3335"/>
      <c r="L3335"/>
      <c r="O3335"/>
    </row>
    <row r="3336" spans="3:15" x14ac:dyDescent="0.25">
      <c r="C3336"/>
      <c r="F3336"/>
      <c r="G3336"/>
      <c r="H3336"/>
      <c r="L3336"/>
      <c r="O3336"/>
    </row>
    <row r="3337" spans="3:15" x14ac:dyDescent="0.25">
      <c r="C3337"/>
      <c r="F3337"/>
      <c r="G3337"/>
      <c r="H3337"/>
      <c r="L3337"/>
      <c r="O3337"/>
    </row>
    <row r="3338" spans="3:15" x14ac:dyDescent="0.25">
      <c r="C3338"/>
      <c r="F3338"/>
      <c r="G3338"/>
      <c r="H3338"/>
      <c r="L3338"/>
      <c r="O3338"/>
    </row>
    <row r="3339" spans="3:15" x14ac:dyDescent="0.25">
      <c r="C3339"/>
      <c r="F3339"/>
      <c r="G3339"/>
      <c r="H3339"/>
      <c r="L3339"/>
      <c r="O3339"/>
    </row>
    <row r="3340" spans="3:15" x14ac:dyDescent="0.25">
      <c r="C3340"/>
      <c r="F3340"/>
      <c r="G3340"/>
      <c r="H3340"/>
      <c r="L3340"/>
      <c r="O3340"/>
    </row>
    <row r="3341" spans="3:15" x14ac:dyDescent="0.25">
      <c r="C3341"/>
      <c r="F3341"/>
      <c r="G3341"/>
      <c r="H3341"/>
      <c r="L3341"/>
      <c r="O3341"/>
    </row>
    <row r="3342" spans="3:15" x14ac:dyDescent="0.25">
      <c r="C3342"/>
      <c r="F3342"/>
      <c r="G3342"/>
      <c r="H3342"/>
      <c r="L3342"/>
      <c r="O3342"/>
    </row>
    <row r="3343" spans="3:15" x14ac:dyDescent="0.25">
      <c r="C3343"/>
      <c r="F3343"/>
      <c r="G3343"/>
      <c r="H3343"/>
      <c r="L3343"/>
      <c r="O3343"/>
    </row>
    <row r="3344" spans="3:15" x14ac:dyDescent="0.25">
      <c r="C3344"/>
      <c r="F3344"/>
      <c r="G3344"/>
      <c r="H3344"/>
      <c r="L3344"/>
      <c r="O3344"/>
    </row>
    <row r="3345" spans="3:15" x14ac:dyDescent="0.25">
      <c r="C3345"/>
      <c r="F3345"/>
      <c r="G3345"/>
      <c r="H3345"/>
      <c r="L3345"/>
      <c r="O3345"/>
    </row>
    <row r="3346" spans="3:15" x14ac:dyDescent="0.25">
      <c r="C3346"/>
      <c r="F3346"/>
      <c r="G3346"/>
      <c r="H3346"/>
      <c r="L3346"/>
      <c r="O3346"/>
    </row>
    <row r="3347" spans="3:15" x14ac:dyDescent="0.25">
      <c r="C3347"/>
      <c r="F3347"/>
      <c r="G3347"/>
      <c r="H3347"/>
      <c r="L3347"/>
      <c r="O3347"/>
    </row>
    <row r="3348" spans="3:15" x14ac:dyDescent="0.25">
      <c r="C3348"/>
      <c r="F3348"/>
      <c r="G3348"/>
      <c r="H3348"/>
      <c r="L3348"/>
      <c r="O3348"/>
    </row>
    <row r="3349" spans="3:15" x14ac:dyDescent="0.25">
      <c r="C3349"/>
      <c r="F3349"/>
      <c r="G3349"/>
      <c r="H3349"/>
      <c r="L3349"/>
      <c r="O3349"/>
    </row>
    <row r="3350" spans="3:15" x14ac:dyDescent="0.25">
      <c r="C3350"/>
      <c r="F3350"/>
      <c r="G3350"/>
      <c r="H3350"/>
      <c r="L3350"/>
      <c r="O3350"/>
    </row>
    <row r="3351" spans="3:15" x14ac:dyDescent="0.25">
      <c r="C3351"/>
      <c r="F3351"/>
      <c r="G3351"/>
      <c r="H3351"/>
      <c r="L3351"/>
      <c r="O3351"/>
    </row>
    <row r="3352" spans="3:15" x14ac:dyDescent="0.25">
      <c r="C3352"/>
      <c r="F3352"/>
      <c r="G3352"/>
      <c r="H3352"/>
      <c r="L3352"/>
      <c r="O3352"/>
    </row>
    <row r="3353" spans="3:15" x14ac:dyDescent="0.25">
      <c r="C3353"/>
      <c r="F3353"/>
      <c r="G3353"/>
      <c r="H3353"/>
      <c r="L3353"/>
      <c r="O3353"/>
    </row>
    <row r="3354" spans="3:15" x14ac:dyDescent="0.25">
      <c r="C3354"/>
      <c r="F3354"/>
      <c r="G3354"/>
      <c r="H3354"/>
      <c r="L3354"/>
      <c r="O3354"/>
    </row>
    <row r="3355" spans="3:15" x14ac:dyDescent="0.25">
      <c r="C3355"/>
      <c r="F3355"/>
      <c r="G3355"/>
      <c r="H3355"/>
      <c r="L3355"/>
      <c r="O3355"/>
    </row>
    <row r="3356" spans="3:15" x14ac:dyDescent="0.25">
      <c r="C3356"/>
      <c r="F3356"/>
      <c r="G3356"/>
      <c r="H3356"/>
      <c r="L3356"/>
      <c r="O3356"/>
    </row>
    <row r="3357" spans="3:15" x14ac:dyDescent="0.25">
      <c r="C3357"/>
      <c r="F3357"/>
      <c r="G3357"/>
      <c r="H3357"/>
      <c r="L3357"/>
      <c r="O3357"/>
    </row>
    <row r="3358" spans="3:15" x14ac:dyDescent="0.25">
      <c r="C3358"/>
      <c r="F3358"/>
      <c r="G3358"/>
      <c r="H3358"/>
      <c r="L3358"/>
      <c r="O3358"/>
    </row>
    <row r="3359" spans="3:15" x14ac:dyDescent="0.25">
      <c r="C3359"/>
      <c r="F3359"/>
      <c r="G3359"/>
      <c r="H3359"/>
      <c r="L3359"/>
      <c r="O3359"/>
    </row>
    <row r="3360" spans="3:15" x14ac:dyDescent="0.25">
      <c r="C3360"/>
      <c r="F3360"/>
      <c r="G3360"/>
      <c r="H3360"/>
      <c r="L3360"/>
      <c r="O3360"/>
    </row>
    <row r="3361" spans="3:15" x14ac:dyDescent="0.25">
      <c r="C3361"/>
      <c r="F3361"/>
      <c r="G3361"/>
      <c r="H3361"/>
      <c r="L3361"/>
      <c r="O3361"/>
    </row>
    <row r="3362" spans="3:15" x14ac:dyDescent="0.25">
      <c r="C3362"/>
      <c r="F3362"/>
      <c r="G3362"/>
      <c r="H3362"/>
      <c r="L3362"/>
      <c r="O3362"/>
    </row>
    <row r="3363" spans="3:15" x14ac:dyDescent="0.25">
      <c r="C3363"/>
      <c r="F3363"/>
      <c r="G3363"/>
      <c r="H3363"/>
      <c r="L3363"/>
      <c r="O3363"/>
    </row>
    <row r="3364" spans="3:15" x14ac:dyDescent="0.25">
      <c r="C3364"/>
      <c r="F3364"/>
      <c r="G3364"/>
      <c r="H3364"/>
      <c r="L3364"/>
      <c r="O3364"/>
    </row>
    <row r="3365" spans="3:15" x14ac:dyDescent="0.25">
      <c r="C3365"/>
      <c r="F3365"/>
      <c r="G3365"/>
      <c r="H3365"/>
      <c r="L3365"/>
      <c r="O3365"/>
    </row>
    <row r="3366" spans="3:15" x14ac:dyDescent="0.25">
      <c r="C3366"/>
      <c r="F3366"/>
      <c r="G3366"/>
      <c r="H3366"/>
      <c r="L3366"/>
      <c r="O3366"/>
    </row>
    <row r="3367" spans="3:15" x14ac:dyDescent="0.25">
      <c r="C3367"/>
      <c r="F3367"/>
      <c r="G3367"/>
      <c r="H3367"/>
      <c r="L3367"/>
      <c r="O3367"/>
    </row>
    <row r="3368" spans="3:15" x14ac:dyDescent="0.25">
      <c r="C3368"/>
      <c r="F3368"/>
      <c r="G3368"/>
      <c r="H3368"/>
      <c r="L3368"/>
      <c r="O3368"/>
    </row>
    <row r="3369" spans="3:15" x14ac:dyDescent="0.25">
      <c r="C3369"/>
      <c r="F3369"/>
      <c r="G3369"/>
      <c r="H3369"/>
      <c r="L3369"/>
      <c r="O3369"/>
    </row>
    <row r="3370" spans="3:15" x14ac:dyDescent="0.25">
      <c r="C3370"/>
      <c r="F3370"/>
      <c r="G3370"/>
      <c r="H3370"/>
      <c r="L3370"/>
      <c r="O3370"/>
    </row>
    <row r="3371" spans="3:15" x14ac:dyDescent="0.25">
      <c r="C3371"/>
      <c r="F3371"/>
      <c r="G3371"/>
      <c r="H3371"/>
      <c r="L3371"/>
      <c r="O3371"/>
    </row>
    <row r="3372" spans="3:15" x14ac:dyDescent="0.25">
      <c r="C3372"/>
      <c r="F3372"/>
      <c r="G3372"/>
      <c r="H3372"/>
      <c r="L3372"/>
      <c r="O3372"/>
    </row>
    <row r="3373" spans="3:15" x14ac:dyDescent="0.25">
      <c r="C3373"/>
      <c r="F3373"/>
      <c r="G3373"/>
      <c r="H3373"/>
      <c r="L3373"/>
      <c r="O3373"/>
    </row>
    <row r="3374" spans="3:15" x14ac:dyDescent="0.25">
      <c r="C3374"/>
      <c r="F3374"/>
      <c r="G3374"/>
      <c r="H3374"/>
      <c r="L3374"/>
      <c r="O3374"/>
    </row>
    <row r="3375" spans="3:15" x14ac:dyDescent="0.25">
      <c r="C3375"/>
      <c r="F3375"/>
      <c r="G3375"/>
      <c r="H3375"/>
      <c r="L3375"/>
      <c r="O3375"/>
    </row>
    <row r="3376" spans="3:15" x14ac:dyDescent="0.25">
      <c r="C3376"/>
      <c r="F3376"/>
      <c r="G3376"/>
      <c r="H3376"/>
      <c r="L3376"/>
      <c r="O3376"/>
    </row>
    <row r="3377" spans="3:15" x14ac:dyDescent="0.25">
      <c r="C3377"/>
      <c r="F3377"/>
      <c r="G3377"/>
      <c r="H3377"/>
      <c r="L3377"/>
      <c r="O3377"/>
    </row>
    <row r="3378" spans="3:15" x14ac:dyDescent="0.25">
      <c r="C3378"/>
      <c r="F3378"/>
      <c r="G3378"/>
      <c r="H3378"/>
      <c r="L3378"/>
      <c r="O3378"/>
    </row>
    <row r="3379" spans="3:15" x14ac:dyDescent="0.25">
      <c r="C3379"/>
      <c r="F3379"/>
      <c r="G3379"/>
      <c r="H3379"/>
      <c r="L3379"/>
      <c r="O3379"/>
    </row>
    <row r="3380" spans="3:15" x14ac:dyDescent="0.25">
      <c r="C3380"/>
      <c r="F3380"/>
      <c r="G3380"/>
      <c r="H3380"/>
      <c r="L3380"/>
      <c r="O3380"/>
    </row>
    <row r="3381" spans="3:15" x14ac:dyDescent="0.25">
      <c r="C3381"/>
      <c r="F3381"/>
      <c r="G3381"/>
      <c r="H3381"/>
      <c r="L3381"/>
      <c r="O3381"/>
    </row>
    <row r="3382" spans="3:15" x14ac:dyDescent="0.25">
      <c r="C3382"/>
      <c r="F3382"/>
      <c r="G3382"/>
      <c r="H3382"/>
      <c r="L3382"/>
      <c r="O3382"/>
    </row>
    <row r="3383" spans="3:15" x14ac:dyDescent="0.25">
      <c r="C3383"/>
      <c r="F3383"/>
      <c r="G3383"/>
      <c r="H3383"/>
      <c r="L3383"/>
      <c r="O3383"/>
    </row>
    <row r="3384" spans="3:15" x14ac:dyDescent="0.25">
      <c r="C3384"/>
      <c r="F3384"/>
      <c r="G3384"/>
      <c r="H3384"/>
      <c r="L3384"/>
      <c r="O3384"/>
    </row>
    <row r="3385" spans="3:15" x14ac:dyDescent="0.25">
      <c r="C3385"/>
      <c r="F3385"/>
      <c r="G3385"/>
      <c r="H3385"/>
      <c r="L3385"/>
      <c r="O3385"/>
    </row>
    <row r="3386" spans="3:15" x14ac:dyDescent="0.25">
      <c r="C3386"/>
      <c r="F3386"/>
      <c r="G3386"/>
      <c r="H3386"/>
      <c r="L3386"/>
      <c r="O3386"/>
    </row>
    <row r="3387" spans="3:15" x14ac:dyDescent="0.25">
      <c r="C3387"/>
      <c r="F3387"/>
      <c r="G3387"/>
      <c r="H3387"/>
      <c r="L3387"/>
      <c r="O3387"/>
    </row>
    <row r="3388" spans="3:15" x14ac:dyDescent="0.25">
      <c r="C3388"/>
      <c r="F3388"/>
      <c r="G3388"/>
      <c r="H3388"/>
      <c r="L3388"/>
      <c r="O3388"/>
    </row>
    <row r="3389" spans="3:15" x14ac:dyDescent="0.25">
      <c r="C3389"/>
      <c r="F3389"/>
      <c r="G3389"/>
      <c r="H3389"/>
      <c r="L3389"/>
      <c r="O3389"/>
    </row>
    <row r="3390" spans="3:15" x14ac:dyDescent="0.25">
      <c r="C3390"/>
      <c r="F3390"/>
      <c r="G3390"/>
      <c r="H3390"/>
      <c r="L3390"/>
      <c r="O3390"/>
    </row>
    <row r="3391" spans="3:15" x14ac:dyDescent="0.25">
      <c r="C3391"/>
      <c r="F3391"/>
      <c r="G3391"/>
      <c r="H3391"/>
      <c r="L3391"/>
      <c r="O3391"/>
    </row>
    <row r="3392" spans="3:15" x14ac:dyDescent="0.25">
      <c r="C3392"/>
      <c r="F3392"/>
      <c r="G3392"/>
      <c r="H3392"/>
      <c r="L3392"/>
      <c r="O3392"/>
    </row>
    <row r="3393" spans="3:15" x14ac:dyDescent="0.25">
      <c r="C3393"/>
      <c r="F3393"/>
      <c r="G3393"/>
      <c r="H3393"/>
      <c r="L3393"/>
      <c r="O3393"/>
    </row>
    <row r="3394" spans="3:15" x14ac:dyDescent="0.25">
      <c r="C3394"/>
      <c r="F3394"/>
      <c r="G3394"/>
      <c r="H3394"/>
      <c r="L3394"/>
      <c r="O3394"/>
    </row>
    <row r="3395" spans="3:15" x14ac:dyDescent="0.25">
      <c r="C3395"/>
      <c r="F3395"/>
      <c r="G3395"/>
      <c r="H3395"/>
      <c r="L3395"/>
      <c r="O3395"/>
    </row>
    <row r="3396" spans="3:15" x14ac:dyDescent="0.25">
      <c r="C3396"/>
      <c r="F3396"/>
      <c r="G3396"/>
      <c r="H3396"/>
      <c r="L3396"/>
      <c r="O3396"/>
    </row>
    <row r="3397" spans="3:15" x14ac:dyDescent="0.25">
      <c r="C3397"/>
      <c r="F3397"/>
      <c r="G3397"/>
      <c r="H3397"/>
      <c r="L3397"/>
      <c r="O3397"/>
    </row>
    <row r="3398" spans="3:15" x14ac:dyDescent="0.25">
      <c r="C3398"/>
      <c r="F3398"/>
      <c r="G3398"/>
      <c r="H3398"/>
      <c r="L3398"/>
      <c r="O3398"/>
    </row>
    <row r="3399" spans="3:15" x14ac:dyDescent="0.25">
      <c r="C3399"/>
      <c r="F3399"/>
      <c r="G3399"/>
      <c r="H3399"/>
      <c r="L3399"/>
      <c r="O3399"/>
    </row>
    <row r="3400" spans="3:15" x14ac:dyDescent="0.25">
      <c r="C3400"/>
      <c r="F3400"/>
      <c r="G3400"/>
      <c r="H3400"/>
      <c r="L3400"/>
      <c r="O3400"/>
    </row>
    <row r="3401" spans="3:15" x14ac:dyDescent="0.25">
      <c r="C3401"/>
      <c r="F3401"/>
      <c r="G3401"/>
      <c r="H3401"/>
      <c r="L3401"/>
      <c r="O3401"/>
    </row>
    <row r="3402" spans="3:15" x14ac:dyDescent="0.25">
      <c r="C3402"/>
      <c r="F3402"/>
      <c r="G3402"/>
      <c r="H3402"/>
      <c r="L3402"/>
      <c r="O3402"/>
    </row>
    <row r="3403" spans="3:15" x14ac:dyDescent="0.25">
      <c r="C3403"/>
      <c r="F3403"/>
      <c r="G3403"/>
      <c r="H3403"/>
      <c r="L3403"/>
      <c r="O3403"/>
    </row>
    <row r="3404" spans="3:15" x14ac:dyDescent="0.25">
      <c r="C3404"/>
      <c r="F3404"/>
      <c r="G3404"/>
      <c r="H3404"/>
      <c r="L3404"/>
      <c r="O3404"/>
    </row>
    <row r="3405" spans="3:15" x14ac:dyDescent="0.25">
      <c r="C3405"/>
      <c r="F3405"/>
      <c r="G3405"/>
      <c r="H3405"/>
      <c r="L3405"/>
      <c r="O3405"/>
    </row>
    <row r="3406" spans="3:15" x14ac:dyDescent="0.25">
      <c r="C3406"/>
      <c r="F3406"/>
      <c r="G3406"/>
      <c r="H3406"/>
      <c r="L3406"/>
      <c r="O3406"/>
    </row>
    <row r="3407" spans="3:15" x14ac:dyDescent="0.25">
      <c r="C3407"/>
      <c r="F3407"/>
      <c r="G3407"/>
      <c r="H3407"/>
      <c r="L3407"/>
      <c r="O3407"/>
    </row>
    <row r="3408" spans="3:15" x14ac:dyDescent="0.25">
      <c r="C3408"/>
      <c r="F3408"/>
      <c r="G3408"/>
      <c r="H3408"/>
      <c r="L3408"/>
      <c r="O3408"/>
    </row>
    <row r="3409" spans="3:15" x14ac:dyDescent="0.25">
      <c r="C3409"/>
      <c r="F3409"/>
      <c r="G3409"/>
      <c r="H3409"/>
      <c r="L3409"/>
      <c r="O3409"/>
    </row>
    <row r="3410" spans="3:15" x14ac:dyDescent="0.25">
      <c r="C3410"/>
      <c r="F3410"/>
      <c r="G3410"/>
      <c r="H3410"/>
      <c r="L3410"/>
      <c r="O3410"/>
    </row>
    <row r="3411" spans="3:15" x14ac:dyDescent="0.25">
      <c r="C3411"/>
      <c r="F3411"/>
      <c r="G3411"/>
      <c r="H3411"/>
      <c r="L3411"/>
      <c r="O3411"/>
    </row>
    <row r="3412" spans="3:15" x14ac:dyDescent="0.25">
      <c r="C3412"/>
      <c r="F3412"/>
      <c r="G3412"/>
      <c r="H3412"/>
      <c r="L3412"/>
      <c r="O3412"/>
    </row>
    <row r="3413" spans="3:15" x14ac:dyDescent="0.25">
      <c r="C3413"/>
      <c r="F3413"/>
      <c r="G3413"/>
      <c r="H3413"/>
      <c r="L3413"/>
      <c r="O3413"/>
    </row>
    <row r="3414" spans="3:15" x14ac:dyDescent="0.25">
      <c r="C3414"/>
      <c r="F3414"/>
      <c r="G3414"/>
      <c r="H3414"/>
      <c r="L3414"/>
      <c r="O3414"/>
    </row>
    <row r="3415" spans="3:15" x14ac:dyDescent="0.25">
      <c r="C3415"/>
      <c r="F3415"/>
      <c r="G3415"/>
      <c r="H3415"/>
      <c r="L3415"/>
      <c r="O3415"/>
    </row>
    <row r="3416" spans="3:15" x14ac:dyDescent="0.25">
      <c r="C3416"/>
      <c r="F3416"/>
      <c r="G3416"/>
      <c r="H3416"/>
      <c r="L3416"/>
      <c r="O3416"/>
    </row>
    <row r="3417" spans="3:15" x14ac:dyDescent="0.25">
      <c r="C3417"/>
      <c r="F3417"/>
      <c r="G3417"/>
      <c r="H3417"/>
      <c r="L3417"/>
      <c r="O3417"/>
    </row>
    <row r="3418" spans="3:15" x14ac:dyDescent="0.25">
      <c r="C3418"/>
      <c r="F3418"/>
      <c r="G3418"/>
      <c r="H3418"/>
      <c r="L3418"/>
      <c r="O3418"/>
    </row>
    <row r="3419" spans="3:15" x14ac:dyDescent="0.25">
      <c r="C3419"/>
      <c r="F3419"/>
      <c r="G3419"/>
      <c r="H3419"/>
      <c r="L3419"/>
      <c r="O3419"/>
    </row>
    <row r="3420" spans="3:15" x14ac:dyDescent="0.25">
      <c r="C3420"/>
      <c r="F3420"/>
      <c r="G3420"/>
      <c r="H3420"/>
      <c r="L3420"/>
      <c r="O3420"/>
    </row>
    <row r="3421" spans="3:15" x14ac:dyDescent="0.25">
      <c r="C3421"/>
      <c r="F3421"/>
      <c r="G3421"/>
      <c r="H3421"/>
      <c r="L3421"/>
      <c r="O3421"/>
    </row>
    <row r="3422" spans="3:15" x14ac:dyDescent="0.25">
      <c r="C3422"/>
      <c r="F3422"/>
      <c r="G3422"/>
      <c r="H3422"/>
      <c r="L3422"/>
      <c r="O3422"/>
    </row>
    <row r="3423" spans="3:15" x14ac:dyDescent="0.25">
      <c r="C3423"/>
      <c r="F3423"/>
      <c r="G3423"/>
      <c r="H3423"/>
      <c r="L3423"/>
      <c r="O3423"/>
    </row>
    <row r="3424" spans="3:15" x14ac:dyDescent="0.25">
      <c r="C3424"/>
      <c r="F3424"/>
      <c r="G3424"/>
      <c r="H3424"/>
      <c r="L3424"/>
      <c r="O3424"/>
    </row>
    <row r="3425" spans="3:15" x14ac:dyDescent="0.25">
      <c r="C3425"/>
      <c r="F3425"/>
      <c r="G3425"/>
      <c r="H3425"/>
      <c r="L3425"/>
      <c r="O3425"/>
    </row>
    <row r="3426" spans="3:15" x14ac:dyDescent="0.25">
      <c r="C3426"/>
      <c r="F3426"/>
      <c r="G3426"/>
      <c r="H3426"/>
      <c r="L3426"/>
      <c r="O3426"/>
    </row>
    <row r="3427" spans="3:15" x14ac:dyDescent="0.25">
      <c r="C3427"/>
      <c r="F3427"/>
      <c r="G3427"/>
      <c r="H3427"/>
      <c r="L3427"/>
      <c r="O3427"/>
    </row>
    <row r="3428" spans="3:15" x14ac:dyDescent="0.25">
      <c r="C3428"/>
      <c r="F3428"/>
      <c r="G3428"/>
      <c r="H3428"/>
      <c r="L3428"/>
      <c r="O3428"/>
    </row>
    <row r="3429" spans="3:15" x14ac:dyDescent="0.25">
      <c r="C3429"/>
      <c r="F3429"/>
      <c r="G3429"/>
      <c r="H3429"/>
      <c r="L3429"/>
      <c r="O3429"/>
    </row>
    <row r="3430" spans="3:15" x14ac:dyDescent="0.25">
      <c r="C3430"/>
      <c r="F3430"/>
      <c r="G3430"/>
      <c r="H3430"/>
      <c r="L3430"/>
      <c r="O3430"/>
    </row>
    <row r="3431" spans="3:15" x14ac:dyDescent="0.25">
      <c r="C3431"/>
      <c r="F3431"/>
      <c r="G3431"/>
      <c r="H3431"/>
      <c r="L3431"/>
      <c r="O3431"/>
    </row>
    <row r="3432" spans="3:15" x14ac:dyDescent="0.25">
      <c r="C3432"/>
      <c r="F3432"/>
      <c r="G3432"/>
      <c r="H3432"/>
      <c r="L3432"/>
      <c r="O3432"/>
    </row>
    <row r="3433" spans="3:15" x14ac:dyDescent="0.25">
      <c r="C3433"/>
      <c r="F3433"/>
      <c r="G3433"/>
      <c r="H3433"/>
      <c r="L3433"/>
      <c r="O3433"/>
    </row>
    <row r="3434" spans="3:15" x14ac:dyDescent="0.25">
      <c r="C3434"/>
      <c r="F3434"/>
      <c r="G3434"/>
      <c r="H3434"/>
      <c r="L3434"/>
      <c r="O3434"/>
    </row>
    <row r="3435" spans="3:15" x14ac:dyDescent="0.25">
      <c r="C3435"/>
      <c r="F3435"/>
      <c r="G3435"/>
      <c r="H3435"/>
      <c r="L3435"/>
      <c r="O3435"/>
    </row>
    <row r="3436" spans="3:15" x14ac:dyDescent="0.25">
      <c r="C3436"/>
      <c r="F3436"/>
      <c r="G3436"/>
      <c r="H3436"/>
      <c r="L3436"/>
      <c r="O3436"/>
    </row>
    <row r="3437" spans="3:15" x14ac:dyDescent="0.25">
      <c r="C3437"/>
      <c r="F3437"/>
      <c r="G3437"/>
      <c r="H3437"/>
      <c r="L3437"/>
      <c r="O3437"/>
    </row>
    <row r="3438" spans="3:15" x14ac:dyDescent="0.25">
      <c r="C3438"/>
      <c r="F3438"/>
      <c r="G3438"/>
      <c r="H3438"/>
      <c r="L3438"/>
      <c r="O3438"/>
    </row>
    <row r="3439" spans="3:15" x14ac:dyDescent="0.25">
      <c r="C3439"/>
      <c r="F3439"/>
      <c r="G3439"/>
      <c r="H3439"/>
      <c r="L3439"/>
      <c r="O3439"/>
    </row>
    <row r="3440" spans="3:15" x14ac:dyDescent="0.25">
      <c r="C3440"/>
      <c r="F3440"/>
      <c r="G3440"/>
      <c r="H3440"/>
      <c r="L3440"/>
      <c r="O3440"/>
    </row>
    <row r="3441" spans="3:15" x14ac:dyDescent="0.25">
      <c r="C3441"/>
      <c r="F3441"/>
      <c r="G3441"/>
      <c r="H3441"/>
      <c r="L3441"/>
      <c r="O3441"/>
    </row>
    <row r="3442" spans="3:15" x14ac:dyDescent="0.25">
      <c r="C3442"/>
      <c r="F3442"/>
      <c r="G3442"/>
      <c r="H3442"/>
      <c r="L3442"/>
      <c r="O3442"/>
    </row>
    <row r="3443" spans="3:15" x14ac:dyDescent="0.25">
      <c r="C3443"/>
      <c r="F3443"/>
      <c r="G3443"/>
      <c r="H3443"/>
      <c r="L3443"/>
      <c r="O3443"/>
    </row>
    <row r="3444" spans="3:15" x14ac:dyDescent="0.25">
      <c r="C3444"/>
      <c r="F3444"/>
      <c r="G3444"/>
      <c r="H3444"/>
      <c r="L3444"/>
      <c r="O3444"/>
    </row>
    <row r="3445" spans="3:15" x14ac:dyDescent="0.25">
      <c r="C3445"/>
      <c r="F3445"/>
      <c r="G3445"/>
      <c r="H3445"/>
      <c r="L3445"/>
      <c r="O3445"/>
    </row>
    <row r="3446" spans="3:15" x14ac:dyDescent="0.25">
      <c r="C3446"/>
      <c r="F3446"/>
      <c r="G3446"/>
      <c r="H3446"/>
      <c r="L3446"/>
      <c r="O3446"/>
    </row>
    <row r="3447" spans="3:15" x14ac:dyDescent="0.25">
      <c r="C3447"/>
      <c r="F3447"/>
      <c r="G3447"/>
      <c r="H3447"/>
      <c r="L3447"/>
      <c r="O3447"/>
    </row>
    <row r="3448" spans="3:15" x14ac:dyDescent="0.25">
      <c r="C3448"/>
      <c r="F3448"/>
      <c r="G3448"/>
      <c r="H3448"/>
      <c r="L3448"/>
      <c r="O3448"/>
    </row>
    <row r="3449" spans="3:15" x14ac:dyDescent="0.25">
      <c r="C3449"/>
      <c r="F3449"/>
      <c r="G3449"/>
      <c r="H3449"/>
      <c r="L3449"/>
      <c r="O3449"/>
    </row>
    <row r="3450" spans="3:15" x14ac:dyDescent="0.25">
      <c r="C3450"/>
      <c r="F3450"/>
      <c r="G3450"/>
      <c r="H3450"/>
      <c r="L3450"/>
      <c r="O3450"/>
    </row>
    <row r="3451" spans="3:15" x14ac:dyDescent="0.25">
      <c r="C3451"/>
      <c r="F3451"/>
      <c r="G3451"/>
      <c r="H3451"/>
      <c r="L3451"/>
      <c r="O3451"/>
    </row>
    <row r="3452" spans="3:15" x14ac:dyDescent="0.25">
      <c r="C3452"/>
      <c r="F3452"/>
      <c r="G3452"/>
      <c r="H3452"/>
      <c r="L3452"/>
      <c r="O3452"/>
    </row>
    <row r="3453" spans="3:15" x14ac:dyDescent="0.25">
      <c r="C3453"/>
      <c r="F3453"/>
      <c r="G3453"/>
      <c r="H3453"/>
      <c r="L3453"/>
      <c r="O3453"/>
    </row>
    <row r="3454" spans="3:15" x14ac:dyDescent="0.25">
      <c r="C3454"/>
      <c r="F3454"/>
      <c r="G3454"/>
      <c r="H3454"/>
      <c r="L3454"/>
      <c r="O3454"/>
    </row>
    <row r="3455" spans="3:15" x14ac:dyDescent="0.25">
      <c r="C3455"/>
      <c r="F3455"/>
      <c r="G3455"/>
      <c r="H3455"/>
      <c r="L3455"/>
      <c r="O3455"/>
    </row>
    <row r="3456" spans="3:15" x14ac:dyDescent="0.25">
      <c r="C3456"/>
      <c r="F3456"/>
      <c r="G3456"/>
      <c r="H3456"/>
      <c r="L3456"/>
      <c r="O3456"/>
    </row>
    <row r="3457" spans="3:15" x14ac:dyDescent="0.25">
      <c r="C3457"/>
      <c r="F3457"/>
      <c r="G3457"/>
      <c r="H3457"/>
      <c r="L3457"/>
      <c r="O3457"/>
    </row>
    <row r="3458" spans="3:15" x14ac:dyDescent="0.25">
      <c r="C3458"/>
      <c r="F3458"/>
      <c r="G3458"/>
      <c r="H3458"/>
      <c r="L3458"/>
      <c r="O3458"/>
    </row>
    <row r="3459" spans="3:15" x14ac:dyDescent="0.25">
      <c r="C3459"/>
      <c r="F3459"/>
      <c r="G3459"/>
      <c r="H3459"/>
      <c r="L3459"/>
      <c r="O3459"/>
    </row>
    <row r="3460" spans="3:15" x14ac:dyDescent="0.25">
      <c r="C3460"/>
      <c r="F3460"/>
      <c r="G3460"/>
      <c r="H3460"/>
      <c r="L3460"/>
      <c r="O3460"/>
    </row>
    <row r="3461" spans="3:15" x14ac:dyDescent="0.25">
      <c r="C3461"/>
      <c r="F3461"/>
      <c r="G3461"/>
      <c r="H3461"/>
      <c r="L3461"/>
      <c r="O3461"/>
    </row>
    <row r="3462" spans="3:15" x14ac:dyDescent="0.25">
      <c r="C3462"/>
      <c r="F3462"/>
      <c r="G3462"/>
      <c r="H3462"/>
      <c r="L3462"/>
      <c r="O3462"/>
    </row>
    <row r="3463" spans="3:15" x14ac:dyDescent="0.25">
      <c r="C3463"/>
      <c r="F3463"/>
      <c r="G3463"/>
      <c r="H3463"/>
      <c r="L3463"/>
      <c r="O3463"/>
    </row>
    <row r="3464" spans="3:15" x14ac:dyDescent="0.25">
      <c r="C3464"/>
      <c r="F3464"/>
      <c r="G3464"/>
      <c r="H3464"/>
      <c r="L3464"/>
      <c r="O3464"/>
    </row>
    <row r="3465" spans="3:15" x14ac:dyDescent="0.25">
      <c r="C3465"/>
      <c r="F3465"/>
      <c r="G3465"/>
      <c r="H3465"/>
      <c r="L3465"/>
      <c r="O3465"/>
    </row>
    <row r="3466" spans="3:15" x14ac:dyDescent="0.25">
      <c r="C3466"/>
      <c r="F3466"/>
      <c r="G3466"/>
      <c r="H3466"/>
      <c r="L3466"/>
      <c r="O3466"/>
    </row>
    <row r="3467" spans="3:15" x14ac:dyDescent="0.25">
      <c r="C3467"/>
      <c r="F3467"/>
      <c r="G3467"/>
      <c r="H3467"/>
      <c r="L3467"/>
      <c r="O3467"/>
    </row>
    <row r="3468" spans="3:15" x14ac:dyDescent="0.25">
      <c r="C3468"/>
      <c r="F3468"/>
      <c r="G3468"/>
      <c r="H3468"/>
      <c r="L3468"/>
      <c r="O3468"/>
    </row>
    <row r="3469" spans="3:15" x14ac:dyDescent="0.25">
      <c r="C3469"/>
      <c r="F3469"/>
      <c r="G3469"/>
      <c r="H3469"/>
      <c r="L3469"/>
      <c r="O3469"/>
    </row>
    <row r="3470" spans="3:15" x14ac:dyDescent="0.25">
      <c r="C3470"/>
      <c r="F3470"/>
      <c r="G3470"/>
      <c r="H3470"/>
      <c r="L3470"/>
      <c r="O3470"/>
    </row>
    <row r="3471" spans="3:15" x14ac:dyDescent="0.25">
      <c r="C3471"/>
      <c r="F3471"/>
      <c r="G3471"/>
      <c r="H3471"/>
      <c r="L3471"/>
      <c r="O3471"/>
    </row>
    <row r="3472" spans="3:15" x14ac:dyDescent="0.25">
      <c r="C3472"/>
      <c r="F3472"/>
      <c r="G3472"/>
      <c r="H3472"/>
      <c r="L3472"/>
      <c r="O3472"/>
    </row>
    <row r="3473" spans="3:15" x14ac:dyDescent="0.25">
      <c r="C3473"/>
      <c r="F3473"/>
      <c r="G3473"/>
      <c r="H3473"/>
      <c r="L3473"/>
      <c r="O3473"/>
    </row>
    <row r="3474" spans="3:15" x14ac:dyDescent="0.25">
      <c r="C3474"/>
      <c r="F3474"/>
      <c r="G3474"/>
      <c r="H3474"/>
      <c r="L3474"/>
      <c r="O3474"/>
    </row>
    <row r="3475" spans="3:15" x14ac:dyDescent="0.25">
      <c r="C3475"/>
      <c r="F3475"/>
      <c r="G3475"/>
      <c r="H3475"/>
      <c r="L3475"/>
      <c r="O3475"/>
    </row>
    <row r="3476" spans="3:15" x14ac:dyDescent="0.25">
      <c r="C3476"/>
      <c r="F3476"/>
      <c r="G3476"/>
      <c r="H3476"/>
      <c r="L3476"/>
      <c r="O3476"/>
    </row>
    <row r="3477" spans="3:15" x14ac:dyDescent="0.25">
      <c r="C3477"/>
      <c r="F3477"/>
      <c r="G3477"/>
      <c r="H3477"/>
      <c r="L3477"/>
      <c r="O3477"/>
    </row>
    <row r="3478" spans="3:15" x14ac:dyDescent="0.25">
      <c r="C3478"/>
      <c r="F3478"/>
      <c r="G3478"/>
      <c r="H3478"/>
      <c r="L3478"/>
      <c r="O3478"/>
    </row>
    <row r="3479" spans="3:15" x14ac:dyDescent="0.25">
      <c r="C3479"/>
      <c r="F3479"/>
      <c r="G3479"/>
      <c r="H3479"/>
      <c r="L3479"/>
      <c r="O3479"/>
    </row>
    <row r="3480" spans="3:15" x14ac:dyDescent="0.25">
      <c r="C3480"/>
      <c r="F3480"/>
      <c r="G3480"/>
      <c r="H3480"/>
      <c r="L3480"/>
      <c r="O3480"/>
    </row>
    <row r="3481" spans="3:15" x14ac:dyDescent="0.25">
      <c r="C3481"/>
      <c r="F3481"/>
      <c r="G3481"/>
      <c r="H3481"/>
      <c r="L3481"/>
      <c r="O3481"/>
    </row>
    <row r="3482" spans="3:15" x14ac:dyDescent="0.25">
      <c r="C3482"/>
      <c r="F3482"/>
      <c r="G3482"/>
      <c r="H3482"/>
      <c r="L3482"/>
      <c r="O3482"/>
    </row>
    <row r="3483" spans="3:15" x14ac:dyDescent="0.25">
      <c r="C3483"/>
      <c r="F3483"/>
      <c r="G3483"/>
      <c r="H3483"/>
      <c r="L3483"/>
      <c r="O3483"/>
    </row>
    <row r="3484" spans="3:15" x14ac:dyDescent="0.25">
      <c r="C3484"/>
      <c r="F3484"/>
      <c r="G3484"/>
      <c r="H3484"/>
      <c r="L3484"/>
      <c r="O3484"/>
    </row>
    <row r="3485" spans="3:15" x14ac:dyDescent="0.25">
      <c r="C3485"/>
      <c r="F3485"/>
      <c r="G3485"/>
      <c r="H3485"/>
      <c r="L3485"/>
      <c r="O3485"/>
    </row>
    <row r="3486" spans="3:15" x14ac:dyDescent="0.25">
      <c r="C3486"/>
      <c r="F3486"/>
      <c r="G3486"/>
      <c r="H3486"/>
      <c r="L3486"/>
      <c r="O3486"/>
    </row>
    <row r="3487" spans="3:15" x14ac:dyDescent="0.25">
      <c r="C3487"/>
      <c r="F3487"/>
      <c r="G3487"/>
      <c r="H3487"/>
      <c r="L3487"/>
      <c r="O3487"/>
    </row>
    <row r="3488" spans="3:15" x14ac:dyDescent="0.25">
      <c r="C3488"/>
      <c r="F3488"/>
      <c r="G3488"/>
      <c r="H3488"/>
      <c r="L3488"/>
      <c r="O3488"/>
    </row>
    <row r="3489" spans="3:15" x14ac:dyDescent="0.25">
      <c r="C3489"/>
      <c r="F3489"/>
      <c r="G3489"/>
      <c r="H3489"/>
      <c r="L3489"/>
      <c r="O3489"/>
    </row>
    <row r="3490" spans="3:15" x14ac:dyDescent="0.25">
      <c r="C3490"/>
      <c r="F3490"/>
      <c r="G3490"/>
      <c r="H3490"/>
      <c r="L3490"/>
      <c r="O3490"/>
    </row>
    <row r="3491" spans="3:15" x14ac:dyDescent="0.25">
      <c r="C3491"/>
      <c r="F3491"/>
      <c r="G3491"/>
      <c r="H3491"/>
      <c r="L3491"/>
      <c r="O3491"/>
    </row>
    <row r="3492" spans="3:15" x14ac:dyDescent="0.25">
      <c r="C3492"/>
      <c r="F3492"/>
      <c r="G3492"/>
      <c r="H3492"/>
      <c r="L3492"/>
      <c r="O3492"/>
    </row>
    <row r="3493" spans="3:15" x14ac:dyDescent="0.25">
      <c r="C3493"/>
      <c r="F3493"/>
      <c r="G3493"/>
      <c r="H3493"/>
      <c r="L3493"/>
      <c r="O3493"/>
    </row>
    <row r="3494" spans="3:15" x14ac:dyDescent="0.25">
      <c r="C3494"/>
      <c r="F3494"/>
      <c r="G3494"/>
      <c r="H3494"/>
      <c r="L3494"/>
      <c r="O3494"/>
    </row>
    <row r="3495" spans="3:15" x14ac:dyDescent="0.25">
      <c r="C3495"/>
      <c r="F3495"/>
      <c r="G3495"/>
      <c r="H3495"/>
      <c r="L3495"/>
      <c r="O3495"/>
    </row>
    <row r="3496" spans="3:15" x14ac:dyDescent="0.25">
      <c r="C3496"/>
      <c r="F3496"/>
      <c r="G3496"/>
      <c r="H3496"/>
      <c r="L3496"/>
      <c r="O3496"/>
    </row>
    <row r="3497" spans="3:15" x14ac:dyDescent="0.25">
      <c r="C3497"/>
      <c r="F3497"/>
      <c r="G3497"/>
      <c r="H3497"/>
      <c r="L3497"/>
      <c r="O3497"/>
    </row>
    <row r="3498" spans="3:15" x14ac:dyDescent="0.25">
      <c r="C3498"/>
      <c r="F3498"/>
      <c r="G3498"/>
      <c r="H3498"/>
      <c r="L3498"/>
      <c r="O3498"/>
    </row>
    <row r="3499" spans="3:15" x14ac:dyDescent="0.25">
      <c r="C3499"/>
      <c r="F3499"/>
      <c r="G3499"/>
      <c r="H3499"/>
      <c r="L3499"/>
      <c r="O3499"/>
    </row>
    <row r="3500" spans="3:15" x14ac:dyDescent="0.25">
      <c r="C3500"/>
      <c r="F3500"/>
      <c r="G3500"/>
      <c r="H3500"/>
      <c r="L3500"/>
      <c r="O3500"/>
    </row>
    <row r="3501" spans="3:15" x14ac:dyDescent="0.25">
      <c r="C3501"/>
      <c r="F3501"/>
      <c r="G3501"/>
      <c r="H3501"/>
      <c r="L3501"/>
      <c r="O3501"/>
    </row>
    <row r="3502" spans="3:15" x14ac:dyDescent="0.25">
      <c r="C3502"/>
      <c r="F3502"/>
      <c r="G3502"/>
      <c r="H3502"/>
      <c r="L3502"/>
      <c r="O3502"/>
    </row>
    <row r="3503" spans="3:15" x14ac:dyDescent="0.25">
      <c r="C3503"/>
      <c r="F3503"/>
      <c r="G3503"/>
      <c r="H3503"/>
      <c r="L3503"/>
      <c r="O3503"/>
    </row>
    <row r="3504" spans="3:15" x14ac:dyDescent="0.25">
      <c r="C3504"/>
      <c r="F3504"/>
      <c r="G3504"/>
      <c r="H3504"/>
      <c r="L3504"/>
      <c r="O3504"/>
    </row>
    <row r="3505" spans="3:15" x14ac:dyDescent="0.25">
      <c r="C3505"/>
      <c r="F3505"/>
      <c r="G3505"/>
      <c r="H3505"/>
      <c r="L3505"/>
      <c r="O3505"/>
    </row>
    <row r="3506" spans="3:15" x14ac:dyDescent="0.25">
      <c r="C3506"/>
      <c r="F3506"/>
      <c r="G3506"/>
      <c r="H3506"/>
      <c r="L3506"/>
      <c r="O3506"/>
    </row>
    <row r="3507" spans="3:15" x14ac:dyDescent="0.25">
      <c r="C3507"/>
      <c r="F3507"/>
      <c r="G3507"/>
      <c r="H3507"/>
      <c r="L3507"/>
      <c r="O3507"/>
    </row>
    <row r="3508" spans="3:15" x14ac:dyDescent="0.25">
      <c r="C3508"/>
      <c r="F3508"/>
      <c r="G3508"/>
      <c r="H3508"/>
      <c r="L3508"/>
      <c r="O3508"/>
    </row>
    <row r="3509" spans="3:15" x14ac:dyDescent="0.25">
      <c r="C3509"/>
      <c r="F3509"/>
      <c r="G3509"/>
      <c r="H3509"/>
      <c r="L3509"/>
      <c r="O3509"/>
    </row>
    <row r="3510" spans="3:15" x14ac:dyDescent="0.25">
      <c r="C3510"/>
      <c r="F3510"/>
      <c r="G3510"/>
      <c r="H3510"/>
      <c r="L3510"/>
      <c r="O3510"/>
    </row>
    <row r="3511" spans="3:15" x14ac:dyDescent="0.25">
      <c r="C3511"/>
      <c r="F3511"/>
      <c r="G3511"/>
      <c r="H3511"/>
      <c r="L3511"/>
      <c r="O3511"/>
    </row>
    <row r="3512" spans="3:15" x14ac:dyDescent="0.25">
      <c r="C3512"/>
      <c r="F3512"/>
      <c r="G3512"/>
      <c r="H3512"/>
      <c r="L3512"/>
      <c r="O3512"/>
    </row>
    <row r="3513" spans="3:15" x14ac:dyDescent="0.25">
      <c r="C3513"/>
      <c r="F3513"/>
      <c r="G3513"/>
      <c r="H3513"/>
      <c r="L3513"/>
      <c r="O3513"/>
    </row>
    <row r="3514" spans="3:15" x14ac:dyDescent="0.25">
      <c r="C3514"/>
      <c r="F3514"/>
      <c r="G3514"/>
      <c r="H3514"/>
      <c r="L3514"/>
      <c r="O3514"/>
    </row>
    <row r="3515" spans="3:15" x14ac:dyDescent="0.25">
      <c r="C3515"/>
      <c r="F3515"/>
      <c r="G3515"/>
      <c r="H3515"/>
      <c r="L3515"/>
      <c r="O3515"/>
    </row>
    <row r="3516" spans="3:15" x14ac:dyDescent="0.25">
      <c r="C3516"/>
      <c r="F3516"/>
      <c r="G3516"/>
      <c r="H3516"/>
      <c r="L3516"/>
      <c r="O3516"/>
    </row>
    <row r="3517" spans="3:15" x14ac:dyDescent="0.25">
      <c r="C3517"/>
      <c r="F3517"/>
      <c r="G3517"/>
      <c r="H3517"/>
      <c r="L3517"/>
      <c r="O3517"/>
    </row>
    <row r="3518" spans="3:15" x14ac:dyDescent="0.25">
      <c r="C3518"/>
      <c r="F3518"/>
      <c r="G3518"/>
      <c r="H3518"/>
      <c r="L3518"/>
      <c r="O3518"/>
    </row>
    <row r="3519" spans="3:15" x14ac:dyDescent="0.25">
      <c r="C3519"/>
      <c r="F3519"/>
      <c r="G3519"/>
      <c r="H3519"/>
      <c r="L3519"/>
      <c r="O3519"/>
    </row>
    <row r="3520" spans="3:15" x14ac:dyDescent="0.25">
      <c r="C3520"/>
      <c r="F3520"/>
      <c r="G3520"/>
      <c r="H3520"/>
      <c r="L3520"/>
      <c r="O3520"/>
    </row>
    <row r="3521" spans="3:15" x14ac:dyDescent="0.25">
      <c r="C3521"/>
      <c r="F3521"/>
      <c r="G3521"/>
      <c r="H3521"/>
      <c r="L3521"/>
      <c r="O3521"/>
    </row>
    <row r="3522" spans="3:15" x14ac:dyDescent="0.25">
      <c r="C3522"/>
      <c r="F3522"/>
      <c r="G3522"/>
      <c r="H3522"/>
      <c r="L3522"/>
      <c r="O3522"/>
    </row>
    <row r="3523" spans="3:15" x14ac:dyDescent="0.25">
      <c r="C3523"/>
      <c r="F3523"/>
      <c r="G3523"/>
      <c r="H3523"/>
      <c r="L3523"/>
      <c r="O3523"/>
    </row>
    <row r="3524" spans="3:15" x14ac:dyDescent="0.25">
      <c r="C3524"/>
      <c r="F3524"/>
      <c r="G3524"/>
      <c r="H3524"/>
      <c r="L3524"/>
      <c r="O3524"/>
    </row>
    <row r="3525" spans="3:15" x14ac:dyDescent="0.25">
      <c r="C3525"/>
      <c r="F3525"/>
      <c r="G3525"/>
      <c r="H3525"/>
      <c r="L3525"/>
      <c r="O3525"/>
    </row>
    <row r="3526" spans="3:15" x14ac:dyDescent="0.25">
      <c r="C3526"/>
      <c r="F3526"/>
      <c r="G3526"/>
      <c r="H3526"/>
      <c r="L3526"/>
      <c r="O3526"/>
    </row>
    <row r="3527" spans="3:15" x14ac:dyDescent="0.25">
      <c r="C3527"/>
      <c r="F3527"/>
      <c r="G3527"/>
      <c r="H3527"/>
      <c r="L3527"/>
      <c r="O3527"/>
    </row>
    <row r="3528" spans="3:15" x14ac:dyDescent="0.25">
      <c r="C3528"/>
      <c r="F3528"/>
      <c r="G3528"/>
      <c r="H3528"/>
      <c r="L3528"/>
      <c r="O3528"/>
    </row>
    <row r="3529" spans="3:15" x14ac:dyDescent="0.25">
      <c r="C3529"/>
      <c r="F3529"/>
      <c r="G3529"/>
      <c r="H3529"/>
      <c r="L3529"/>
      <c r="O3529"/>
    </row>
    <row r="3530" spans="3:15" x14ac:dyDescent="0.25">
      <c r="C3530"/>
      <c r="F3530"/>
      <c r="G3530"/>
      <c r="H3530"/>
      <c r="L3530"/>
      <c r="O3530"/>
    </row>
    <row r="3531" spans="3:15" x14ac:dyDescent="0.25">
      <c r="C3531"/>
      <c r="F3531"/>
      <c r="G3531"/>
      <c r="H3531"/>
      <c r="L3531"/>
      <c r="O3531"/>
    </row>
    <row r="3532" spans="3:15" x14ac:dyDescent="0.25">
      <c r="C3532"/>
      <c r="F3532"/>
      <c r="G3532"/>
      <c r="H3532"/>
      <c r="L3532"/>
      <c r="O3532"/>
    </row>
    <row r="3533" spans="3:15" x14ac:dyDescent="0.25">
      <c r="C3533"/>
      <c r="F3533"/>
      <c r="G3533"/>
      <c r="H3533"/>
      <c r="L3533"/>
      <c r="O3533"/>
    </row>
    <row r="3534" spans="3:15" x14ac:dyDescent="0.25">
      <c r="C3534"/>
      <c r="F3534"/>
      <c r="G3534"/>
      <c r="H3534"/>
      <c r="L3534"/>
      <c r="O3534"/>
    </row>
    <row r="3535" spans="3:15" x14ac:dyDescent="0.25">
      <c r="C3535"/>
      <c r="F3535"/>
      <c r="G3535"/>
      <c r="H3535"/>
      <c r="L3535"/>
      <c r="O3535"/>
    </row>
    <row r="3536" spans="3:15" x14ac:dyDescent="0.25">
      <c r="C3536"/>
      <c r="F3536"/>
      <c r="G3536"/>
      <c r="H3536"/>
      <c r="L3536"/>
      <c r="O3536"/>
    </row>
    <row r="3537" spans="3:15" x14ac:dyDescent="0.25">
      <c r="C3537"/>
      <c r="F3537"/>
      <c r="G3537"/>
      <c r="H3537"/>
      <c r="L3537"/>
      <c r="O3537"/>
    </row>
    <row r="3538" spans="3:15" x14ac:dyDescent="0.25">
      <c r="C3538"/>
      <c r="F3538"/>
      <c r="G3538"/>
      <c r="H3538"/>
      <c r="L3538"/>
      <c r="O3538"/>
    </row>
    <row r="3539" spans="3:15" x14ac:dyDescent="0.25">
      <c r="C3539"/>
      <c r="F3539"/>
      <c r="G3539"/>
      <c r="H3539"/>
      <c r="L3539"/>
      <c r="O3539"/>
    </row>
    <row r="3540" spans="3:15" x14ac:dyDescent="0.25">
      <c r="C3540"/>
      <c r="F3540"/>
      <c r="G3540"/>
      <c r="H3540"/>
      <c r="L3540"/>
      <c r="O3540"/>
    </row>
    <row r="3541" spans="3:15" x14ac:dyDescent="0.25">
      <c r="C3541"/>
      <c r="F3541"/>
      <c r="G3541"/>
      <c r="H3541"/>
      <c r="L3541"/>
      <c r="O3541"/>
    </row>
    <row r="3542" spans="3:15" x14ac:dyDescent="0.25">
      <c r="C3542"/>
      <c r="F3542"/>
      <c r="G3542"/>
      <c r="H3542"/>
      <c r="L3542"/>
      <c r="O3542"/>
    </row>
    <row r="3543" spans="3:15" x14ac:dyDescent="0.25">
      <c r="C3543"/>
      <c r="F3543"/>
      <c r="G3543"/>
      <c r="H3543"/>
      <c r="L3543"/>
      <c r="O3543"/>
    </row>
    <row r="3544" spans="3:15" x14ac:dyDescent="0.25">
      <c r="C3544"/>
      <c r="F3544"/>
      <c r="G3544"/>
      <c r="H3544"/>
      <c r="L3544"/>
      <c r="O3544"/>
    </row>
    <row r="3545" spans="3:15" x14ac:dyDescent="0.25">
      <c r="C3545"/>
      <c r="F3545"/>
      <c r="G3545"/>
      <c r="H3545"/>
      <c r="L3545"/>
      <c r="O3545"/>
    </row>
    <row r="3546" spans="3:15" x14ac:dyDescent="0.25">
      <c r="C3546"/>
      <c r="F3546"/>
      <c r="G3546"/>
      <c r="H3546"/>
      <c r="L3546"/>
      <c r="O3546"/>
    </row>
    <row r="3547" spans="3:15" x14ac:dyDescent="0.25">
      <c r="C3547"/>
      <c r="F3547"/>
      <c r="G3547"/>
      <c r="H3547"/>
      <c r="L3547"/>
      <c r="O3547"/>
    </row>
    <row r="3548" spans="3:15" x14ac:dyDescent="0.25">
      <c r="C3548"/>
      <c r="F3548"/>
      <c r="G3548"/>
      <c r="H3548"/>
      <c r="L3548"/>
      <c r="O3548"/>
    </row>
    <row r="3549" spans="3:15" x14ac:dyDescent="0.25">
      <c r="C3549"/>
      <c r="F3549"/>
      <c r="G3549"/>
      <c r="H3549"/>
      <c r="L3549"/>
      <c r="O3549"/>
    </row>
    <row r="3550" spans="3:15" x14ac:dyDescent="0.25">
      <c r="C3550"/>
      <c r="F3550"/>
      <c r="G3550"/>
      <c r="H3550"/>
      <c r="L3550"/>
      <c r="O3550"/>
    </row>
    <row r="3551" spans="3:15" x14ac:dyDescent="0.25">
      <c r="C3551"/>
      <c r="F3551"/>
      <c r="G3551"/>
      <c r="H3551"/>
      <c r="L3551"/>
      <c r="O3551"/>
    </row>
    <row r="3552" spans="3:15" x14ac:dyDescent="0.25">
      <c r="C3552"/>
      <c r="F3552"/>
      <c r="G3552"/>
      <c r="H3552"/>
      <c r="L3552"/>
      <c r="O3552"/>
    </row>
    <row r="3553" spans="3:15" x14ac:dyDescent="0.25">
      <c r="C3553"/>
      <c r="F3553"/>
      <c r="G3553"/>
      <c r="H3553"/>
      <c r="L3553"/>
      <c r="O3553"/>
    </row>
    <row r="3554" spans="3:15" x14ac:dyDescent="0.25">
      <c r="C3554"/>
      <c r="F3554"/>
      <c r="G3554"/>
      <c r="H3554"/>
      <c r="L3554"/>
      <c r="O3554"/>
    </row>
    <row r="3555" spans="3:15" x14ac:dyDescent="0.25">
      <c r="C3555"/>
      <c r="F3555"/>
      <c r="G3555"/>
      <c r="H3555"/>
      <c r="L3555"/>
      <c r="O3555"/>
    </row>
    <row r="3556" spans="3:15" x14ac:dyDescent="0.25">
      <c r="C3556"/>
      <c r="F3556"/>
      <c r="G3556"/>
      <c r="H3556"/>
      <c r="L3556"/>
      <c r="O3556"/>
    </row>
    <row r="3557" spans="3:15" x14ac:dyDescent="0.25">
      <c r="C3557"/>
      <c r="F3557"/>
      <c r="G3557"/>
      <c r="H3557"/>
      <c r="L3557"/>
      <c r="O3557"/>
    </row>
    <row r="3558" spans="3:15" x14ac:dyDescent="0.25">
      <c r="C3558"/>
      <c r="F3558"/>
      <c r="G3558"/>
      <c r="H3558"/>
      <c r="L3558"/>
      <c r="O3558"/>
    </row>
    <row r="3559" spans="3:15" x14ac:dyDescent="0.25">
      <c r="C3559"/>
      <c r="F3559"/>
      <c r="G3559"/>
      <c r="H3559"/>
      <c r="L3559"/>
      <c r="O3559"/>
    </row>
    <row r="3560" spans="3:15" x14ac:dyDescent="0.25">
      <c r="C3560"/>
      <c r="F3560"/>
      <c r="G3560"/>
      <c r="H3560"/>
      <c r="L3560"/>
      <c r="O3560"/>
    </row>
    <row r="3561" spans="3:15" x14ac:dyDescent="0.25">
      <c r="C3561"/>
      <c r="F3561"/>
      <c r="G3561"/>
      <c r="H3561"/>
      <c r="L3561"/>
      <c r="O3561"/>
    </row>
    <row r="3562" spans="3:15" x14ac:dyDescent="0.25">
      <c r="C3562"/>
      <c r="F3562"/>
      <c r="G3562"/>
      <c r="H3562"/>
      <c r="L3562"/>
      <c r="O3562"/>
    </row>
    <row r="3563" spans="3:15" x14ac:dyDescent="0.25">
      <c r="C3563"/>
      <c r="F3563"/>
      <c r="G3563"/>
      <c r="H3563"/>
      <c r="L3563"/>
      <c r="O3563"/>
    </row>
    <row r="3564" spans="3:15" x14ac:dyDescent="0.25">
      <c r="C3564"/>
      <c r="F3564"/>
      <c r="G3564"/>
      <c r="H3564"/>
      <c r="L3564"/>
      <c r="O3564"/>
    </row>
    <row r="3565" spans="3:15" x14ac:dyDescent="0.25">
      <c r="C3565"/>
      <c r="F3565"/>
      <c r="G3565"/>
      <c r="H3565"/>
      <c r="L3565"/>
      <c r="O3565"/>
    </row>
    <row r="3566" spans="3:15" x14ac:dyDescent="0.25">
      <c r="C3566"/>
      <c r="F3566"/>
      <c r="G3566"/>
      <c r="H3566"/>
      <c r="L3566"/>
      <c r="O3566"/>
    </row>
    <row r="3567" spans="3:15" x14ac:dyDescent="0.25">
      <c r="C3567"/>
      <c r="F3567"/>
      <c r="G3567"/>
      <c r="H3567"/>
      <c r="L3567"/>
      <c r="O3567"/>
    </row>
    <row r="3568" spans="3:15" x14ac:dyDescent="0.25">
      <c r="C3568"/>
      <c r="F3568"/>
      <c r="G3568"/>
      <c r="H3568"/>
      <c r="L3568"/>
      <c r="O3568"/>
    </row>
    <row r="3569" spans="3:15" x14ac:dyDescent="0.25">
      <c r="C3569"/>
      <c r="F3569"/>
      <c r="G3569"/>
      <c r="H3569"/>
      <c r="L3569"/>
      <c r="O3569"/>
    </row>
    <row r="3570" spans="3:15" x14ac:dyDescent="0.25">
      <c r="C3570"/>
      <c r="F3570"/>
      <c r="G3570"/>
      <c r="H3570"/>
      <c r="L3570"/>
      <c r="O3570"/>
    </row>
    <row r="3571" spans="3:15" x14ac:dyDescent="0.25">
      <c r="C3571"/>
      <c r="F3571"/>
      <c r="G3571"/>
      <c r="H3571"/>
      <c r="L3571"/>
      <c r="O3571"/>
    </row>
    <row r="3572" spans="3:15" x14ac:dyDescent="0.25">
      <c r="C3572"/>
      <c r="F3572"/>
      <c r="G3572"/>
      <c r="H3572"/>
      <c r="L3572"/>
      <c r="O3572"/>
    </row>
    <row r="3573" spans="3:15" x14ac:dyDescent="0.25">
      <c r="C3573"/>
      <c r="F3573"/>
      <c r="G3573"/>
      <c r="H3573"/>
      <c r="L3573"/>
      <c r="O3573"/>
    </row>
    <row r="3574" spans="3:15" x14ac:dyDescent="0.25">
      <c r="C3574"/>
      <c r="F3574"/>
      <c r="G3574"/>
      <c r="H3574"/>
      <c r="L3574"/>
      <c r="O3574"/>
    </row>
    <row r="3575" spans="3:15" x14ac:dyDescent="0.25">
      <c r="C3575"/>
      <c r="F3575"/>
      <c r="G3575"/>
      <c r="H3575"/>
      <c r="L3575"/>
      <c r="O3575"/>
    </row>
    <row r="3576" spans="3:15" x14ac:dyDescent="0.25">
      <c r="C3576"/>
      <c r="F3576"/>
      <c r="G3576"/>
      <c r="H3576"/>
      <c r="L3576"/>
      <c r="O3576"/>
    </row>
    <row r="3577" spans="3:15" x14ac:dyDescent="0.25">
      <c r="C3577"/>
      <c r="F3577"/>
      <c r="G3577"/>
      <c r="H3577"/>
      <c r="L3577"/>
      <c r="O3577"/>
    </row>
    <row r="3578" spans="3:15" x14ac:dyDescent="0.25">
      <c r="C3578"/>
      <c r="F3578"/>
      <c r="G3578"/>
      <c r="H3578"/>
      <c r="L3578"/>
      <c r="O3578"/>
    </row>
    <row r="3579" spans="3:15" x14ac:dyDescent="0.25">
      <c r="C3579"/>
      <c r="F3579"/>
      <c r="G3579"/>
      <c r="H3579"/>
      <c r="L3579"/>
      <c r="O3579"/>
    </row>
    <row r="3580" spans="3:15" x14ac:dyDescent="0.25">
      <c r="C3580"/>
      <c r="F3580"/>
      <c r="G3580"/>
      <c r="H3580"/>
      <c r="L3580"/>
      <c r="O3580"/>
    </row>
    <row r="3581" spans="3:15" x14ac:dyDescent="0.25">
      <c r="C3581"/>
      <c r="F3581"/>
      <c r="G3581"/>
      <c r="H3581"/>
      <c r="L3581"/>
      <c r="O3581"/>
    </row>
    <row r="3582" spans="3:15" x14ac:dyDescent="0.25">
      <c r="C3582"/>
      <c r="F3582"/>
      <c r="G3582"/>
      <c r="H3582"/>
      <c r="L3582"/>
      <c r="O3582"/>
    </row>
    <row r="3583" spans="3:15" x14ac:dyDescent="0.25">
      <c r="C3583"/>
      <c r="F3583"/>
      <c r="G3583"/>
      <c r="H3583"/>
      <c r="L3583"/>
      <c r="O3583"/>
    </row>
    <row r="3584" spans="3:15" x14ac:dyDescent="0.25">
      <c r="C3584"/>
      <c r="F3584"/>
      <c r="G3584"/>
      <c r="H3584"/>
      <c r="L3584"/>
      <c r="O3584"/>
    </row>
    <row r="3585" spans="3:15" x14ac:dyDescent="0.25">
      <c r="C3585"/>
      <c r="F3585"/>
      <c r="G3585"/>
      <c r="H3585"/>
      <c r="L3585"/>
      <c r="O3585"/>
    </row>
    <row r="3586" spans="3:15" x14ac:dyDescent="0.25">
      <c r="C3586"/>
      <c r="F3586"/>
      <c r="G3586"/>
      <c r="H3586"/>
      <c r="L3586"/>
      <c r="O3586"/>
    </row>
    <row r="3587" spans="3:15" x14ac:dyDescent="0.25">
      <c r="C3587"/>
      <c r="F3587"/>
      <c r="G3587"/>
      <c r="H3587"/>
      <c r="L3587"/>
      <c r="O3587"/>
    </row>
    <row r="3588" spans="3:15" x14ac:dyDescent="0.25">
      <c r="C3588"/>
      <c r="F3588"/>
      <c r="G3588"/>
      <c r="H3588"/>
      <c r="L3588"/>
      <c r="O3588"/>
    </row>
    <row r="3589" spans="3:15" x14ac:dyDescent="0.25">
      <c r="C3589"/>
      <c r="F3589"/>
      <c r="G3589"/>
      <c r="H3589"/>
      <c r="L3589"/>
      <c r="O3589"/>
    </row>
    <row r="3590" spans="3:15" x14ac:dyDescent="0.25">
      <c r="C3590"/>
      <c r="F3590"/>
      <c r="G3590"/>
      <c r="H3590"/>
      <c r="L3590"/>
      <c r="O3590"/>
    </row>
    <row r="3591" spans="3:15" x14ac:dyDescent="0.25">
      <c r="C3591"/>
      <c r="F3591"/>
      <c r="G3591"/>
      <c r="H3591"/>
      <c r="L3591"/>
      <c r="O3591"/>
    </row>
    <row r="3592" spans="3:15" x14ac:dyDescent="0.25">
      <c r="C3592"/>
      <c r="F3592"/>
      <c r="G3592"/>
      <c r="H3592"/>
      <c r="L3592"/>
      <c r="O3592"/>
    </row>
    <row r="3593" spans="3:15" x14ac:dyDescent="0.25">
      <c r="C3593"/>
      <c r="F3593"/>
      <c r="G3593"/>
      <c r="H3593"/>
      <c r="L3593"/>
      <c r="O3593"/>
    </row>
    <row r="3594" spans="3:15" x14ac:dyDescent="0.25">
      <c r="C3594"/>
      <c r="F3594"/>
      <c r="G3594"/>
      <c r="H3594"/>
      <c r="L3594"/>
      <c r="O3594"/>
    </row>
    <row r="3595" spans="3:15" x14ac:dyDescent="0.25">
      <c r="C3595"/>
      <c r="F3595"/>
      <c r="G3595"/>
      <c r="H3595"/>
      <c r="L3595"/>
      <c r="O3595"/>
    </row>
    <row r="3596" spans="3:15" x14ac:dyDescent="0.25">
      <c r="C3596"/>
      <c r="F3596"/>
      <c r="G3596"/>
      <c r="H3596"/>
      <c r="L3596"/>
      <c r="O3596"/>
    </row>
    <row r="3597" spans="3:15" x14ac:dyDescent="0.25">
      <c r="C3597"/>
      <c r="F3597"/>
      <c r="G3597"/>
      <c r="H3597"/>
      <c r="L3597"/>
      <c r="O3597"/>
    </row>
    <row r="3598" spans="3:15" x14ac:dyDescent="0.25">
      <c r="C3598"/>
      <c r="F3598"/>
      <c r="G3598"/>
      <c r="H3598"/>
      <c r="L3598"/>
      <c r="O3598"/>
    </row>
    <row r="3599" spans="3:15" x14ac:dyDescent="0.25">
      <c r="C3599"/>
      <c r="F3599"/>
      <c r="G3599"/>
      <c r="H3599"/>
      <c r="L3599"/>
      <c r="O3599"/>
    </row>
    <row r="3600" spans="3:15" x14ac:dyDescent="0.25">
      <c r="C3600"/>
      <c r="F3600"/>
      <c r="G3600"/>
      <c r="H3600"/>
      <c r="L3600"/>
      <c r="O3600"/>
    </row>
    <row r="3601" spans="3:15" x14ac:dyDescent="0.25">
      <c r="C3601"/>
      <c r="F3601"/>
      <c r="G3601"/>
      <c r="H3601"/>
      <c r="L3601"/>
      <c r="O3601"/>
    </row>
    <row r="3602" spans="3:15" x14ac:dyDescent="0.25">
      <c r="C3602"/>
      <c r="F3602"/>
      <c r="G3602"/>
      <c r="H3602"/>
      <c r="L3602"/>
      <c r="O3602"/>
    </row>
    <row r="3603" spans="3:15" x14ac:dyDescent="0.25">
      <c r="C3603"/>
      <c r="F3603"/>
      <c r="G3603"/>
      <c r="H3603"/>
      <c r="L3603"/>
      <c r="O3603"/>
    </row>
    <row r="3604" spans="3:15" x14ac:dyDescent="0.25">
      <c r="C3604"/>
      <c r="F3604"/>
      <c r="G3604"/>
      <c r="H3604"/>
      <c r="L3604"/>
      <c r="O3604"/>
    </row>
    <row r="3605" spans="3:15" x14ac:dyDescent="0.25">
      <c r="C3605"/>
      <c r="F3605"/>
      <c r="G3605"/>
      <c r="H3605"/>
      <c r="L3605"/>
      <c r="O3605"/>
    </row>
    <row r="3606" spans="3:15" x14ac:dyDescent="0.25">
      <c r="C3606"/>
      <c r="F3606"/>
      <c r="G3606"/>
      <c r="H3606"/>
      <c r="L3606"/>
      <c r="O3606"/>
    </row>
    <row r="3607" spans="3:15" x14ac:dyDescent="0.25">
      <c r="C3607"/>
      <c r="F3607"/>
      <c r="G3607"/>
      <c r="H3607"/>
      <c r="L3607"/>
      <c r="O3607"/>
    </row>
    <row r="3608" spans="3:15" x14ac:dyDescent="0.25">
      <c r="C3608"/>
      <c r="F3608"/>
      <c r="G3608"/>
      <c r="H3608"/>
      <c r="L3608"/>
      <c r="O3608"/>
    </row>
    <row r="3609" spans="3:15" x14ac:dyDescent="0.25">
      <c r="C3609"/>
      <c r="F3609"/>
      <c r="G3609"/>
      <c r="H3609"/>
      <c r="L3609"/>
      <c r="O3609"/>
    </row>
    <row r="3610" spans="3:15" x14ac:dyDescent="0.25">
      <c r="C3610"/>
      <c r="F3610"/>
      <c r="G3610"/>
      <c r="H3610"/>
      <c r="L3610"/>
      <c r="O3610"/>
    </row>
    <row r="3611" spans="3:15" x14ac:dyDescent="0.25">
      <c r="C3611"/>
      <c r="F3611"/>
      <c r="G3611"/>
      <c r="H3611"/>
      <c r="L3611"/>
      <c r="O3611"/>
    </row>
    <row r="3612" spans="3:15" x14ac:dyDescent="0.25">
      <c r="C3612"/>
      <c r="F3612"/>
      <c r="G3612"/>
      <c r="H3612"/>
      <c r="L3612"/>
      <c r="O3612"/>
    </row>
    <row r="3613" spans="3:15" x14ac:dyDescent="0.25">
      <c r="C3613"/>
      <c r="F3613"/>
      <c r="G3613"/>
      <c r="H3613"/>
      <c r="L3613"/>
      <c r="O3613"/>
    </row>
    <row r="3614" spans="3:15" x14ac:dyDescent="0.25">
      <c r="C3614"/>
      <c r="F3614"/>
      <c r="G3614"/>
      <c r="H3614"/>
      <c r="L3614"/>
      <c r="O3614"/>
    </row>
    <row r="3615" spans="3:15" x14ac:dyDescent="0.25">
      <c r="C3615"/>
      <c r="F3615"/>
      <c r="G3615"/>
      <c r="H3615"/>
      <c r="L3615"/>
      <c r="O3615"/>
    </row>
    <row r="3616" spans="3:15" x14ac:dyDescent="0.25">
      <c r="C3616"/>
      <c r="F3616"/>
      <c r="G3616"/>
      <c r="H3616"/>
      <c r="L3616"/>
      <c r="O3616"/>
    </row>
    <row r="3617" spans="3:15" x14ac:dyDescent="0.25">
      <c r="C3617"/>
      <c r="F3617"/>
      <c r="G3617"/>
      <c r="H3617"/>
      <c r="L3617"/>
      <c r="O3617"/>
    </row>
    <row r="3618" spans="3:15" x14ac:dyDescent="0.25">
      <c r="C3618"/>
      <c r="F3618"/>
      <c r="G3618"/>
      <c r="H3618"/>
      <c r="L3618"/>
      <c r="O3618"/>
    </row>
    <row r="3619" spans="3:15" x14ac:dyDescent="0.25">
      <c r="C3619"/>
      <c r="F3619"/>
      <c r="G3619"/>
      <c r="H3619"/>
      <c r="L3619"/>
      <c r="O3619"/>
    </row>
    <row r="3620" spans="3:15" x14ac:dyDescent="0.25">
      <c r="C3620"/>
      <c r="F3620"/>
      <c r="G3620"/>
      <c r="H3620"/>
      <c r="L3620"/>
      <c r="O3620"/>
    </row>
    <row r="3621" spans="3:15" x14ac:dyDescent="0.25">
      <c r="C3621"/>
      <c r="F3621"/>
      <c r="G3621"/>
      <c r="H3621"/>
      <c r="L3621"/>
      <c r="O3621"/>
    </row>
    <row r="3622" spans="3:15" x14ac:dyDescent="0.25">
      <c r="C3622"/>
      <c r="F3622"/>
      <c r="G3622"/>
      <c r="H3622"/>
      <c r="L3622"/>
      <c r="O3622"/>
    </row>
    <row r="3623" spans="3:15" x14ac:dyDescent="0.25">
      <c r="C3623"/>
      <c r="F3623"/>
      <c r="G3623"/>
      <c r="H3623"/>
      <c r="L3623"/>
      <c r="O3623"/>
    </row>
    <row r="3624" spans="3:15" x14ac:dyDescent="0.25">
      <c r="C3624"/>
      <c r="F3624"/>
      <c r="G3624"/>
      <c r="H3624"/>
      <c r="L3624"/>
      <c r="O3624"/>
    </row>
    <row r="3625" spans="3:15" x14ac:dyDescent="0.25">
      <c r="C3625"/>
      <c r="F3625"/>
      <c r="G3625"/>
      <c r="H3625"/>
      <c r="L3625"/>
      <c r="O3625"/>
    </row>
    <row r="3626" spans="3:15" x14ac:dyDescent="0.25">
      <c r="C3626"/>
      <c r="F3626"/>
      <c r="G3626"/>
      <c r="H3626"/>
      <c r="L3626"/>
      <c r="O3626"/>
    </row>
    <row r="3627" spans="3:15" x14ac:dyDescent="0.25">
      <c r="C3627"/>
      <c r="F3627"/>
      <c r="G3627"/>
      <c r="H3627"/>
      <c r="L3627"/>
      <c r="O3627"/>
    </row>
    <row r="3628" spans="3:15" x14ac:dyDescent="0.25">
      <c r="C3628"/>
      <c r="F3628"/>
      <c r="G3628"/>
      <c r="H3628"/>
      <c r="L3628"/>
      <c r="O3628"/>
    </row>
    <row r="3629" spans="3:15" x14ac:dyDescent="0.25">
      <c r="C3629"/>
      <c r="F3629"/>
      <c r="G3629"/>
      <c r="H3629"/>
      <c r="L3629"/>
      <c r="O3629"/>
    </row>
    <row r="3630" spans="3:15" x14ac:dyDescent="0.25">
      <c r="C3630"/>
      <c r="F3630"/>
      <c r="G3630"/>
      <c r="H3630"/>
      <c r="L3630"/>
      <c r="O3630"/>
    </row>
    <row r="3631" spans="3:15" x14ac:dyDescent="0.25">
      <c r="C3631"/>
      <c r="F3631"/>
      <c r="G3631"/>
      <c r="H3631"/>
      <c r="L3631"/>
      <c r="O3631"/>
    </row>
    <row r="3632" spans="3:15" x14ac:dyDescent="0.25">
      <c r="C3632"/>
      <c r="F3632"/>
      <c r="G3632"/>
      <c r="H3632"/>
      <c r="L3632"/>
      <c r="O3632"/>
    </row>
    <row r="3633" spans="3:15" x14ac:dyDescent="0.25">
      <c r="C3633"/>
      <c r="F3633"/>
      <c r="G3633"/>
      <c r="H3633"/>
      <c r="L3633"/>
      <c r="O3633"/>
    </row>
    <row r="3634" spans="3:15" x14ac:dyDescent="0.25">
      <c r="C3634"/>
      <c r="F3634"/>
      <c r="G3634"/>
      <c r="H3634"/>
      <c r="L3634"/>
      <c r="O3634"/>
    </row>
    <row r="3635" spans="3:15" x14ac:dyDescent="0.25">
      <c r="C3635"/>
      <c r="F3635"/>
      <c r="G3635"/>
      <c r="H3635"/>
      <c r="L3635"/>
      <c r="O3635"/>
    </row>
    <row r="3636" spans="3:15" x14ac:dyDescent="0.25">
      <c r="C3636"/>
      <c r="F3636"/>
      <c r="G3636"/>
      <c r="H3636"/>
      <c r="L3636"/>
      <c r="O3636"/>
    </row>
    <row r="3637" spans="3:15" x14ac:dyDescent="0.25">
      <c r="C3637"/>
      <c r="F3637"/>
      <c r="G3637"/>
      <c r="H3637"/>
      <c r="L3637"/>
      <c r="O3637"/>
    </row>
    <row r="3638" spans="3:15" x14ac:dyDescent="0.25">
      <c r="C3638"/>
      <c r="F3638"/>
      <c r="G3638"/>
      <c r="H3638"/>
      <c r="L3638"/>
      <c r="O3638"/>
    </row>
    <row r="3639" spans="3:15" x14ac:dyDescent="0.25">
      <c r="C3639"/>
      <c r="F3639"/>
      <c r="G3639"/>
      <c r="H3639"/>
      <c r="L3639"/>
      <c r="O3639"/>
    </row>
    <row r="3640" spans="3:15" x14ac:dyDescent="0.25">
      <c r="C3640"/>
      <c r="F3640"/>
      <c r="G3640"/>
      <c r="H3640"/>
      <c r="L3640"/>
      <c r="O3640"/>
    </row>
    <row r="3641" spans="3:15" x14ac:dyDescent="0.25">
      <c r="C3641"/>
      <c r="F3641"/>
      <c r="G3641"/>
      <c r="H3641"/>
      <c r="L3641"/>
      <c r="O3641"/>
    </row>
    <row r="3642" spans="3:15" x14ac:dyDescent="0.25">
      <c r="C3642"/>
      <c r="F3642"/>
      <c r="G3642"/>
      <c r="H3642"/>
      <c r="L3642"/>
      <c r="O3642"/>
    </row>
    <row r="3643" spans="3:15" x14ac:dyDescent="0.25">
      <c r="C3643"/>
      <c r="F3643"/>
      <c r="G3643"/>
      <c r="H3643"/>
      <c r="L3643"/>
      <c r="O3643"/>
    </row>
    <row r="3644" spans="3:15" x14ac:dyDescent="0.25">
      <c r="C3644"/>
      <c r="F3644"/>
      <c r="G3644"/>
      <c r="H3644"/>
      <c r="L3644"/>
      <c r="O3644"/>
    </row>
    <row r="3645" spans="3:15" x14ac:dyDescent="0.25">
      <c r="C3645"/>
      <c r="F3645"/>
      <c r="G3645"/>
      <c r="H3645"/>
      <c r="L3645"/>
      <c r="O3645"/>
    </row>
    <row r="3646" spans="3:15" x14ac:dyDescent="0.25">
      <c r="C3646"/>
      <c r="F3646"/>
      <c r="G3646"/>
      <c r="H3646"/>
      <c r="L3646"/>
      <c r="O3646"/>
    </row>
    <row r="3647" spans="3:15" x14ac:dyDescent="0.25">
      <c r="C3647"/>
      <c r="F3647"/>
      <c r="G3647"/>
      <c r="H3647"/>
      <c r="L3647"/>
      <c r="O3647"/>
    </row>
    <row r="3648" spans="3:15" x14ac:dyDescent="0.25">
      <c r="C3648"/>
      <c r="F3648"/>
      <c r="G3648"/>
      <c r="H3648"/>
      <c r="L3648"/>
      <c r="O3648"/>
    </row>
    <row r="3649" spans="3:15" x14ac:dyDescent="0.25">
      <c r="C3649"/>
      <c r="F3649"/>
      <c r="G3649"/>
      <c r="H3649"/>
      <c r="L3649"/>
      <c r="O3649"/>
    </row>
    <row r="3650" spans="3:15" x14ac:dyDescent="0.25">
      <c r="C3650"/>
      <c r="F3650"/>
      <c r="G3650"/>
      <c r="H3650"/>
      <c r="L3650"/>
      <c r="O3650"/>
    </row>
    <row r="3651" spans="3:15" x14ac:dyDescent="0.25">
      <c r="C3651"/>
      <c r="F3651"/>
      <c r="G3651"/>
      <c r="H3651"/>
      <c r="L3651"/>
      <c r="O3651"/>
    </row>
    <row r="3652" spans="3:15" x14ac:dyDescent="0.25">
      <c r="C3652"/>
      <c r="F3652"/>
      <c r="G3652"/>
      <c r="H3652"/>
      <c r="L3652"/>
      <c r="O3652"/>
    </row>
    <row r="3653" spans="3:15" x14ac:dyDescent="0.25">
      <c r="C3653"/>
      <c r="F3653"/>
      <c r="G3653"/>
      <c r="H3653"/>
      <c r="L3653"/>
      <c r="O3653"/>
    </row>
    <row r="3654" spans="3:15" x14ac:dyDescent="0.25">
      <c r="C3654"/>
      <c r="F3654"/>
      <c r="G3654"/>
      <c r="H3654"/>
      <c r="L3654"/>
      <c r="O3654"/>
    </row>
    <row r="3655" spans="3:15" x14ac:dyDescent="0.25">
      <c r="C3655"/>
      <c r="F3655"/>
      <c r="G3655"/>
      <c r="H3655"/>
      <c r="L3655"/>
      <c r="O3655"/>
    </row>
    <row r="3656" spans="3:15" x14ac:dyDescent="0.25">
      <c r="C3656"/>
      <c r="F3656"/>
      <c r="G3656"/>
      <c r="H3656"/>
      <c r="L3656"/>
      <c r="O3656"/>
    </row>
    <row r="3657" spans="3:15" x14ac:dyDescent="0.25">
      <c r="C3657"/>
      <c r="F3657"/>
      <c r="G3657"/>
      <c r="H3657"/>
      <c r="L3657"/>
      <c r="O3657"/>
    </row>
    <row r="3658" spans="3:15" x14ac:dyDescent="0.25">
      <c r="C3658"/>
      <c r="F3658"/>
      <c r="G3658"/>
      <c r="H3658"/>
      <c r="L3658"/>
      <c r="O3658"/>
    </row>
    <row r="3659" spans="3:15" x14ac:dyDescent="0.25">
      <c r="C3659"/>
      <c r="F3659"/>
      <c r="G3659"/>
      <c r="H3659"/>
      <c r="L3659"/>
      <c r="O3659"/>
    </row>
    <row r="3660" spans="3:15" x14ac:dyDescent="0.25">
      <c r="C3660"/>
      <c r="F3660"/>
      <c r="G3660"/>
      <c r="H3660"/>
      <c r="L3660"/>
      <c r="O3660"/>
    </row>
    <row r="3661" spans="3:15" x14ac:dyDescent="0.25">
      <c r="C3661"/>
      <c r="F3661"/>
      <c r="G3661"/>
      <c r="H3661"/>
      <c r="L3661"/>
      <c r="O3661"/>
    </row>
    <row r="3662" spans="3:15" x14ac:dyDescent="0.25">
      <c r="C3662"/>
      <c r="F3662"/>
      <c r="G3662"/>
      <c r="H3662"/>
      <c r="L3662"/>
      <c r="O3662"/>
    </row>
    <row r="3663" spans="3:15" x14ac:dyDescent="0.25">
      <c r="C3663"/>
      <c r="F3663"/>
      <c r="G3663"/>
      <c r="H3663"/>
      <c r="L3663"/>
      <c r="O3663"/>
    </row>
    <row r="3664" spans="3:15" x14ac:dyDescent="0.25">
      <c r="C3664"/>
      <c r="F3664"/>
      <c r="G3664"/>
      <c r="H3664"/>
      <c r="L3664"/>
      <c r="O3664"/>
    </row>
    <row r="3665" spans="3:15" x14ac:dyDescent="0.25">
      <c r="C3665"/>
      <c r="F3665"/>
      <c r="G3665"/>
      <c r="H3665"/>
      <c r="L3665"/>
      <c r="O3665"/>
    </row>
    <row r="3666" spans="3:15" x14ac:dyDescent="0.25">
      <c r="C3666"/>
      <c r="F3666"/>
      <c r="G3666"/>
      <c r="H3666"/>
      <c r="L3666"/>
      <c r="O3666"/>
    </row>
    <row r="3667" spans="3:15" x14ac:dyDescent="0.25">
      <c r="C3667"/>
      <c r="F3667"/>
      <c r="G3667"/>
      <c r="H3667"/>
      <c r="L3667"/>
      <c r="O3667"/>
    </row>
    <row r="3668" spans="3:15" x14ac:dyDescent="0.25">
      <c r="C3668"/>
      <c r="F3668"/>
      <c r="G3668"/>
      <c r="H3668"/>
      <c r="L3668"/>
      <c r="O3668"/>
    </row>
    <row r="3669" spans="3:15" x14ac:dyDescent="0.25">
      <c r="C3669"/>
      <c r="F3669"/>
      <c r="G3669"/>
      <c r="H3669"/>
      <c r="L3669"/>
      <c r="O3669"/>
    </row>
    <row r="3670" spans="3:15" x14ac:dyDescent="0.25">
      <c r="C3670"/>
      <c r="F3670"/>
      <c r="G3670"/>
      <c r="H3670"/>
      <c r="L3670"/>
      <c r="O3670"/>
    </row>
    <row r="3671" spans="3:15" x14ac:dyDescent="0.25">
      <c r="C3671"/>
      <c r="F3671"/>
      <c r="G3671"/>
      <c r="H3671"/>
      <c r="L3671"/>
      <c r="O3671"/>
    </row>
    <row r="3672" spans="3:15" x14ac:dyDescent="0.25">
      <c r="C3672"/>
      <c r="F3672"/>
      <c r="G3672"/>
      <c r="H3672"/>
      <c r="L3672"/>
      <c r="O3672"/>
    </row>
    <row r="3673" spans="3:15" x14ac:dyDescent="0.25">
      <c r="C3673"/>
      <c r="F3673"/>
      <c r="G3673"/>
      <c r="H3673"/>
      <c r="L3673"/>
      <c r="O3673"/>
    </row>
    <row r="3674" spans="3:15" x14ac:dyDescent="0.25">
      <c r="C3674"/>
      <c r="F3674"/>
      <c r="G3674"/>
      <c r="H3674"/>
      <c r="L3674"/>
      <c r="O3674"/>
    </row>
    <row r="3675" spans="3:15" x14ac:dyDescent="0.25">
      <c r="C3675"/>
      <c r="F3675"/>
      <c r="G3675"/>
      <c r="H3675"/>
      <c r="L3675"/>
      <c r="O3675"/>
    </row>
    <row r="3676" spans="3:15" x14ac:dyDescent="0.25">
      <c r="C3676"/>
      <c r="F3676"/>
      <c r="G3676"/>
      <c r="H3676"/>
      <c r="L3676"/>
      <c r="O3676"/>
    </row>
    <row r="3677" spans="3:15" x14ac:dyDescent="0.25">
      <c r="C3677"/>
      <c r="F3677"/>
      <c r="G3677"/>
      <c r="H3677"/>
      <c r="L3677"/>
      <c r="O3677"/>
    </row>
    <row r="3678" spans="3:15" x14ac:dyDescent="0.25">
      <c r="C3678"/>
      <c r="F3678"/>
      <c r="G3678"/>
      <c r="H3678"/>
      <c r="L3678"/>
      <c r="O3678"/>
    </row>
    <row r="3679" spans="3:15" x14ac:dyDescent="0.25">
      <c r="C3679"/>
      <c r="F3679"/>
      <c r="G3679"/>
      <c r="H3679"/>
      <c r="L3679"/>
      <c r="O3679"/>
    </row>
    <row r="3680" spans="3:15" x14ac:dyDescent="0.25">
      <c r="C3680"/>
      <c r="F3680"/>
      <c r="G3680"/>
      <c r="H3680"/>
      <c r="L3680"/>
      <c r="O3680"/>
    </row>
    <row r="3681" spans="3:15" x14ac:dyDescent="0.25">
      <c r="C3681"/>
      <c r="F3681"/>
      <c r="G3681"/>
      <c r="H3681"/>
      <c r="L3681"/>
      <c r="O3681"/>
    </row>
    <row r="3682" spans="3:15" x14ac:dyDescent="0.25">
      <c r="C3682"/>
      <c r="F3682"/>
      <c r="G3682"/>
      <c r="H3682"/>
      <c r="L3682"/>
      <c r="O3682"/>
    </row>
    <row r="3683" spans="3:15" x14ac:dyDescent="0.25">
      <c r="C3683"/>
      <c r="F3683"/>
      <c r="G3683"/>
      <c r="H3683"/>
      <c r="L3683"/>
      <c r="O3683"/>
    </row>
    <row r="3684" spans="3:15" x14ac:dyDescent="0.25">
      <c r="C3684"/>
      <c r="F3684"/>
      <c r="G3684"/>
      <c r="H3684"/>
      <c r="L3684"/>
      <c r="O3684"/>
    </row>
    <row r="3685" spans="3:15" x14ac:dyDescent="0.25">
      <c r="C3685"/>
      <c r="F3685"/>
      <c r="G3685"/>
      <c r="H3685"/>
      <c r="L3685"/>
      <c r="O3685"/>
    </row>
    <row r="3686" spans="3:15" x14ac:dyDescent="0.25">
      <c r="C3686"/>
      <c r="F3686"/>
      <c r="G3686"/>
      <c r="H3686"/>
      <c r="L3686"/>
      <c r="O3686"/>
    </row>
    <row r="3687" spans="3:15" x14ac:dyDescent="0.25">
      <c r="C3687"/>
      <c r="F3687"/>
      <c r="G3687"/>
      <c r="H3687"/>
      <c r="L3687"/>
      <c r="O3687"/>
    </row>
    <row r="3688" spans="3:15" x14ac:dyDescent="0.25">
      <c r="C3688"/>
      <c r="F3688"/>
      <c r="G3688"/>
      <c r="H3688"/>
      <c r="L3688"/>
      <c r="O3688"/>
    </row>
    <row r="3689" spans="3:15" x14ac:dyDescent="0.25">
      <c r="C3689"/>
      <c r="F3689"/>
      <c r="G3689"/>
      <c r="H3689"/>
      <c r="L3689"/>
      <c r="O3689"/>
    </row>
    <row r="3690" spans="3:15" x14ac:dyDescent="0.25">
      <c r="C3690"/>
      <c r="F3690"/>
      <c r="G3690"/>
      <c r="H3690"/>
      <c r="L3690"/>
      <c r="O3690"/>
    </row>
    <row r="3691" spans="3:15" x14ac:dyDescent="0.25">
      <c r="C3691"/>
      <c r="F3691"/>
      <c r="G3691"/>
      <c r="H3691"/>
      <c r="L3691"/>
      <c r="O3691"/>
    </row>
    <row r="3692" spans="3:15" x14ac:dyDescent="0.25">
      <c r="C3692"/>
      <c r="F3692"/>
      <c r="G3692"/>
      <c r="H3692"/>
      <c r="L3692"/>
      <c r="O3692"/>
    </row>
    <row r="3693" spans="3:15" x14ac:dyDescent="0.25">
      <c r="C3693"/>
      <c r="F3693"/>
      <c r="G3693"/>
      <c r="H3693"/>
      <c r="L3693"/>
      <c r="O3693"/>
    </row>
    <row r="3694" spans="3:15" x14ac:dyDescent="0.25">
      <c r="C3694"/>
      <c r="F3694"/>
      <c r="G3694"/>
      <c r="H3694"/>
      <c r="L3694"/>
      <c r="O3694"/>
    </row>
    <row r="3695" spans="3:15" x14ac:dyDescent="0.25">
      <c r="C3695"/>
      <c r="F3695"/>
      <c r="G3695"/>
      <c r="H3695"/>
      <c r="L3695"/>
      <c r="O3695"/>
    </row>
    <row r="3696" spans="3:15" x14ac:dyDescent="0.25">
      <c r="C3696"/>
      <c r="F3696"/>
      <c r="G3696"/>
      <c r="H3696"/>
      <c r="L3696"/>
      <c r="O3696"/>
    </row>
    <row r="3697" spans="3:15" x14ac:dyDescent="0.25">
      <c r="C3697"/>
      <c r="F3697"/>
      <c r="G3697"/>
      <c r="H3697"/>
      <c r="L3697"/>
      <c r="O3697"/>
    </row>
    <row r="3698" spans="3:15" x14ac:dyDescent="0.25">
      <c r="C3698"/>
      <c r="F3698"/>
      <c r="G3698"/>
      <c r="H3698"/>
      <c r="L3698"/>
      <c r="O3698"/>
    </row>
    <row r="3699" spans="3:15" x14ac:dyDescent="0.25">
      <c r="C3699"/>
      <c r="F3699"/>
      <c r="G3699"/>
      <c r="H3699"/>
      <c r="L3699"/>
      <c r="O3699"/>
    </row>
    <row r="3700" spans="3:15" x14ac:dyDescent="0.25">
      <c r="C3700"/>
      <c r="F3700"/>
      <c r="G3700"/>
      <c r="H3700"/>
      <c r="L3700"/>
      <c r="O3700"/>
    </row>
    <row r="3701" spans="3:15" x14ac:dyDescent="0.25">
      <c r="C3701"/>
      <c r="F3701"/>
      <c r="G3701"/>
      <c r="H3701"/>
      <c r="L3701"/>
      <c r="O3701"/>
    </row>
    <row r="3702" spans="3:15" x14ac:dyDescent="0.25">
      <c r="C3702"/>
      <c r="F3702"/>
      <c r="G3702"/>
      <c r="H3702"/>
      <c r="L3702"/>
      <c r="O3702"/>
    </row>
    <row r="3703" spans="3:15" x14ac:dyDescent="0.25">
      <c r="C3703"/>
      <c r="F3703"/>
      <c r="G3703"/>
      <c r="H3703"/>
      <c r="L3703"/>
      <c r="O3703"/>
    </row>
    <row r="3704" spans="3:15" x14ac:dyDescent="0.25">
      <c r="C3704"/>
      <c r="F3704"/>
      <c r="G3704"/>
      <c r="H3704"/>
      <c r="L3704"/>
      <c r="O3704"/>
    </row>
    <row r="3705" spans="3:15" x14ac:dyDescent="0.25">
      <c r="C3705"/>
      <c r="F3705"/>
      <c r="G3705"/>
      <c r="H3705"/>
      <c r="L3705"/>
      <c r="O3705"/>
    </row>
    <row r="3706" spans="3:15" x14ac:dyDescent="0.25">
      <c r="C3706"/>
      <c r="F3706"/>
      <c r="G3706"/>
      <c r="H3706"/>
      <c r="L3706"/>
      <c r="O3706"/>
    </row>
    <row r="3707" spans="3:15" x14ac:dyDescent="0.25">
      <c r="C3707"/>
      <c r="F3707"/>
      <c r="G3707"/>
      <c r="H3707"/>
      <c r="L3707"/>
      <c r="O3707"/>
    </row>
    <row r="3708" spans="3:15" x14ac:dyDescent="0.25">
      <c r="C3708"/>
      <c r="F3708"/>
      <c r="G3708"/>
      <c r="H3708"/>
      <c r="L3708"/>
      <c r="O3708"/>
    </row>
    <row r="3709" spans="3:15" x14ac:dyDescent="0.25">
      <c r="C3709"/>
      <c r="F3709"/>
      <c r="G3709"/>
      <c r="H3709"/>
      <c r="L3709"/>
      <c r="O3709"/>
    </row>
    <row r="3710" spans="3:15" x14ac:dyDescent="0.25">
      <c r="C3710"/>
      <c r="F3710"/>
      <c r="G3710"/>
      <c r="H3710"/>
      <c r="L3710"/>
      <c r="O3710"/>
    </row>
    <row r="3711" spans="3:15" x14ac:dyDescent="0.25">
      <c r="C3711"/>
      <c r="F3711"/>
      <c r="G3711"/>
      <c r="H3711"/>
      <c r="L3711"/>
      <c r="O3711"/>
    </row>
    <row r="3712" spans="3:15" x14ac:dyDescent="0.25">
      <c r="C3712"/>
      <c r="F3712"/>
      <c r="G3712"/>
      <c r="H3712"/>
      <c r="L3712"/>
      <c r="O3712"/>
    </row>
    <row r="3713" spans="3:15" x14ac:dyDescent="0.25">
      <c r="C3713"/>
      <c r="F3713"/>
      <c r="G3713"/>
      <c r="H3713"/>
      <c r="L3713"/>
      <c r="O3713"/>
    </row>
    <row r="3714" spans="3:15" x14ac:dyDescent="0.25">
      <c r="C3714"/>
      <c r="F3714"/>
      <c r="G3714"/>
      <c r="H3714"/>
      <c r="L3714"/>
      <c r="O3714"/>
    </row>
    <row r="3715" spans="3:15" x14ac:dyDescent="0.25">
      <c r="C3715"/>
      <c r="F3715"/>
      <c r="G3715"/>
      <c r="H3715"/>
      <c r="L3715"/>
      <c r="O3715"/>
    </row>
    <row r="3716" spans="3:15" x14ac:dyDescent="0.25">
      <c r="C3716"/>
      <c r="F3716"/>
      <c r="G3716"/>
      <c r="H3716"/>
      <c r="L3716"/>
      <c r="O3716"/>
    </row>
    <row r="3717" spans="3:15" x14ac:dyDescent="0.25">
      <c r="C3717"/>
      <c r="F3717"/>
      <c r="G3717"/>
      <c r="H3717"/>
      <c r="L3717"/>
      <c r="O3717"/>
    </row>
    <row r="3718" spans="3:15" x14ac:dyDescent="0.25">
      <c r="C3718"/>
      <c r="F3718"/>
      <c r="G3718"/>
      <c r="H3718"/>
      <c r="L3718"/>
      <c r="O3718"/>
    </row>
    <row r="3719" spans="3:15" x14ac:dyDescent="0.25">
      <c r="C3719"/>
      <c r="F3719"/>
      <c r="G3719"/>
      <c r="H3719"/>
      <c r="L3719"/>
      <c r="O3719"/>
    </row>
    <row r="3720" spans="3:15" x14ac:dyDescent="0.25">
      <c r="C3720"/>
      <c r="F3720"/>
      <c r="G3720"/>
      <c r="H3720"/>
      <c r="L3720"/>
      <c r="O3720"/>
    </row>
    <row r="3721" spans="3:15" x14ac:dyDescent="0.25">
      <c r="C3721"/>
      <c r="F3721"/>
      <c r="G3721"/>
      <c r="H3721"/>
      <c r="L3721"/>
      <c r="O3721"/>
    </row>
    <row r="3722" spans="3:15" x14ac:dyDescent="0.25">
      <c r="C3722"/>
      <c r="F3722"/>
      <c r="G3722"/>
      <c r="H3722"/>
      <c r="L3722"/>
      <c r="O3722"/>
    </row>
    <row r="3723" spans="3:15" x14ac:dyDescent="0.25">
      <c r="C3723"/>
      <c r="F3723"/>
      <c r="G3723"/>
      <c r="H3723"/>
      <c r="L3723"/>
      <c r="O3723"/>
    </row>
    <row r="3724" spans="3:15" x14ac:dyDescent="0.25">
      <c r="C3724"/>
      <c r="F3724"/>
      <c r="G3724"/>
      <c r="H3724"/>
      <c r="L3724"/>
      <c r="O3724"/>
    </row>
    <row r="3725" spans="3:15" x14ac:dyDescent="0.25">
      <c r="C3725"/>
      <c r="F3725"/>
      <c r="G3725"/>
      <c r="H3725"/>
      <c r="L3725"/>
      <c r="O3725"/>
    </row>
    <row r="3726" spans="3:15" x14ac:dyDescent="0.25">
      <c r="C3726"/>
      <c r="F3726"/>
      <c r="G3726"/>
      <c r="H3726"/>
      <c r="L3726"/>
      <c r="O3726"/>
    </row>
    <row r="3727" spans="3:15" x14ac:dyDescent="0.25">
      <c r="C3727"/>
      <c r="F3727"/>
      <c r="G3727"/>
      <c r="H3727"/>
      <c r="L3727"/>
      <c r="O3727"/>
    </row>
    <row r="3728" spans="3:15" x14ac:dyDescent="0.25">
      <c r="C3728"/>
      <c r="F3728"/>
      <c r="G3728"/>
      <c r="H3728"/>
      <c r="L3728"/>
      <c r="O3728"/>
    </row>
    <row r="3729" spans="3:15" x14ac:dyDescent="0.25">
      <c r="C3729"/>
      <c r="F3729"/>
      <c r="G3729"/>
      <c r="H3729"/>
      <c r="L3729"/>
      <c r="O3729"/>
    </row>
    <row r="3730" spans="3:15" x14ac:dyDescent="0.25">
      <c r="C3730"/>
      <c r="F3730"/>
      <c r="G3730"/>
      <c r="H3730"/>
      <c r="L3730"/>
      <c r="O3730"/>
    </row>
    <row r="3731" spans="3:15" x14ac:dyDescent="0.25">
      <c r="C3731"/>
      <c r="F3731"/>
      <c r="G3731"/>
      <c r="H3731"/>
      <c r="L3731"/>
      <c r="O3731"/>
    </row>
    <row r="3732" spans="3:15" x14ac:dyDescent="0.25">
      <c r="C3732"/>
      <c r="F3732"/>
      <c r="G3732"/>
      <c r="H3732"/>
      <c r="L3732"/>
      <c r="O3732"/>
    </row>
    <row r="3733" spans="3:15" x14ac:dyDescent="0.25">
      <c r="C3733"/>
      <c r="F3733"/>
      <c r="G3733"/>
      <c r="H3733"/>
      <c r="L3733"/>
      <c r="O3733"/>
    </row>
    <row r="3734" spans="3:15" x14ac:dyDescent="0.25">
      <c r="C3734"/>
      <c r="F3734"/>
      <c r="G3734"/>
      <c r="H3734"/>
      <c r="L3734"/>
      <c r="O3734"/>
    </row>
    <row r="3735" spans="3:15" x14ac:dyDescent="0.25">
      <c r="C3735"/>
      <c r="F3735"/>
      <c r="G3735"/>
      <c r="H3735"/>
      <c r="L3735"/>
      <c r="O3735"/>
    </row>
    <row r="3736" spans="3:15" x14ac:dyDescent="0.25">
      <c r="C3736"/>
      <c r="F3736"/>
      <c r="G3736"/>
      <c r="H3736"/>
      <c r="L3736"/>
      <c r="O3736"/>
    </row>
    <row r="3737" spans="3:15" x14ac:dyDescent="0.25">
      <c r="C3737"/>
      <c r="F3737"/>
      <c r="G3737"/>
      <c r="H3737"/>
      <c r="L3737"/>
      <c r="O3737"/>
    </row>
    <row r="3738" spans="3:15" x14ac:dyDescent="0.25">
      <c r="C3738"/>
      <c r="F3738"/>
      <c r="G3738"/>
      <c r="H3738"/>
      <c r="L3738"/>
      <c r="O3738"/>
    </row>
    <row r="3739" spans="3:15" x14ac:dyDescent="0.25">
      <c r="C3739"/>
      <c r="F3739"/>
      <c r="G3739"/>
      <c r="H3739"/>
      <c r="L3739"/>
      <c r="O3739"/>
    </row>
    <row r="3740" spans="3:15" x14ac:dyDescent="0.25">
      <c r="C3740"/>
      <c r="F3740"/>
      <c r="G3740"/>
      <c r="H3740"/>
      <c r="L3740"/>
      <c r="O3740"/>
    </row>
    <row r="3741" spans="3:15" x14ac:dyDescent="0.25">
      <c r="C3741"/>
      <c r="F3741"/>
      <c r="G3741"/>
      <c r="H3741"/>
      <c r="L3741"/>
      <c r="O3741"/>
    </row>
    <row r="3742" spans="3:15" x14ac:dyDescent="0.25">
      <c r="C3742"/>
      <c r="F3742"/>
      <c r="G3742"/>
      <c r="H3742"/>
      <c r="L3742"/>
      <c r="O3742"/>
    </row>
    <row r="3743" spans="3:15" x14ac:dyDescent="0.25">
      <c r="C3743"/>
      <c r="F3743"/>
      <c r="G3743"/>
      <c r="H3743"/>
      <c r="L3743"/>
      <c r="O3743"/>
    </row>
    <row r="3744" spans="3:15" x14ac:dyDescent="0.25">
      <c r="C3744"/>
      <c r="F3744"/>
      <c r="G3744"/>
      <c r="H3744"/>
      <c r="L3744"/>
      <c r="O3744"/>
    </row>
    <row r="3745" spans="3:15" x14ac:dyDescent="0.25">
      <c r="C3745"/>
      <c r="F3745"/>
      <c r="G3745"/>
      <c r="H3745"/>
      <c r="L3745"/>
      <c r="O3745"/>
    </row>
    <row r="3746" spans="3:15" x14ac:dyDescent="0.25">
      <c r="C3746"/>
      <c r="F3746"/>
      <c r="G3746"/>
      <c r="H3746"/>
      <c r="L3746"/>
      <c r="O3746"/>
    </row>
    <row r="3747" spans="3:15" x14ac:dyDescent="0.25">
      <c r="C3747"/>
      <c r="F3747"/>
      <c r="G3747"/>
      <c r="H3747"/>
      <c r="L3747"/>
      <c r="O3747"/>
    </row>
    <row r="3748" spans="3:15" x14ac:dyDescent="0.25">
      <c r="C3748"/>
      <c r="F3748"/>
      <c r="G3748"/>
      <c r="H3748"/>
      <c r="L3748"/>
      <c r="O3748"/>
    </row>
    <row r="3749" spans="3:15" x14ac:dyDescent="0.25">
      <c r="C3749"/>
      <c r="F3749"/>
      <c r="G3749"/>
      <c r="H3749"/>
      <c r="L3749"/>
      <c r="O3749"/>
    </row>
    <row r="3750" spans="3:15" x14ac:dyDescent="0.25">
      <c r="C3750"/>
      <c r="F3750"/>
      <c r="G3750"/>
      <c r="H3750"/>
      <c r="L3750"/>
      <c r="O3750"/>
    </row>
    <row r="3751" spans="3:15" x14ac:dyDescent="0.25">
      <c r="C3751"/>
      <c r="F3751"/>
      <c r="G3751"/>
      <c r="H3751"/>
      <c r="L3751"/>
      <c r="O3751"/>
    </row>
    <row r="3752" spans="3:15" x14ac:dyDescent="0.25">
      <c r="C3752"/>
      <c r="F3752"/>
      <c r="G3752"/>
      <c r="H3752"/>
      <c r="L3752"/>
      <c r="O3752"/>
    </row>
    <row r="3753" spans="3:15" x14ac:dyDescent="0.25">
      <c r="C3753"/>
      <c r="F3753"/>
      <c r="G3753"/>
      <c r="H3753"/>
      <c r="L3753"/>
      <c r="O3753"/>
    </row>
    <row r="3754" spans="3:15" x14ac:dyDescent="0.25">
      <c r="C3754"/>
      <c r="F3754"/>
      <c r="G3754"/>
      <c r="H3754"/>
      <c r="L3754"/>
      <c r="O3754"/>
    </row>
    <row r="3755" spans="3:15" x14ac:dyDescent="0.25">
      <c r="C3755"/>
      <c r="F3755"/>
      <c r="G3755"/>
      <c r="H3755"/>
      <c r="L3755"/>
      <c r="O3755"/>
    </row>
    <row r="3756" spans="3:15" x14ac:dyDescent="0.25">
      <c r="C3756"/>
      <c r="F3756"/>
      <c r="G3756"/>
      <c r="H3756"/>
      <c r="L3756"/>
      <c r="O3756"/>
    </row>
    <row r="3757" spans="3:15" x14ac:dyDescent="0.25">
      <c r="C3757"/>
      <c r="F3757"/>
      <c r="G3757"/>
      <c r="H3757"/>
      <c r="L3757"/>
      <c r="O3757"/>
    </row>
    <row r="3758" spans="3:15" x14ac:dyDescent="0.25">
      <c r="C3758"/>
      <c r="F3758"/>
      <c r="G3758"/>
      <c r="H3758"/>
      <c r="L3758"/>
      <c r="O3758"/>
    </row>
    <row r="3759" spans="3:15" x14ac:dyDescent="0.25">
      <c r="C3759"/>
      <c r="F3759"/>
      <c r="G3759"/>
      <c r="H3759"/>
      <c r="L3759"/>
      <c r="O37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overview_equations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2025-04-28T09:07:56Z</dcterms:modified>
</cp:coreProperties>
</file>