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mjconsigna/Desktop/OBJ 1/DRAFT MANUS/Sci Rep/REVIEWERS/REVIEWER 4/Finalized/"/>
    </mc:Choice>
  </mc:AlternateContent>
  <xr:revisionPtr revIDLastSave="0" documentId="13_ncr:1_{19E614B7-EB63-5E4C-9343-22CA46335A0D}" xr6:coauthVersionLast="47" xr6:coauthVersionMax="47" xr10:uidLastSave="{00000000-0000-0000-0000-000000000000}"/>
  <bookViews>
    <workbookView xWindow="4420" yWindow="660" windowWidth="24980" windowHeight="16940" firstSheet="5" activeTab="9" xr2:uid="{00000000-000D-0000-FFFF-FFFF00000000}"/>
  </bookViews>
  <sheets>
    <sheet name="BLANK SAMPLE_TABLE S1" sheetId="9" r:id="rId1"/>
    <sheet name="MORPHOLOGY_TABLE S2" sheetId="7" r:id="rId2"/>
    <sheet name="FTIR_TABLE S3" sheetId="13" r:id="rId3"/>
    <sheet name="SEX RATIO_TABLE S4" sheetId="17" r:id="rId4"/>
    <sheet name="TOTAL MPs_TABLE S5" sheetId="16" r:id="rId5"/>
    <sheet name="ORGAN_COLOR SPECIFIC TABLE S6" sheetId="5" r:id="rId6"/>
    <sheet name="ORGAN_SHAPE SPECIFIC TABLE S7" sheetId="6" r:id="rId7"/>
    <sheet name="COLOR-TISSUE_TABLE S8" sheetId="12" r:id="rId8"/>
    <sheet name="SHAPE-TISSUE_TABLE S9" sheetId="14" r:id="rId9"/>
    <sheet name="PCA &amp; PEARSON_TABLE S10" sheetId="18" r:id="rId10"/>
    <sheet name="EDX_TABLE S11" sheetId="1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8" l="1"/>
  <c r="D11" i="18" s="1"/>
  <c r="F87" i="16"/>
  <c r="F3" i="16"/>
  <c r="F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2" i="16"/>
  <c r="D87" i="16"/>
  <c r="C87" i="16"/>
  <c r="E87" i="16"/>
  <c r="B87" i="16"/>
  <c r="H58" i="6"/>
  <c r="H57" i="6"/>
  <c r="H56" i="6"/>
  <c r="H55" i="6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5" i="5"/>
  <c r="R7" i="5"/>
  <c r="R33" i="5"/>
  <c r="R30" i="5"/>
  <c r="R28" i="5"/>
  <c r="R27" i="5"/>
  <c r="R23" i="5"/>
  <c r="R20" i="5"/>
  <c r="R17" i="5"/>
  <c r="R14" i="5"/>
  <c r="R11" i="5"/>
  <c r="M11" i="5"/>
  <c r="M6" i="5"/>
  <c r="M7" i="5"/>
  <c r="M35" i="5"/>
  <c r="M33" i="5"/>
  <c r="M30" i="5"/>
  <c r="M29" i="5"/>
  <c r="M28" i="5"/>
  <c r="M27" i="5"/>
  <c r="M26" i="5"/>
  <c r="M23" i="5"/>
  <c r="M22" i="5"/>
  <c r="M20" i="5"/>
  <c r="M18" i="5"/>
  <c r="M17" i="5"/>
  <c r="M14" i="5"/>
  <c r="M13" i="5"/>
  <c r="H5" i="5"/>
  <c r="H6" i="5"/>
  <c r="L30" i="7" l="1"/>
  <c r="K30" i="7"/>
  <c r="J30" i="7"/>
  <c r="L29" i="7"/>
  <c r="K29" i="7"/>
  <c r="J29" i="7"/>
  <c r="L28" i="7"/>
  <c r="K28" i="7"/>
  <c r="J28" i="7"/>
  <c r="L27" i="7"/>
  <c r="K27" i="7"/>
  <c r="J27" i="7"/>
  <c r="L26" i="7"/>
  <c r="K26" i="7"/>
  <c r="J26" i="7"/>
  <c r="E26" i="7"/>
  <c r="D26" i="7"/>
  <c r="C26" i="7"/>
  <c r="L25" i="7"/>
  <c r="K25" i="7"/>
  <c r="J25" i="7"/>
  <c r="E25" i="7"/>
  <c r="D25" i="7"/>
  <c r="C25" i="7"/>
  <c r="L24" i="7"/>
  <c r="K24" i="7"/>
  <c r="J24" i="7"/>
  <c r="E24" i="7"/>
  <c r="D24" i="7"/>
  <c r="C24" i="7"/>
  <c r="L23" i="7"/>
  <c r="K23" i="7"/>
  <c r="J23" i="7"/>
  <c r="E23" i="7"/>
  <c r="D23" i="7"/>
  <c r="C23" i="7"/>
  <c r="L22" i="7"/>
  <c r="K22" i="7"/>
  <c r="J22" i="7"/>
  <c r="E22" i="7"/>
  <c r="D22" i="7"/>
  <c r="C22" i="7"/>
  <c r="L21" i="7"/>
  <c r="K21" i="7"/>
  <c r="J21" i="7"/>
  <c r="E21" i="7"/>
  <c r="D21" i="7"/>
  <c r="C21" i="7"/>
  <c r="L20" i="7"/>
  <c r="K20" i="7"/>
  <c r="J20" i="7"/>
  <c r="E20" i="7"/>
  <c r="D20" i="7"/>
  <c r="C20" i="7"/>
  <c r="L19" i="7"/>
  <c r="K19" i="7"/>
  <c r="J19" i="7"/>
  <c r="E19" i="7"/>
  <c r="D19" i="7"/>
  <c r="C19" i="7"/>
  <c r="L18" i="7"/>
  <c r="K18" i="7"/>
  <c r="J18" i="7"/>
  <c r="E18" i="7"/>
  <c r="D18" i="7"/>
  <c r="C18" i="7"/>
  <c r="L17" i="7"/>
  <c r="K17" i="7"/>
  <c r="J17" i="7"/>
  <c r="E17" i="7"/>
  <c r="D17" i="7"/>
  <c r="C17" i="7"/>
  <c r="L16" i="7"/>
  <c r="K16" i="7"/>
  <c r="J16" i="7"/>
  <c r="E16" i="7"/>
  <c r="D16" i="7"/>
  <c r="C16" i="7"/>
  <c r="L15" i="7"/>
  <c r="K15" i="7"/>
  <c r="J15" i="7"/>
  <c r="E15" i="7"/>
  <c r="D15" i="7"/>
  <c r="C15" i="7"/>
  <c r="L14" i="7"/>
  <c r="K14" i="7"/>
  <c r="J14" i="7"/>
  <c r="E14" i="7"/>
  <c r="D14" i="7"/>
  <c r="C14" i="7"/>
  <c r="L13" i="7"/>
  <c r="K13" i="7"/>
  <c r="J13" i="7"/>
  <c r="E13" i="7"/>
  <c r="D13" i="7"/>
  <c r="C13" i="7"/>
  <c r="E12" i="7"/>
  <c r="D12" i="7"/>
  <c r="C12" i="7"/>
  <c r="E11" i="7"/>
  <c r="D11" i="7"/>
  <c r="C11" i="7"/>
  <c r="E10" i="7"/>
  <c r="D10" i="7"/>
  <c r="C10" i="7"/>
  <c r="L9" i="7"/>
  <c r="K9" i="7"/>
  <c r="J9" i="7"/>
  <c r="E9" i="7"/>
  <c r="D9" i="7"/>
  <c r="C9" i="7"/>
  <c r="L8" i="7"/>
  <c r="K8" i="7"/>
  <c r="J8" i="7"/>
  <c r="E8" i="7"/>
  <c r="D8" i="7"/>
  <c r="C8" i="7"/>
  <c r="L7" i="7"/>
  <c r="K7" i="7"/>
  <c r="J7" i="7"/>
  <c r="E7" i="7"/>
  <c r="D7" i="7"/>
  <c r="C7" i="7"/>
  <c r="L6" i="7"/>
  <c r="K6" i="7"/>
  <c r="J6" i="7"/>
  <c r="E6" i="7"/>
  <c r="D6" i="7"/>
  <c r="C6" i="7"/>
  <c r="L5" i="7"/>
  <c r="K5" i="7"/>
  <c r="J5" i="7"/>
  <c r="E5" i="7"/>
  <c r="D5" i="7"/>
  <c r="C5" i="7"/>
  <c r="L4" i="7"/>
  <c r="K4" i="7"/>
  <c r="J4" i="7"/>
  <c r="E4" i="7"/>
  <c r="D4" i="7"/>
  <c r="C4" i="7"/>
  <c r="L3" i="7"/>
  <c r="K3" i="7"/>
  <c r="J3" i="7"/>
  <c r="E3" i="7"/>
  <c r="D3" i="7"/>
  <c r="C3" i="7"/>
  <c r="L2" i="7"/>
  <c r="K2" i="7"/>
  <c r="J2" i="7"/>
  <c r="E2" i="7"/>
  <c r="D2" i="7"/>
  <c r="C2" i="7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" i="6"/>
  <c r="M5" i="6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W51" i="5"/>
  <c r="W52" i="5"/>
  <c r="W53" i="5"/>
  <c r="W54" i="5"/>
  <c r="W55" i="5"/>
  <c r="W56" i="5"/>
  <c r="W57" i="5"/>
  <c r="W58" i="5"/>
  <c r="W5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R38" i="5"/>
  <c r="R39" i="5"/>
  <c r="R37" i="5"/>
  <c r="M37" i="5"/>
  <c r="R36" i="5"/>
  <c r="M36" i="5"/>
  <c r="R35" i="5"/>
  <c r="W34" i="5"/>
  <c r="R34" i="5"/>
  <c r="M34" i="5"/>
  <c r="R32" i="5"/>
  <c r="M32" i="5"/>
  <c r="R31" i="5"/>
  <c r="M31" i="5"/>
  <c r="R29" i="5"/>
  <c r="R26" i="5"/>
  <c r="R25" i="5"/>
  <c r="M25" i="5"/>
  <c r="R24" i="5"/>
  <c r="M24" i="5"/>
  <c r="R22" i="5"/>
  <c r="R21" i="5"/>
  <c r="M21" i="5"/>
  <c r="R19" i="5"/>
  <c r="M19" i="5"/>
  <c r="R18" i="5"/>
  <c r="R16" i="5"/>
  <c r="M16" i="5"/>
  <c r="R15" i="5"/>
  <c r="M15" i="5"/>
  <c r="R13" i="5"/>
  <c r="R12" i="5"/>
  <c r="M12" i="5"/>
  <c r="M10" i="5"/>
  <c r="R10" i="5"/>
  <c r="R9" i="5"/>
  <c r="M9" i="5"/>
  <c r="R8" i="5"/>
  <c r="M8" i="5"/>
  <c r="R6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T5" i="5"/>
  <c r="R5" i="5"/>
  <c r="J5" i="5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59" i="6"/>
  <c r="W61" i="5"/>
  <c r="W62" i="5"/>
  <c r="W63" i="5"/>
  <c r="W64" i="5"/>
  <c r="W65" i="5"/>
  <c r="W66" i="5"/>
  <c r="W67" i="5"/>
  <c r="W68" i="5"/>
  <c r="W69" i="5"/>
  <c r="W70" i="5"/>
  <c r="W71" i="5"/>
  <c r="W72" i="5"/>
  <c r="W73" i="5"/>
  <c r="W74" i="5"/>
  <c r="W75" i="5"/>
  <c r="W76" i="5"/>
  <c r="W77" i="5"/>
  <c r="W78" i="5"/>
  <c r="W79" i="5"/>
  <c r="W80" i="5"/>
  <c r="W81" i="5"/>
  <c r="W82" i="5"/>
  <c r="W83" i="5"/>
  <c r="W84" i="5"/>
  <c r="W85" i="5"/>
  <c r="W86" i="5"/>
  <c r="W87" i="5"/>
  <c r="W88" i="5"/>
  <c r="W89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W60" i="5"/>
  <c r="R6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U5" i="5" l="1"/>
  <c r="K5" i="5"/>
  <c r="L5" i="5" l="1"/>
  <c r="M5" i="5" l="1"/>
</calcChain>
</file>

<file path=xl/sharedStrings.xml><?xml version="1.0" encoding="utf-8"?>
<sst xmlns="http://schemas.openxmlformats.org/spreadsheetml/2006/main" count="1629" uniqueCount="540">
  <si>
    <t>Sex</t>
  </si>
  <si>
    <t>F</t>
  </si>
  <si>
    <t>M</t>
  </si>
  <si>
    <t>Hepatopancreas</t>
  </si>
  <si>
    <t>Midgut</t>
  </si>
  <si>
    <t>COLOR</t>
  </si>
  <si>
    <t>ORGAN</t>
  </si>
  <si>
    <t>Black</t>
  </si>
  <si>
    <t>SHAPE</t>
  </si>
  <si>
    <t>Fiber</t>
  </si>
  <si>
    <t>Fragment</t>
  </si>
  <si>
    <t>RED</t>
  </si>
  <si>
    <t>BLUE</t>
  </si>
  <si>
    <t>BLACK</t>
  </si>
  <si>
    <t>YELLOW</t>
  </si>
  <si>
    <t>Muscle</t>
  </si>
  <si>
    <t>Blank Sample</t>
  </si>
  <si>
    <t>Sample 1</t>
  </si>
  <si>
    <t>Sample 2</t>
  </si>
  <si>
    <t>Sample 3</t>
  </si>
  <si>
    <t>Sample 4</t>
  </si>
  <si>
    <t>Sample 5</t>
  </si>
  <si>
    <t>Sample 6</t>
  </si>
  <si>
    <t>Number</t>
  </si>
  <si>
    <t>Shape</t>
  </si>
  <si>
    <t>Color</t>
  </si>
  <si>
    <t>-</t>
  </si>
  <si>
    <t>Table Analyzed</t>
  </si>
  <si>
    <t>Grouped: Entering replicate data</t>
  </si>
  <si>
    <t>Two-way ANOVA</t>
  </si>
  <si>
    <t>Ordinary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</si>
  <si>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</si>
  <si>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</si>
  <si>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</si>
  <si>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</si>
  <si>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</si>
  <si>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</si>
  <si>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    Interaction</t>
  </si>
  <si>
    <t>&lt;0.0001</t>
  </si>
  <si>
    <t>****</t>
  </si>
  <si>
    <t>Yes</t>
  </si>
  <si>
    <t>    Row Factor</t>
  </si>
  <si>
    <t>    Column Factor</t>
  </si>
  <si>
    <t>ANOVA table</t>
  </si>
  <si>
    <t>SS</t>
  </si>
  <si>
    <t>DF</t>
  </si>
  <si>
    <t>MS</t>
  </si>
  <si>
    <t>F (DFn, DFd)</t>
  </si>
  <si>
    <t>F (9, 1344) = 9.389</t>
  </si>
  <si>
    <t>P&lt;0.0001</t>
  </si>
  <si>
    <t>F (3, 1344) = 44.62</t>
  </si>
  <si>
    <t>F (3, 1344) = 48.26</t>
  </si>
  <si>
    <t>    Residual</t>
  </si>
  <si>
    <t>Data summary</t>
  </si>
  <si>
    <t>    Number of columns (Column Factor)</t>
  </si>
  <si>
    <t>    Number of rows (Row Factor)</t>
  </si>
  <si>
    <t>    Number of values</t>
  </si>
  <si>
    <t>Copy of Grouped: Entering replicate data</t>
  </si>
  <si>
    <t>ns</t>
  </si>
  <si>
    <t>No</t>
  </si>
  <si>
    <t>F (3, 672) = 15.17</t>
  </si>
  <si>
    <t>F (3, 672) = 37.06</t>
  </si>
  <si>
    <t>F (1, 672) = 2.866</t>
  </si>
  <si>
    <t>P=0.0909</t>
  </si>
  <si>
    <t>Difference between column means</t>
  </si>
  <si>
    <t>    Mean of Fiber</t>
  </si>
  <si>
    <t>    Mean of Fragment</t>
  </si>
  <si>
    <t>    Difference between means</t>
  </si>
  <si>
    <t>    SE of difference</t>
  </si>
  <si>
    <t>    95% CI of difference</t>
  </si>
  <si>
    <t>-0.02914 to 0.3938</t>
  </si>
  <si>
    <t xml:space="preserve">Tissue sample </t>
  </si>
  <si>
    <t>Element</t>
  </si>
  <si>
    <t xml:space="preserve">Weight % </t>
  </si>
  <si>
    <t xml:space="preserve">Atomic % </t>
  </si>
  <si>
    <t>Carbon (C)</t>
  </si>
  <si>
    <t>Nitrogen (N)</t>
  </si>
  <si>
    <t>Oxygen (O)</t>
  </si>
  <si>
    <t>Silicon (Si)</t>
  </si>
  <si>
    <t>Sulfur (S)</t>
  </si>
  <si>
    <t>Chlorine (Cl)</t>
  </si>
  <si>
    <t>Sediment sample</t>
  </si>
  <si>
    <t>HV water sample</t>
  </si>
  <si>
    <t>Weight %</t>
  </si>
  <si>
    <t>Atomic %</t>
  </si>
  <si>
    <t>Cotton</t>
  </si>
  <si>
    <t>Minerals</t>
  </si>
  <si>
    <t>Sample</t>
  </si>
  <si>
    <t>Carapace Width  (cm)</t>
  </si>
  <si>
    <t>Carapace Length (cm)</t>
  </si>
  <si>
    <t>Wet body Weight (mg)</t>
  </si>
  <si>
    <t>Gill</t>
  </si>
  <si>
    <t>Total</t>
  </si>
  <si>
    <r>
      <t>49.81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1.57</t>
    </r>
  </si>
  <si>
    <r>
      <t>56.41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1.67</t>
    </r>
  </si>
  <si>
    <r>
      <t>35.37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9.89</t>
    </r>
  </si>
  <si>
    <r>
      <t>45.23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8.19</t>
    </r>
  </si>
  <si>
    <r>
      <t>41.22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14.77</t>
    </r>
  </si>
  <si>
    <r>
      <t>50.28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16.51</t>
    </r>
  </si>
  <si>
    <r>
      <t>15.55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2.38</t>
    </r>
  </si>
  <si>
    <r>
      <t>15.11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2.33</t>
    </r>
  </si>
  <si>
    <r>
      <t>13.09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4.82</t>
    </r>
  </si>
  <si>
    <r>
      <t>14.22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4.00</t>
    </r>
  </si>
  <si>
    <r>
      <t>4.32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6.76</t>
    </r>
  </si>
  <si>
    <r>
      <t>4.84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7.57</t>
    </r>
  </si>
  <si>
    <r>
      <t>32.5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1.05</t>
    </r>
  </si>
  <si>
    <r>
      <t>27.63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0.87</t>
    </r>
  </si>
  <si>
    <r>
      <t>29.20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2.66</t>
    </r>
  </si>
  <si>
    <r>
      <t>28.71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2.79</t>
    </r>
  </si>
  <si>
    <r>
      <t>42.21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6.17</t>
    </r>
  </si>
  <si>
    <r>
      <t>39.38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7.60</t>
    </r>
  </si>
  <si>
    <r>
      <t>0.11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0.02</t>
    </r>
  </si>
  <si>
    <r>
      <t>0.05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0.01</t>
    </r>
  </si>
  <si>
    <r>
      <t>8.19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7.46</t>
    </r>
  </si>
  <si>
    <r>
      <t>5.05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5.12</t>
    </r>
  </si>
  <si>
    <r>
      <t>2.67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3.00</t>
    </r>
  </si>
  <si>
    <r>
      <t>1.47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1.69</t>
    </r>
  </si>
  <si>
    <r>
      <t>0.21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0.16</t>
    </r>
  </si>
  <si>
    <r>
      <t>0.09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0.07</t>
    </r>
  </si>
  <si>
    <r>
      <t>1.10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0.76</t>
    </r>
  </si>
  <si>
    <r>
      <t>0.58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0.46</t>
    </r>
  </si>
  <si>
    <r>
      <t>0.7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0.07</t>
    </r>
  </si>
  <si>
    <r>
      <t>0.32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0.05</t>
    </r>
  </si>
  <si>
    <r>
      <t>1.81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0.06</t>
    </r>
  </si>
  <si>
    <r>
      <t>0.69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0.02</t>
    </r>
  </si>
  <si>
    <r>
      <t>13.03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8.02</t>
    </r>
  </si>
  <si>
    <r>
      <t>6.19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4.59</t>
    </r>
  </si>
  <si>
    <r>
      <t>8.86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1.33</t>
    </r>
  </si>
  <si>
    <r>
      <t>3.69</t>
    </r>
    <r>
      <rPr>
        <sz val="14"/>
        <color rgb="FF000000"/>
        <rFont val="Symbol"/>
        <charset val="2"/>
      </rPr>
      <t>±</t>
    </r>
    <r>
      <rPr>
        <sz val="14"/>
        <color rgb="FF000000"/>
        <rFont val="Times New Roman"/>
        <family val="1"/>
      </rPr>
      <t>0.43</t>
    </r>
  </si>
  <si>
    <t>Type</t>
  </si>
  <si>
    <t>Polyurethane</t>
  </si>
  <si>
    <t>Reference</t>
  </si>
  <si>
    <t>https://doi.org/10.2147/IJN.S15586</t>
  </si>
  <si>
    <t>https://d1wqtxts1xzle7.cloudfront.net/75402124/Study_on_Structural_Mechanical_and_Funct20211129-4975-150ygp7.pdf?1738452119=&amp;response-content-disposition=inline%3B+filename%3DStudy_on_Structural_Mechanical_and_Funct.pdf&amp;Expires=1769428644&amp;Signature=T3RemF1N~HGIYWZbLCVsrnKXPZyATiuIcN5u3hm49rBlfiWkzxD54SdYmV6L8TYYgS~t8vjfcqgUNZARtdDHs6nT2jSLBMJQtDxr9qFMkEWGr6FIVnDqRpZQ-UVnEjY~Pj~3nmga2k9R4egrOXRM00JaZNHbVr8vJupBJix6LpzbTTZOvJIEtNQlglIHuXu0IBzkhxNJjR57n5~uaH4Bopy7H9nQBOAYn~q0XtLuoEfvhetq9~Aimx7zcHR5gbuXyCul-c6TELeCYSUkHiCYHYC3DccAD~L~2EXfbVf~s0Qeql2laxfGPp-0Lz3YIhaHLBIH0Da~8upNiffXE~61WQ__&amp;Key-Pair-Id=APKAJLOHF5GGSLRBV4ZA</t>
  </si>
  <si>
    <t>Polymer Type</t>
  </si>
  <si>
    <t>Major Peaks</t>
  </si>
  <si>
    <t>https://doi.org/10.1016/j.marpolbul.2017.12.061</t>
  </si>
  <si>
    <t>https://www.researchgate.net/profile/Wong-Sien/publication/258338299_FTIR_spectroscopy_analysis_of_the_prepolymerization_of_palm-based_polyurethane/links/00463527dec9116cd9000000/FTIR-spectroscopy-analysis-of-the-prepolymerization-of-palm-based-polyurethane.pdf</t>
  </si>
  <si>
    <t>https://doi.org/10.1038/srep23501</t>
  </si>
  <si>
    <t>Polyester-based, PET</t>
  </si>
  <si>
    <r>
      <t>3300 cm</t>
    </r>
    <r>
      <rPr>
        <vertAlign val="superscript"/>
        <sz val="14"/>
        <color rgb="FF000000"/>
        <rFont val="Times New Roman"/>
        <family val="1"/>
      </rPr>
      <t>−1</t>
    </r>
    <r>
      <rPr>
        <sz val="14"/>
        <color rgb="FF000000"/>
        <rFont val="Times New Roman"/>
        <family val="1"/>
      </rPr>
      <t> (–NH stretch), 2849 cm</t>
    </r>
    <r>
      <rPr>
        <vertAlign val="superscript"/>
        <sz val="14"/>
        <color rgb="FF000000"/>
        <rFont val="Times New Roman"/>
        <family val="1"/>
      </rPr>
      <t>−1</t>
    </r>
    <r>
      <rPr>
        <sz val="14"/>
        <color rgb="FF000000"/>
        <rFont val="Times New Roman"/>
        <family val="1"/>
      </rPr>
      <t> (–CH2 stretch), 1712 cm</t>
    </r>
    <r>
      <rPr>
        <vertAlign val="superscript"/>
        <sz val="14"/>
        <color rgb="FF000000"/>
        <rFont val="Times New Roman"/>
        <family val="1"/>
      </rPr>
      <t>−1 </t>
    </r>
    <r>
      <rPr>
        <sz val="14"/>
        <color rgb="FF000000"/>
        <rFont val="Times New Roman"/>
        <family val="1"/>
      </rPr>
      <t>(C = O stretch), 1536 cm</t>
    </r>
    <r>
      <rPr>
        <vertAlign val="superscript"/>
        <sz val="14"/>
        <color rgb="FF000000"/>
        <rFont val="Times New Roman"/>
        <family val="1"/>
      </rPr>
      <t>−1</t>
    </r>
    <r>
      <rPr>
        <sz val="14"/>
        <color rgb="FF000000"/>
        <rFont val="Times New Roman"/>
        <family val="1"/>
      </rPr>
      <t> (N–H bend), and 1252 cm</t>
    </r>
    <r>
      <rPr>
        <vertAlign val="superscript"/>
        <sz val="14"/>
        <color rgb="FF000000"/>
        <rFont val="Times New Roman"/>
        <family val="1"/>
      </rPr>
      <t>−1</t>
    </r>
    <r>
      <rPr>
        <sz val="14"/>
        <color rgb="FF000000"/>
        <rFont val="Times New Roman"/>
        <family val="1"/>
      </rPr>
      <t xml:space="preserve"> (C–O–C stretch) </t>
    </r>
  </si>
  <si>
    <r>
      <t>2916 cm</t>
    </r>
    <r>
      <rPr>
        <vertAlign val="superscript"/>
        <sz val="14"/>
        <color rgb="FF000000"/>
        <rFont val="Times New Roman"/>
        <family val="1"/>
      </rPr>
      <t>−1</t>
    </r>
    <r>
      <rPr>
        <sz val="14"/>
        <color rgb="FF000000"/>
        <rFont val="Times New Roman"/>
        <family val="1"/>
      </rPr>
      <t> (C–H stretch), 1712 cm</t>
    </r>
    <r>
      <rPr>
        <vertAlign val="superscript"/>
        <sz val="14"/>
        <color rgb="FF000000"/>
        <rFont val="Times New Roman"/>
        <family val="1"/>
      </rPr>
      <t>−1</t>
    </r>
    <r>
      <rPr>
        <sz val="14"/>
        <color rgb="FF000000"/>
        <rFont val="Times New Roman"/>
        <family val="1"/>
      </rPr>
      <t> (C=O stretch), and 1252 cm</t>
    </r>
    <r>
      <rPr>
        <vertAlign val="superscript"/>
        <sz val="14"/>
        <color rgb="FF000000"/>
        <rFont val="Times New Roman"/>
        <family val="1"/>
      </rPr>
      <t>−1</t>
    </r>
    <r>
      <rPr>
        <sz val="14"/>
        <color rgb="FF000000"/>
        <rFont val="Times New Roman"/>
        <family val="1"/>
      </rPr>
      <t> (C–O stretch)</t>
    </r>
  </si>
  <si>
    <t>Compare cell means regardless of rows and columns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</si>
  <si>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</si>
  <si>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</si>
  <si>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</si>
  <si>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</si>
  <si>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</si>
  <si>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</si>
  <si>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</si>
  <si>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</si>
  <si>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</si>
  <si>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Gills:Red vs. Gills:Blue</t>
  </si>
  <si>
    <t>-0.03881 to 0.9329</t>
  </si>
  <si>
    <t>  Gills:Red vs. Gills:Black</t>
  </si>
  <si>
    <t>-0.08587 to 0.8859</t>
  </si>
  <si>
    <t>  Gills:Red vs. Gills:Yellow</t>
  </si>
  <si>
    <t>0.3965 to 1.368</t>
  </si>
  <si>
    <t>  Gills:Red vs. Hepatopancreas:Red</t>
  </si>
  <si>
    <t>-0.3329 to 0.6388</t>
  </si>
  <si>
    <t>  Gills:Red vs. Hepatopancreas:Blue</t>
  </si>
  <si>
    <t>0.2200 to 1.192</t>
  </si>
  <si>
    <t>  Gills:Red vs. Hepatopancreas:Black</t>
  </si>
  <si>
    <t>-0.5212 to 0.4506</t>
  </si>
  <si>
    <t>&gt;0.9999</t>
  </si>
  <si>
    <t>  Gills:Red vs. Hepatopancreas:Yellow</t>
  </si>
  <si>
    <t>0.3730 to 1.345</t>
  </si>
  <si>
    <t>  Gills:Red vs. Midgut:Red</t>
  </si>
  <si>
    <t>-0.9682 to 0.003517</t>
  </si>
  <si>
    <t>  Gills:Red vs. Midgut:Blue</t>
  </si>
  <si>
    <t>0.1730 to 1.145</t>
  </si>
  <si>
    <t>***</t>
  </si>
  <si>
    <t>  Gills:Red vs. Midgut:Black</t>
  </si>
  <si>
    <t>-0.8859 to 0.08587</t>
  </si>
  <si>
    <t>  Gills:Red vs. Midgut:Yellow</t>
  </si>
  <si>
    <t>0.2906 to 1.262</t>
  </si>
  <si>
    <t>  Gills:Red vs. Muscles:Red</t>
  </si>
  <si>
    <t>0.4553 to 1.427</t>
  </si>
  <si>
    <t>  Gills:Red vs. Muscles:Blue</t>
  </si>
  <si>
    <t>  Gills:Red vs. Muscles:Black</t>
  </si>
  <si>
    <t>  Gills:Red vs. Muscles:Yellow</t>
  </si>
  <si>
    <t>  Gills:Blue vs. Gills:Black</t>
  </si>
  <si>
    <t>-0.5329 to 0.4388</t>
  </si>
  <si>
    <t>  Gills:Blue vs. Gills:Yellow</t>
  </si>
  <si>
    <t>-0.05058 to 0.9212</t>
  </si>
  <si>
    <t>  Gills:Blue vs. Hepatopancreas:Red</t>
  </si>
  <si>
    <t>-0.7800 to 0.1918</t>
  </si>
  <si>
    <t>  Gills:Blue vs. Hepatopancreas:Blue</t>
  </si>
  <si>
    <t>-0.2270 to 0.7447</t>
  </si>
  <si>
    <t>  Gills:Blue vs. Hepatopancreas:Black</t>
  </si>
  <si>
    <t>  Gills:Blue vs. Hepatopancreas:Yellow</t>
  </si>
  <si>
    <t>-0.07411 to 0.8976</t>
  </si>
  <si>
    <t>  Gills:Blue vs. Midgut:Red</t>
  </si>
  <si>
    <t>-1.415 to -0.4435</t>
  </si>
  <si>
    <t>  Gills:Blue vs. Midgut:Blue</t>
  </si>
  <si>
    <t>-0.2741 to 0.6976</t>
  </si>
  <si>
    <t>  Gills:Blue vs. Midgut:Black</t>
  </si>
  <si>
    <t>-1.333 to -0.3612</t>
  </si>
  <si>
    <t>  Gills:Blue vs. Midgut:Yellow</t>
  </si>
  <si>
    <t>-0.1565 to 0.8153</t>
  </si>
  <si>
    <t>  Gills:Blue vs. Muscles:Red</t>
  </si>
  <si>
    <t>0.008248 to 0.9800</t>
  </si>
  <si>
    <t>*</t>
  </si>
  <si>
    <t>  Gills:Blue vs. Muscles:Blue</t>
  </si>
  <si>
    <t>  Gills:Blue vs. Muscles:Black</t>
  </si>
  <si>
    <t>  Gills:Blue vs. Muscles:Yellow</t>
  </si>
  <si>
    <t>  Gills:Black vs. Gills:Yellow</t>
  </si>
  <si>
    <t>-0.003517 to 0.9682</t>
  </si>
  <si>
    <t>  Gills:Black vs. Hepatopancreas:Red</t>
  </si>
  <si>
    <t>-0.7329 to 0.2388</t>
  </si>
  <si>
    <t>  Gills:Black vs. Hepatopancreas:Blue</t>
  </si>
  <si>
    <t>-0.1800 to 0.7918</t>
  </si>
  <si>
    <t>  Gills:Black vs. Hepatopancreas:Black</t>
  </si>
  <si>
    <t>-0.9212 to 0.05058</t>
  </si>
  <si>
    <t>  Gills:Black vs. Hepatopancreas:Yellow</t>
  </si>
  <si>
    <t>-0.02705 to 0.9447</t>
  </si>
  <si>
    <t>  Gills:Black vs. Midgut:Red</t>
  </si>
  <si>
    <t>-1.368 to -0.3965</t>
  </si>
  <si>
    <t>  Gills:Black vs. Midgut:Blue</t>
  </si>
  <si>
    <t>  Gills:Black vs. Midgut:Black</t>
  </si>
  <si>
    <t>-1.286 to -0.3141</t>
  </si>
  <si>
    <t>  Gills:Black vs. Midgut:Yellow</t>
  </si>
  <si>
    <t>-0.1094 to 0.8623</t>
  </si>
  <si>
    <t>  Gills:Black vs. Muscles:Red</t>
  </si>
  <si>
    <t>0.05531 to 1.027</t>
  </si>
  <si>
    <t>  Gills:Black vs. Muscles:Blue</t>
  </si>
  <si>
    <t>  Gills:Black vs. Muscles:Black</t>
  </si>
  <si>
    <t>  Gills:Black vs. Muscles:Yellow</t>
  </si>
  <si>
    <t>  Gills:Yellow vs. Hepatopancreas:Red</t>
  </si>
  <si>
    <t>-1.215 to -0.2435</t>
  </si>
  <si>
    <t>  Gills:Yellow vs. Hepatopancreas:Blue</t>
  </si>
  <si>
    <t>-0.6623 to 0.3094</t>
  </si>
  <si>
    <t>  Gills:Yellow vs. Hepatopancreas:Black</t>
  </si>
  <si>
    <t>-1.404 to -0.4318</t>
  </si>
  <si>
    <t>  Gills:Yellow vs. Hepatopancreas:Yellow</t>
  </si>
  <si>
    <t>-0.5094 to 0.4623</t>
  </si>
  <si>
    <t>  Gills:Yellow vs. Midgut:Red</t>
  </si>
  <si>
    <t>-1.851 to -0.8788</t>
  </si>
  <si>
    <t>  Gills:Yellow vs. Midgut:Blue</t>
  </si>
  <si>
    <t>-0.7094 to 0.2623</t>
  </si>
  <si>
    <t>  Gills:Yellow vs. Midgut:Black</t>
  </si>
  <si>
    <t>-1.768 to -0.7965</t>
  </si>
  <si>
    <t>  Gills:Yellow vs. Midgut:Yellow</t>
  </si>
  <si>
    <t>-0.5918 to 0.3800</t>
  </si>
  <si>
    <t>  Gills:Yellow vs. Muscles:Red</t>
  </si>
  <si>
    <t>-0.4270 to 0.5447</t>
  </si>
  <si>
    <t>  Gills:Yellow vs. Muscles:Blue</t>
  </si>
  <si>
    <t>  Gills:Yellow vs. Muscles:Black</t>
  </si>
  <si>
    <t>  Gills:Yellow vs. Muscles:Yellow</t>
  </si>
  <si>
    <t>  Hepatopancreas:Red vs. Hepatopancreas:Blue</t>
  </si>
  <si>
    <t>0.06707 to 1.039</t>
  </si>
  <si>
    <t>**</t>
  </si>
  <si>
    <t>  Hepatopancreas:Red vs. Hepatopancreas:Black</t>
  </si>
  <si>
    <t>-0.6741 to 0.2976</t>
  </si>
  <si>
    <t>  Hepatopancreas:Red vs. Hepatopancreas:Yellow</t>
  </si>
  <si>
    <t>  Hepatopancreas:Red vs. Midgut:Red</t>
  </si>
  <si>
    <t>-1.121 to -0.1494</t>
  </si>
  <si>
    <t>  Hepatopancreas:Red vs. Midgut:Blue</t>
  </si>
  <si>
    <t>0.02001 to 0.9918</t>
  </si>
  <si>
    <t>  Hepatopancreas:Red vs. Midgut:Black</t>
  </si>
  <si>
    <t>-1.039 to -0.06707</t>
  </si>
  <si>
    <t>  Hepatopancreas:Red vs. Midgut:Yellow</t>
  </si>
  <si>
    <t>0.1377 to 1.109</t>
  </si>
  <si>
    <t>  Hepatopancreas:Red vs. Muscles:Red</t>
  </si>
  <si>
    <t>0.3024 to 1.274</t>
  </si>
  <si>
    <t>  Hepatopancreas:Red vs. Muscles:Blue</t>
  </si>
  <si>
    <t>  Hepatopancreas:Red vs. Muscles:Black</t>
  </si>
  <si>
    <t>  Hepatopancreas:Red vs. Muscles:Yellow</t>
  </si>
  <si>
    <t>  Hepatopancreas:Blue vs. Hepatopancreas:Black</t>
  </si>
  <si>
    <t>-1.227 to -0.2553</t>
  </si>
  <si>
    <t>  Hepatopancreas:Blue vs. Hepatopancreas:Yellow</t>
  </si>
  <si>
    <t>  Hepatopancreas:Blue vs. Midgut:Red</t>
  </si>
  <si>
    <t>-1.674 to -0.7024</t>
  </si>
  <si>
    <t>  Hepatopancreas:Blue vs. Midgut:Blue</t>
  </si>
  <si>
    <t>  Hepatopancreas:Blue vs. Midgut:Black</t>
  </si>
  <si>
    <t>-1.592 to -0.6200</t>
  </si>
  <si>
    <t>  Hepatopancreas:Blue vs. Midgut:Yellow</t>
  </si>
  <si>
    <t>-0.4153 to 0.5565</t>
  </si>
  <si>
    <t>  Hepatopancreas:Blue vs. Muscles:Red</t>
  </si>
  <si>
    <t>-0.2506 to 0.7212</t>
  </si>
  <si>
    <t>  Hepatopancreas:Blue vs. Muscles:Blue</t>
  </si>
  <si>
    <t>  Hepatopancreas:Blue vs. Muscles:Black</t>
  </si>
  <si>
    <t>  Hepatopancreas:Blue vs. Muscles:Yellow</t>
  </si>
  <si>
    <t>  Hepatopancreas:Black vs. Hepatopancreas:Yellow</t>
  </si>
  <si>
    <t>0.4082 to 1.380</t>
  </si>
  <si>
    <t>  Hepatopancreas:Black vs. Midgut:Red</t>
  </si>
  <si>
    <t>-0.9329 to 0.03881</t>
  </si>
  <si>
    <t>  Hepatopancreas:Black vs. Midgut:Blue</t>
  </si>
  <si>
    <t>0.2082 to 1.180</t>
  </si>
  <si>
    <t>  Hepatopancreas:Black vs. Midgut:Black</t>
  </si>
  <si>
    <t>-0.8506 to 0.1212</t>
  </si>
  <si>
    <t>  Hepatopancreas:Black vs. Midgut:Yellow</t>
  </si>
  <si>
    <t>0.3259 to 1.298</t>
  </si>
  <si>
    <t>  Hepatopancreas:Black vs. Muscles:Red</t>
  </si>
  <si>
    <t>0.4906 to 1.462</t>
  </si>
  <si>
    <t>  Hepatopancreas:Black vs. Muscles:Blue</t>
  </si>
  <si>
    <t>  Hepatopancreas:Black vs. Muscles:Black</t>
  </si>
  <si>
    <t>  Hepatopancreas:Black vs. Muscles:Yellow</t>
  </si>
  <si>
    <t>  Hepatopancreas:Yellow vs. Midgut:Red</t>
  </si>
  <si>
    <t>-1.827 to -0.8553</t>
  </si>
  <si>
    <t>  Hepatopancreas:Yellow vs. Midgut:Blue</t>
  </si>
  <si>
    <t>-0.6859 to 0.2859</t>
  </si>
  <si>
    <t>  Hepatopancreas:Yellow vs. Midgut:Black</t>
  </si>
  <si>
    <t>-1.745 to -0.7730</t>
  </si>
  <si>
    <t>  Hepatopancreas:Yellow vs. Midgut:Yellow</t>
  </si>
  <si>
    <t>-0.5682 to 0.4035</t>
  </si>
  <si>
    <t>  Hepatopancreas:Yellow vs. Muscles:Red</t>
  </si>
  <si>
    <t>-0.4035 to 0.5682</t>
  </si>
  <si>
    <t>  Hepatopancreas:Yellow vs. Muscles:Blue</t>
  </si>
  <si>
    <t>  Hepatopancreas:Yellow vs. Muscles:Black</t>
  </si>
  <si>
    <t>  Hepatopancreas:Yellow vs. Muscles:Yellow</t>
  </si>
  <si>
    <t>  Midgut:Red vs. Midgut:Blue</t>
  </si>
  <si>
    <t>0.6553 to 1.627</t>
  </si>
  <si>
    <t>  Midgut:Red vs. Midgut:Black</t>
  </si>
  <si>
    <t>  Midgut:Red vs. Midgut:Yellow</t>
  </si>
  <si>
    <t>0.7730 to 1.745</t>
  </si>
  <si>
    <t>  Midgut:Red vs. Muscles:Red</t>
  </si>
  <si>
    <t>0.9377 to 1.909</t>
  </si>
  <si>
    <t>  Midgut:Red vs. Muscles:Blue</t>
  </si>
  <si>
    <t>  Midgut:Red vs. Muscles:Black</t>
  </si>
  <si>
    <t>  Midgut:Red vs. Muscles:Yellow</t>
  </si>
  <si>
    <t>  Midgut:Blue vs. Midgut:Black</t>
  </si>
  <si>
    <t>-1.545 to -0.5730</t>
  </si>
  <si>
    <t>  Midgut:Blue vs. Midgut:Yellow</t>
  </si>
  <si>
    <t>-0.3682 to 0.6035</t>
  </si>
  <si>
    <t>  Midgut:Blue vs. Muscles:Red</t>
  </si>
  <si>
    <t>-0.2035 to 0.7682</t>
  </si>
  <si>
    <t>  Midgut:Blue vs. Muscles:Blue</t>
  </si>
  <si>
    <t>  Midgut:Blue vs. Muscles:Black</t>
  </si>
  <si>
    <t>  Midgut:Blue vs. Muscles:Yellow</t>
  </si>
  <si>
    <t>  Midgut:Black vs. Midgut:Yellow</t>
  </si>
  <si>
    <t>0.6906 to 1.662</t>
  </si>
  <si>
    <t>  Midgut:Black vs. Muscles:Red</t>
  </si>
  <si>
    <t>0.8553 to 1.827</t>
  </si>
  <si>
    <t>  Midgut:Black vs. Muscles:Blue</t>
  </si>
  <si>
    <t>  Midgut:Black vs. Muscles:Black</t>
  </si>
  <si>
    <t>  Midgut:Black vs. Muscles:Yellow</t>
  </si>
  <si>
    <t>  Midgut:Yellow vs. Muscles:Red</t>
  </si>
  <si>
    <t>-0.3212 to 0.6506</t>
  </si>
  <si>
    <t>  Midgut:Yellow vs. Muscles:Blue</t>
  </si>
  <si>
    <t>  Midgut:Yellow vs. Muscles:Black</t>
  </si>
  <si>
    <t>  Midgut:Yellow vs. Muscles:Yellow</t>
  </si>
  <si>
    <t>  Muscles:Red vs. Muscles:Blue</t>
  </si>
  <si>
    <t>-0.4859 to 0.4859</t>
  </si>
  <si>
    <t>  Muscles:Red vs. Muscles:Black</t>
  </si>
  <si>
    <t>  Muscles:Red vs. Muscles:Yellow</t>
  </si>
  <si>
    <t>  Muscles:Blue vs. Muscles:Black</t>
  </si>
  <si>
    <t>  Muscles:Blue vs. Muscles:Yellow</t>
  </si>
  <si>
    <t>  Muscles:Black vs. Muscles:Yellow</t>
  </si>
  <si>
    <t>Test details</t>
  </si>
  <si>
    <t>Mean 1</t>
  </si>
  <si>
    <t>Mean 2</t>
  </si>
  <si>
    <t>SE of diff.</t>
  </si>
  <si>
    <t>N1</t>
  </si>
  <si>
    <t>N2</t>
  </si>
  <si>
    <t>q</t>
  </si>
  <si>
    <t>Compact letter display</t>
  </si>
  <si>
    <t>  Midgut:Red</t>
  </si>
  <si>
    <t>A</t>
  </si>
  <si>
    <t>  Midgut:Black</t>
  </si>
  <si>
    <t>  Hepatopancreas:Black</t>
  </si>
  <si>
    <t>A B</t>
  </si>
  <si>
    <t>  Gills:Red</t>
  </si>
  <si>
    <t>  Hepatopancreas:Red</t>
  </si>
  <si>
    <t>B</t>
  </si>
  <si>
    <t>  Gills:Black</t>
  </si>
  <si>
    <t>B C</t>
  </si>
  <si>
    <t>  Gills:Blue</t>
  </si>
  <si>
    <t>  Midgut:Blue</t>
  </si>
  <si>
    <t>C D</t>
  </si>
  <si>
    <t>  Hepatopancreas:Blue</t>
  </si>
  <si>
    <t>  Midgut:Yellow</t>
  </si>
  <si>
    <t>  Hepatopancreas:Yellow</t>
  </si>
  <si>
    <t>  Gills:Yellow</t>
  </si>
  <si>
    <t>  Muscles:Red</t>
  </si>
  <si>
    <t>D</t>
  </si>
  <si>
    <t>  Muscles:Blue</t>
  </si>
  <si>
    <t>  Muscles:Black</t>
  </si>
  <si>
    <t>  Muscles:Yellow</t>
  </si>
  <si>
    <t>  Gills:Fiber vs. Gills:Fragment</t>
  </si>
  <si>
    <t>-1.573 to -0.2627</t>
  </si>
  <si>
    <t>  Gills:Fiber vs. Hepatopancreas:Fiber</t>
  </si>
  <si>
    <t>-1.808 to -0.4979</t>
  </si>
  <si>
    <t>  Gills:Fiber vs. Hepatopancreas:Fragment</t>
  </si>
  <si>
    <t>-0.8315 to 0.4785</t>
  </si>
  <si>
    <t>  Gills:Fiber vs. Midgut:Fiber</t>
  </si>
  <si>
    <t>-2.149 to -0.8391</t>
  </si>
  <si>
    <t>  Gills:Fiber vs. Midgut:Fragment</t>
  </si>
  <si>
    <t>-1.479 to -0.1685</t>
  </si>
  <si>
    <t>  Gills:Fiber vs. Muscles:Fiber</t>
  </si>
  <si>
    <t>-0.2432 to 1.067</t>
  </si>
  <si>
    <t>  Gills:Fiber vs. Muscles:Fragment</t>
  </si>
  <si>
    <t>  Gills:Fragment vs. Hepatopancreas:Fiber</t>
  </si>
  <si>
    <t>-0.8903 to 0.4197</t>
  </si>
  <si>
    <t>  Gills:Fragment vs. Hepatopancreas:Fragment</t>
  </si>
  <si>
    <t>0.08618 to 1.396</t>
  </si>
  <si>
    <t>  Gills:Fragment vs. Midgut:Fiber</t>
  </si>
  <si>
    <t>-1.231 to 0.07852</t>
  </si>
  <si>
    <t>  Gills:Fragment vs. Midgut:Fragment</t>
  </si>
  <si>
    <t>-0.5609 to 0.7491</t>
  </si>
  <si>
    <t>  Gills:Fragment vs. Muscles:Fiber</t>
  </si>
  <si>
    <t>0.6744 to 1.984</t>
  </si>
  <si>
    <t>  Gills:Fragment vs. Muscles:Fragment</t>
  </si>
  <si>
    <t>  Hepatopancreas:Fiber vs. Hepatopancreas:Fragment</t>
  </si>
  <si>
    <t>0.3215 to 1.631</t>
  </si>
  <si>
    <t>  Hepatopancreas:Fiber vs. Midgut:Fiber</t>
  </si>
  <si>
    <t>-0.9962 to 0.3138</t>
  </si>
  <si>
    <t>  Hepatopancreas:Fiber vs. Midgut:Fragment</t>
  </si>
  <si>
    <t>-0.3256 to 0.9844</t>
  </si>
  <si>
    <t>  Hepatopancreas:Fiber vs. Muscles:Fiber</t>
  </si>
  <si>
    <t>0.9097 to 2.220</t>
  </si>
  <si>
    <t>  Hepatopancreas:Fiber vs. Muscles:Fragment</t>
  </si>
  <si>
    <t>  Hepatopancreas:Fragment vs. Midgut:Fiber</t>
  </si>
  <si>
    <t>-1.973 to -0.6627</t>
  </si>
  <si>
    <t>  Hepatopancreas:Fragment vs. Midgut:Fragment</t>
  </si>
  <si>
    <t>-1.302 to 0.007934</t>
  </si>
  <si>
    <t>  Hepatopancreas:Fragment vs. Muscles:Fiber</t>
  </si>
  <si>
    <t>-0.06676 to 1.243</t>
  </si>
  <si>
    <t>  Hepatopancreas:Fragment vs. Muscles:Fragment</t>
  </si>
  <si>
    <t>  Midgut:Fiber vs. Midgut:Fragment</t>
  </si>
  <si>
    <t>0.01560 to 1.326</t>
  </si>
  <si>
    <t>  Midgut:Fiber vs. Muscles:Fiber</t>
  </si>
  <si>
    <t>1.251 to 2.561</t>
  </si>
  <si>
    <t>  Midgut:Fiber vs. Muscles:Fragment</t>
  </si>
  <si>
    <t>  Midgut:Fragment vs. Muscles:Fiber</t>
  </si>
  <si>
    <t>0.5803 to 1.890</t>
  </si>
  <si>
    <t>  Midgut:Fragment vs. Muscles:Fragment</t>
  </si>
  <si>
    <t>  Muscles:Fiber vs. Muscles:Fragment</t>
  </si>
  <si>
    <t>-0.6550 to 0.6550</t>
  </si>
  <si>
    <t>  Midgut:Fiber</t>
  </si>
  <si>
    <t>  Hepatopancreas:Fiber</t>
  </si>
  <si>
    <t>  Gills:Fragment</t>
  </si>
  <si>
    <t>  Midgut:Fragment</t>
  </si>
  <si>
    <t>  Hepatopancreas:Fragment</t>
  </si>
  <si>
    <t>  Gills:Fiber</t>
  </si>
  <si>
    <t>  Muscles:Fiber</t>
  </si>
  <si>
    <t>  Muscles:Fragment</t>
  </si>
  <si>
    <t>Gills</t>
  </si>
  <si>
    <t>Sample Total</t>
  </si>
  <si>
    <t>TOTAL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</si>
  <si>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</si>
  <si>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</si>
  <si>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</si>
  <si>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</si>
  <si>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</si>
  <si>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</si>
  <si>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</si>
  <si>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Data 1</t>
  </si>
  <si>
    <t>Data sets analyzed</t>
  </si>
  <si>
    <t>A-D</t>
  </si>
  <si>
    <t>Distribution assumption</t>
  </si>
  <si>
    <t>Normal (Gaussian)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</si>
  <si>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</si>
  <si>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</si>
  <si>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</si>
  <si>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</si>
  <si>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</si>
  <si>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</si>
  <si>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</si>
  <si>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</si>
  <si>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  Are SDs significantly different (P &lt; 0.05)?</t>
  </si>
  <si>
    <t>Bartlett's test</t>
  </si>
  <si>
    <t>  Bartlett's statistic (corrected)</t>
  </si>
  <si>
    <t>  Treatment (between columns)</t>
  </si>
  <si>
    <t>  Residual (within columns)</t>
  </si>
  <si>
    <t>  Total</t>
  </si>
  <si>
    <t>  Number of treatments (columns)</t>
  </si>
  <si>
    <t>  Number of values (total)</t>
  </si>
  <si>
    <t>  Gills vs. Hepatopancreas</t>
  </si>
  <si>
    <t>A-B</t>
  </si>
  <si>
    <t>  Gills vs. Midgut</t>
  </si>
  <si>
    <t>A-C</t>
  </si>
  <si>
    <t>  Gills vs. Muscle</t>
  </si>
  <si>
    <t>  Hepatopancreas vs. Midgut</t>
  </si>
  <si>
    <t>B-C</t>
  </si>
  <si>
    <t>  Hepatopancreas vs. Muscle</t>
  </si>
  <si>
    <t>B-D</t>
  </si>
  <si>
    <t>  Midgut vs. Muscle</t>
  </si>
  <si>
    <t>C-D</t>
  </si>
  <si>
    <t>n1</t>
  </si>
  <si>
    <t>n2</t>
  </si>
  <si>
    <t>  Midgut</t>
  </si>
  <si>
    <t>  Hepatopancreas</t>
  </si>
  <si>
    <t>  Gills</t>
  </si>
  <si>
    <t>  Muscle</t>
  </si>
  <si>
    <t>C</t>
  </si>
  <si>
    <t>29.67 (3, 336)</t>
  </si>
  <si>
    <t>F (3, 336) = 27.85</t>
  </si>
  <si>
    <t>-1.307 to 0.5307</t>
  </si>
  <si>
    <t>-2.401 to -0.5634</t>
  </si>
  <si>
    <t>0.7987 to 2.637</t>
  </si>
  <si>
    <t>-2.013 to -0.1752</t>
  </si>
  <si>
    <t>1.187 to 3.025</t>
  </si>
  <si>
    <t>2.281 to 4.119</t>
  </si>
  <si>
    <t>P value and statistical significance</t>
  </si>
  <si>
    <t>  Test</t>
  </si>
  <si>
    <t>Fisher's exact test</t>
  </si>
  <si>
    <t>  One- or two-sided</t>
  </si>
  <si>
    <t>Two-sided</t>
  </si>
  <si>
    <t>  Statistically significant (P &lt; 0.05)?</t>
  </si>
  <si>
    <t>Data analyzed</t>
  </si>
  <si>
    <t>Male</t>
  </si>
  <si>
    <t>Female</t>
  </si>
  <si>
    <t>  Contaminated</t>
  </si>
  <si>
    <t>  Not contaminated</t>
  </si>
  <si>
    <t>Percentage of row total</t>
  </si>
  <si>
    <t>69.23%</t>
  </si>
  <si>
    <t>30.77%</t>
  </si>
  <si>
    <t>60.00%</t>
  </si>
  <si>
    <t>40.00%</t>
  </si>
  <si>
    <t>Percentage of column total</t>
  </si>
  <si>
    <t>78.95%</t>
  </si>
  <si>
    <t>71.43%</t>
  </si>
  <si>
    <t>21.05%</t>
  </si>
  <si>
    <t>28.57%</t>
  </si>
  <si>
    <t>Percentage of grand total</t>
  </si>
  <si>
    <t>52.94%</t>
  </si>
  <si>
    <t>23.53%</t>
  </si>
  <si>
    <t>14.12%</t>
  </si>
  <si>
    <t>9.41%</t>
  </si>
  <si>
    <t>Fibers (%)</t>
  </si>
  <si>
    <t>Fragments (%)</t>
  </si>
  <si>
    <t>Red (%)</t>
  </si>
  <si>
    <t>Black (%)</t>
  </si>
  <si>
    <t>Blue (%)</t>
  </si>
  <si>
    <t>Yellow (%)</t>
  </si>
  <si>
    <t xml:space="preserve">Tissue </t>
  </si>
  <si>
    <t>PC</t>
  </si>
  <si>
    <t>Eigenvalue</t>
  </si>
  <si>
    <t>% variance</t>
  </si>
  <si>
    <t>PC 1</t>
  </si>
  <si>
    <t>PC 2</t>
  </si>
  <si>
    <t>PC 3</t>
  </si>
  <si>
    <t>Red</t>
  </si>
  <si>
    <t>Blue</t>
  </si>
  <si>
    <t>Yellow</t>
  </si>
  <si>
    <t>PC Scores</t>
  </si>
  <si>
    <t>PC Loadings</t>
  </si>
  <si>
    <t>Cumulative % variance</t>
  </si>
  <si>
    <t>Pearson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</si>
</sst>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222222"/>
      <name val="Times New Roman"/>
      <family val="1"/>
    </font>
    <font>
      <sz val="14"/>
      <color theme="1"/>
      <name val="Calibri"/>
      <family val="2"/>
      <scheme val="minor"/>
    </font>
    <font>
      <sz val="14"/>
      <color rgb="FF22222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Symbol"/>
      <charset val="2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vertAlign val="superscript"/>
      <sz val="14"/>
      <color rgb="FF000000"/>
      <name val="Times New Roman"/>
      <family val="1"/>
    </font>
    <font>
      <u/>
      <sz val="14"/>
      <color theme="10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8" fillId="0" borderId="0" xfId="1"/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marpolbul.2017.12.061" TargetMode="External"/><Relationship Id="rId2" Type="http://schemas.openxmlformats.org/officeDocument/2006/relationships/hyperlink" Target="https://d1wqtxts1xzle7.cloudfront.net/75402124/Study_on_Structural_Mechanical_and_Funct20211129-4975-150ygp7.pdf?1738452119=&amp;response-content-disposition=inline%3B+filename%3DStudy_on_Structural_Mechanical_and_Funct.pdf&amp;Expires=1769428644&amp;Signature=T3RemF1N~HGIYWZbLCVsrnKXPZyATiuIcN5u3hm49rBlfiWkzxD54SdYmV6L8TYYgS~t8vjfcqgUNZARtdDHs6nT2jSLBMJQtDxr9qFMkEWGr6FIVnDqRpZQ-UVnEjY~Pj~3nmga2k9R4egrOXRM00JaZNHbVr8vJupBJix6LpzbTTZOvJIEtNQlglIHuXu0IBzkhxNJjR57n5~uaH4Bopy7H9nQBOAYn~q0XtLuoEfvhetq9~Aimx7zcHR5gbuXyCul-c6TELeCYSUkHiCYHYC3DccAD~L~2EXfbVf~s0Qeql2laxfGPp-0Lz3YIhaHLBIH0Da~8upNiffXE~61WQ__&amp;Key-Pair-Id=APKAJLOHF5GGSLRBV4ZA" TargetMode="External"/><Relationship Id="rId1" Type="http://schemas.openxmlformats.org/officeDocument/2006/relationships/hyperlink" Target="https://doi.org/10.2147/IJN.S15586" TargetMode="External"/><Relationship Id="rId5" Type="http://schemas.openxmlformats.org/officeDocument/2006/relationships/hyperlink" Target="https://doi.org/10.1038/srep23501" TargetMode="External"/><Relationship Id="rId4" Type="http://schemas.openxmlformats.org/officeDocument/2006/relationships/hyperlink" Target="https://www.researchgate.net/profile/Wong-Sien/publication/258338299_FTIR_spectroscopy_analysis_of_the_prepolymerization_of_palm-based_polyurethane/links/00463527dec9116cd9000000/FTIR-spectroscopy-analysis-of-the-prepolymerization-of-palm-based-polyuretha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A3C9-C3B8-9F43-A93F-10FC2EF3CC75}">
  <dimension ref="A2:E9"/>
  <sheetViews>
    <sheetView workbookViewId="0">
      <selection activeCell="D16" sqref="D16"/>
    </sheetView>
  </sheetViews>
  <sheetFormatPr baseColWidth="10" defaultRowHeight="15" x14ac:dyDescent="0.2"/>
  <cols>
    <col min="1" max="1" width="13.5" customWidth="1"/>
    <col min="3" max="3" width="11.1640625" customWidth="1"/>
    <col min="4" max="4" width="11.33203125" customWidth="1"/>
  </cols>
  <sheetData>
    <row r="2" spans="1:5" ht="17" x14ac:dyDescent="0.2">
      <c r="A2" s="12" t="s">
        <v>16</v>
      </c>
      <c r="B2" s="10" t="s">
        <v>23</v>
      </c>
      <c r="C2" s="10" t="s">
        <v>24</v>
      </c>
      <c r="D2" s="10" t="s">
        <v>25</v>
      </c>
      <c r="E2" s="10" t="s">
        <v>129</v>
      </c>
    </row>
    <row r="3" spans="1:5" ht="16" x14ac:dyDescent="0.2">
      <c r="A3" s="13"/>
      <c r="B3" s="9"/>
      <c r="C3" s="9"/>
      <c r="D3" s="9"/>
    </row>
    <row r="4" spans="1:5" ht="17" x14ac:dyDescent="0.2">
      <c r="A4" s="13" t="s">
        <v>17</v>
      </c>
      <c r="B4" s="9">
        <v>0</v>
      </c>
      <c r="C4" s="9" t="s">
        <v>26</v>
      </c>
      <c r="D4" s="9" t="s">
        <v>26</v>
      </c>
      <c r="E4" s="9" t="s">
        <v>26</v>
      </c>
    </row>
    <row r="5" spans="1:5" ht="17" x14ac:dyDescent="0.2">
      <c r="A5" s="13" t="s">
        <v>18</v>
      </c>
      <c r="B5" s="9">
        <v>1</v>
      </c>
      <c r="C5" s="9" t="s">
        <v>10</v>
      </c>
      <c r="D5" s="9" t="s">
        <v>7</v>
      </c>
      <c r="E5" s="14" t="s">
        <v>86</v>
      </c>
    </row>
    <row r="6" spans="1:5" ht="17" x14ac:dyDescent="0.2">
      <c r="A6" s="13" t="s">
        <v>19</v>
      </c>
      <c r="B6" s="9">
        <v>0</v>
      </c>
      <c r="C6" s="9" t="s">
        <v>26</v>
      </c>
      <c r="D6" s="9" t="s">
        <v>26</v>
      </c>
      <c r="E6" s="9" t="s">
        <v>26</v>
      </c>
    </row>
    <row r="7" spans="1:5" ht="17" x14ac:dyDescent="0.2">
      <c r="A7" s="13" t="s">
        <v>20</v>
      </c>
      <c r="B7" s="9">
        <v>1</v>
      </c>
      <c r="C7" s="9" t="s">
        <v>9</v>
      </c>
      <c r="D7" s="9" t="s">
        <v>7</v>
      </c>
      <c r="E7" s="9" t="s">
        <v>85</v>
      </c>
    </row>
    <row r="8" spans="1:5" ht="17" x14ac:dyDescent="0.2">
      <c r="A8" s="13" t="s">
        <v>21</v>
      </c>
      <c r="B8" s="9">
        <v>0</v>
      </c>
      <c r="C8" s="9" t="s">
        <v>26</v>
      </c>
      <c r="D8" s="9" t="s">
        <v>26</v>
      </c>
      <c r="E8" s="9" t="s">
        <v>26</v>
      </c>
    </row>
    <row r="9" spans="1:5" ht="17" x14ac:dyDescent="0.2">
      <c r="A9" s="13" t="s">
        <v>22</v>
      </c>
      <c r="B9" s="9">
        <v>0</v>
      </c>
      <c r="C9" s="9" t="s">
        <v>26</v>
      </c>
      <c r="D9" s="9" t="s">
        <v>26</v>
      </c>
      <c r="E9" s="9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0E4F-0367-1741-85C3-935C1B75838A}">
  <sheetPr codeName="Sheet5"/>
  <dimension ref="A1:L89"/>
  <sheetViews>
    <sheetView workbookViewId="0">
      <selection activeCell="D10" sqref="D10"/>
    </sheetView>
  </sheetViews>
  <sheetFormatPr baseColWidth="10" defaultRowHeight="15" x14ac:dyDescent="0.2"/>
  <cols>
    <col min="1" max="1" width="10.83203125" style="1"/>
    <col min="2" max="2" width="8.33203125" style="24" customWidth="1"/>
    <col min="3" max="3" width="18" customWidth="1"/>
    <col min="4" max="4" width="18.5" customWidth="1"/>
    <col min="5" max="5" width="19.5" customWidth="1"/>
    <col min="8" max="8" width="10.83203125" style="24"/>
    <col min="9" max="9" width="8.5" style="1" customWidth="1"/>
    <col min="10" max="10" width="27" customWidth="1"/>
    <col min="11" max="11" width="23.83203125" customWidth="1"/>
    <col min="12" max="12" width="26.5" customWidth="1"/>
  </cols>
  <sheetData>
    <row r="1" spans="1:12" ht="38" x14ac:dyDescent="0.2">
      <c r="A1" s="19" t="s">
        <v>87</v>
      </c>
      <c r="B1" s="19" t="s">
        <v>0</v>
      </c>
      <c r="C1" s="17" t="s">
        <v>88</v>
      </c>
      <c r="D1" s="17" t="s">
        <v>89</v>
      </c>
      <c r="E1" s="17" t="s">
        <v>90</v>
      </c>
      <c r="F1" s="20"/>
      <c r="G1" s="20"/>
      <c r="H1" s="19" t="s">
        <v>87</v>
      </c>
      <c r="I1" s="19" t="s">
        <v>0</v>
      </c>
      <c r="J1" s="17" t="s">
        <v>88</v>
      </c>
      <c r="K1" s="19" t="s">
        <v>89</v>
      </c>
      <c r="L1" s="19" t="s">
        <v>90</v>
      </c>
    </row>
    <row r="2" spans="1:12" ht="16" x14ac:dyDescent="0.2">
      <c r="A2" s="14">
        <v>1</v>
      </c>
      <c r="B2" s="23" t="s">
        <v>1</v>
      </c>
      <c r="C2" s="23">
        <f>21.28/10</f>
        <v>2.1280000000000001</v>
      </c>
      <c r="D2" s="23">
        <f>19.44/10</f>
        <v>1.9440000000000002</v>
      </c>
      <c r="E2" s="23">
        <f>4598/1000</f>
        <v>4.5979999999999999</v>
      </c>
      <c r="F2" s="13"/>
      <c r="G2" s="13"/>
      <c r="H2" s="23">
        <v>2</v>
      </c>
      <c r="I2" s="14" t="s">
        <v>2</v>
      </c>
      <c r="J2" s="14">
        <f>25.33/10</f>
        <v>2.5329999999999999</v>
      </c>
      <c r="K2" s="14">
        <f>23.3/10</f>
        <v>2.33</v>
      </c>
      <c r="L2" s="14">
        <f>7055/1000</f>
        <v>7.0549999999999997</v>
      </c>
    </row>
    <row r="3" spans="1:12" ht="16" x14ac:dyDescent="0.2">
      <c r="A3" s="14">
        <v>4</v>
      </c>
      <c r="B3" s="23" t="s">
        <v>1</v>
      </c>
      <c r="C3" s="23">
        <f>21.07/10</f>
        <v>2.1070000000000002</v>
      </c>
      <c r="D3" s="23">
        <f>19.59/10</f>
        <v>1.9590000000000001</v>
      </c>
      <c r="E3" s="23">
        <f>4856.9/1000</f>
        <v>4.8568999999999996</v>
      </c>
      <c r="F3" s="13"/>
      <c r="G3" s="13"/>
      <c r="H3" s="23">
        <v>3</v>
      </c>
      <c r="I3" s="14" t="s">
        <v>2</v>
      </c>
      <c r="J3" s="14">
        <f>24.2/10</f>
        <v>2.42</v>
      </c>
      <c r="K3" s="14">
        <f>22.07/10</f>
        <v>2.2069999999999999</v>
      </c>
      <c r="L3" s="14">
        <f>6586.9/1000</f>
        <v>6.5869</v>
      </c>
    </row>
    <row r="4" spans="1:12" ht="16" x14ac:dyDescent="0.2">
      <c r="A4" s="14">
        <v>5</v>
      </c>
      <c r="B4" s="23" t="s">
        <v>1</v>
      </c>
      <c r="C4" s="23">
        <f>19.06/10</f>
        <v>1.9059999999999999</v>
      </c>
      <c r="D4" s="23">
        <f>17.79/10</f>
        <v>1.7789999999999999</v>
      </c>
      <c r="E4" s="23">
        <f>3710.6/1000</f>
        <v>3.7105999999999999</v>
      </c>
      <c r="F4" s="13"/>
      <c r="G4" s="13"/>
      <c r="H4" s="23">
        <v>6</v>
      </c>
      <c r="I4" s="14" t="s">
        <v>2</v>
      </c>
      <c r="J4" s="14">
        <f>24.32/10</f>
        <v>2.4319999999999999</v>
      </c>
      <c r="K4" s="14">
        <f>22.16/10</f>
        <v>2.2160000000000002</v>
      </c>
      <c r="L4" s="14">
        <f>6228.9/1000</f>
        <v>6.2288999999999994</v>
      </c>
    </row>
    <row r="5" spans="1:12" ht="16" x14ac:dyDescent="0.2">
      <c r="A5" s="14">
        <v>10</v>
      </c>
      <c r="B5" s="23" t="s">
        <v>1</v>
      </c>
      <c r="C5" s="23">
        <f>22.9/10</f>
        <v>2.29</v>
      </c>
      <c r="D5" s="23">
        <f>20.79/10</f>
        <v>2.0789999999999997</v>
      </c>
      <c r="E5" s="23">
        <f>5611.7/1000</f>
        <v>5.6116999999999999</v>
      </c>
      <c r="F5" s="13"/>
      <c r="G5" s="13"/>
      <c r="H5" s="23">
        <v>7</v>
      </c>
      <c r="I5" s="14" t="s">
        <v>2</v>
      </c>
      <c r="J5" s="14">
        <f>18.81/10</f>
        <v>1.8809999999999998</v>
      </c>
      <c r="K5" s="14">
        <f>17.73/10</f>
        <v>1.7730000000000001</v>
      </c>
      <c r="L5" s="14">
        <f>3360.8/1000</f>
        <v>3.3608000000000002</v>
      </c>
    </row>
    <row r="6" spans="1:12" ht="16" x14ac:dyDescent="0.2">
      <c r="A6" s="14">
        <v>11</v>
      </c>
      <c r="B6" s="23" t="s">
        <v>1</v>
      </c>
      <c r="C6" s="23">
        <f>21.1/10</f>
        <v>2.1100000000000003</v>
      </c>
      <c r="D6" s="23">
        <f>19.74/10</f>
        <v>1.9739999999999998</v>
      </c>
      <c r="E6" s="23">
        <f>4613.7/1000</f>
        <v>4.6136999999999997</v>
      </c>
      <c r="F6" s="13"/>
      <c r="G6" s="13"/>
      <c r="H6" s="23">
        <v>8</v>
      </c>
      <c r="I6" s="14" t="s">
        <v>2</v>
      </c>
      <c r="J6" s="14">
        <f>21.67/10</f>
        <v>2.1670000000000003</v>
      </c>
      <c r="K6" s="14">
        <f>19.55/10</f>
        <v>1.9550000000000001</v>
      </c>
      <c r="L6" s="14">
        <f>5129.7/1000</f>
        <v>5.1296999999999997</v>
      </c>
    </row>
    <row r="7" spans="1:12" ht="16" x14ac:dyDescent="0.2">
      <c r="A7" s="14">
        <v>14</v>
      </c>
      <c r="B7" s="23" t="s">
        <v>1</v>
      </c>
      <c r="C7" s="23">
        <f>21.75/10</f>
        <v>2.1749999999999998</v>
      </c>
      <c r="D7" s="23">
        <f>17.73/10</f>
        <v>1.7730000000000001</v>
      </c>
      <c r="E7" s="23">
        <f>5499.1/1000</f>
        <v>5.4991000000000003</v>
      </c>
      <c r="F7" s="13"/>
      <c r="G7" s="13"/>
      <c r="H7" s="23">
        <v>9</v>
      </c>
      <c r="I7" s="14" t="s">
        <v>2</v>
      </c>
      <c r="J7" s="14">
        <f>22.7/10</f>
        <v>2.27</v>
      </c>
      <c r="K7" s="14">
        <f>21/10</f>
        <v>2.1</v>
      </c>
      <c r="L7" s="14">
        <f>6165.8/1000</f>
        <v>6.1657999999999999</v>
      </c>
    </row>
    <row r="8" spans="1:12" ht="16" x14ac:dyDescent="0.2">
      <c r="A8" s="14">
        <v>18</v>
      </c>
      <c r="B8" s="23" t="s">
        <v>1</v>
      </c>
      <c r="C8" s="23">
        <f>20.84/10</f>
        <v>2.0840000000000001</v>
      </c>
      <c r="D8" s="23">
        <f>18.61/10</f>
        <v>1.861</v>
      </c>
      <c r="E8" s="23">
        <f>4236.9/1000</f>
        <v>4.2368999999999994</v>
      </c>
      <c r="F8" s="13"/>
      <c r="G8" s="13"/>
      <c r="H8" s="23">
        <v>12</v>
      </c>
      <c r="I8" s="14" t="s">
        <v>2</v>
      </c>
      <c r="J8" s="14">
        <f>18.96/10</f>
        <v>1.8960000000000001</v>
      </c>
      <c r="K8" s="14">
        <f>17.7/10</f>
        <v>1.77</v>
      </c>
      <c r="L8" s="14">
        <f>3363.5/1000</f>
        <v>3.3635000000000002</v>
      </c>
    </row>
    <row r="9" spans="1:12" ht="16" x14ac:dyDescent="0.2">
      <c r="A9" s="14">
        <v>20</v>
      </c>
      <c r="B9" s="23" t="s">
        <v>1</v>
      </c>
      <c r="C9" s="23">
        <f>23.94/10</f>
        <v>2.3940000000000001</v>
      </c>
      <c r="D9" s="23">
        <f>21.97/10</f>
        <v>2.1970000000000001</v>
      </c>
      <c r="E9" s="23">
        <f>7298.1/1000</f>
        <v>7.2981000000000007</v>
      </c>
      <c r="F9" s="13"/>
      <c r="G9" s="13"/>
      <c r="H9" s="23">
        <v>13</v>
      </c>
      <c r="I9" s="14" t="s">
        <v>2</v>
      </c>
      <c r="J9" s="14">
        <f>25.04/10</f>
        <v>2.504</v>
      </c>
      <c r="K9" s="14">
        <f>22.94/10</f>
        <v>2.294</v>
      </c>
      <c r="L9" s="14">
        <f>8132.8/1000</f>
        <v>8.1327999999999996</v>
      </c>
    </row>
    <row r="10" spans="1:12" ht="16" x14ac:dyDescent="0.2">
      <c r="A10" s="14">
        <v>21</v>
      </c>
      <c r="B10" s="23" t="s">
        <v>1</v>
      </c>
      <c r="C10" s="23">
        <f>19.61/10</f>
        <v>1.9609999999999999</v>
      </c>
      <c r="D10" s="23">
        <f>18.29/10</f>
        <v>1.829</v>
      </c>
      <c r="E10" s="23">
        <f>3957.8/1000</f>
        <v>3.9578000000000002</v>
      </c>
      <c r="F10" s="13"/>
      <c r="G10" s="13"/>
      <c r="H10" s="27">
        <v>15</v>
      </c>
      <c r="I10" s="29" t="s">
        <v>2</v>
      </c>
      <c r="J10" s="29">
        <v>2.0870000000000002</v>
      </c>
      <c r="K10" s="29">
        <v>1.911</v>
      </c>
      <c r="L10" s="29">
        <v>4.4779</v>
      </c>
    </row>
    <row r="11" spans="1:12" ht="16" x14ac:dyDescent="0.2">
      <c r="A11" s="14">
        <v>22</v>
      </c>
      <c r="B11" s="23" t="s">
        <v>1</v>
      </c>
      <c r="C11" s="23">
        <f>22.55/10</f>
        <v>2.2549999999999999</v>
      </c>
      <c r="D11" s="23">
        <f>20.52/10</f>
        <v>2.052</v>
      </c>
      <c r="E11" s="23">
        <f>5673.5/1000</f>
        <v>5.6734999999999998</v>
      </c>
      <c r="F11" s="13"/>
      <c r="G11" s="13"/>
      <c r="H11" s="27">
        <v>16</v>
      </c>
      <c r="I11" s="29" t="s">
        <v>2</v>
      </c>
      <c r="J11" s="29">
        <v>1.8029999999999999</v>
      </c>
      <c r="K11" s="29">
        <v>1.655</v>
      </c>
      <c r="L11" s="29">
        <v>2.8687999999999998</v>
      </c>
    </row>
    <row r="12" spans="1:12" ht="16" x14ac:dyDescent="0.2">
      <c r="A12" s="14">
        <v>23</v>
      </c>
      <c r="B12" s="23" t="s">
        <v>1</v>
      </c>
      <c r="C12" s="23">
        <f>18.18/10</f>
        <v>1.8180000000000001</v>
      </c>
      <c r="D12" s="23">
        <f>15.93/10</f>
        <v>1.593</v>
      </c>
      <c r="E12" s="23">
        <f>2898.5/1000</f>
        <v>2.8984999999999999</v>
      </c>
      <c r="F12" s="13"/>
      <c r="G12" s="13"/>
      <c r="H12" s="27">
        <v>17</v>
      </c>
      <c r="I12" s="29" t="s">
        <v>2</v>
      </c>
      <c r="J12" s="29">
        <v>2.0619999999999998</v>
      </c>
      <c r="K12" s="29">
        <v>1.9319999999999999</v>
      </c>
      <c r="L12" s="29">
        <v>4.7069999999999999</v>
      </c>
    </row>
    <row r="13" spans="1:12" ht="16" x14ac:dyDescent="0.2">
      <c r="A13" s="14">
        <v>24</v>
      </c>
      <c r="B13" s="23" t="s">
        <v>1</v>
      </c>
      <c r="C13" s="23">
        <f>20.87/10</f>
        <v>2.0870000000000002</v>
      </c>
      <c r="D13" s="23">
        <f>19.5/10</f>
        <v>1.95</v>
      </c>
      <c r="E13" s="23">
        <f>4893.7/1000</f>
        <v>4.8936999999999999</v>
      </c>
      <c r="F13" s="13"/>
      <c r="G13" s="13"/>
      <c r="H13" s="23">
        <v>19</v>
      </c>
      <c r="I13" s="14" t="s">
        <v>2</v>
      </c>
      <c r="J13" s="14">
        <f>21.56/10</f>
        <v>2.1559999999999997</v>
      </c>
      <c r="K13" s="14">
        <f>19.61/10</f>
        <v>1.9609999999999999</v>
      </c>
      <c r="L13" s="14">
        <f>5231.1/1000</f>
        <v>5.2311000000000005</v>
      </c>
    </row>
    <row r="14" spans="1:12" ht="16" x14ac:dyDescent="0.2">
      <c r="A14" s="14">
        <v>25</v>
      </c>
      <c r="B14" s="23" t="s">
        <v>1</v>
      </c>
      <c r="C14" s="23">
        <f>19.91/10</f>
        <v>1.9910000000000001</v>
      </c>
      <c r="D14" s="23">
        <f>18.03/10</f>
        <v>1.8030000000000002</v>
      </c>
      <c r="E14" s="23">
        <f>4056.7/1000</f>
        <v>4.0567000000000002</v>
      </c>
      <c r="F14" s="13"/>
      <c r="G14" s="13"/>
      <c r="H14" s="23">
        <v>30</v>
      </c>
      <c r="I14" s="14" t="s">
        <v>2</v>
      </c>
      <c r="J14" s="14">
        <f>17.93/10</f>
        <v>1.7929999999999999</v>
      </c>
      <c r="K14" s="14">
        <f>16.33/10</f>
        <v>1.6329999999999998</v>
      </c>
      <c r="L14" s="14">
        <f>2534.8/1000</f>
        <v>2.5348000000000002</v>
      </c>
    </row>
    <row r="15" spans="1:12" ht="16" x14ac:dyDescent="0.2">
      <c r="A15" s="14">
        <v>26</v>
      </c>
      <c r="B15" s="23" t="s">
        <v>1</v>
      </c>
      <c r="C15" s="23">
        <f>19.52/10</f>
        <v>1.952</v>
      </c>
      <c r="D15" s="23">
        <f>17.98/10</f>
        <v>1.798</v>
      </c>
      <c r="E15" s="23">
        <f>3996.7/1000</f>
        <v>3.9966999999999997</v>
      </c>
      <c r="F15" s="13"/>
      <c r="G15" s="13"/>
      <c r="H15" s="23">
        <v>32</v>
      </c>
      <c r="I15" s="14" t="s">
        <v>2</v>
      </c>
      <c r="J15" s="14">
        <f>23.76/10</f>
        <v>2.3760000000000003</v>
      </c>
      <c r="K15" s="14">
        <f>21.41/10</f>
        <v>2.141</v>
      </c>
      <c r="L15" s="14">
        <f>6336.2/1000</f>
        <v>6.3361999999999998</v>
      </c>
    </row>
    <row r="16" spans="1:12" ht="16" x14ac:dyDescent="0.2">
      <c r="A16" s="14">
        <v>27</v>
      </c>
      <c r="B16" s="23" t="s">
        <v>1</v>
      </c>
      <c r="C16" s="23">
        <f>18.92/10</f>
        <v>1.8920000000000001</v>
      </c>
      <c r="D16" s="23">
        <f>17.25/10</f>
        <v>1.7250000000000001</v>
      </c>
      <c r="E16" s="23">
        <f>3356.1/1000</f>
        <v>3.3561000000000001</v>
      </c>
      <c r="F16" s="13"/>
      <c r="G16" s="13"/>
      <c r="H16" s="23">
        <v>35</v>
      </c>
      <c r="I16" s="14" t="s">
        <v>2</v>
      </c>
      <c r="J16" s="14">
        <f>24.4/10</f>
        <v>2.44</v>
      </c>
      <c r="K16" s="14">
        <f>22.47/10</f>
        <v>2.2469999999999999</v>
      </c>
      <c r="L16" s="14">
        <f>7373.4/1000</f>
        <v>7.3733999999999993</v>
      </c>
    </row>
    <row r="17" spans="1:12" ht="16" x14ac:dyDescent="0.2">
      <c r="A17" s="14">
        <v>28</v>
      </c>
      <c r="B17" s="23" t="s">
        <v>1</v>
      </c>
      <c r="C17" s="23">
        <f>16.88/10</f>
        <v>1.6879999999999999</v>
      </c>
      <c r="D17" s="23">
        <f>15.62/10</f>
        <v>1.5619999999999998</v>
      </c>
      <c r="E17" s="23">
        <f>2474.4/1000</f>
        <v>2.4744000000000002</v>
      </c>
      <c r="F17" s="13"/>
      <c r="G17" s="13"/>
      <c r="H17" s="23">
        <v>36</v>
      </c>
      <c r="I17" s="14" t="s">
        <v>2</v>
      </c>
      <c r="J17" s="14">
        <f>22.5/10</f>
        <v>2.25</v>
      </c>
      <c r="K17" s="14">
        <f>20.7/10</f>
        <v>2.0699999999999998</v>
      </c>
      <c r="L17" s="14">
        <f>5597.8/1000</f>
        <v>5.5978000000000003</v>
      </c>
    </row>
    <row r="18" spans="1:12" ht="16" x14ac:dyDescent="0.2">
      <c r="A18" s="14">
        <v>29</v>
      </c>
      <c r="B18" s="23" t="s">
        <v>1</v>
      </c>
      <c r="C18" s="23">
        <f>16.9/10</f>
        <v>1.69</v>
      </c>
      <c r="D18" s="23">
        <f>15.79/10</f>
        <v>1.579</v>
      </c>
      <c r="E18" s="23">
        <f>2465.4/1000</f>
        <v>2.4654000000000003</v>
      </c>
      <c r="F18" s="13"/>
      <c r="G18" s="13"/>
      <c r="H18" s="23">
        <v>37</v>
      </c>
      <c r="I18" s="14" t="s">
        <v>2</v>
      </c>
      <c r="J18" s="14">
        <f>24.83/10</f>
        <v>2.4829999999999997</v>
      </c>
      <c r="K18" s="14">
        <f>22.68/10</f>
        <v>2.2679999999999998</v>
      </c>
      <c r="L18" s="14">
        <f>8104.7/1000</f>
        <v>8.1046999999999993</v>
      </c>
    </row>
    <row r="19" spans="1:12" ht="16" x14ac:dyDescent="0.2">
      <c r="A19" s="14">
        <v>31</v>
      </c>
      <c r="B19" s="23" t="s">
        <v>1</v>
      </c>
      <c r="C19" s="23">
        <f>24.19/10</f>
        <v>2.419</v>
      </c>
      <c r="D19" s="23">
        <f>22.04/10</f>
        <v>2.2039999999999997</v>
      </c>
      <c r="E19" s="23">
        <f>9068.3/1000</f>
        <v>9.0682999999999989</v>
      </c>
      <c r="F19" s="13"/>
      <c r="G19" s="13"/>
      <c r="H19" s="23">
        <v>38</v>
      </c>
      <c r="I19" s="14" t="s">
        <v>2</v>
      </c>
      <c r="J19" s="14">
        <f>23.97/10</f>
        <v>2.3969999999999998</v>
      </c>
      <c r="K19" s="14">
        <f>22.24/10</f>
        <v>2.2239999999999998</v>
      </c>
      <c r="L19" s="14">
        <f>7525.1/1000</f>
        <v>7.5251000000000001</v>
      </c>
    </row>
    <row r="20" spans="1:12" ht="16" x14ac:dyDescent="0.2">
      <c r="A20" s="14">
        <v>33</v>
      </c>
      <c r="B20" s="23" t="s">
        <v>1</v>
      </c>
      <c r="C20" s="23">
        <f>17.93/10</f>
        <v>1.7929999999999999</v>
      </c>
      <c r="D20" s="23">
        <f>16.19/10</f>
        <v>1.6190000000000002</v>
      </c>
      <c r="E20" s="23">
        <f>2929.3/1000</f>
        <v>2.9293</v>
      </c>
      <c r="F20" s="13"/>
      <c r="G20" s="13"/>
      <c r="H20" s="23">
        <v>39</v>
      </c>
      <c r="I20" s="14" t="s">
        <v>2</v>
      </c>
      <c r="J20" s="14">
        <f>17.7/10</f>
        <v>1.77</v>
      </c>
      <c r="K20" s="14">
        <f>16.11/10</f>
        <v>1.611</v>
      </c>
      <c r="L20" s="14">
        <f>2786.2/1000</f>
        <v>2.7862</v>
      </c>
    </row>
    <row r="21" spans="1:12" ht="16" x14ac:dyDescent="0.2">
      <c r="A21" s="14">
        <v>34</v>
      </c>
      <c r="B21" s="23" t="s">
        <v>1</v>
      </c>
      <c r="C21" s="23">
        <f>23.83/10</f>
        <v>2.383</v>
      </c>
      <c r="D21" s="23">
        <f>21.51/10</f>
        <v>2.1510000000000002</v>
      </c>
      <c r="E21" s="23">
        <f>6577.8/1000</f>
        <v>6.5777999999999999</v>
      </c>
      <c r="F21" s="13"/>
      <c r="G21" s="13"/>
      <c r="H21" s="23">
        <v>41</v>
      </c>
      <c r="I21" s="14" t="s">
        <v>2</v>
      </c>
      <c r="J21" s="14">
        <f>21.96/10</f>
        <v>2.1960000000000002</v>
      </c>
      <c r="K21" s="14">
        <f>20.3/10</f>
        <v>2.0300000000000002</v>
      </c>
      <c r="L21" s="14">
        <f>5893.6/1000</f>
        <v>5.8936000000000002</v>
      </c>
    </row>
    <row r="22" spans="1:12" ht="16" x14ac:dyDescent="0.2">
      <c r="A22" s="14">
        <v>40</v>
      </c>
      <c r="B22" s="23" t="s">
        <v>1</v>
      </c>
      <c r="C22" s="23">
        <f>21.46/10</f>
        <v>2.1459999999999999</v>
      </c>
      <c r="D22" s="23">
        <f>17.7/10</f>
        <v>1.77</v>
      </c>
      <c r="E22" s="23">
        <f>5295.7/1000</f>
        <v>5.2957000000000001</v>
      </c>
      <c r="F22" s="13"/>
      <c r="G22" s="13"/>
      <c r="H22" s="23">
        <v>43</v>
      </c>
      <c r="I22" s="14" t="s">
        <v>2</v>
      </c>
      <c r="J22" s="14">
        <f>18.43/10</f>
        <v>1.843</v>
      </c>
      <c r="K22" s="14">
        <f>17.03/10</f>
        <v>1.7030000000000001</v>
      </c>
      <c r="L22" s="14">
        <f>2876.2/1000</f>
        <v>2.8761999999999999</v>
      </c>
    </row>
    <row r="23" spans="1:12" ht="16" x14ac:dyDescent="0.2">
      <c r="A23" s="14">
        <v>42</v>
      </c>
      <c r="B23" s="23" t="s">
        <v>1</v>
      </c>
      <c r="C23" s="23">
        <f>20.65/10</f>
        <v>2.0649999999999999</v>
      </c>
      <c r="D23" s="23">
        <f>19.39/10</f>
        <v>1.9390000000000001</v>
      </c>
      <c r="E23" s="23">
        <f>4737.6/1000</f>
        <v>4.7376000000000005</v>
      </c>
      <c r="F23" s="13"/>
      <c r="G23" s="13"/>
      <c r="H23" s="23">
        <v>44</v>
      </c>
      <c r="I23" s="14" t="s">
        <v>2</v>
      </c>
      <c r="J23" s="14">
        <f>20.5/10</f>
        <v>2.0499999999999998</v>
      </c>
      <c r="K23" s="14">
        <f>18.91/10</f>
        <v>1.891</v>
      </c>
      <c r="L23" s="14">
        <f>4339.6/1000</f>
        <v>4.3396000000000008</v>
      </c>
    </row>
    <row r="24" spans="1:12" ht="16" x14ac:dyDescent="0.2">
      <c r="A24" s="14">
        <v>49</v>
      </c>
      <c r="B24" s="23" t="s">
        <v>1</v>
      </c>
      <c r="C24" s="23">
        <f>20.25/10</f>
        <v>2.0249999999999999</v>
      </c>
      <c r="D24" s="23">
        <f>18.17/10</f>
        <v>1.8170000000000002</v>
      </c>
      <c r="E24" s="23">
        <f>4150.7/1000</f>
        <v>4.1506999999999996</v>
      </c>
      <c r="F24" s="13"/>
      <c r="G24" s="13"/>
      <c r="H24" s="23">
        <v>45</v>
      </c>
      <c r="I24" s="14" t="s">
        <v>2</v>
      </c>
      <c r="J24" s="14">
        <f>17.67/10</f>
        <v>1.7670000000000001</v>
      </c>
      <c r="K24" s="14">
        <f>16.36/10</f>
        <v>1.6359999999999999</v>
      </c>
      <c r="L24" s="14">
        <f>2672.2/1000</f>
        <v>2.6721999999999997</v>
      </c>
    </row>
    <row r="25" spans="1:12" ht="16" x14ac:dyDescent="0.2">
      <c r="A25" s="14">
        <v>50</v>
      </c>
      <c r="B25" s="23" t="s">
        <v>1</v>
      </c>
      <c r="C25" s="23">
        <f>18.94/10</f>
        <v>1.8940000000000001</v>
      </c>
      <c r="D25" s="23">
        <f>17.69/10</f>
        <v>1.7690000000000001</v>
      </c>
      <c r="E25" s="23">
        <f>3347.8/1000</f>
        <v>3.3478000000000003</v>
      </c>
      <c r="F25" s="13"/>
      <c r="G25" s="13"/>
      <c r="H25" s="23">
        <v>46</v>
      </c>
      <c r="I25" s="14" t="s">
        <v>2</v>
      </c>
      <c r="J25" s="14">
        <f>21.03/10</f>
        <v>2.1030000000000002</v>
      </c>
      <c r="K25" s="14">
        <f>19.3/10</f>
        <v>1.9300000000000002</v>
      </c>
      <c r="L25" s="14">
        <f>4905.7/1000</f>
        <v>4.9056999999999995</v>
      </c>
    </row>
    <row r="26" spans="1:12" ht="16" x14ac:dyDescent="0.2">
      <c r="A26" s="14">
        <v>53</v>
      </c>
      <c r="B26" s="23" t="s">
        <v>1</v>
      </c>
      <c r="C26" s="23">
        <f>18.43/10</f>
        <v>1.843</v>
      </c>
      <c r="D26" s="23">
        <f>17.28/10</f>
        <v>1.7280000000000002</v>
      </c>
      <c r="E26" s="23">
        <f>3307.5/1000</f>
        <v>3.3075000000000001</v>
      </c>
      <c r="F26" s="13"/>
      <c r="G26" s="13"/>
      <c r="H26" s="23">
        <v>47</v>
      </c>
      <c r="I26" s="14" t="s">
        <v>2</v>
      </c>
      <c r="J26" s="14">
        <f>19.22/10</f>
        <v>1.9219999999999999</v>
      </c>
      <c r="K26" s="14">
        <f>17.53/10</f>
        <v>1.7530000000000001</v>
      </c>
      <c r="L26" s="14">
        <f>3702.4/1000</f>
        <v>3.7023999999999999</v>
      </c>
    </row>
    <row r="27" spans="1:12" ht="16" x14ac:dyDescent="0.2">
      <c r="A27" s="14">
        <v>55</v>
      </c>
      <c r="B27" s="23" t="s">
        <v>1</v>
      </c>
      <c r="C27" s="23">
        <v>2.16</v>
      </c>
      <c r="D27" s="23">
        <v>1.77</v>
      </c>
      <c r="E27" s="23">
        <v>5.0762</v>
      </c>
      <c r="F27" s="13"/>
      <c r="G27" s="13"/>
      <c r="H27" s="23">
        <v>48</v>
      </c>
      <c r="I27" s="14" t="s">
        <v>2</v>
      </c>
      <c r="J27" s="14">
        <f>18.02/10</f>
        <v>1.802</v>
      </c>
      <c r="K27" s="14">
        <f>16.63/10</f>
        <v>1.6629999999999998</v>
      </c>
      <c r="L27" s="14">
        <f>2907.7/1000</f>
        <v>2.9076999999999997</v>
      </c>
    </row>
    <row r="28" spans="1:12" ht="16" x14ac:dyDescent="0.2">
      <c r="A28" s="14">
        <v>66</v>
      </c>
      <c r="B28" s="23" t="s">
        <v>1</v>
      </c>
      <c r="C28" s="23">
        <v>2.06</v>
      </c>
      <c r="D28" s="23">
        <v>1.85</v>
      </c>
      <c r="E28" s="23">
        <v>4.3777999999999997</v>
      </c>
      <c r="F28" s="13"/>
      <c r="G28" s="13"/>
      <c r="H28" s="23">
        <v>51</v>
      </c>
      <c r="I28" s="14" t="s">
        <v>2</v>
      </c>
      <c r="J28" s="14">
        <f>19.68/10</f>
        <v>1.968</v>
      </c>
      <c r="K28" s="14">
        <f>18.06/10</f>
        <v>1.8059999999999998</v>
      </c>
      <c r="L28" s="14">
        <f>3954.8/1000</f>
        <v>3.9548000000000001</v>
      </c>
    </row>
    <row r="29" spans="1:12" ht="16" x14ac:dyDescent="0.2">
      <c r="A29" s="14">
        <v>85</v>
      </c>
      <c r="B29" s="23" t="s">
        <v>1</v>
      </c>
      <c r="C29" s="23">
        <v>1.9</v>
      </c>
      <c r="D29" s="23">
        <v>1.81</v>
      </c>
      <c r="E29" s="23">
        <v>3.8555000000000001</v>
      </c>
      <c r="F29" s="13"/>
      <c r="G29" s="13"/>
      <c r="H29" s="23">
        <v>52</v>
      </c>
      <c r="I29" s="14" t="s">
        <v>2</v>
      </c>
      <c r="J29" s="14">
        <f>17.1/10</f>
        <v>1.7100000000000002</v>
      </c>
      <c r="K29" s="14">
        <f>16.26/10</f>
        <v>1.6260000000000001</v>
      </c>
      <c r="L29" s="14">
        <f>2769.7/1000</f>
        <v>2.7696999999999998</v>
      </c>
    </row>
    <row r="30" spans="1:12" ht="16" x14ac:dyDescent="0.2">
      <c r="A30" s="14"/>
      <c r="B30" s="25"/>
      <c r="C30" s="15"/>
      <c r="D30" s="15"/>
      <c r="E30" s="15"/>
      <c r="F30" s="13"/>
      <c r="G30" s="13"/>
      <c r="H30" s="23">
        <v>54</v>
      </c>
      <c r="I30" s="14" t="s">
        <v>2</v>
      </c>
      <c r="J30" s="14">
        <f>19.65/10</f>
        <v>1.9649999999999999</v>
      </c>
      <c r="K30" s="14">
        <f>18.17/10</f>
        <v>1.8170000000000002</v>
      </c>
      <c r="L30" s="14">
        <f>3900.3/1000</f>
        <v>3.9003000000000001</v>
      </c>
    </row>
    <row r="31" spans="1:12" ht="16" x14ac:dyDescent="0.2">
      <c r="A31" s="14"/>
      <c r="B31" s="23"/>
      <c r="C31" s="13"/>
      <c r="D31" s="13"/>
      <c r="E31" s="13"/>
      <c r="F31" s="13"/>
      <c r="G31" s="13"/>
      <c r="H31" s="23">
        <v>56</v>
      </c>
      <c r="I31" s="14" t="s">
        <v>2</v>
      </c>
      <c r="J31" s="14">
        <v>2.2200000000000002</v>
      </c>
      <c r="K31" s="14">
        <v>2.08</v>
      </c>
      <c r="L31" s="14">
        <v>5.4359000000000002</v>
      </c>
    </row>
    <row r="32" spans="1:12" x14ac:dyDescent="0.2">
      <c r="B32" s="26"/>
      <c r="C32" s="2"/>
      <c r="D32" s="2"/>
      <c r="E32" s="2"/>
      <c r="H32" s="28">
        <v>57</v>
      </c>
      <c r="I32" s="30" t="s">
        <v>2</v>
      </c>
      <c r="J32" s="30">
        <v>2.29</v>
      </c>
      <c r="K32" s="30">
        <v>2.06</v>
      </c>
      <c r="L32" s="30">
        <v>6.3856999999999999</v>
      </c>
    </row>
    <row r="33" spans="8:12" x14ac:dyDescent="0.2">
      <c r="H33" s="28">
        <v>58</v>
      </c>
      <c r="I33" s="30" t="s">
        <v>2</v>
      </c>
      <c r="J33" s="30">
        <v>2.1</v>
      </c>
      <c r="K33" s="30">
        <v>1.85</v>
      </c>
      <c r="L33" s="30">
        <v>5.4503000000000004</v>
      </c>
    </row>
    <row r="34" spans="8:12" x14ac:dyDescent="0.2">
      <c r="H34" s="28">
        <v>59</v>
      </c>
      <c r="I34" s="30" t="s">
        <v>2</v>
      </c>
      <c r="J34" s="30">
        <v>2.72</v>
      </c>
      <c r="K34" s="30">
        <v>2.5099999999999998</v>
      </c>
      <c r="L34" s="30">
        <v>10.6989</v>
      </c>
    </row>
    <row r="35" spans="8:12" x14ac:dyDescent="0.2">
      <c r="H35" s="28">
        <v>60</v>
      </c>
      <c r="I35" s="30" t="s">
        <v>2</v>
      </c>
      <c r="J35" s="30">
        <v>2.64</v>
      </c>
      <c r="K35" s="30">
        <v>2.4</v>
      </c>
      <c r="L35" s="30">
        <v>7.4598000000000004</v>
      </c>
    </row>
    <row r="36" spans="8:12" x14ac:dyDescent="0.2">
      <c r="H36" s="28">
        <v>61</v>
      </c>
      <c r="I36" s="30" t="s">
        <v>2</v>
      </c>
      <c r="J36" s="30">
        <v>2.13</v>
      </c>
      <c r="K36" s="30">
        <v>1.92</v>
      </c>
      <c r="L36" s="30">
        <v>4.4881000000000002</v>
      </c>
    </row>
    <row r="37" spans="8:12" x14ac:dyDescent="0.2">
      <c r="H37" s="28">
        <v>62</v>
      </c>
      <c r="I37" s="30" t="s">
        <v>2</v>
      </c>
      <c r="J37" s="30">
        <v>2.38</v>
      </c>
      <c r="K37" s="30">
        <v>2.19</v>
      </c>
      <c r="L37" s="30">
        <v>7.3734999999999999</v>
      </c>
    </row>
    <row r="38" spans="8:12" x14ac:dyDescent="0.2">
      <c r="H38" s="28">
        <v>63</v>
      </c>
      <c r="I38" s="30" t="s">
        <v>2</v>
      </c>
      <c r="J38" s="30">
        <v>2.2000000000000002</v>
      </c>
      <c r="K38" s="30">
        <v>2.0099999999999998</v>
      </c>
      <c r="L38" s="30">
        <v>5.3784000000000001</v>
      </c>
    </row>
    <row r="39" spans="8:12" x14ac:dyDescent="0.2">
      <c r="H39" s="28">
        <v>64</v>
      </c>
      <c r="I39" s="30" t="s">
        <v>2</v>
      </c>
      <c r="J39" s="30">
        <v>2.14</v>
      </c>
      <c r="K39" s="30">
        <v>1.98</v>
      </c>
      <c r="L39" s="30">
        <v>5.6933999999999996</v>
      </c>
    </row>
    <row r="40" spans="8:12" x14ac:dyDescent="0.2">
      <c r="H40" s="28">
        <v>65</v>
      </c>
      <c r="I40" s="30" t="s">
        <v>2</v>
      </c>
      <c r="J40" s="30">
        <v>2.48</v>
      </c>
      <c r="K40" s="30">
        <v>2.17</v>
      </c>
      <c r="L40" s="30">
        <v>7.3686999999999996</v>
      </c>
    </row>
    <row r="41" spans="8:12" x14ac:dyDescent="0.2">
      <c r="H41" s="28">
        <v>67</v>
      </c>
      <c r="I41" s="30" t="s">
        <v>2</v>
      </c>
      <c r="J41" s="30">
        <v>2.21</v>
      </c>
      <c r="K41" s="30">
        <v>2.02</v>
      </c>
      <c r="L41" s="30">
        <v>6.0254000000000003</v>
      </c>
    </row>
    <row r="42" spans="8:12" x14ac:dyDescent="0.2">
      <c r="H42" s="28">
        <v>68</v>
      </c>
      <c r="I42" s="30" t="s">
        <v>2</v>
      </c>
      <c r="J42" s="30">
        <v>2.5</v>
      </c>
      <c r="K42" s="30">
        <v>2.23</v>
      </c>
      <c r="L42" s="30">
        <v>7.7055999999999996</v>
      </c>
    </row>
    <row r="43" spans="8:12" x14ac:dyDescent="0.2">
      <c r="H43" s="28">
        <v>69</v>
      </c>
      <c r="I43" s="30" t="s">
        <v>2</v>
      </c>
      <c r="J43" s="30">
        <v>2.0299999999999998</v>
      </c>
      <c r="K43" s="30">
        <v>1.99</v>
      </c>
      <c r="L43" s="30">
        <v>4.8708</v>
      </c>
    </row>
    <row r="44" spans="8:12" x14ac:dyDescent="0.2">
      <c r="H44" s="28">
        <v>70</v>
      </c>
      <c r="I44" s="30" t="s">
        <v>2</v>
      </c>
      <c r="J44" s="30">
        <v>2.77</v>
      </c>
      <c r="K44" s="30">
        <v>2.5</v>
      </c>
      <c r="L44" s="30">
        <v>9.7390000000000008</v>
      </c>
    </row>
    <row r="45" spans="8:12" x14ac:dyDescent="0.2">
      <c r="H45" s="28">
        <v>71</v>
      </c>
      <c r="I45" s="30" t="s">
        <v>2</v>
      </c>
      <c r="J45" s="30">
        <v>2.2400000000000002</v>
      </c>
      <c r="K45" s="30">
        <v>2.08</v>
      </c>
      <c r="L45" s="30">
        <v>5.7904</v>
      </c>
    </row>
    <row r="46" spans="8:12" x14ac:dyDescent="0.2">
      <c r="H46" s="28">
        <v>72</v>
      </c>
      <c r="I46" s="30" t="s">
        <v>2</v>
      </c>
      <c r="J46" s="30">
        <v>2.4900000000000002</v>
      </c>
      <c r="K46" s="30">
        <v>2.3199999999999998</v>
      </c>
      <c r="L46" s="30">
        <v>8.5023</v>
      </c>
    </row>
    <row r="47" spans="8:12" x14ac:dyDescent="0.2">
      <c r="H47" s="28">
        <v>73</v>
      </c>
      <c r="I47" s="30" t="s">
        <v>2</v>
      </c>
      <c r="J47" s="30">
        <v>2.25</v>
      </c>
      <c r="K47" s="30">
        <v>2.0299999999999998</v>
      </c>
      <c r="L47" s="30">
        <v>5.6672000000000002</v>
      </c>
    </row>
    <row r="48" spans="8:12" x14ac:dyDescent="0.2">
      <c r="H48" s="28">
        <v>74</v>
      </c>
      <c r="I48" s="30" t="s">
        <v>2</v>
      </c>
      <c r="J48" s="30">
        <v>2.0099999999999998</v>
      </c>
      <c r="K48" s="30">
        <v>1.81</v>
      </c>
      <c r="L48" s="30">
        <v>4.9802</v>
      </c>
    </row>
    <row r="49" spans="3:12" x14ac:dyDescent="0.2">
      <c r="H49" s="28">
        <v>75</v>
      </c>
      <c r="I49" s="30" t="s">
        <v>2</v>
      </c>
      <c r="J49" s="30">
        <v>2.3199999999999998</v>
      </c>
      <c r="K49" s="30">
        <v>2.2000000000000002</v>
      </c>
      <c r="L49" s="30">
        <v>6.5801999999999996</v>
      </c>
    </row>
    <row r="50" spans="3:12" x14ac:dyDescent="0.2">
      <c r="H50" s="28">
        <v>76</v>
      </c>
      <c r="I50" s="30" t="s">
        <v>2</v>
      </c>
      <c r="J50" s="30">
        <v>2.31</v>
      </c>
      <c r="K50" s="30">
        <v>2.2799999999999998</v>
      </c>
      <c r="L50" s="30">
        <v>6.7405999999999997</v>
      </c>
    </row>
    <row r="51" spans="3:12" x14ac:dyDescent="0.2">
      <c r="H51" s="28">
        <v>77</v>
      </c>
      <c r="I51" s="30" t="s">
        <v>2</v>
      </c>
      <c r="J51" s="30">
        <v>1.99</v>
      </c>
      <c r="K51" s="30">
        <v>1.72</v>
      </c>
      <c r="L51" s="30">
        <v>4.0632000000000001</v>
      </c>
    </row>
    <row r="52" spans="3:12" x14ac:dyDescent="0.2">
      <c r="H52" s="28">
        <v>78</v>
      </c>
      <c r="I52" s="30" t="s">
        <v>2</v>
      </c>
      <c r="J52" s="30">
        <v>2.2000000000000002</v>
      </c>
      <c r="K52" s="30">
        <v>2.0099999999999998</v>
      </c>
      <c r="L52" s="30">
        <v>5.718</v>
      </c>
    </row>
    <row r="53" spans="3:12" x14ac:dyDescent="0.2">
      <c r="H53" s="28">
        <v>79</v>
      </c>
      <c r="I53" s="30" t="s">
        <v>2</v>
      </c>
      <c r="J53" s="30">
        <v>2.2599999999999998</v>
      </c>
      <c r="K53" s="30">
        <v>2.12</v>
      </c>
      <c r="L53" s="30">
        <v>6.3602999999999996</v>
      </c>
    </row>
    <row r="54" spans="3:12" x14ac:dyDescent="0.2">
      <c r="H54" s="28">
        <v>80</v>
      </c>
      <c r="I54" s="30" t="s">
        <v>2</v>
      </c>
      <c r="J54" s="30">
        <v>1.97</v>
      </c>
      <c r="K54" s="30">
        <v>1.81</v>
      </c>
      <c r="L54" s="30">
        <v>4.4276</v>
      </c>
    </row>
    <row r="55" spans="3:12" x14ac:dyDescent="0.2">
      <c r="H55" s="28">
        <v>81</v>
      </c>
      <c r="I55" s="30" t="s">
        <v>2</v>
      </c>
      <c r="J55" s="30">
        <v>2.16</v>
      </c>
      <c r="K55" s="30">
        <v>1.94</v>
      </c>
      <c r="L55" s="30">
        <v>5.3487</v>
      </c>
    </row>
    <row r="56" spans="3:12" x14ac:dyDescent="0.2">
      <c r="H56" s="28">
        <v>82</v>
      </c>
      <c r="I56" s="30" t="s">
        <v>2</v>
      </c>
      <c r="J56" s="30">
        <v>2.23</v>
      </c>
      <c r="K56" s="30">
        <v>2.08</v>
      </c>
      <c r="L56" s="30">
        <v>6.3133999999999997</v>
      </c>
    </row>
    <row r="57" spans="3:12" x14ac:dyDescent="0.2">
      <c r="H57" s="28">
        <v>83</v>
      </c>
      <c r="I57" s="30" t="s">
        <v>2</v>
      </c>
      <c r="J57" s="30">
        <v>2.0499999999999998</v>
      </c>
      <c r="K57" s="30">
        <v>1.82</v>
      </c>
      <c r="L57" s="30">
        <v>4.5800999999999998</v>
      </c>
    </row>
    <row r="58" spans="3:12" x14ac:dyDescent="0.2">
      <c r="H58" s="28">
        <v>84</v>
      </c>
      <c r="I58" s="30" t="s">
        <v>2</v>
      </c>
      <c r="J58" s="30">
        <v>2.5099999999999998</v>
      </c>
      <c r="K58" s="30">
        <v>2.19</v>
      </c>
      <c r="L58" s="30">
        <v>7.6738</v>
      </c>
    </row>
    <row r="59" spans="3:12" x14ac:dyDescent="0.2">
      <c r="G59" s="2"/>
      <c r="H59" s="28"/>
      <c r="I59" s="30"/>
      <c r="J59" s="11"/>
      <c r="K59" s="11"/>
      <c r="L59" s="11"/>
    </row>
    <row r="60" spans="3:12" x14ac:dyDescent="0.2">
      <c r="C60" s="2"/>
      <c r="D60" s="2"/>
      <c r="E60" s="2"/>
      <c r="H60" s="28"/>
      <c r="I60" s="30"/>
      <c r="J60" s="11"/>
      <c r="K60" s="11"/>
      <c r="L60" s="11"/>
    </row>
    <row r="61" spans="3:12" x14ac:dyDescent="0.2">
      <c r="G61" s="2"/>
      <c r="H61" s="28"/>
      <c r="I61" s="30"/>
      <c r="J61" s="11"/>
      <c r="K61" s="11"/>
      <c r="L61" s="11"/>
    </row>
    <row r="62" spans="3:12" x14ac:dyDescent="0.2">
      <c r="H62" s="28"/>
      <c r="I62" s="30"/>
      <c r="J62" s="11"/>
      <c r="K62" s="11"/>
      <c r="L62" s="11"/>
    </row>
    <row r="63" spans="3:12" x14ac:dyDescent="0.2">
      <c r="H63" s="28"/>
      <c r="I63" s="30"/>
      <c r="J63" s="11"/>
      <c r="K63" s="11"/>
      <c r="L63" s="11"/>
    </row>
    <row r="64" spans="3:12" x14ac:dyDescent="0.2">
      <c r="H64" s="28"/>
      <c r="I64" s="30"/>
      <c r="J64" s="11"/>
      <c r="K64" s="11"/>
      <c r="L64" s="11"/>
    </row>
    <row r="65" spans="8:12" x14ac:dyDescent="0.2">
      <c r="H65" s="28"/>
      <c r="I65" s="30"/>
      <c r="J65" s="11"/>
      <c r="K65" s="11"/>
      <c r="L65" s="11"/>
    </row>
    <row r="66" spans="8:12" x14ac:dyDescent="0.2">
      <c r="H66" s="28"/>
      <c r="I66" s="30"/>
      <c r="J66" s="11"/>
      <c r="K66" s="11"/>
      <c r="L66" s="11"/>
    </row>
    <row r="67" spans="8:12" x14ac:dyDescent="0.2">
      <c r="H67" s="28"/>
      <c r="I67" s="30"/>
      <c r="J67" s="11"/>
      <c r="K67" s="11"/>
      <c r="L67" s="11"/>
    </row>
    <row r="68" spans="8:12" x14ac:dyDescent="0.2">
      <c r="H68" s="28"/>
      <c r="I68" s="30"/>
      <c r="J68" s="11"/>
      <c r="K68" s="11"/>
      <c r="L68" s="11"/>
    </row>
    <row r="69" spans="8:12" x14ac:dyDescent="0.2">
      <c r="H69" s="28"/>
      <c r="I69" s="30"/>
      <c r="J69" s="11"/>
      <c r="K69" s="11"/>
      <c r="L69" s="11"/>
    </row>
    <row r="70" spans="8:12" x14ac:dyDescent="0.2">
      <c r="H70" s="28"/>
      <c r="I70" s="30"/>
      <c r="J70" s="11"/>
      <c r="K70" s="11"/>
      <c r="L70" s="11"/>
    </row>
    <row r="71" spans="8:12" x14ac:dyDescent="0.2">
      <c r="H71" s="28"/>
      <c r="I71" s="30"/>
      <c r="J71" s="11"/>
      <c r="K71" s="11"/>
      <c r="L71" s="11"/>
    </row>
    <row r="72" spans="8:12" x14ac:dyDescent="0.2">
      <c r="H72" s="28"/>
      <c r="I72" s="30"/>
      <c r="J72" s="11"/>
      <c r="K72" s="11"/>
      <c r="L72" s="11"/>
    </row>
    <row r="73" spans="8:12" x14ac:dyDescent="0.2">
      <c r="H73" s="28"/>
      <c r="I73" s="30"/>
      <c r="J73" s="11"/>
      <c r="K73" s="11"/>
      <c r="L73" s="11"/>
    </row>
    <row r="74" spans="8:12" x14ac:dyDescent="0.2">
      <c r="H74" s="28"/>
      <c r="I74" s="30"/>
      <c r="J74" s="11"/>
      <c r="K74" s="11"/>
      <c r="L74" s="11"/>
    </row>
    <row r="75" spans="8:12" x14ac:dyDescent="0.2">
      <c r="H75" s="28"/>
      <c r="I75" s="30"/>
      <c r="J75" s="11"/>
      <c r="K75" s="11"/>
      <c r="L75" s="11"/>
    </row>
    <row r="76" spans="8:12" x14ac:dyDescent="0.2">
      <c r="H76" s="28"/>
      <c r="I76" s="30"/>
      <c r="J76" s="11"/>
      <c r="K76" s="11"/>
      <c r="L76" s="11"/>
    </row>
    <row r="77" spans="8:12" x14ac:dyDescent="0.2">
      <c r="H77" s="28"/>
      <c r="I77" s="30"/>
      <c r="J77" s="11"/>
      <c r="K77" s="11"/>
      <c r="L77" s="11"/>
    </row>
    <row r="78" spans="8:12" x14ac:dyDescent="0.2">
      <c r="H78" s="28"/>
      <c r="I78" s="30"/>
      <c r="J78" s="11"/>
      <c r="K78" s="11"/>
      <c r="L78" s="11"/>
    </row>
    <row r="79" spans="8:12" x14ac:dyDescent="0.2">
      <c r="H79" s="28"/>
      <c r="I79" s="30"/>
      <c r="J79" s="11"/>
      <c r="K79" s="11"/>
      <c r="L79" s="11"/>
    </row>
    <row r="80" spans="8:12" x14ac:dyDescent="0.2">
      <c r="H80" s="28"/>
      <c r="I80" s="30"/>
      <c r="J80" s="11"/>
      <c r="K80" s="11"/>
      <c r="L80" s="11"/>
    </row>
    <row r="81" spans="8:12" x14ac:dyDescent="0.2">
      <c r="H81" s="28"/>
      <c r="I81" s="30"/>
      <c r="J81" s="11"/>
      <c r="K81" s="11"/>
      <c r="L81" s="11"/>
    </row>
    <row r="82" spans="8:12" x14ac:dyDescent="0.2">
      <c r="H82" s="28"/>
      <c r="I82" s="30"/>
      <c r="J82" s="11"/>
      <c r="K82" s="11"/>
      <c r="L82" s="11"/>
    </row>
    <row r="83" spans="8:12" x14ac:dyDescent="0.2">
      <c r="H83" s="28"/>
      <c r="I83" s="30"/>
      <c r="J83" s="11"/>
      <c r="K83" s="11"/>
      <c r="L83" s="11"/>
    </row>
    <row r="84" spans="8:12" x14ac:dyDescent="0.2">
      <c r="H84" s="28"/>
      <c r="I84" s="30"/>
      <c r="J84" s="11"/>
      <c r="K84" s="11"/>
      <c r="L84" s="11"/>
    </row>
    <row r="85" spans="8:12" x14ac:dyDescent="0.2">
      <c r="H85" s="28"/>
      <c r="I85" s="30"/>
      <c r="J85" s="11"/>
      <c r="K85" s="11"/>
      <c r="L85" s="11"/>
    </row>
    <row r="86" spans="8:12" x14ac:dyDescent="0.2">
      <c r="H86" s="28"/>
      <c r="I86" s="30"/>
      <c r="J86" s="11"/>
      <c r="K86" s="11"/>
      <c r="L86" s="11"/>
    </row>
    <row r="87" spans="8:12" x14ac:dyDescent="0.2">
      <c r="J87" s="2"/>
      <c r="K87" s="2"/>
      <c r="L87" s="2"/>
    </row>
    <row r="89" spans="8:12" x14ac:dyDescent="0.2">
      <c r="J89" s="4"/>
      <c r="K89" s="4"/>
      <c r="L89" s="4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CD805-35BD-384C-96C4-4F9DFDA5DB77}">
  <dimension ref="A1:F8"/>
  <sheetViews>
    <sheetView workbookViewId="0">
      <selection activeCell="F4" sqref="F4"/>
    </sheetView>
  </sheetViews>
  <sheetFormatPr baseColWidth="10" defaultRowHeight="15" x14ac:dyDescent="0.2"/>
  <cols>
    <col min="1" max="1" width="19.33203125" customWidth="1"/>
    <col min="2" max="2" width="44" customWidth="1"/>
    <col min="3" max="3" width="76" style="1" customWidth="1"/>
  </cols>
  <sheetData>
    <row r="1" spans="1:6" ht="20" x14ac:dyDescent="0.2">
      <c r="A1" s="44" t="s">
        <v>134</v>
      </c>
      <c r="B1" s="44" t="s">
        <v>135</v>
      </c>
      <c r="C1" s="44" t="s">
        <v>131</v>
      </c>
      <c r="D1" s="13"/>
      <c r="E1" s="13"/>
      <c r="F1" s="13"/>
    </row>
    <row r="2" spans="1:6" ht="76" customHeight="1" x14ac:dyDescent="0.2">
      <c r="A2" s="52" t="s">
        <v>130</v>
      </c>
      <c r="B2" s="53" t="s">
        <v>140</v>
      </c>
      <c r="C2" s="43" t="s">
        <v>132</v>
      </c>
      <c r="E2" s="13"/>
      <c r="F2" s="13"/>
    </row>
    <row r="3" spans="1:6" ht="19" x14ac:dyDescent="0.2">
      <c r="A3" s="52"/>
      <c r="B3" s="53"/>
      <c r="C3" s="43" t="s">
        <v>136</v>
      </c>
      <c r="D3" s="38"/>
      <c r="E3" s="13"/>
      <c r="F3" s="13"/>
    </row>
    <row r="4" spans="1:6" ht="95" x14ac:dyDescent="0.2">
      <c r="A4" s="52"/>
      <c r="B4" s="53"/>
      <c r="C4" s="43" t="s">
        <v>137</v>
      </c>
      <c r="D4" s="38"/>
      <c r="E4" s="13"/>
      <c r="F4" s="13"/>
    </row>
    <row r="5" spans="1:6" ht="176" customHeight="1" x14ac:dyDescent="0.2">
      <c r="A5" s="52" t="s">
        <v>139</v>
      </c>
      <c r="B5" s="53" t="s">
        <v>141</v>
      </c>
      <c r="C5" s="43" t="s">
        <v>133</v>
      </c>
      <c r="D5" s="13"/>
      <c r="E5" s="13"/>
      <c r="F5" s="13"/>
    </row>
    <row r="6" spans="1:6" ht="66" customHeight="1" x14ac:dyDescent="0.2">
      <c r="A6" s="52"/>
      <c r="B6" s="53"/>
      <c r="C6" s="43" t="s">
        <v>138</v>
      </c>
      <c r="D6" s="13"/>
      <c r="E6" s="13"/>
      <c r="F6" s="13"/>
    </row>
    <row r="7" spans="1:6" x14ac:dyDescent="0.2">
      <c r="A7" s="11"/>
      <c r="B7" s="11"/>
      <c r="C7" s="30"/>
      <c r="D7" s="11"/>
    </row>
    <row r="8" spans="1:6" x14ac:dyDescent="0.2">
      <c r="A8" s="11"/>
      <c r="B8" s="11"/>
      <c r="C8" s="30"/>
      <c r="D8" s="11"/>
    </row>
  </sheetData>
  <mergeCells count="4">
    <mergeCell ref="A2:A4"/>
    <mergeCell ref="B2:B4"/>
    <mergeCell ref="A5:A6"/>
    <mergeCell ref="B5:B6"/>
  </mergeCells>
  <hyperlinks>
    <hyperlink ref="C2" r:id="rId1" xr:uid="{80F686DF-881C-0A44-9597-403FCA3E0E39}"/>
    <hyperlink ref="C5" r:id="rId2" display="https://d1wqtxts1xzle7.cloudfront.net/75402124/Study_on_Structural_Mechanical_and_Funct20211129-4975-150ygp7.pdf?1738452119=&amp;response-content-disposition=inline%3B+filename%3DStudy_on_Structural_Mechanical_and_Funct.pdf&amp;Expires=1769428644&amp;Signature=T3RemF1N~HGIYWZbLCVsrnKXPZyATiuIcN5u3hm49rBlfiWkzxD54SdYmV6L8TYYgS~t8vjfcqgUNZARtdDHs6nT2jSLBMJQtDxr9qFMkEWGr6FIVnDqRpZQ-UVnEjY~Pj~3nmga2k9R4egrOXRM00JaZNHbVr8vJupBJix6LpzbTTZOvJIEtNQlglIHuXu0IBzkhxNJjR57n5~uaH4Bopy7H9nQBOAYn~q0XtLuoEfvhetq9~Aimx7zcHR5gbuXyCul-c6TELeCYSUkHiCYHYC3DccAD~L~2EXfbVf~s0Qeql2laxfGPp-0Lz3YIhaHLBIH0Da~8upNiffXE~61WQ__&amp;Key-Pair-Id=APKAJLOHF5GGSLRBV4ZA" xr:uid="{8F9C6BD9-C87B-8840-99B7-FC2ADA9B95A9}"/>
    <hyperlink ref="C3" r:id="rId3" xr:uid="{CCD2AC98-73E4-754F-B724-16A1D9BFC19B}"/>
    <hyperlink ref="C4" r:id="rId4" display="https://www.researchgate.net/profile/Wong-Sien/publication/258338299_FTIR_spectroscopy_analysis_of_the_prepolymerization_of_palm-based_polyurethane/links/00463527dec9116cd9000000/FTIR-spectroscopy-analysis-of-the-prepolymerization-of-palm-based-polyurethane.pdf" xr:uid="{3CAB992C-0C90-644B-80A9-626BDAD7EA33}"/>
    <hyperlink ref="C6" r:id="rId5" xr:uid="{DB58C313-F52B-3247-AB27-827B7F7B52A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2A35-50A3-9644-8C02-4C4F6E403C6C}">
  <dimension ref="A1:D25"/>
  <sheetViews>
    <sheetView workbookViewId="0">
      <selection activeCell="E31" sqref="E31"/>
    </sheetView>
  </sheetViews>
  <sheetFormatPr baseColWidth="10" defaultRowHeight="15" x14ac:dyDescent="0.2"/>
  <cols>
    <col min="1" max="1" width="36" customWidth="1"/>
    <col min="2" max="2" width="17.6640625" customWidth="1"/>
  </cols>
  <sheetData>
    <row r="1" spans="1:4" ht="16" x14ac:dyDescent="0.2">
      <c r="A1" s="8" t="s">
        <v>27</v>
      </c>
      <c r="B1" s="7" t="s">
        <v>447</v>
      </c>
      <c r="C1" s="7"/>
      <c r="D1" s="7"/>
    </row>
    <row r="2" spans="1:4" ht="16" x14ac:dyDescent="0.2">
      <c r="A2" s="8"/>
      <c r="B2" s="7"/>
      <c r="C2" s="7"/>
      <c r="D2" s="7"/>
    </row>
    <row r="3" spans="1:4" ht="16" x14ac:dyDescent="0.2">
      <c r="A3" s="8" t="s">
        <v>494</v>
      </c>
      <c r="B3" s="7"/>
      <c r="C3" s="7"/>
      <c r="D3" s="7"/>
    </row>
    <row r="4" spans="1:4" ht="16" x14ac:dyDescent="0.2">
      <c r="A4" s="8" t="s">
        <v>495</v>
      </c>
      <c r="B4" s="7" t="s">
        <v>496</v>
      </c>
      <c r="C4" s="7"/>
      <c r="D4" s="7"/>
    </row>
    <row r="5" spans="1:4" ht="16" x14ac:dyDescent="0.2">
      <c r="A5" s="8" t="s">
        <v>454</v>
      </c>
      <c r="B5" s="7">
        <v>0.58699999999999997</v>
      </c>
      <c r="C5" s="7"/>
      <c r="D5" s="7"/>
    </row>
    <row r="6" spans="1:4" ht="16" x14ac:dyDescent="0.2">
      <c r="A6" s="8" t="s">
        <v>455</v>
      </c>
      <c r="B6" s="7" t="s">
        <v>58</v>
      </c>
      <c r="C6" s="7"/>
      <c r="D6" s="7"/>
    </row>
    <row r="7" spans="1:4" ht="16" x14ac:dyDescent="0.2">
      <c r="A7" s="8" t="s">
        <v>497</v>
      </c>
      <c r="B7" s="7" t="s">
        <v>498</v>
      </c>
      <c r="C7" s="7"/>
      <c r="D7" s="7"/>
    </row>
    <row r="8" spans="1:4" ht="16" x14ac:dyDescent="0.2">
      <c r="A8" s="8" t="s">
        <v>499</v>
      </c>
      <c r="B8" s="7" t="s">
        <v>59</v>
      </c>
      <c r="C8" s="7"/>
      <c r="D8" s="7"/>
    </row>
    <row r="9" spans="1:4" ht="16" x14ac:dyDescent="0.2">
      <c r="A9" s="8"/>
      <c r="B9" s="7"/>
      <c r="C9" s="7"/>
      <c r="D9" s="7"/>
    </row>
    <row r="10" spans="1:4" ht="16" x14ac:dyDescent="0.2">
      <c r="A10" s="8" t="s">
        <v>500</v>
      </c>
      <c r="B10" s="7" t="s">
        <v>501</v>
      </c>
      <c r="C10" s="7" t="s">
        <v>502</v>
      </c>
      <c r="D10" s="7" t="s">
        <v>92</v>
      </c>
    </row>
    <row r="11" spans="1:4" ht="16" x14ac:dyDescent="0.2">
      <c r="A11" s="8" t="s">
        <v>503</v>
      </c>
      <c r="B11" s="7">
        <v>45</v>
      </c>
      <c r="C11" s="7">
        <v>20</v>
      </c>
      <c r="D11" s="7">
        <v>65</v>
      </c>
    </row>
    <row r="12" spans="1:4" ht="16" x14ac:dyDescent="0.2">
      <c r="A12" s="8" t="s">
        <v>504</v>
      </c>
      <c r="B12" s="7">
        <v>12</v>
      </c>
      <c r="C12" s="7">
        <v>8</v>
      </c>
      <c r="D12" s="7">
        <v>20</v>
      </c>
    </row>
    <row r="13" spans="1:4" ht="16" x14ac:dyDescent="0.2">
      <c r="A13" s="8" t="s">
        <v>465</v>
      </c>
      <c r="B13" s="7">
        <v>57</v>
      </c>
      <c r="C13" s="7">
        <v>28</v>
      </c>
      <c r="D13" s="7">
        <v>85</v>
      </c>
    </row>
    <row r="14" spans="1:4" ht="16" x14ac:dyDescent="0.2">
      <c r="A14" s="8"/>
      <c r="B14" s="7"/>
      <c r="C14" s="7"/>
      <c r="D14" s="7"/>
    </row>
    <row r="15" spans="1:4" ht="16" x14ac:dyDescent="0.2">
      <c r="A15" s="8" t="s">
        <v>505</v>
      </c>
      <c r="B15" s="7" t="s">
        <v>501</v>
      </c>
      <c r="C15" s="7" t="s">
        <v>502</v>
      </c>
      <c r="D15" s="7"/>
    </row>
    <row r="16" spans="1:4" ht="16" x14ac:dyDescent="0.2">
      <c r="A16" s="8" t="s">
        <v>503</v>
      </c>
      <c r="B16" s="7" t="s">
        <v>506</v>
      </c>
      <c r="C16" s="7" t="s">
        <v>507</v>
      </c>
      <c r="D16" s="7"/>
    </row>
    <row r="17" spans="1:4" ht="16" x14ac:dyDescent="0.2">
      <c r="A17" s="8" t="s">
        <v>504</v>
      </c>
      <c r="B17" s="7" t="s">
        <v>508</v>
      </c>
      <c r="C17" s="7" t="s">
        <v>509</v>
      </c>
      <c r="D17" s="7"/>
    </row>
    <row r="18" spans="1:4" ht="16" x14ac:dyDescent="0.2">
      <c r="A18" s="8"/>
      <c r="B18" s="7"/>
      <c r="C18" s="7"/>
      <c r="D18" s="7"/>
    </row>
    <row r="19" spans="1:4" ht="16" x14ac:dyDescent="0.2">
      <c r="A19" s="8" t="s">
        <v>510</v>
      </c>
      <c r="B19" s="7" t="s">
        <v>501</v>
      </c>
      <c r="C19" s="7" t="s">
        <v>502</v>
      </c>
      <c r="D19" s="7"/>
    </row>
    <row r="20" spans="1:4" ht="16" x14ac:dyDescent="0.2">
      <c r="A20" s="8" t="s">
        <v>503</v>
      </c>
      <c r="B20" s="7" t="s">
        <v>511</v>
      </c>
      <c r="C20" s="7" t="s">
        <v>512</v>
      </c>
      <c r="D20" s="7"/>
    </row>
    <row r="21" spans="1:4" ht="16" x14ac:dyDescent="0.2">
      <c r="A21" s="8" t="s">
        <v>504</v>
      </c>
      <c r="B21" s="7" t="s">
        <v>513</v>
      </c>
      <c r="C21" s="7" t="s">
        <v>514</v>
      </c>
      <c r="D21" s="7"/>
    </row>
    <row r="22" spans="1:4" ht="16" x14ac:dyDescent="0.2">
      <c r="A22" s="8"/>
      <c r="B22" s="7"/>
      <c r="C22" s="7"/>
      <c r="D22" s="7"/>
    </row>
    <row r="23" spans="1:4" ht="16" x14ac:dyDescent="0.2">
      <c r="A23" s="8" t="s">
        <v>515</v>
      </c>
      <c r="B23" s="7" t="s">
        <v>501</v>
      </c>
      <c r="C23" s="7" t="s">
        <v>502</v>
      </c>
      <c r="D23" s="7"/>
    </row>
    <row r="24" spans="1:4" ht="16" x14ac:dyDescent="0.2">
      <c r="A24" s="8" t="s">
        <v>503</v>
      </c>
      <c r="B24" s="7" t="s">
        <v>516</v>
      </c>
      <c r="C24" s="7" t="s">
        <v>517</v>
      </c>
      <c r="D24" s="7"/>
    </row>
    <row r="25" spans="1:4" ht="16" x14ac:dyDescent="0.2">
      <c r="A25" s="8" t="s">
        <v>504</v>
      </c>
      <c r="B25" s="7" t="s">
        <v>518</v>
      </c>
      <c r="C25" s="7" t="s">
        <v>519</v>
      </c>
      <c r="D2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3688B-6F78-2B49-B9A3-DD7EDE46D9FF}">
  <dimension ref="A1:Q87"/>
  <sheetViews>
    <sheetView workbookViewId="0">
      <selection activeCell="G26" sqref="G26"/>
    </sheetView>
  </sheetViews>
  <sheetFormatPr baseColWidth="10" defaultRowHeight="15" x14ac:dyDescent="0.2"/>
  <cols>
    <col min="6" max="6" width="15.83203125" customWidth="1"/>
    <col min="9" max="9" width="46" customWidth="1"/>
    <col min="10" max="10" width="16.83203125" customWidth="1"/>
    <col min="11" max="11" width="18.5" customWidth="1"/>
    <col min="12" max="12" width="15.83203125" customWidth="1"/>
    <col min="13" max="13" width="18.5" customWidth="1"/>
    <col min="14" max="14" width="18.6640625" customWidth="1"/>
  </cols>
  <sheetData>
    <row r="1" spans="1:14" ht="16" x14ac:dyDescent="0.2">
      <c r="A1" s="45" t="s">
        <v>87</v>
      </c>
      <c r="B1" s="45" t="s">
        <v>437</v>
      </c>
      <c r="C1" s="45" t="s">
        <v>3</v>
      </c>
      <c r="D1" s="45" t="s">
        <v>4</v>
      </c>
      <c r="E1" s="45" t="s">
        <v>15</v>
      </c>
      <c r="F1" s="45" t="s">
        <v>438</v>
      </c>
      <c r="I1" s="8" t="s">
        <v>440</v>
      </c>
      <c r="J1" s="7">
        <v>85</v>
      </c>
      <c r="K1" s="7">
        <v>85</v>
      </c>
      <c r="L1" s="7">
        <v>85</v>
      </c>
      <c r="M1" s="7">
        <v>85</v>
      </c>
    </row>
    <row r="2" spans="1:14" ht="16" x14ac:dyDescent="0.2">
      <c r="A2" s="46">
        <v>1</v>
      </c>
      <c r="B2" s="13">
        <v>1</v>
      </c>
      <c r="C2" s="13">
        <v>0</v>
      </c>
      <c r="D2" s="13">
        <v>3</v>
      </c>
      <c r="E2" s="13">
        <v>0</v>
      </c>
      <c r="F2" s="45">
        <f>SUM(B2:E2)</f>
        <v>4</v>
      </c>
      <c r="I2" s="8"/>
      <c r="J2" s="7"/>
      <c r="K2" s="7"/>
      <c r="L2" s="7"/>
      <c r="M2" s="7"/>
    </row>
    <row r="3" spans="1:14" ht="16" x14ac:dyDescent="0.2">
      <c r="A3" s="46">
        <v>2</v>
      </c>
      <c r="B3" s="13">
        <v>1</v>
      </c>
      <c r="C3" s="13">
        <v>0</v>
      </c>
      <c r="D3" s="13">
        <v>2</v>
      </c>
      <c r="E3" s="13">
        <v>0</v>
      </c>
      <c r="F3" s="45">
        <f t="shared" ref="F3:F66" si="0">SUM(B3:E3)</f>
        <v>3</v>
      </c>
      <c r="I3" s="8" t="s">
        <v>441</v>
      </c>
      <c r="J3" s="7">
        <v>0</v>
      </c>
      <c r="K3" s="7">
        <v>0</v>
      </c>
      <c r="L3" s="7">
        <v>0</v>
      </c>
      <c r="M3" s="7">
        <v>0</v>
      </c>
    </row>
    <row r="4" spans="1:14" ht="16" x14ac:dyDescent="0.2">
      <c r="A4" s="46">
        <v>3</v>
      </c>
      <c r="B4" s="13">
        <v>0</v>
      </c>
      <c r="C4" s="13">
        <v>0</v>
      </c>
      <c r="D4" s="13">
        <v>0</v>
      </c>
      <c r="E4" s="13">
        <v>0</v>
      </c>
      <c r="F4" s="45">
        <f t="shared" si="0"/>
        <v>0</v>
      </c>
      <c r="I4" s="8" t="s">
        <v>442</v>
      </c>
      <c r="J4" s="7">
        <v>12</v>
      </c>
      <c r="K4" s="7">
        <v>17</v>
      </c>
      <c r="L4" s="7">
        <v>12</v>
      </c>
      <c r="M4" s="7">
        <v>0</v>
      </c>
    </row>
    <row r="5" spans="1:14" ht="16" x14ac:dyDescent="0.2">
      <c r="A5" s="46">
        <v>4</v>
      </c>
      <c r="B5" s="13">
        <v>1</v>
      </c>
      <c r="C5" s="13">
        <v>2</v>
      </c>
      <c r="D5" s="13">
        <v>2</v>
      </c>
      <c r="E5" s="13">
        <v>0</v>
      </c>
      <c r="F5" s="45">
        <f t="shared" si="0"/>
        <v>5</v>
      </c>
      <c r="I5" s="8" t="s">
        <v>443</v>
      </c>
      <c r="J5" s="7">
        <v>12</v>
      </c>
      <c r="K5" s="7">
        <v>17</v>
      </c>
      <c r="L5" s="7">
        <v>12</v>
      </c>
      <c r="M5" s="7">
        <v>0</v>
      </c>
    </row>
    <row r="6" spans="1:14" ht="16" x14ac:dyDescent="0.2">
      <c r="A6" s="46">
        <v>5</v>
      </c>
      <c r="B6" s="13">
        <v>4</v>
      </c>
      <c r="C6" s="13">
        <v>0</v>
      </c>
      <c r="D6" s="13">
        <v>3</v>
      </c>
      <c r="E6" s="13">
        <v>0</v>
      </c>
      <c r="F6" s="45">
        <f t="shared" si="0"/>
        <v>7</v>
      </c>
      <c r="I6" s="8"/>
      <c r="J6" s="7"/>
      <c r="K6" s="7"/>
      <c r="L6" s="7"/>
      <c r="M6" s="7"/>
    </row>
    <row r="7" spans="1:14" ht="16" x14ac:dyDescent="0.2">
      <c r="A7" s="46">
        <v>6</v>
      </c>
      <c r="B7" s="13">
        <v>6</v>
      </c>
      <c r="C7" s="13">
        <v>1</v>
      </c>
      <c r="D7" s="13">
        <v>4</v>
      </c>
      <c r="E7" s="13">
        <v>0</v>
      </c>
      <c r="F7" s="45">
        <f t="shared" si="0"/>
        <v>11</v>
      </c>
      <c r="I7" s="8" t="s">
        <v>444</v>
      </c>
      <c r="J7" s="7">
        <v>1.718</v>
      </c>
      <c r="K7" s="7">
        <v>2.1059999999999999</v>
      </c>
      <c r="L7" s="7">
        <v>3.2</v>
      </c>
      <c r="M7" s="7">
        <v>0</v>
      </c>
    </row>
    <row r="8" spans="1:14" ht="16" x14ac:dyDescent="0.2">
      <c r="A8" s="46">
        <v>7</v>
      </c>
      <c r="B8" s="13">
        <v>0</v>
      </c>
      <c r="C8" s="13">
        <v>0</v>
      </c>
      <c r="D8" s="13">
        <v>0</v>
      </c>
      <c r="E8" s="13">
        <v>0</v>
      </c>
      <c r="F8" s="45">
        <f t="shared" si="0"/>
        <v>0</v>
      </c>
      <c r="I8" s="8" t="s">
        <v>445</v>
      </c>
      <c r="J8" s="7">
        <v>2.202</v>
      </c>
      <c r="K8" s="7">
        <v>2.786</v>
      </c>
      <c r="L8" s="7">
        <v>2.9870000000000001</v>
      </c>
      <c r="M8" s="7">
        <v>0</v>
      </c>
    </row>
    <row r="9" spans="1:14" ht="16" x14ac:dyDescent="0.2">
      <c r="A9" s="46">
        <v>8</v>
      </c>
      <c r="B9" s="13">
        <v>3</v>
      </c>
      <c r="C9" s="13">
        <v>2</v>
      </c>
      <c r="D9" s="13">
        <v>9</v>
      </c>
      <c r="E9" s="13">
        <v>0</v>
      </c>
      <c r="F9" s="45">
        <f t="shared" si="0"/>
        <v>14</v>
      </c>
      <c r="I9" s="8" t="s">
        <v>446</v>
      </c>
      <c r="J9" s="7">
        <v>0.23880000000000001</v>
      </c>
      <c r="K9" s="7">
        <v>0.30220000000000002</v>
      </c>
      <c r="L9" s="7">
        <v>0.32400000000000001</v>
      </c>
      <c r="M9" s="7">
        <v>0</v>
      </c>
    </row>
    <row r="10" spans="1:14" ht="16" x14ac:dyDescent="0.2">
      <c r="A10" s="46">
        <v>9</v>
      </c>
      <c r="B10" s="13">
        <v>2</v>
      </c>
      <c r="C10" s="13">
        <v>0</v>
      </c>
      <c r="D10" s="13">
        <v>6</v>
      </c>
      <c r="E10" s="13">
        <v>0</v>
      </c>
      <c r="F10" s="45">
        <f t="shared" si="0"/>
        <v>8</v>
      </c>
    </row>
    <row r="11" spans="1:14" ht="16" x14ac:dyDescent="0.2">
      <c r="A11" s="46">
        <v>10</v>
      </c>
      <c r="B11" s="13">
        <v>0</v>
      </c>
      <c r="C11" s="13">
        <v>0</v>
      </c>
      <c r="D11" s="13">
        <v>0</v>
      </c>
      <c r="E11" s="13">
        <v>0</v>
      </c>
      <c r="F11" s="45">
        <f t="shared" si="0"/>
        <v>0</v>
      </c>
    </row>
    <row r="12" spans="1:14" ht="16" x14ac:dyDescent="0.2">
      <c r="A12" s="46">
        <v>11</v>
      </c>
      <c r="B12" s="13">
        <v>1</v>
      </c>
      <c r="C12" s="13">
        <v>1</v>
      </c>
      <c r="D12" s="13">
        <v>3</v>
      </c>
      <c r="E12" s="13">
        <v>0</v>
      </c>
      <c r="F12" s="45">
        <f t="shared" si="0"/>
        <v>5</v>
      </c>
      <c r="I12" s="8" t="s">
        <v>27</v>
      </c>
      <c r="J12" s="7" t="s">
        <v>447</v>
      </c>
      <c r="K12" s="7"/>
      <c r="L12" s="7"/>
      <c r="M12" s="7"/>
      <c r="N12" s="7"/>
    </row>
    <row r="13" spans="1:14" ht="16" x14ac:dyDescent="0.2">
      <c r="A13" s="46">
        <v>12</v>
      </c>
      <c r="B13" s="13">
        <v>5</v>
      </c>
      <c r="C13" s="13">
        <v>2</v>
      </c>
      <c r="D13" s="13">
        <v>7</v>
      </c>
      <c r="E13" s="13">
        <v>0</v>
      </c>
      <c r="F13" s="45">
        <f t="shared" si="0"/>
        <v>14</v>
      </c>
      <c r="I13" s="8" t="s">
        <v>448</v>
      </c>
      <c r="J13" s="7" t="s">
        <v>449</v>
      </c>
      <c r="K13" s="7"/>
      <c r="L13" s="7"/>
      <c r="M13" s="7"/>
      <c r="N13" s="7"/>
    </row>
    <row r="14" spans="1:14" ht="16" x14ac:dyDescent="0.2">
      <c r="A14" s="46">
        <v>13</v>
      </c>
      <c r="B14" s="13">
        <v>0</v>
      </c>
      <c r="C14" s="13">
        <v>0</v>
      </c>
      <c r="D14" s="13">
        <v>0</v>
      </c>
      <c r="E14" s="13">
        <v>0</v>
      </c>
      <c r="F14" s="45">
        <f t="shared" si="0"/>
        <v>0</v>
      </c>
      <c r="I14" s="8" t="s">
        <v>450</v>
      </c>
      <c r="J14" s="7" t="s">
        <v>451</v>
      </c>
      <c r="K14" s="7"/>
      <c r="L14" s="7"/>
      <c r="M14" s="7"/>
      <c r="N14" s="7"/>
    </row>
    <row r="15" spans="1:14" ht="16" x14ac:dyDescent="0.2">
      <c r="A15" s="46">
        <v>14</v>
      </c>
      <c r="B15" s="13">
        <v>2</v>
      </c>
      <c r="C15" s="13">
        <v>0</v>
      </c>
      <c r="D15" s="13">
        <v>3</v>
      </c>
      <c r="E15" s="13">
        <v>0</v>
      </c>
      <c r="F15" s="45">
        <f t="shared" si="0"/>
        <v>5</v>
      </c>
      <c r="I15" s="8"/>
      <c r="J15" s="7"/>
      <c r="K15" s="7"/>
      <c r="L15" s="7"/>
      <c r="M15" s="7"/>
      <c r="N15" s="7"/>
    </row>
    <row r="16" spans="1:14" ht="16" x14ac:dyDescent="0.2">
      <c r="A16" s="46">
        <v>15</v>
      </c>
      <c r="B16" s="13">
        <v>3</v>
      </c>
      <c r="C16" s="13">
        <v>0</v>
      </c>
      <c r="D16" s="13">
        <v>7</v>
      </c>
      <c r="E16" s="13">
        <v>0</v>
      </c>
      <c r="F16" s="45">
        <f t="shared" si="0"/>
        <v>10</v>
      </c>
      <c r="I16" s="8" t="s">
        <v>452</v>
      </c>
      <c r="J16" s="7"/>
      <c r="K16" s="7"/>
      <c r="L16" s="7"/>
      <c r="M16" s="7"/>
      <c r="N16" s="7"/>
    </row>
    <row r="17" spans="1:14" ht="16" x14ac:dyDescent="0.2">
      <c r="A17" s="46">
        <v>16</v>
      </c>
      <c r="B17" s="13">
        <v>0</v>
      </c>
      <c r="C17" s="13">
        <v>0</v>
      </c>
      <c r="D17" s="13">
        <v>0</v>
      </c>
      <c r="E17" s="13">
        <v>0</v>
      </c>
      <c r="F17" s="45">
        <f t="shared" si="0"/>
        <v>0</v>
      </c>
      <c r="I17" s="8" t="s">
        <v>453</v>
      </c>
      <c r="J17" s="7">
        <v>27.85</v>
      </c>
      <c r="K17" s="7"/>
      <c r="L17" s="7"/>
      <c r="M17" s="7"/>
      <c r="N17" s="7"/>
    </row>
    <row r="18" spans="1:14" ht="16" x14ac:dyDescent="0.2">
      <c r="A18" s="46">
        <v>17</v>
      </c>
      <c r="B18" s="13">
        <v>7</v>
      </c>
      <c r="C18" s="13">
        <v>1</v>
      </c>
      <c r="D18" s="13">
        <v>8</v>
      </c>
      <c r="E18" s="13">
        <v>0</v>
      </c>
      <c r="F18" s="45">
        <f t="shared" si="0"/>
        <v>16</v>
      </c>
      <c r="I18" s="8" t="s">
        <v>454</v>
      </c>
      <c r="J18" s="7" t="s">
        <v>38</v>
      </c>
      <c r="K18" s="7"/>
      <c r="L18" s="7"/>
      <c r="M18" s="7"/>
      <c r="N18" s="7"/>
    </row>
    <row r="19" spans="1:14" ht="16" x14ac:dyDescent="0.2">
      <c r="A19" s="46">
        <v>18</v>
      </c>
      <c r="B19" s="13">
        <v>2</v>
      </c>
      <c r="C19" s="13">
        <v>4</v>
      </c>
      <c r="D19" s="13">
        <v>5</v>
      </c>
      <c r="E19" s="13">
        <v>0</v>
      </c>
      <c r="F19" s="45">
        <f t="shared" si="0"/>
        <v>11</v>
      </c>
      <c r="I19" s="8" t="s">
        <v>455</v>
      </c>
      <c r="J19" s="7" t="s">
        <v>39</v>
      </c>
      <c r="K19" s="7"/>
      <c r="L19" s="7"/>
      <c r="M19" s="7"/>
      <c r="N19" s="7"/>
    </row>
    <row r="20" spans="1:14" ht="16" x14ac:dyDescent="0.2">
      <c r="A20" s="46">
        <v>19</v>
      </c>
      <c r="B20" s="13">
        <v>0</v>
      </c>
      <c r="C20" s="13">
        <v>0</v>
      </c>
      <c r="D20" s="13">
        <v>0</v>
      </c>
      <c r="E20" s="13">
        <v>0</v>
      </c>
      <c r="F20" s="45">
        <f t="shared" si="0"/>
        <v>0</v>
      </c>
      <c r="I20" s="8" t="s">
        <v>456</v>
      </c>
      <c r="J20" s="7" t="s">
        <v>40</v>
      </c>
      <c r="K20" s="7"/>
      <c r="L20" s="7"/>
      <c r="M20" s="7"/>
      <c r="N20" s="7"/>
    </row>
    <row r="21" spans="1:14" ht="16" x14ac:dyDescent="0.2">
      <c r="A21" s="46">
        <v>20</v>
      </c>
      <c r="B21" s="13">
        <v>3</v>
      </c>
      <c r="C21" s="13">
        <v>4</v>
      </c>
      <c r="D21" s="13">
        <v>12</v>
      </c>
      <c r="E21" s="13">
        <v>0</v>
      </c>
      <c r="F21" s="45">
        <f t="shared" si="0"/>
        <v>19</v>
      </c>
      <c r="I21" s="8" t="s">
        <v>457</v>
      </c>
      <c r="J21" s="7">
        <v>0.19919999999999999</v>
      </c>
      <c r="K21" s="7"/>
      <c r="L21" s="7"/>
      <c r="M21" s="7"/>
      <c r="N21" s="7"/>
    </row>
    <row r="22" spans="1:14" ht="16" x14ac:dyDescent="0.2">
      <c r="A22" s="46">
        <v>21</v>
      </c>
      <c r="B22" s="13">
        <v>1</v>
      </c>
      <c r="C22" s="13">
        <v>1</v>
      </c>
      <c r="D22" s="13">
        <v>5</v>
      </c>
      <c r="E22" s="13">
        <v>0</v>
      </c>
      <c r="F22" s="45">
        <f t="shared" si="0"/>
        <v>7</v>
      </c>
      <c r="I22" s="8"/>
      <c r="J22" s="7"/>
      <c r="K22" s="7"/>
      <c r="L22" s="7"/>
      <c r="M22" s="7"/>
      <c r="N22" s="7"/>
    </row>
    <row r="23" spans="1:14" ht="16" x14ac:dyDescent="0.2">
      <c r="A23" s="46">
        <v>22</v>
      </c>
      <c r="B23" s="13">
        <v>1</v>
      </c>
      <c r="C23" s="13">
        <v>1</v>
      </c>
      <c r="D23" s="13">
        <v>2</v>
      </c>
      <c r="E23" s="13">
        <v>0</v>
      </c>
      <c r="F23" s="45">
        <f t="shared" si="0"/>
        <v>4</v>
      </c>
      <c r="I23" s="8" t="s">
        <v>458</v>
      </c>
      <c r="J23" s="7"/>
      <c r="K23" s="7"/>
      <c r="L23" s="7"/>
      <c r="M23" s="7"/>
      <c r="N23" s="7"/>
    </row>
    <row r="24" spans="1:14" ht="16" x14ac:dyDescent="0.2">
      <c r="A24" s="46">
        <v>23</v>
      </c>
      <c r="B24" s="13">
        <v>0</v>
      </c>
      <c r="C24" s="13">
        <v>0</v>
      </c>
      <c r="D24" s="13">
        <v>0</v>
      </c>
      <c r="E24" s="13">
        <v>0</v>
      </c>
      <c r="F24" s="45">
        <f t="shared" si="0"/>
        <v>0</v>
      </c>
      <c r="I24" s="8" t="s">
        <v>459</v>
      </c>
      <c r="J24" s="7" t="s">
        <v>486</v>
      </c>
      <c r="K24" s="7"/>
      <c r="L24" s="7"/>
      <c r="M24" s="7"/>
      <c r="N24" s="7"/>
    </row>
    <row r="25" spans="1:14" ht="16" x14ac:dyDescent="0.2">
      <c r="A25" s="46">
        <v>24</v>
      </c>
      <c r="B25" s="13">
        <v>0</v>
      </c>
      <c r="C25" s="13">
        <v>0</v>
      </c>
      <c r="D25" s="13">
        <v>0</v>
      </c>
      <c r="E25" s="13">
        <v>0</v>
      </c>
      <c r="F25" s="45">
        <f t="shared" si="0"/>
        <v>0</v>
      </c>
      <c r="I25" s="8" t="s">
        <v>454</v>
      </c>
      <c r="J25" s="7" t="s">
        <v>38</v>
      </c>
      <c r="K25" s="7"/>
      <c r="L25" s="7"/>
      <c r="M25" s="7"/>
      <c r="N25" s="7"/>
    </row>
    <row r="26" spans="1:14" ht="16" x14ac:dyDescent="0.2">
      <c r="A26" s="46">
        <v>25</v>
      </c>
      <c r="B26" s="13">
        <v>3</v>
      </c>
      <c r="C26" s="13">
        <v>0</v>
      </c>
      <c r="D26" s="13">
        <v>4</v>
      </c>
      <c r="E26" s="13">
        <v>0</v>
      </c>
      <c r="F26" s="45">
        <f t="shared" si="0"/>
        <v>7</v>
      </c>
      <c r="I26" s="8" t="s">
        <v>455</v>
      </c>
      <c r="J26" s="7" t="s">
        <v>39</v>
      </c>
      <c r="K26" s="7"/>
      <c r="L26" s="7"/>
      <c r="M26" s="7"/>
      <c r="N26" s="7"/>
    </row>
    <row r="27" spans="1:14" ht="16" x14ac:dyDescent="0.2">
      <c r="A27" s="46">
        <v>26</v>
      </c>
      <c r="B27" s="13">
        <v>0</v>
      </c>
      <c r="C27" s="13">
        <v>0</v>
      </c>
      <c r="D27" s="13">
        <v>0</v>
      </c>
      <c r="E27" s="13">
        <v>0</v>
      </c>
      <c r="F27" s="45">
        <f t="shared" si="0"/>
        <v>0</v>
      </c>
      <c r="I27" s="8" t="s">
        <v>460</v>
      </c>
      <c r="J27" s="7" t="s">
        <v>40</v>
      </c>
      <c r="K27" s="7"/>
      <c r="L27" s="7"/>
      <c r="M27" s="7"/>
      <c r="N27" s="7"/>
    </row>
    <row r="28" spans="1:14" ht="16" x14ac:dyDescent="0.2">
      <c r="A28" s="46">
        <v>27</v>
      </c>
      <c r="B28" s="13">
        <v>0</v>
      </c>
      <c r="C28" s="13">
        <v>2</v>
      </c>
      <c r="D28" s="13">
        <v>6</v>
      </c>
      <c r="E28" s="13">
        <v>0</v>
      </c>
      <c r="F28" s="45">
        <f t="shared" si="0"/>
        <v>8</v>
      </c>
      <c r="I28" s="8"/>
      <c r="J28" s="7"/>
      <c r="K28" s="7"/>
      <c r="L28" s="7"/>
      <c r="M28" s="7"/>
      <c r="N28" s="7"/>
    </row>
    <row r="29" spans="1:14" ht="16" x14ac:dyDescent="0.2">
      <c r="A29" s="46">
        <v>28</v>
      </c>
      <c r="B29" s="13">
        <v>3</v>
      </c>
      <c r="C29" s="13">
        <v>2</v>
      </c>
      <c r="D29" s="13">
        <v>8</v>
      </c>
      <c r="E29" s="13">
        <v>0</v>
      </c>
      <c r="F29" s="45">
        <f t="shared" si="0"/>
        <v>13</v>
      </c>
      <c r="I29" s="8" t="s">
        <v>461</v>
      </c>
      <c r="J29" s="7"/>
      <c r="K29" s="7"/>
      <c r="L29" s="7"/>
      <c r="M29" s="7"/>
      <c r="N29" s="7"/>
    </row>
    <row r="30" spans="1:14" ht="16" x14ac:dyDescent="0.2">
      <c r="A30" s="46">
        <v>29</v>
      </c>
      <c r="B30" s="13">
        <v>0</v>
      </c>
      <c r="C30" s="13">
        <v>0</v>
      </c>
      <c r="D30" s="13">
        <v>0</v>
      </c>
      <c r="E30" s="13">
        <v>0</v>
      </c>
      <c r="F30" s="45">
        <f t="shared" si="0"/>
        <v>0</v>
      </c>
      <c r="I30" s="8" t="s">
        <v>462</v>
      </c>
      <c r="J30" s="7"/>
      <c r="K30" s="7"/>
      <c r="L30" s="7"/>
      <c r="M30" s="7"/>
      <c r="N30" s="7"/>
    </row>
    <row r="31" spans="1:14" ht="16" x14ac:dyDescent="0.2">
      <c r="A31" s="46">
        <v>30</v>
      </c>
      <c r="B31" s="13">
        <v>2</v>
      </c>
      <c r="C31" s="13">
        <v>7</v>
      </c>
      <c r="D31" s="13">
        <v>9</v>
      </c>
      <c r="E31" s="13">
        <v>0</v>
      </c>
      <c r="F31" s="45">
        <f t="shared" si="0"/>
        <v>18</v>
      </c>
      <c r="I31" s="8" t="s">
        <v>454</v>
      </c>
      <c r="J31" s="7"/>
      <c r="K31" s="7"/>
      <c r="L31" s="7"/>
      <c r="M31" s="7"/>
      <c r="N31" s="7"/>
    </row>
    <row r="32" spans="1:14" ht="16" x14ac:dyDescent="0.2">
      <c r="A32" s="46">
        <v>31</v>
      </c>
      <c r="B32" s="13">
        <v>1</v>
      </c>
      <c r="C32" s="13">
        <v>3</v>
      </c>
      <c r="D32" s="13">
        <v>8</v>
      </c>
      <c r="E32" s="13">
        <v>0</v>
      </c>
      <c r="F32" s="45">
        <f t="shared" si="0"/>
        <v>12</v>
      </c>
      <c r="I32" s="8" t="s">
        <v>455</v>
      </c>
      <c r="J32" s="7"/>
      <c r="K32" s="7"/>
      <c r="L32" s="7"/>
      <c r="M32" s="7"/>
      <c r="N32" s="7"/>
    </row>
    <row r="33" spans="1:17" ht="16" x14ac:dyDescent="0.2">
      <c r="A33" s="46">
        <v>32</v>
      </c>
      <c r="B33" s="13">
        <v>3</v>
      </c>
      <c r="C33" s="13">
        <v>7</v>
      </c>
      <c r="D33" s="13">
        <v>8</v>
      </c>
      <c r="E33" s="13">
        <v>0</v>
      </c>
      <c r="F33" s="45">
        <f t="shared" si="0"/>
        <v>18</v>
      </c>
      <c r="I33" s="8" t="s">
        <v>460</v>
      </c>
      <c r="J33" s="7"/>
      <c r="K33" s="7"/>
      <c r="L33" s="7"/>
      <c r="M33" s="7"/>
      <c r="N33" s="7"/>
    </row>
    <row r="34" spans="1:17" ht="16" x14ac:dyDescent="0.2">
      <c r="A34" s="46">
        <v>33</v>
      </c>
      <c r="B34" s="13">
        <v>2</v>
      </c>
      <c r="C34" s="13">
        <v>8</v>
      </c>
      <c r="D34" s="13">
        <v>7</v>
      </c>
      <c r="E34" s="13">
        <v>0</v>
      </c>
      <c r="F34" s="45">
        <f t="shared" si="0"/>
        <v>17</v>
      </c>
      <c r="I34" s="8"/>
      <c r="J34" s="7"/>
      <c r="K34" s="7"/>
      <c r="L34" s="7"/>
      <c r="M34" s="7"/>
      <c r="N34" s="7"/>
    </row>
    <row r="35" spans="1:17" ht="16" x14ac:dyDescent="0.2">
      <c r="A35" s="46">
        <v>34</v>
      </c>
      <c r="B35" s="13">
        <v>0</v>
      </c>
      <c r="C35" s="13">
        <v>0</v>
      </c>
      <c r="D35" s="13">
        <v>0</v>
      </c>
      <c r="E35" s="13">
        <v>0</v>
      </c>
      <c r="F35" s="45">
        <f t="shared" si="0"/>
        <v>0</v>
      </c>
      <c r="I35" s="8" t="s">
        <v>43</v>
      </c>
      <c r="J35" s="7" t="s">
        <v>44</v>
      </c>
      <c r="K35" s="7" t="s">
        <v>45</v>
      </c>
      <c r="L35" s="7" t="s">
        <v>46</v>
      </c>
      <c r="M35" s="7" t="s">
        <v>47</v>
      </c>
      <c r="N35" s="7" t="s">
        <v>34</v>
      </c>
    </row>
    <row r="36" spans="1:17" ht="16" x14ac:dyDescent="0.2">
      <c r="A36" s="46">
        <v>35</v>
      </c>
      <c r="B36" s="13">
        <v>2</v>
      </c>
      <c r="C36" s="13">
        <v>0</v>
      </c>
      <c r="D36" s="13">
        <v>6</v>
      </c>
      <c r="E36" s="13">
        <v>0</v>
      </c>
      <c r="F36" s="45">
        <f t="shared" si="0"/>
        <v>8</v>
      </c>
      <c r="I36" s="8" t="s">
        <v>463</v>
      </c>
      <c r="J36" s="7">
        <v>449.9</v>
      </c>
      <c r="K36" s="7">
        <v>3</v>
      </c>
      <c r="L36" s="7">
        <v>150</v>
      </c>
      <c r="M36" s="7" t="s">
        <v>487</v>
      </c>
      <c r="N36" s="7" t="s">
        <v>49</v>
      </c>
    </row>
    <row r="37" spans="1:17" ht="16" x14ac:dyDescent="0.2">
      <c r="A37" s="46">
        <v>36</v>
      </c>
      <c r="B37" s="13">
        <v>3</v>
      </c>
      <c r="C37" s="13">
        <v>3</v>
      </c>
      <c r="D37" s="13">
        <v>6</v>
      </c>
      <c r="E37" s="13">
        <v>0</v>
      </c>
      <c r="F37" s="45">
        <f t="shared" si="0"/>
        <v>12</v>
      </c>
      <c r="I37" s="8" t="s">
        <v>464</v>
      </c>
      <c r="J37" s="7">
        <v>1809</v>
      </c>
      <c r="K37" s="7">
        <v>336</v>
      </c>
      <c r="L37" s="7">
        <v>5.3840000000000003</v>
      </c>
      <c r="M37" s="7"/>
      <c r="N37" s="7"/>
    </row>
    <row r="38" spans="1:17" ht="16" x14ac:dyDescent="0.2">
      <c r="A38" s="46">
        <v>37</v>
      </c>
      <c r="B38" s="13">
        <v>1</v>
      </c>
      <c r="C38" s="13">
        <v>6</v>
      </c>
      <c r="D38" s="13">
        <v>8</v>
      </c>
      <c r="E38" s="13">
        <v>0</v>
      </c>
      <c r="F38" s="45">
        <f t="shared" si="0"/>
        <v>15</v>
      </c>
      <c r="I38" s="8" t="s">
        <v>465</v>
      </c>
      <c r="J38" s="7">
        <v>2259</v>
      </c>
      <c r="K38" s="7">
        <v>339</v>
      </c>
      <c r="L38" s="7"/>
      <c r="M38" s="7"/>
      <c r="N38" s="7"/>
    </row>
    <row r="39" spans="1:17" ht="16" x14ac:dyDescent="0.2">
      <c r="A39" s="46">
        <v>38</v>
      </c>
      <c r="B39" s="13">
        <v>0</v>
      </c>
      <c r="C39" s="13">
        <v>1</v>
      </c>
      <c r="D39" s="13">
        <v>1</v>
      </c>
      <c r="E39" s="13">
        <v>0</v>
      </c>
      <c r="F39" s="45">
        <f t="shared" si="0"/>
        <v>2</v>
      </c>
      <c r="I39" s="8"/>
      <c r="J39" s="7"/>
      <c r="K39" s="7"/>
      <c r="L39" s="7"/>
      <c r="M39" s="7"/>
      <c r="N39" s="7"/>
    </row>
    <row r="40" spans="1:17" ht="16" x14ac:dyDescent="0.2">
      <c r="A40" s="46">
        <v>39</v>
      </c>
      <c r="B40" s="13">
        <v>1</v>
      </c>
      <c r="C40" s="13">
        <v>2</v>
      </c>
      <c r="D40" s="13">
        <v>2</v>
      </c>
      <c r="E40" s="13">
        <v>0</v>
      </c>
      <c r="F40" s="45">
        <f t="shared" si="0"/>
        <v>5</v>
      </c>
      <c r="I40" s="8" t="s">
        <v>53</v>
      </c>
      <c r="J40" s="7"/>
      <c r="K40" s="7"/>
      <c r="L40" s="7"/>
      <c r="M40" s="7"/>
      <c r="N40" s="7"/>
    </row>
    <row r="41" spans="1:17" ht="16" x14ac:dyDescent="0.2">
      <c r="A41" s="46">
        <v>40</v>
      </c>
      <c r="B41" s="13">
        <v>4</v>
      </c>
      <c r="C41" s="13">
        <v>1</v>
      </c>
      <c r="D41" s="13">
        <v>4</v>
      </c>
      <c r="E41" s="13">
        <v>0</v>
      </c>
      <c r="F41" s="45">
        <f t="shared" si="0"/>
        <v>9</v>
      </c>
      <c r="I41" s="8" t="s">
        <v>466</v>
      </c>
      <c r="J41" s="7">
        <v>4</v>
      </c>
      <c r="K41" s="7"/>
      <c r="L41" s="7"/>
      <c r="M41" s="7"/>
      <c r="N41" s="7"/>
    </row>
    <row r="42" spans="1:17" ht="16" x14ac:dyDescent="0.2">
      <c r="A42" s="46">
        <v>41</v>
      </c>
      <c r="B42" s="13">
        <v>1</v>
      </c>
      <c r="C42" s="13">
        <v>5</v>
      </c>
      <c r="D42" s="13">
        <v>1</v>
      </c>
      <c r="E42" s="13">
        <v>0</v>
      </c>
      <c r="F42" s="45">
        <f t="shared" si="0"/>
        <v>7</v>
      </c>
      <c r="I42" s="8" t="s">
        <v>467</v>
      </c>
      <c r="J42" s="7">
        <v>340</v>
      </c>
      <c r="K42" s="7"/>
      <c r="L42" s="7"/>
      <c r="M42" s="7"/>
      <c r="N42" s="7"/>
    </row>
    <row r="43" spans="1:17" ht="16" x14ac:dyDescent="0.2">
      <c r="A43" s="46">
        <v>42</v>
      </c>
      <c r="B43" s="13">
        <v>2</v>
      </c>
      <c r="C43" s="13">
        <v>3</v>
      </c>
      <c r="D43" s="13">
        <v>6</v>
      </c>
      <c r="E43" s="13">
        <v>0</v>
      </c>
      <c r="F43" s="45">
        <f t="shared" si="0"/>
        <v>11</v>
      </c>
    </row>
    <row r="44" spans="1:17" ht="16" x14ac:dyDescent="0.2">
      <c r="A44" s="46">
        <v>43</v>
      </c>
      <c r="B44" s="13">
        <v>1</v>
      </c>
      <c r="C44" s="13">
        <v>0</v>
      </c>
      <c r="D44" s="13">
        <v>1</v>
      </c>
      <c r="E44" s="13">
        <v>0</v>
      </c>
      <c r="F44" s="45">
        <f t="shared" si="0"/>
        <v>2</v>
      </c>
    </row>
    <row r="45" spans="1:17" ht="16" x14ac:dyDescent="0.2">
      <c r="A45" s="46">
        <v>44</v>
      </c>
      <c r="B45" s="13">
        <v>1</v>
      </c>
      <c r="C45" s="13">
        <v>4</v>
      </c>
      <c r="D45" s="13">
        <v>3</v>
      </c>
      <c r="E45" s="13">
        <v>0</v>
      </c>
      <c r="F45" s="45">
        <f t="shared" si="0"/>
        <v>8</v>
      </c>
      <c r="I45" s="47"/>
      <c r="J45" s="47"/>
      <c r="K45" s="47"/>
      <c r="L45" s="47"/>
      <c r="M45" s="47"/>
      <c r="N45" s="47"/>
    </row>
    <row r="46" spans="1:17" ht="16" x14ac:dyDescent="0.2">
      <c r="A46" s="46">
        <v>45</v>
      </c>
      <c r="B46" s="13">
        <v>0</v>
      </c>
      <c r="C46" s="13">
        <v>5</v>
      </c>
      <c r="D46" s="13">
        <v>7</v>
      </c>
      <c r="E46" s="13">
        <v>0</v>
      </c>
      <c r="F46" s="45">
        <f t="shared" si="0"/>
        <v>12</v>
      </c>
      <c r="I46" s="8" t="s">
        <v>143</v>
      </c>
      <c r="J46" s="7">
        <v>1</v>
      </c>
      <c r="K46" s="7"/>
      <c r="L46" s="7"/>
      <c r="M46" s="7"/>
      <c r="N46" s="7"/>
      <c r="O46" s="7"/>
      <c r="P46" s="7"/>
      <c r="Q46" s="7"/>
    </row>
    <row r="47" spans="1:17" ht="16" x14ac:dyDescent="0.2">
      <c r="A47" s="46">
        <v>46</v>
      </c>
      <c r="B47" s="13">
        <v>1</v>
      </c>
      <c r="C47" s="13">
        <v>4</v>
      </c>
      <c r="D47" s="13">
        <v>7</v>
      </c>
      <c r="E47" s="13">
        <v>0</v>
      </c>
      <c r="F47" s="45">
        <f t="shared" si="0"/>
        <v>12</v>
      </c>
      <c r="I47" s="8" t="s">
        <v>144</v>
      </c>
      <c r="J47" s="7">
        <v>6</v>
      </c>
      <c r="K47" s="7"/>
      <c r="L47" s="7"/>
      <c r="M47" s="7"/>
      <c r="N47" s="7"/>
      <c r="O47" s="7"/>
      <c r="P47" s="7"/>
      <c r="Q47" s="7"/>
    </row>
    <row r="48" spans="1:17" ht="16" x14ac:dyDescent="0.2">
      <c r="A48" s="46">
        <v>47</v>
      </c>
      <c r="B48" s="13">
        <v>1</v>
      </c>
      <c r="C48" s="13">
        <v>0</v>
      </c>
      <c r="D48" s="13">
        <v>1</v>
      </c>
      <c r="E48" s="13">
        <v>0</v>
      </c>
      <c r="F48" s="45">
        <f t="shared" si="0"/>
        <v>2</v>
      </c>
      <c r="I48" s="8" t="s">
        <v>145</v>
      </c>
      <c r="J48" s="7">
        <v>0.05</v>
      </c>
      <c r="K48" s="7"/>
      <c r="L48" s="7"/>
      <c r="M48" s="7"/>
      <c r="N48" s="7"/>
      <c r="O48" s="7"/>
      <c r="P48" s="7"/>
      <c r="Q48" s="7"/>
    </row>
    <row r="49" spans="1:17" ht="16" x14ac:dyDescent="0.2">
      <c r="A49" s="46">
        <v>48</v>
      </c>
      <c r="B49" s="13">
        <v>1</v>
      </c>
      <c r="C49" s="13">
        <v>5</v>
      </c>
      <c r="D49" s="13">
        <v>5</v>
      </c>
      <c r="E49" s="13">
        <v>0</v>
      </c>
      <c r="F49" s="45">
        <f t="shared" si="0"/>
        <v>11</v>
      </c>
      <c r="I49" s="8"/>
      <c r="J49" s="7"/>
      <c r="K49" s="7"/>
      <c r="L49" s="7"/>
      <c r="M49" s="7"/>
      <c r="N49" s="7"/>
      <c r="O49" s="7"/>
      <c r="P49" s="7"/>
      <c r="Q49" s="7"/>
    </row>
    <row r="50" spans="1:17" ht="16" x14ac:dyDescent="0.2">
      <c r="A50" s="46">
        <v>49</v>
      </c>
      <c r="B50" s="13">
        <v>0</v>
      </c>
      <c r="C50" s="13">
        <v>4</v>
      </c>
      <c r="D50" s="13">
        <v>5</v>
      </c>
      <c r="E50" s="13">
        <v>0</v>
      </c>
      <c r="F50" s="45">
        <f t="shared" si="0"/>
        <v>9</v>
      </c>
      <c r="I50" s="8" t="s">
        <v>146</v>
      </c>
      <c r="J50" s="7" t="s">
        <v>147</v>
      </c>
      <c r="K50" s="7" t="s">
        <v>148</v>
      </c>
      <c r="L50" s="7" t="s">
        <v>149</v>
      </c>
      <c r="M50" s="7" t="s">
        <v>150</v>
      </c>
      <c r="N50" s="7" t="s">
        <v>151</v>
      </c>
      <c r="O50" s="7"/>
      <c r="P50" s="7"/>
      <c r="Q50" s="7"/>
    </row>
    <row r="51" spans="1:17" ht="16" x14ac:dyDescent="0.2">
      <c r="A51" s="46">
        <v>50</v>
      </c>
      <c r="B51" s="13">
        <v>0</v>
      </c>
      <c r="C51" s="13">
        <v>3</v>
      </c>
      <c r="D51" s="13">
        <v>2</v>
      </c>
      <c r="E51" s="13">
        <v>0</v>
      </c>
      <c r="F51" s="45">
        <f t="shared" si="0"/>
        <v>5</v>
      </c>
      <c r="I51" s="8" t="s">
        <v>468</v>
      </c>
      <c r="J51" s="7">
        <v>-0.38819999999999999</v>
      </c>
      <c r="K51" s="7" t="s">
        <v>488</v>
      </c>
      <c r="L51" s="7" t="s">
        <v>59</v>
      </c>
      <c r="M51" s="7" t="s">
        <v>58</v>
      </c>
      <c r="N51" s="7">
        <v>0.69540000000000002</v>
      </c>
      <c r="O51" s="7" t="s">
        <v>469</v>
      </c>
      <c r="P51" s="7"/>
      <c r="Q51" s="7"/>
    </row>
    <row r="52" spans="1:17" ht="16" x14ac:dyDescent="0.2">
      <c r="A52" s="46">
        <v>51</v>
      </c>
      <c r="B52" s="13">
        <v>0</v>
      </c>
      <c r="C52" s="13">
        <v>0</v>
      </c>
      <c r="D52" s="13">
        <v>0</v>
      </c>
      <c r="E52" s="13">
        <v>0</v>
      </c>
      <c r="F52" s="45">
        <f t="shared" si="0"/>
        <v>0</v>
      </c>
      <c r="I52" s="8" t="s">
        <v>470</v>
      </c>
      <c r="J52" s="7">
        <v>-1.482</v>
      </c>
      <c r="K52" s="7" t="s">
        <v>489</v>
      </c>
      <c r="L52" s="7" t="s">
        <v>40</v>
      </c>
      <c r="M52" s="7" t="s">
        <v>171</v>
      </c>
      <c r="N52" s="7">
        <v>2.0000000000000001E-4</v>
      </c>
      <c r="O52" s="7" t="s">
        <v>471</v>
      </c>
      <c r="P52" s="7"/>
      <c r="Q52" s="7"/>
    </row>
    <row r="53" spans="1:17" ht="16" x14ac:dyDescent="0.2">
      <c r="A53" s="46">
        <v>52</v>
      </c>
      <c r="B53" s="13">
        <v>0</v>
      </c>
      <c r="C53" s="13">
        <v>0</v>
      </c>
      <c r="D53" s="13">
        <v>0</v>
      </c>
      <c r="E53" s="13">
        <v>0</v>
      </c>
      <c r="F53" s="45">
        <f t="shared" si="0"/>
        <v>0</v>
      </c>
      <c r="I53" s="8" t="s">
        <v>472</v>
      </c>
      <c r="J53" s="7">
        <v>1.718</v>
      </c>
      <c r="K53" s="7" t="s">
        <v>490</v>
      </c>
      <c r="L53" s="7" t="s">
        <v>40</v>
      </c>
      <c r="M53" s="7" t="s">
        <v>39</v>
      </c>
      <c r="N53" s="7" t="s">
        <v>38</v>
      </c>
      <c r="O53" s="7" t="s">
        <v>449</v>
      </c>
      <c r="P53" s="7"/>
      <c r="Q53" s="7"/>
    </row>
    <row r="54" spans="1:17" ht="16" x14ac:dyDescent="0.2">
      <c r="A54" s="46">
        <v>53</v>
      </c>
      <c r="B54" s="13">
        <v>0</v>
      </c>
      <c r="C54" s="13">
        <v>0</v>
      </c>
      <c r="D54" s="13">
        <v>0</v>
      </c>
      <c r="E54" s="13">
        <v>0</v>
      </c>
      <c r="F54" s="45">
        <f t="shared" si="0"/>
        <v>0</v>
      </c>
      <c r="I54" s="8" t="s">
        <v>473</v>
      </c>
      <c r="J54" s="7">
        <v>-1.0940000000000001</v>
      </c>
      <c r="K54" s="7" t="s">
        <v>491</v>
      </c>
      <c r="L54" s="7" t="s">
        <v>40</v>
      </c>
      <c r="M54" s="7" t="s">
        <v>202</v>
      </c>
      <c r="N54" s="7">
        <v>1.2200000000000001E-2</v>
      </c>
      <c r="O54" s="7" t="s">
        <v>474</v>
      </c>
      <c r="P54" s="7"/>
      <c r="Q54" s="7"/>
    </row>
    <row r="55" spans="1:17" ht="16" x14ac:dyDescent="0.2">
      <c r="A55" s="46">
        <v>54</v>
      </c>
      <c r="B55" s="13">
        <v>0</v>
      </c>
      <c r="C55" s="13">
        <v>0</v>
      </c>
      <c r="D55" s="13">
        <v>0</v>
      </c>
      <c r="E55" s="13">
        <v>0</v>
      </c>
      <c r="F55" s="45">
        <f t="shared" si="0"/>
        <v>0</v>
      </c>
      <c r="I55" s="8" t="s">
        <v>475</v>
      </c>
      <c r="J55" s="7">
        <v>2.1059999999999999</v>
      </c>
      <c r="K55" s="7" t="s">
        <v>492</v>
      </c>
      <c r="L55" s="7" t="s">
        <v>40</v>
      </c>
      <c r="M55" s="7" t="s">
        <v>39</v>
      </c>
      <c r="N55" s="7" t="s">
        <v>38</v>
      </c>
      <c r="O55" s="7" t="s">
        <v>476</v>
      </c>
      <c r="P55" s="7"/>
      <c r="Q55" s="7"/>
    </row>
    <row r="56" spans="1:17" ht="16" x14ac:dyDescent="0.2">
      <c r="A56" s="46">
        <v>55</v>
      </c>
      <c r="B56" s="13">
        <v>12</v>
      </c>
      <c r="C56" s="13">
        <v>1</v>
      </c>
      <c r="D56" s="13">
        <v>3</v>
      </c>
      <c r="E56" s="13">
        <v>0</v>
      </c>
      <c r="F56" s="45">
        <f t="shared" si="0"/>
        <v>16</v>
      </c>
      <c r="I56" s="8" t="s">
        <v>477</v>
      </c>
      <c r="J56" s="7">
        <v>3.2</v>
      </c>
      <c r="K56" s="7" t="s">
        <v>493</v>
      </c>
      <c r="L56" s="7" t="s">
        <v>40</v>
      </c>
      <c r="M56" s="7" t="s">
        <v>39</v>
      </c>
      <c r="N56" s="7" t="s">
        <v>38</v>
      </c>
      <c r="O56" s="7" t="s">
        <v>478</v>
      </c>
      <c r="P56" s="7"/>
      <c r="Q56" s="7"/>
    </row>
    <row r="57" spans="1:17" ht="16" x14ac:dyDescent="0.2">
      <c r="A57" s="46">
        <v>56</v>
      </c>
      <c r="B57" s="13">
        <v>5</v>
      </c>
      <c r="C57" s="13">
        <v>6</v>
      </c>
      <c r="D57" s="13">
        <v>9</v>
      </c>
      <c r="E57" s="13">
        <v>0</v>
      </c>
      <c r="F57" s="45">
        <f t="shared" si="0"/>
        <v>20</v>
      </c>
      <c r="I57" s="8"/>
      <c r="J57" s="7"/>
      <c r="K57" s="7"/>
      <c r="L57" s="7"/>
      <c r="M57" s="7"/>
      <c r="N57" s="7"/>
      <c r="O57" s="7"/>
      <c r="P57" s="7"/>
      <c r="Q57" s="7"/>
    </row>
    <row r="58" spans="1:17" ht="16" x14ac:dyDescent="0.2">
      <c r="A58" s="46">
        <v>57</v>
      </c>
      <c r="B58" s="13">
        <v>6</v>
      </c>
      <c r="C58" s="13">
        <v>8</v>
      </c>
      <c r="D58" s="13">
        <v>6</v>
      </c>
      <c r="E58" s="13">
        <v>0</v>
      </c>
      <c r="F58" s="45">
        <f t="shared" si="0"/>
        <v>20</v>
      </c>
      <c r="I58" s="8" t="s">
        <v>349</v>
      </c>
      <c r="J58" s="7" t="s">
        <v>350</v>
      </c>
      <c r="K58" s="7" t="s">
        <v>351</v>
      </c>
      <c r="L58" s="7" t="s">
        <v>147</v>
      </c>
      <c r="M58" s="7" t="s">
        <v>352</v>
      </c>
      <c r="N58" s="7" t="s">
        <v>479</v>
      </c>
      <c r="O58" s="7" t="s">
        <v>480</v>
      </c>
      <c r="P58" s="7" t="s">
        <v>355</v>
      </c>
      <c r="Q58" s="7" t="s">
        <v>45</v>
      </c>
    </row>
    <row r="59" spans="1:17" ht="16" x14ac:dyDescent="0.2">
      <c r="A59" s="46">
        <v>58</v>
      </c>
      <c r="B59" s="13">
        <v>7</v>
      </c>
      <c r="C59" s="13">
        <v>8</v>
      </c>
      <c r="D59" s="13">
        <v>5</v>
      </c>
      <c r="E59" s="13">
        <v>0</v>
      </c>
      <c r="F59" s="45">
        <f t="shared" si="0"/>
        <v>20</v>
      </c>
      <c r="I59" s="8" t="s">
        <v>468</v>
      </c>
      <c r="J59" s="7">
        <v>1.718</v>
      </c>
      <c r="K59" s="7">
        <v>2.1059999999999999</v>
      </c>
      <c r="L59" s="7">
        <v>-0.38819999999999999</v>
      </c>
      <c r="M59" s="7">
        <v>0.35589999999999999</v>
      </c>
      <c r="N59" s="7">
        <v>85</v>
      </c>
      <c r="O59" s="7">
        <v>85</v>
      </c>
      <c r="P59" s="7">
        <v>1.5429999999999999</v>
      </c>
      <c r="Q59" s="7">
        <v>336</v>
      </c>
    </row>
    <row r="60" spans="1:17" ht="16" x14ac:dyDescent="0.2">
      <c r="A60" s="46">
        <v>59</v>
      </c>
      <c r="B60" s="13">
        <v>4</v>
      </c>
      <c r="C60" s="13">
        <v>5</v>
      </c>
      <c r="D60" s="13">
        <v>3</v>
      </c>
      <c r="E60" s="13">
        <v>0</v>
      </c>
      <c r="F60" s="45">
        <f t="shared" si="0"/>
        <v>12</v>
      </c>
      <c r="I60" s="8" t="s">
        <v>470</v>
      </c>
      <c r="J60" s="7">
        <v>1.718</v>
      </c>
      <c r="K60" s="7">
        <v>3.2</v>
      </c>
      <c r="L60" s="7">
        <v>-1.482</v>
      </c>
      <c r="M60" s="7">
        <v>0.35589999999999999</v>
      </c>
      <c r="N60" s="7">
        <v>85</v>
      </c>
      <c r="O60" s="7">
        <v>85</v>
      </c>
      <c r="P60" s="7">
        <v>5.89</v>
      </c>
      <c r="Q60" s="7">
        <v>336</v>
      </c>
    </row>
    <row r="61" spans="1:17" ht="16" x14ac:dyDescent="0.2">
      <c r="A61" s="46">
        <v>60</v>
      </c>
      <c r="B61" s="13">
        <v>4</v>
      </c>
      <c r="C61" s="13">
        <v>1</v>
      </c>
      <c r="D61" s="13">
        <v>1</v>
      </c>
      <c r="E61" s="13">
        <v>0</v>
      </c>
      <c r="F61" s="45">
        <f t="shared" si="0"/>
        <v>6</v>
      </c>
      <c r="I61" s="8" t="s">
        <v>472</v>
      </c>
      <c r="J61" s="7">
        <v>1.718</v>
      </c>
      <c r="K61" s="7">
        <v>0</v>
      </c>
      <c r="L61" s="7">
        <v>1.718</v>
      </c>
      <c r="M61" s="7">
        <v>0.35589999999999999</v>
      </c>
      <c r="N61" s="7">
        <v>85</v>
      </c>
      <c r="O61" s="7">
        <v>85</v>
      </c>
      <c r="P61" s="7">
        <v>6.8250000000000002</v>
      </c>
      <c r="Q61" s="7">
        <v>336</v>
      </c>
    </row>
    <row r="62" spans="1:17" ht="16" x14ac:dyDescent="0.2">
      <c r="A62" s="46">
        <v>61</v>
      </c>
      <c r="B62" s="13">
        <v>7</v>
      </c>
      <c r="C62" s="13">
        <v>5</v>
      </c>
      <c r="D62" s="13">
        <v>7</v>
      </c>
      <c r="E62" s="13">
        <v>0</v>
      </c>
      <c r="F62" s="45">
        <f t="shared" si="0"/>
        <v>19</v>
      </c>
      <c r="I62" s="8" t="s">
        <v>473</v>
      </c>
      <c r="J62" s="7">
        <v>2.1059999999999999</v>
      </c>
      <c r="K62" s="7">
        <v>3.2</v>
      </c>
      <c r="L62" s="7">
        <v>-1.0940000000000001</v>
      </c>
      <c r="M62" s="7">
        <v>0.35589999999999999</v>
      </c>
      <c r="N62" s="7">
        <v>85</v>
      </c>
      <c r="O62" s="7">
        <v>85</v>
      </c>
      <c r="P62" s="7">
        <v>4.3470000000000004</v>
      </c>
      <c r="Q62" s="7">
        <v>336</v>
      </c>
    </row>
    <row r="63" spans="1:17" ht="16" x14ac:dyDescent="0.2">
      <c r="A63" s="46">
        <v>62</v>
      </c>
      <c r="B63" s="13">
        <v>2</v>
      </c>
      <c r="C63" s="13">
        <v>1</v>
      </c>
      <c r="D63" s="13">
        <v>6</v>
      </c>
      <c r="E63" s="13">
        <v>0</v>
      </c>
      <c r="F63" s="45">
        <f t="shared" si="0"/>
        <v>9</v>
      </c>
      <c r="I63" s="8" t="s">
        <v>475</v>
      </c>
      <c r="J63" s="7">
        <v>2.1059999999999999</v>
      </c>
      <c r="K63" s="7">
        <v>0</v>
      </c>
      <c r="L63" s="7">
        <v>2.1059999999999999</v>
      </c>
      <c r="M63" s="7">
        <v>0.35589999999999999</v>
      </c>
      <c r="N63" s="7">
        <v>85</v>
      </c>
      <c r="O63" s="7">
        <v>85</v>
      </c>
      <c r="P63" s="7">
        <v>8.3680000000000003</v>
      </c>
      <c r="Q63" s="7">
        <v>336</v>
      </c>
    </row>
    <row r="64" spans="1:17" ht="16" x14ac:dyDescent="0.2">
      <c r="A64" s="46">
        <v>63</v>
      </c>
      <c r="B64" s="13">
        <v>2</v>
      </c>
      <c r="C64" s="13">
        <v>0</v>
      </c>
      <c r="D64" s="13">
        <v>0</v>
      </c>
      <c r="E64" s="13">
        <v>0</v>
      </c>
      <c r="F64" s="45">
        <f t="shared" si="0"/>
        <v>2</v>
      </c>
      <c r="I64" s="8" t="s">
        <v>477</v>
      </c>
      <c r="J64" s="7">
        <v>3.2</v>
      </c>
      <c r="K64" s="7">
        <v>0</v>
      </c>
      <c r="L64" s="7">
        <v>3.2</v>
      </c>
      <c r="M64" s="7">
        <v>0.35589999999999999</v>
      </c>
      <c r="N64" s="7">
        <v>85</v>
      </c>
      <c r="O64" s="7">
        <v>85</v>
      </c>
      <c r="P64" s="7">
        <v>12.72</v>
      </c>
      <c r="Q64" s="7">
        <v>336</v>
      </c>
    </row>
    <row r="65" spans="1:17" ht="16" x14ac:dyDescent="0.2">
      <c r="A65" s="46">
        <v>64</v>
      </c>
      <c r="B65" s="13">
        <v>1</v>
      </c>
      <c r="C65" s="13">
        <v>5</v>
      </c>
      <c r="D65" s="13">
        <v>2</v>
      </c>
      <c r="E65" s="13">
        <v>0</v>
      </c>
      <c r="F65" s="45">
        <f t="shared" si="0"/>
        <v>8</v>
      </c>
      <c r="I65" s="8"/>
      <c r="J65" s="7"/>
      <c r="K65" s="7"/>
      <c r="L65" s="7"/>
      <c r="M65" s="7"/>
      <c r="N65" s="7"/>
      <c r="O65" s="7"/>
      <c r="P65" s="7"/>
      <c r="Q65" s="7"/>
    </row>
    <row r="66" spans="1:17" ht="16" x14ac:dyDescent="0.2">
      <c r="A66" s="46">
        <v>65</v>
      </c>
      <c r="B66" s="13">
        <v>3</v>
      </c>
      <c r="C66" s="13">
        <v>5</v>
      </c>
      <c r="D66" s="13">
        <v>1</v>
      </c>
      <c r="E66" s="13">
        <v>0</v>
      </c>
      <c r="F66" s="45">
        <f t="shared" si="0"/>
        <v>9</v>
      </c>
      <c r="I66" s="8" t="s">
        <v>356</v>
      </c>
      <c r="J66" s="7"/>
      <c r="K66" s="7"/>
      <c r="L66" s="7"/>
      <c r="M66" s="7"/>
      <c r="N66" s="7"/>
      <c r="O66" s="7"/>
      <c r="P66" s="7"/>
      <c r="Q66" s="7"/>
    </row>
    <row r="67" spans="1:17" ht="16" x14ac:dyDescent="0.2">
      <c r="A67" s="46">
        <v>66</v>
      </c>
      <c r="B67" s="13">
        <v>2</v>
      </c>
      <c r="C67" s="13">
        <v>2</v>
      </c>
      <c r="D67" s="13">
        <v>4</v>
      </c>
      <c r="E67" s="13">
        <v>0</v>
      </c>
      <c r="F67" s="45">
        <f t="shared" ref="F67:F86" si="1">SUM(B67:E67)</f>
        <v>8</v>
      </c>
      <c r="I67" s="8" t="s">
        <v>481</v>
      </c>
      <c r="J67" s="7" t="s">
        <v>358</v>
      </c>
      <c r="K67" s="7"/>
      <c r="L67" s="7"/>
      <c r="M67" s="7"/>
      <c r="N67" s="7"/>
      <c r="O67" s="7"/>
      <c r="P67" s="7"/>
      <c r="Q67" s="7"/>
    </row>
    <row r="68" spans="1:17" ht="16" x14ac:dyDescent="0.2">
      <c r="A68" s="46">
        <v>67</v>
      </c>
      <c r="B68" s="13">
        <v>0</v>
      </c>
      <c r="C68" s="13">
        <v>2</v>
      </c>
      <c r="D68" s="13">
        <v>2</v>
      </c>
      <c r="E68" s="13">
        <v>0</v>
      </c>
      <c r="F68" s="45">
        <f t="shared" si="1"/>
        <v>4</v>
      </c>
      <c r="I68" s="8" t="s">
        <v>482</v>
      </c>
      <c r="J68" s="7" t="s">
        <v>364</v>
      </c>
      <c r="K68" s="7"/>
      <c r="L68" s="7"/>
      <c r="M68" s="7"/>
      <c r="N68" s="7"/>
      <c r="O68" s="7"/>
      <c r="P68" s="7"/>
      <c r="Q68" s="7"/>
    </row>
    <row r="69" spans="1:17" ht="16" x14ac:dyDescent="0.2">
      <c r="A69" s="46">
        <v>68</v>
      </c>
      <c r="B69" s="13">
        <v>6</v>
      </c>
      <c r="C69" s="13">
        <v>2</v>
      </c>
      <c r="D69" s="13">
        <v>2</v>
      </c>
      <c r="E69" s="13">
        <v>0</v>
      </c>
      <c r="F69" s="45">
        <f t="shared" si="1"/>
        <v>10</v>
      </c>
      <c r="I69" s="8" t="s">
        <v>483</v>
      </c>
      <c r="J69" s="7" t="s">
        <v>364</v>
      </c>
      <c r="K69" s="7"/>
      <c r="L69" s="7"/>
      <c r="M69" s="7"/>
      <c r="N69" s="7"/>
      <c r="O69" s="7"/>
      <c r="P69" s="7"/>
      <c r="Q69" s="7"/>
    </row>
    <row r="70" spans="1:17" ht="16" x14ac:dyDescent="0.2">
      <c r="A70" s="46">
        <v>69</v>
      </c>
      <c r="B70" s="13">
        <v>2</v>
      </c>
      <c r="C70" s="13">
        <v>17</v>
      </c>
      <c r="D70" s="13">
        <v>5</v>
      </c>
      <c r="E70" s="13">
        <v>0</v>
      </c>
      <c r="F70" s="45">
        <f t="shared" si="1"/>
        <v>24</v>
      </c>
      <c r="I70" s="8" t="s">
        <v>484</v>
      </c>
      <c r="J70" s="7" t="s">
        <v>485</v>
      </c>
      <c r="K70" s="7"/>
      <c r="L70" s="7"/>
      <c r="M70" s="7"/>
      <c r="N70" s="7"/>
      <c r="O70" s="7"/>
      <c r="P70" s="7"/>
      <c r="Q70" s="7"/>
    </row>
    <row r="71" spans="1:17" ht="16" x14ac:dyDescent="0.2">
      <c r="A71" s="46">
        <v>70</v>
      </c>
      <c r="B71" s="13">
        <v>2</v>
      </c>
      <c r="C71" s="13">
        <v>3</v>
      </c>
      <c r="D71" s="13">
        <v>3</v>
      </c>
      <c r="E71" s="13">
        <v>0</v>
      </c>
      <c r="F71" s="45">
        <f t="shared" si="1"/>
        <v>8</v>
      </c>
      <c r="I71" s="8"/>
      <c r="J71" s="7"/>
      <c r="K71" s="7"/>
      <c r="L71" s="7"/>
      <c r="M71" s="7"/>
      <c r="N71" s="7"/>
    </row>
    <row r="72" spans="1:17" ht="16" x14ac:dyDescent="0.2">
      <c r="A72" s="46">
        <v>71</v>
      </c>
      <c r="B72" s="13">
        <v>0</v>
      </c>
      <c r="C72" s="13">
        <v>1</v>
      </c>
      <c r="D72" s="13">
        <v>2</v>
      </c>
      <c r="E72" s="13">
        <v>0</v>
      </c>
      <c r="F72" s="45">
        <f t="shared" si="1"/>
        <v>3</v>
      </c>
      <c r="I72" s="8"/>
      <c r="J72" s="7"/>
      <c r="K72" s="7"/>
      <c r="L72" s="7"/>
      <c r="M72" s="7"/>
      <c r="N72" s="7"/>
    </row>
    <row r="73" spans="1:17" ht="16" x14ac:dyDescent="0.2">
      <c r="A73" s="46">
        <v>72</v>
      </c>
      <c r="B73" s="13">
        <v>2</v>
      </c>
      <c r="C73" s="13">
        <v>2</v>
      </c>
      <c r="D73" s="13">
        <v>1</v>
      </c>
      <c r="E73" s="13">
        <v>0</v>
      </c>
      <c r="F73" s="45">
        <f t="shared" si="1"/>
        <v>5</v>
      </c>
      <c r="I73" s="8"/>
      <c r="J73" s="7"/>
      <c r="K73" s="7"/>
      <c r="L73" s="7"/>
      <c r="M73" s="7"/>
      <c r="N73" s="7"/>
    </row>
    <row r="74" spans="1:17" ht="16" x14ac:dyDescent="0.2">
      <c r="A74" s="46">
        <v>73</v>
      </c>
      <c r="B74" s="13">
        <v>0</v>
      </c>
      <c r="C74" s="13">
        <v>1</v>
      </c>
      <c r="D74" s="13">
        <v>2</v>
      </c>
      <c r="E74" s="13">
        <v>0</v>
      </c>
      <c r="F74" s="45">
        <f t="shared" si="1"/>
        <v>3</v>
      </c>
      <c r="I74" s="8"/>
      <c r="J74" s="7"/>
      <c r="K74" s="7"/>
      <c r="L74" s="7"/>
      <c r="M74" s="7"/>
      <c r="N74" s="7"/>
    </row>
    <row r="75" spans="1:17" ht="16" x14ac:dyDescent="0.2">
      <c r="A75" s="46">
        <v>74</v>
      </c>
      <c r="B75" s="13">
        <v>0</v>
      </c>
      <c r="C75" s="13">
        <v>0</v>
      </c>
      <c r="D75" s="13">
        <v>0</v>
      </c>
      <c r="E75" s="13">
        <v>0</v>
      </c>
      <c r="F75" s="45">
        <f t="shared" si="1"/>
        <v>0</v>
      </c>
      <c r="I75" s="8"/>
      <c r="J75" s="7"/>
      <c r="K75" s="7"/>
      <c r="L75" s="7"/>
      <c r="M75" s="7"/>
      <c r="N75" s="7"/>
    </row>
    <row r="76" spans="1:17" ht="16" x14ac:dyDescent="0.2">
      <c r="A76" s="46">
        <v>75</v>
      </c>
      <c r="B76" s="13">
        <v>0</v>
      </c>
      <c r="C76" s="13">
        <v>0</v>
      </c>
      <c r="D76" s="13">
        <v>0</v>
      </c>
      <c r="E76" s="13">
        <v>0</v>
      </c>
      <c r="F76" s="45">
        <f t="shared" si="1"/>
        <v>0</v>
      </c>
      <c r="I76" s="8"/>
      <c r="J76" s="7"/>
      <c r="K76" s="7"/>
      <c r="L76" s="7"/>
      <c r="M76" s="7"/>
      <c r="N76" s="7"/>
    </row>
    <row r="77" spans="1:17" ht="16" x14ac:dyDescent="0.2">
      <c r="A77" s="46">
        <v>76</v>
      </c>
      <c r="B77" s="13">
        <v>0</v>
      </c>
      <c r="C77" s="13">
        <v>0</v>
      </c>
      <c r="D77" s="13">
        <v>4</v>
      </c>
      <c r="E77" s="13">
        <v>0</v>
      </c>
      <c r="F77" s="45">
        <f t="shared" si="1"/>
        <v>4</v>
      </c>
      <c r="I77" s="8"/>
      <c r="J77" s="7"/>
      <c r="K77" s="7"/>
      <c r="L77" s="7"/>
      <c r="M77" s="7"/>
      <c r="N77" s="7"/>
    </row>
    <row r="78" spans="1:17" ht="16" x14ac:dyDescent="0.2">
      <c r="A78" s="46">
        <v>77</v>
      </c>
      <c r="B78" s="13">
        <v>0</v>
      </c>
      <c r="C78" s="13">
        <v>0</v>
      </c>
      <c r="D78" s="13">
        <v>0</v>
      </c>
      <c r="E78" s="13">
        <v>0</v>
      </c>
      <c r="F78" s="45">
        <f t="shared" si="1"/>
        <v>0</v>
      </c>
      <c r="I78" s="8"/>
      <c r="J78" s="7"/>
      <c r="K78" s="7"/>
      <c r="L78" s="7"/>
      <c r="M78" s="7"/>
      <c r="N78" s="7"/>
    </row>
    <row r="79" spans="1:17" ht="16" x14ac:dyDescent="0.2">
      <c r="A79" s="46">
        <v>78</v>
      </c>
      <c r="B79" s="13">
        <v>0</v>
      </c>
      <c r="C79" s="13">
        <v>2</v>
      </c>
      <c r="D79" s="13">
        <v>3</v>
      </c>
      <c r="E79" s="13">
        <v>0</v>
      </c>
      <c r="F79" s="45">
        <f t="shared" si="1"/>
        <v>5</v>
      </c>
    </row>
    <row r="80" spans="1:17" ht="16" x14ac:dyDescent="0.2">
      <c r="A80" s="46">
        <v>79</v>
      </c>
      <c r="B80" s="13">
        <v>0</v>
      </c>
      <c r="C80" s="13">
        <v>4</v>
      </c>
      <c r="D80" s="13">
        <v>2</v>
      </c>
      <c r="E80" s="13">
        <v>0</v>
      </c>
      <c r="F80" s="45">
        <f t="shared" si="1"/>
        <v>6</v>
      </c>
    </row>
    <row r="81" spans="1:6" ht="16" x14ac:dyDescent="0.2">
      <c r="A81" s="46">
        <v>80</v>
      </c>
      <c r="B81" s="13">
        <v>0</v>
      </c>
      <c r="C81" s="13">
        <v>0</v>
      </c>
      <c r="D81" s="13">
        <v>1</v>
      </c>
      <c r="E81" s="13">
        <v>0</v>
      </c>
      <c r="F81" s="45">
        <f t="shared" si="1"/>
        <v>1</v>
      </c>
    </row>
    <row r="82" spans="1:6" ht="16" x14ac:dyDescent="0.2">
      <c r="A82" s="46">
        <v>81</v>
      </c>
      <c r="B82" s="13">
        <v>2</v>
      </c>
      <c r="C82" s="13">
        <v>1</v>
      </c>
      <c r="D82" s="13">
        <v>2</v>
      </c>
      <c r="E82" s="13">
        <v>0</v>
      </c>
      <c r="F82" s="45">
        <f t="shared" si="1"/>
        <v>5</v>
      </c>
    </row>
    <row r="83" spans="1:6" ht="16" x14ac:dyDescent="0.2">
      <c r="A83" s="46">
        <v>82</v>
      </c>
      <c r="B83" s="13">
        <v>0</v>
      </c>
      <c r="C83" s="13">
        <v>0</v>
      </c>
      <c r="D83" s="13">
        <v>0</v>
      </c>
      <c r="E83" s="13">
        <v>0</v>
      </c>
      <c r="F83" s="45">
        <f t="shared" si="1"/>
        <v>0</v>
      </c>
    </row>
    <row r="84" spans="1:6" ht="16" x14ac:dyDescent="0.2">
      <c r="A84" s="46">
        <v>83</v>
      </c>
      <c r="B84" s="13">
        <v>0</v>
      </c>
      <c r="C84" s="13">
        <v>2</v>
      </c>
      <c r="D84" s="13">
        <v>0</v>
      </c>
      <c r="E84" s="13">
        <v>0</v>
      </c>
      <c r="F84" s="45">
        <f t="shared" si="1"/>
        <v>2</v>
      </c>
    </row>
    <row r="85" spans="1:6" ht="16" x14ac:dyDescent="0.2">
      <c r="A85" s="46">
        <v>84</v>
      </c>
      <c r="B85" s="13">
        <v>1</v>
      </c>
      <c r="C85" s="13">
        <v>1</v>
      </c>
      <c r="D85" s="13">
        <v>0</v>
      </c>
      <c r="E85" s="13">
        <v>0</v>
      </c>
      <c r="F85" s="45">
        <f t="shared" si="1"/>
        <v>2</v>
      </c>
    </row>
    <row r="86" spans="1:6" ht="16" x14ac:dyDescent="0.2">
      <c r="A86" s="46">
        <v>85</v>
      </c>
      <c r="B86" s="13">
        <v>0</v>
      </c>
      <c r="C86" s="13">
        <v>0</v>
      </c>
      <c r="D86" s="13">
        <v>0</v>
      </c>
      <c r="E86" s="13">
        <v>0</v>
      </c>
      <c r="F86" s="45">
        <f t="shared" si="1"/>
        <v>0</v>
      </c>
    </row>
    <row r="87" spans="1:6" ht="16" x14ac:dyDescent="0.2">
      <c r="A87" s="46" t="s">
        <v>439</v>
      </c>
      <c r="B87" s="45">
        <f>SUM(B2:B86)</f>
        <v>146</v>
      </c>
      <c r="C87" s="45">
        <f>SUM(C2:C86)</f>
        <v>179</v>
      </c>
      <c r="D87" s="45">
        <f>SUM(D2:D86)</f>
        <v>272</v>
      </c>
      <c r="E87" s="45">
        <f t="shared" ref="E87" si="2">SUM(E2:E86)</f>
        <v>0</v>
      </c>
      <c r="F87" s="45">
        <f>SUM(F2:F86)</f>
        <v>597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9231-22DB-7040-8F39-AB3397CCBB6D}">
  <sheetPr codeName="Sheet6"/>
  <dimension ref="A2:AD100"/>
  <sheetViews>
    <sheetView workbookViewId="0">
      <selection activeCell="Y90" sqref="Y90:AB90"/>
    </sheetView>
  </sheetViews>
  <sheetFormatPr baseColWidth="10" defaultColWidth="8.83203125" defaultRowHeight="15" x14ac:dyDescent="0.2"/>
  <cols>
    <col min="1" max="1" width="8.83203125" style="1"/>
    <col min="2" max="2" width="6.1640625" style="1" customWidth="1"/>
    <col min="3" max="3" width="8.6640625" customWidth="1"/>
    <col min="4" max="4" width="6.83203125" customWidth="1"/>
    <col min="5" max="5" width="14.1640625" customWidth="1"/>
    <col min="6" max="6" width="7.83203125" customWidth="1"/>
    <col min="7" max="7" width="7.5" customWidth="1"/>
    <col min="8" max="8" width="8.5" style="5" customWidth="1"/>
    <col min="9" max="9" width="8.1640625" customWidth="1"/>
    <col min="10" max="10" width="13.83203125" customWidth="1"/>
    <col min="11" max="11" width="8.5" customWidth="1"/>
    <col min="12" max="12" width="9.33203125" customWidth="1"/>
    <col min="13" max="13" width="5.5" style="5" customWidth="1"/>
    <col min="14" max="14" width="7.6640625" customWidth="1"/>
    <col min="15" max="15" width="14.5" customWidth="1"/>
    <col min="16" max="16" width="8" customWidth="1"/>
    <col min="17" max="17" width="8.1640625" customWidth="1"/>
    <col min="18" max="18" width="7.83203125" style="4" customWidth="1"/>
    <col min="19" max="19" width="7.1640625" customWidth="1"/>
    <col min="20" max="20" width="14" customWidth="1"/>
    <col min="21" max="21" width="8.33203125" customWidth="1"/>
    <col min="22" max="22" width="7.6640625" customWidth="1"/>
    <col min="23" max="23" width="6.83203125" style="4" customWidth="1"/>
    <col min="26" max="26" width="13.5" customWidth="1"/>
    <col min="35" max="35" width="15.5" customWidth="1"/>
  </cols>
  <sheetData>
    <row r="2" spans="1:28" ht="16" x14ac:dyDescent="0.2">
      <c r="A2" s="14"/>
      <c r="B2" s="14"/>
      <c r="C2" s="12" t="s">
        <v>5</v>
      </c>
      <c r="D2" s="54" t="s">
        <v>11</v>
      </c>
      <c r="E2" s="54"/>
      <c r="F2" s="54"/>
      <c r="G2" s="54"/>
      <c r="H2" s="16"/>
      <c r="I2" s="54" t="s">
        <v>12</v>
      </c>
      <c r="J2" s="54"/>
      <c r="K2" s="54"/>
      <c r="L2" s="54"/>
      <c r="M2" s="16"/>
      <c r="N2" s="54" t="s">
        <v>13</v>
      </c>
      <c r="O2" s="54"/>
      <c r="P2" s="54"/>
      <c r="Q2" s="54"/>
      <c r="R2" s="16"/>
      <c r="S2" s="54" t="s">
        <v>14</v>
      </c>
      <c r="T2" s="54"/>
      <c r="U2" s="54"/>
      <c r="V2" s="54"/>
      <c r="W2" s="16"/>
      <c r="Y2" s="1"/>
      <c r="Z2" s="1"/>
      <c r="AA2" s="1"/>
      <c r="AB2" s="1"/>
    </row>
    <row r="3" spans="1:28" s="4" customFormat="1" ht="16" x14ac:dyDescent="0.2">
      <c r="A3" s="32" t="s">
        <v>87</v>
      </c>
      <c r="B3" s="32" t="s">
        <v>0</v>
      </c>
      <c r="C3" s="31" t="s">
        <v>6</v>
      </c>
      <c r="D3" s="32" t="s">
        <v>91</v>
      </c>
      <c r="E3" s="32" t="s">
        <v>3</v>
      </c>
      <c r="F3" s="32" t="s">
        <v>4</v>
      </c>
      <c r="G3" s="32" t="s">
        <v>15</v>
      </c>
      <c r="H3" s="33" t="s">
        <v>92</v>
      </c>
      <c r="I3" s="32" t="s">
        <v>91</v>
      </c>
      <c r="J3" s="32" t="s">
        <v>3</v>
      </c>
      <c r="K3" s="32" t="s">
        <v>4</v>
      </c>
      <c r="L3" s="32" t="s">
        <v>15</v>
      </c>
      <c r="M3" s="33" t="s">
        <v>92</v>
      </c>
      <c r="N3" s="32" t="s">
        <v>91</v>
      </c>
      <c r="O3" s="32" t="s">
        <v>3</v>
      </c>
      <c r="P3" s="32" t="s">
        <v>4</v>
      </c>
      <c r="Q3" s="32" t="s">
        <v>15</v>
      </c>
      <c r="R3" s="33" t="s">
        <v>92</v>
      </c>
      <c r="S3" s="32" t="s">
        <v>91</v>
      </c>
      <c r="T3" s="32" t="s">
        <v>3</v>
      </c>
      <c r="U3" s="32" t="s">
        <v>4</v>
      </c>
      <c r="V3" s="32" t="s">
        <v>15</v>
      </c>
      <c r="W3" s="33" t="s">
        <v>92</v>
      </c>
      <c r="Y3" s="6"/>
      <c r="Z3" s="6"/>
      <c r="AA3" s="6"/>
      <c r="AB3" s="6"/>
    </row>
    <row r="4" spans="1:28" ht="16" x14ac:dyDescent="0.2">
      <c r="A4" s="35"/>
      <c r="B4" s="35"/>
      <c r="C4" s="34"/>
      <c r="D4" s="35"/>
      <c r="E4" s="35"/>
      <c r="F4" s="35"/>
      <c r="G4" s="35"/>
      <c r="H4" s="33"/>
      <c r="I4" s="34"/>
      <c r="J4" s="34"/>
      <c r="K4" s="34"/>
      <c r="L4" s="34"/>
      <c r="M4" s="33"/>
      <c r="N4" s="34"/>
      <c r="O4" s="34"/>
      <c r="P4" s="34"/>
      <c r="Q4" s="34"/>
      <c r="R4" s="31"/>
      <c r="S4" s="34"/>
      <c r="T4" s="34"/>
      <c r="U4" s="34"/>
      <c r="V4" s="34"/>
      <c r="W4" s="31"/>
      <c r="Y4" s="1"/>
      <c r="Z4" s="1"/>
      <c r="AA4" s="1"/>
      <c r="AB4" s="1"/>
    </row>
    <row r="5" spans="1:28" ht="16" x14ac:dyDescent="0.2">
      <c r="A5" s="35">
        <v>1</v>
      </c>
      <c r="B5" s="35" t="s">
        <v>1</v>
      </c>
      <c r="C5" s="34"/>
      <c r="D5" s="35">
        <v>1</v>
      </c>
      <c r="E5" s="35">
        <v>0</v>
      </c>
      <c r="F5" s="35">
        <v>1</v>
      </c>
      <c r="G5" s="35">
        <v>0</v>
      </c>
      <c r="H5" s="33">
        <f t="shared" ref="H5:H36" si="0">SUM(D5:G5)</f>
        <v>2</v>
      </c>
      <c r="I5" s="35">
        <v>0</v>
      </c>
      <c r="J5" s="35">
        <f t="shared" ref="J5:M7" si="1">SUM(I5)</f>
        <v>0</v>
      </c>
      <c r="K5" s="35">
        <f t="shared" si="1"/>
        <v>0</v>
      </c>
      <c r="L5" s="35">
        <f t="shared" si="1"/>
        <v>0</v>
      </c>
      <c r="M5" s="32">
        <f t="shared" si="1"/>
        <v>0</v>
      </c>
      <c r="N5" s="35">
        <v>0</v>
      </c>
      <c r="O5" s="35">
        <v>0</v>
      </c>
      <c r="P5" s="35">
        <v>2</v>
      </c>
      <c r="Q5" s="35">
        <v>0</v>
      </c>
      <c r="R5" s="32">
        <f t="shared" ref="R5:R37" si="2">SUM(N5:Q5)</f>
        <v>2</v>
      </c>
      <c r="S5" s="35">
        <v>0</v>
      </c>
      <c r="T5" s="35">
        <f t="shared" ref="T5:U5" si="3">SUM(S5)</f>
        <v>0</v>
      </c>
      <c r="U5" s="35">
        <f t="shared" si="3"/>
        <v>0</v>
      </c>
      <c r="V5" s="35">
        <v>0</v>
      </c>
      <c r="W5" s="32">
        <f>SUM(S5:V5)</f>
        <v>0</v>
      </c>
    </row>
    <row r="6" spans="1:28" ht="16" x14ac:dyDescent="0.2">
      <c r="A6" s="35">
        <v>2</v>
      </c>
      <c r="B6" s="35" t="s">
        <v>2</v>
      </c>
      <c r="C6" s="34"/>
      <c r="D6" s="35">
        <v>0</v>
      </c>
      <c r="E6" s="35">
        <v>0</v>
      </c>
      <c r="F6" s="35">
        <v>1</v>
      </c>
      <c r="G6" s="35">
        <v>0</v>
      </c>
      <c r="H6" s="33">
        <f t="shared" si="0"/>
        <v>1</v>
      </c>
      <c r="I6" s="35">
        <v>0</v>
      </c>
      <c r="J6" s="35">
        <v>0</v>
      </c>
      <c r="K6" s="35">
        <v>0</v>
      </c>
      <c r="L6" s="35">
        <v>0</v>
      </c>
      <c r="M6" s="32">
        <f t="shared" si="1"/>
        <v>0</v>
      </c>
      <c r="N6" s="35">
        <v>1</v>
      </c>
      <c r="O6" s="35">
        <v>0</v>
      </c>
      <c r="P6" s="35">
        <v>1</v>
      </c>
      <c r="Q6" s="35">
        <v>0</v>
      </c>
      <c r="R6" s="32">
        <f t="shared" si="2"/>
        <v>2</v>
      </c>
      <c r="S6" s="35">
        <v>0</v>
      </c>
      <c r="T6" s="35">
        <v>0</v>
      </c>
      <c r="U6" s="35">
        <v>0</v>
      </c>
      <c r="V6" s="35">
        <v>0</v>
      </c>
      <c r="W6" s="32">
        <f t="shared" ref="W6:W33" si="4">SUM(S6:V6)</f>
        <v>0</v>
      </c>
    </row>
    <row r="7" spans="1:28" s="21" customFormat="1" ht="16" x14ac:dyDescent="0.2">
      <c r="A7" s="35">
        <v>3</v>
      </c>
      <c r="B7" s="35" t="s">
        <v>2</v>
      </c>
      <c r="C7" s="34"/>
      <c r="D7" s="35">
        <v>0</v>
      </c>
      <c r="E7" s="35">
        <v>0</v>
      </c>
      <c r="F7" s="35">
        <v>0</v>
      </c>
      <c r="G7" s="35">
        <v>0</v>
      </c>
      <c r="H7" s="33">
        <f t="shared" si="0"/>
        <v>0</v>
      </c>
      <c r="I7" s="35">
        <v>0</v>
      </c>
      <c r="J7" s="35">
        <v>0</v>
      </c>
      <c r="K7" s="35">
        <v>0</v>
      </c>
      <c r="L7" s="35">
        <v>0</v>
      </c>
      <c r="M7" s="32">
        <f t="shared" si="1"/>
        <v>0</v>
      </c>
      <c r="N7" s="35">
        <v>0</v>
      </c>
      <c r="O7" s="35">
        <v>0</v>
      </c>
      <c r="P7" s="35">
        <v>0</v>
      </c>
      <c r="Q7" s="35">
        <v>0</v>
      </c>
      <c r="R7" s="32">
        <f t="shared" si="2"/>
        <v>0</v>
      </c>
      <c r="S7" s="35">
        <v>0</v>
      </c>
      <c r="T7" s="35">
        <v>0</v>
      </c>
      <c r="U7" s="35">
        <v>0</v>
      </c>
      <c r="V7" s="35">
        <v>0</v>
      </c>
      <c r="W7" s="32">
        <f t="shared" si="4"/>
        <v>0</v>
      </c>
      <c r="X7"/>
      <c r="Y7"/>
      <c r="Z7"/>
      <c r="AA7"/>
      <c r="AB7"/>
    </row>
    <row r="8" spans="1:28" ht="16" x14ac:dyDescent="0.2">
      <c r="A8" s="35">
        <v>4</v>
      </c>
      <c r="B8" s="35" t="s">
        <v>1</v>
      </c>
      <c r="C8" s="34"/>
      <c r="D8" s="35">
        <v>0</v>
      </c>
      <c r="E8" s="35">
        <v>1</v>
      </c>
      <c r="F8" s="35">
        <v>2</v>
      </c>
      <c r="G8" s="35">
        <v>0</v>
      </c>
      <c r="H8" s="33">
        <f t="shared" si="0"/>
        <v>3</v>
      </c>
      <c r="I8" s="35">
        <v>0</v>
      </c>
      <c r="J8" s="35">
        <v>1</v>
      </c>
      <c r="K8" s="35">
        <v>0</v>
      </c>
      <c r="L8" s="35">
        <v>0</v>
      </c>
      <c r="M8" s="32">
        <f t="shared" ref="M8:M37" si="5">SUM(I8:L8)</f>
        <v>1</v>
      </c>
      <c r="N8" s="35">
        <v>1</v>
      </c>
      <c r="O8" s="35">
        <v>0</v>
      </c>
      <c r="P8" s="35">
        <v>0</v>
      </c>
      <c r="Q8" s="35">
        <v>0</v>
      </c>
      <c r="R8" s="32">
        <f t="shared" si="2"/>
        <v>1</v>
      </c>
      <c r="S8" s="35">
        <v>0</v>
      </c>
      <c r="T8" s="35">
        <v>0</v>
      </c>
      <c r="U8" s="35">
        <v>0</v>
      </c>
      <c r="V8" s="35">
        <v>0</v>
      </c>
      <c r="W8" s="32">
        <f t="shared" si="4"/>
        <v>0</v>
      </c>
    </row>
    <row r="9" spans="1:28" ht="16" x14ac:dyDescent="0.2">
      <c r="A9" s="35">
        <v>5</v>
      </c>
      <c r="B9" s="35" t="s">
        <v>1</v>
      </c>
      <c r="C9" s="34"/>
      <c r="D9" s="35">
        <v>1</v>
      </c>
      <c r="E9" s="35">
        <v>0</v>
      </c>
      <c r="F9" s="35">
        <v>1</v>
      </c>
      <c r="G9" s="35">
        <v>0</v>
      </c>
      <c r="H9" s="33">
        <f t="shared" si="0"/>
        <v>2</v>
      </c>
      <c r="I9" s="35">
        <v>1</v>
      </c>
      <c r="J9" s="35">
        <v>0</v>
      </c>
      <c r="K9" s="35">
        <v>0</v>
      </c>
      <c r="L9" s="35">
        <v>0</v>
      </c>
      <c r="M9" s="32">
        <f t="shared" si="5"/>
        <v>1</v>
      </c>
      <c r="N9" s="35">
        <v>2</v>
      </c>
      <c r="O9" s="35">
        <v>0</v>
      </c>
      <c r="P9" s="35">
        <v>1</v>
      </c>
      <c r="Q9" s="35">
        <v>0</v>
      </c>
      <c r="R9" s="32">
        <f t="shared" si="2"/>
        <v>3</v>
      </c>
      <c r="S9" s="35">
        <v>0</v>
      </c>
      <c r="T9" s="35">
        <v>0</v>
      </c>
      <c r="U9" s="35">
        <v>1</v>
      </c>
      <c r="V9" s="35">
        <v>0</v>
      </c>
      <c r="W9" s="32">
        <f t="shared" si="4"/>
        <v>1</v>
      </c>
    </row>
    <row r="10" spans="1:28" ht="16" x14ac:dyDescent="0.2">
      <c r="A10" s="35">
        <v>6</v>
      </c>
      <c r="B10" s="35" t="s">
        <v>2</v>
      </c>
      <c r="C10" s="34"/>
      <c r="D10" s="35">
        <v>3</v>
      </c>
      <c r="E10" s="35">
        <v>0</v>
      </c>
      <c r="F10" s="35">
        <v>1</v>
      </c>
      <c r="G10" s="35">
        <v>0</v>
      </c>
      <c r="H10" s="33">
        <f t="shared" si="0"/>
        <v>4</v>
      </c>
      <c r="I10" s="35">
        <v>1</v>
      </c>
      <c r="J10" s="35">
        <v>0</v>
      </c>
      <c r="K10" s="35">
        <v>0</v>
      </c>
      <c r="L10" s="35">
        <v>0</v>
      </c>
      <c r="M10" s="32">
        <f t="shared" si="5"/>
        <v>1</v>
      </c>
      <c r="N10" s="35">
        <v>2</v>
      </c>
      <c r="O10" s="35">
        <v>1</v>
      </c>
      <c r="P10" s="35">
        <v>3</v>
      </c>
      <c r="Q10" s="35">
        <v>0</v>
      </c>
      <c r="R10" s="32">
        <f t="shared" si="2"/>
        <v>6</v>
      </c>
      <c r="S10" s="35">
        <v>0</v>
      </c>
      <c r="T10" s="35">
        <v>0</v>
      </c>
      <c r="U10" s="35">
        <v>0</v>
      </c>
      <c r="V10" s="35">
        <v>0</v>
      </c>
      <c r="W10" s="32">
        <f t="shared" si="4"/>
        <v>0</v>
      </c>
    </row>
    <row r="11" spans="1:28" ht="16" x14ac:dyDescent="0.2">
      <c r="A11" s="35">
        <v>7</v>
      </c>
      <c r="B11" s="35" t="s">
        <v>2</v>
      </c>
      <c r="C11" s="34"/>
      <c r="D11" s="35">
        <v>0</v>
      </c>
      <c r="E11" s="35">
        <v>0</v>
      </c>
      <c r="F11" s="35">
        <v>0</v>
      </c>
      <c r="G11" s="35">
        <v>0</v>
      </c>
      <c r="H11" s="33">
        <f t="shared" si="0"/>
        <v>0</v>
      </c>
      <c r="I11" s="35">
        <v>0</v>
      </c>
      <c r="J11" s="35">
        <v>0</v>
      </c>
      <c r="K11" s="35">
        <v>0</v>
      </c>
      <c r="L11" s="35">
        <v>0</v>
      </c>
      <c r="M11" s="32">
        <f t="shared" si="5"/>
        <v>0</v>
      </c>
      <c r="N11" s="35">
        <v>0</v>
      </c>
      <c r="O11" s="35">
        <v>0</v>
      </c>
      <c r="P11" s="35">
        <v>0</v>
      </c>
      <c r="Q11" s="35">
        <v>0</v>
      </c>
      <c r="R11" s="32">
        <f t="shared" si="2"/>
        <v>0</v>
      </c>
      <c r="S11" s="35">
        <v>0</v>
      </c>
      <c r="T11" s="35">
        <v>0</v>
      </c>
      <c r="U11" s="35">
        <v>0</v>
      </c>
      <c r="V11" s="35">
        <v>0</v>
      </c>
      <c r="W11" s="32">
        <f t="shared" si="4"/>
        <v>0</v>
      </c>
    </row>
    <row r="12" spans="1:28" ht="16" x14ac:dyDescent="0.2">
      <c r="A12" s="35">
        <v>8</v>
      </c>
      <c r="B12" s="35" t="s">
        <v>2</v>
      </c>
      <c r="C12" s="34"/>
      <c r="D12" s="35">
        <v>1</v>
      </c>
      <c r="E12" s="35">
        <v>1</v>
      </c>
      <c r="F12" s="35">
        <v>5</v>
      </c>
      <c r="G12" s="35">
        <v>0</v>
      </c>
      <c r="H12" s="33">
        <f t="shared" si="0"/>
        <v>7</v>
      </c>
      <c r="I12" s="35">
        <v>1</v>
      </c>
      <c r="J12" s="35">
        <v>0</v>
      </c>
      <c r="K12" s="35">
        <v>2</v>
      </c>
      <c r="L12" s="35">
        <v>0</v>
      </c>
      <c r="M12" s="32">
        <f t="shared" si="5"/>
        <v>3</v>
      </c>
      <c r="N12" s="35">
        <v>1</v>
      </c>
      <c r="O12" s="35">
        <v>1</v>
      </c>
      <c r="P12" s="35">
        <v>2</v>
      </c>
      <c r="Q12" s="35">
        <v>0</v>
      </c>
      <c r="R12" s="32">
        <f t="shared" si="2"/>
        <v>4</v>
      </c>
      <c r="S12" s="35">
        <v>0</v>
      </c>
      <c r="T12" s="35">
        <v>0</v>
      </c>
      <c r="U12" s="35">
        <v>0</v>
      </c>
      <c r="V12" s="35">
        <v>0</v>
      </c>
      <c r="W12" s="32">
        <f t="shared" si="4"/>
        <v>0</v>
      </c>
    </row>
    <row r="13" spans="1:28" ht="16" x14ac:dyDescent="0.2">
      <c r="A13" s="35">
        <v>9</v>
      </c>
      <c r="B13" s="35" t="s">
        <v>2</v>
      </c>
      <c r="C13" s="34"/>
      <c r="D13" s="35">
        <v>1</v>
      </c>
      <c r="E13" s="35">
        <v>0</v>
      </c>
      <c r="F13" s="35">
        <v>2</v>
      </c>
      <c r="G13" s="35">
        <v>0</v>
      </c>
      <c r="H13" s="33">
        <f t="shared" si="0"/>
        <v>3</v>
      </c>
      <c r="I13" s="35">
        <v>0</v>
      </c>
      <c r="J13" s="35">
        <v>0</v>
      </c>
      <c r="K13" s="35">
        <v>0</v>
      </c>
      <c r="L13" s="35">
        <v>0</v>
      </c>
      <c r="M13" s="32">
        <f t="shared" si="5"/>
        <v>0</v>
      </c>
      <c r="N13" s="35">
        <v>1</v>
      </c>
      <c r="O13" s="35">
        <v>0</v>
      </c>
      <c r="P13" s="35">
        <v>4</v>
      </c>
      <c r="Q13" s="35">
        <v>0</v>
      </c>
      <c r="R13" s="32">
        <f t="shared" si="2"/>
        <v>5</v>
      </c>
      <c r="S13" s="35">
        <v>0</v>
      </c>
      <c r="T13" s="35">
        <v>0</v>
      </c>
      <c r="U13" s="35">
        <v>0</v>
      </c>
      <c r="V13" s="35">
        <v>0</v>
      </c>
      <c r="W13" s="32">
        <f t="shared" si="4"/>
        <v>0</v>
      </c>
    </row>
    <row r="14" spans="1:28" ht="16" x14ac:dyDescent="0.2">
      <c r="A14" s="35">
        <v>10</v>
      </c>
      <c r="B14" s="35" t="s">
        <v>1</v>
      </c>
      <c r="C14" s="34"/>
      <c r="D14" s="35">
        <v>0</v>
      </c>
      <c r="E14" s="35">
        <v>0</v>
      </c>
      <c r="F14" s="35">
        <v>0</v>
      </c>
      <c r="G14" s="35">
        <v>0</v>
      </c>
      <c r="H14" s="33">
        <f t="shared" si="0"/>
        <v>0</v>
      </c>
      <c r="I14" s="35">
        <v>0</v>
      </c>
      <c r="J14" s="35">
        <v>0</v>
      </c>
      <c r="K14" s="35">
        <v>0</v>
      </c>
      <c r="L14" s="35">
        <v>0</v>
      </c>
      <c r="M14" s="32">
        <f t="shared" si="5"/>
        <v>0</v>
      </c>
      <c r="N14" s="35">
        <v>0</v>
      </c>
      <c r="O14" s="35">
        <v>0</v>
      </c>
      <c r="P14" s="35">
        <v>0</v>
      </c>
      <c r="Q14" s="35">
        <v>0</v>
      </c>
      <c r="R14" s="32">
        <f t="shared" si="2"/>
        <v>0</v>
      </c>
      <c r="S14" s="35">
        <v>0</v>
      </c>
      <c r="T14" s="35">
        <v>0</v>
      </c>
      <c r="U14" s="35">
        <v>0</v>
      </c>
      <c r="V14" s="35">
        <v>0</v>
      </c>
      <c r="W14" s="32">
        <f t="shared" si="4"/>
        <v>0</v>
      </c>
    </row>
    <row r="15" spans="1:28" ht="16" x14ac:dyDescent="0.2">
      <c r="A15" s="35">
        <v>11</v>
      </c>
      <c r="B15" s="35" t="s">
        <v>1</v>
      </c>
      <c r="C15" s="34"/>
      <c r="D15" s="35">
        <v>1</v>
      </c>
      <c r="E15" s="35">
        <v>1</v>
      </c>
      <c r="F15" s="35">
        <v>0</v>
      </c>
      <c r="G15" s="35">
        <v>0</v>
      </c>
      <c r="H15" s="33">
        <f t="shared" si="0"/>
        <v>2</v>
      </c>
      <c r="I15" s="35">
        <v>0</v>
      </c>
      <c r="J15" s="35">
        <v>0</v>
      </c>
      <c r="K15" s="35">
        <v>1</v>
      </c>
      <c r="L15" s="35">
        <v>0</v>
      </c>
      <c r="M15" s="32">
        <f t="shared" si="5"/>
        <v>1</v>
      </c>
      <c r="N15" s="35">
        <v>0</v>
      </c>
      <c r="O15" s="35">
        <v>0</v>
      </c>
      <c r="P15" s="35">
        <v>1</v>
      </c>
      <c r="Q15" s="35">
        <v>0</v>
      </c>
      <c r="R15" s="32">
        <f t="shared" si="2"/>
        <v>1</v>
      </c>
      <c r="S15" s="35">
        <v>0</v>
      </c>
      <c r="T15" s="35">
        <v>0</v>
      </c>
      <c r="U15" s="35">
        <v>1</v>
      </c>
      <c r="V15" s="35">
        <v>0</v>
      </c>
      <c r="W15" s="32">
        <f t="shared" si="4"/>
        <v>1</v>
      </c>
    </row>
    <row r="16" spans="1:28" ht="16" x14ac:dyDescent="0.2">
      <c r="A16" s="35">
        <v>12</v>
      </c>
      <c r="B16" s="35" t="s">
        <v>2</v>
      </c>
      <c r="C16" s="34"/>
      <c r="D16" s="35">
        <v>2</v>
      </c>
      <c r="E16" s="35">
        <v>1</v>
      </c>
      <c r="F16" s="35">
        <v>4</v>
      </c>
      <c r="G16" s="35">
        <v>0</v>
      </c>
      <c r="H16" s="33">
        <f t="shared" si="0"/>
        <v>7</v>
      </c>
      <c r="I16" s="35">
        <v>1</v>
      </c>
      <c r="J16" s="35">
        <v>1</v>
      </c>
      <c r="K16" s="35">
        <v>0</v>
      </c>
      <c r="L16" s="35">
        <v>0</v>
      </c>
      <c r="M16" s="32">
        <f t="shared" si="5"/>
        <v>2</v>
      </c>
      <c r="N16" s="35">
        <v>2</v>
      </c>
      <c r="O16" s="35">
        <v>0</v>
      </c>
      <c r="P16" s="35">
        <v>3</v>
      </c>
      <c r="Q16" s="35">
        <v>0</v>
      </c>
      <c r="R16" s="32">
        <f t="shared" si="2"/>
        <v>5</v>
      </c>
      <c r="S16" s="35">
        <v>0</v>
      </c>
      <c r="T16" s="35">
        <v>0</v>
      </c>
      <c r="U16" s="35">
        <v>0</v>
      </c>
      <c r="V16" s="35">
        <v>0</v>
      </c>
      <c r="W16" s="32">
        <f t="shared" si="4"/>
        <v>0</v>
      </c>
    </row>
    <row r="17" spans="1:30" ht="16" x14ac:dyDescent="0.2">
      <c r="A17" s="35">
        <v>13</v>
      </c>
      <c r="B17" s="35" t="s">
        <v>2</v>
      </c>
      <c r="C17" s="34"/>
      <c r="D17" s="35">
        <v>0</v>
      </c>
      <c r="E17" s="35">
        <v>0</v>
      </c>
      <c r="F17" s="35">
        <v>0</v>
      </c>
      <c r="G17" s="35">
        <v>0</v>
      </c>
      <c r="H17" s="33">
        <f t="shared" si="0"/>
        <v>0</v>
      </c>
      <c r="I17" s="35">
        <v>0</v>
      </c>
      <c r="J17" s="35">
        <v>0</v>
      </c>
      <c r="K17" s="35">
        <v>0</v>
      </c>
      <c r="L17" s="35">
        <v>0</v>
      </c>
      <c r="M17" s="32">
        <f t="shared" si="5"/>
        <v>0</v>
      </c>
      <c r="N17" s="35">
        <v>0</v>
      </c>
      <c r="O17" s="35">
        <v>0</v>
      </c>
      <c r="P17" s="35">
        <v>0</v>
      </c>
      <c r="Q17" s="35">
        <v>0</v>
      </c>
      <c r="R17" s="32">
        <f t="shared" si="2"/>
        <v>0</v>
      </c>
      <c r="S17" s="35">
        <v>0</v>
      </c>
      <c r="T17" s="35">
        <v>0</v>
      </c>
      <c r="U17" s="35">
        <v>0</v>
      </c>
      <c r="V17" s="35">
        <v>0</v>
      </c>
      <c r="W17" s="32">
        <f t="shared" si="4"/>
        <v>0</v>
      </c>
    </row>
    <row r="18" spans="1:30" ht="16" x14ac:dyDescent="0.2">
      <c r="A18" s="35">
        <v>14</v>
      </c>
      <c r="B18" s="35" t="s">
        <v>1</v>
      </c>
      <c r="C18" s="34"/>
      <c r="D18" s="35">
        <v>1</v>
      </c>
      <c r="E18" s="35">
        <v>0</v>
      </c>
      <c r="F18" s="35">
        <v>2</v>
      </c>
      <c r="G18" s="35">
        <v>0</v>
      </c>
      <c r="H18" s="33">
        <f t="shared" si="0"/>
        <v>3</v>
      </c>
      <c r="I18" s="35">
        <v>0</v>
      </c>
      <c r="J18" s="35">
        <v>0</v>
      </c>
      <c r="K18" s="35">
        <v>0</v>
      </c>
      <c r="L18" s="35">
        <v>0</v>
      </c>
      <c r="M18" s="32">
        <f t="shared" si="5"/>
        <v>0</v>
      </c>
      <c r="N18" s="35">
        <v>1</v>
      </c>
      <c r="O18" s="35">
        <v>0</v>
      </c>
      <c r="P18" s="35">
        <v>1</v>
      </c>
      <c r="Q18" s="35">
        <v>0</v>
      </c>
      <c r="R18" s="32">
        <f t="shared" si="2"/>
        <v>2</v>
      </c>
      <c r="S18" s="35">
        <v>0</v>
      </c>
      <c r="T18" s="35">
        <v>0</v>
      </c>
      <c r="U18" s="35">
        <v>0</v>
      </c>
      <c r="V18" s="35">
        <v>0</v>
      </c>
      <c r="W18" s="32">
        <f t="shared" si="4"/>
        <v>0</v>
      </c>
    </row>
    <row r="19" spans="1:30" ht="16" x14ac:dyDescent="0.2">
      <c r="A19" s="35">
        <v>15</v>
      </c>
      <c r="B19" s="35" t="s">
        <v>2</v>
      </c>
      <c r="C19" s="34"/>
      <c r="D19" s="35">
        <v>2</v>
      </c>
      <c r="E19" s="35">
        <v>0</v>
      </c>
      <c r="F19" s="35">
        <v>3</v>
      </c>
      <c r="G19" s="35">
        <v>0</v>
      </c>
      <c r="H19" s="33">
        <f t="shared" si="0"/>
        <v>5</v>
      </c>
      <c r="I19" s="35">
        <v>0</v>
      </c>
      <c r="J19" s="35">
        <v>0</v>
      </c>
      <c r="K19" s="35">
        <v>1</v>
      </c>
      <c r="L19" s="35">
        <v>0</v>
      </c>
      <c r="M19" s="32">
        <f t="shared" si="5"/>
        <v>1</v>
      </c>
      <c r="N19" s="35">
        <v>1</v>
      </c>
      <c r="O19" s="35">
        <v>0</v>
      </c>
      <c r="P19" s="35">
        <v>3</v>
      </c>
      <c r="Q19" s="35">
        <v>0</v>
      </c>
      <c r="R19" s="32">
        <f t="shared" si="2"/>
        <v>4</v>
      </c>
      <c r="S19" s="35">
        <v>0</v>
      </c>
      <c r="T19" s="35">
        <v>0</v>
      </c>
      <c r="U19" s="35">
        <v>0</v>
      </c>
      <c r="V19" s="35">
        <v>0</v>
      </c>
      <c r="W19" s="32">
        <f t="shared" si="4"/>
        <v>0</v>
      </c>
    </row>
    <row r="20" spans="1:30" ht="16" x14ac:dyDescent="0.2">
      <c r="A20" s="35">
        <v>16</v>
      </c>
      <c r="B20" s="35" t="s">
        <v>2</v>
      </c>
      <c r="C20" s="34"/>
      <c r="D20" s="35">
        <v>0</v>
      </c>
      <c r="E20" s="35">
        <v>0</v>
      </c>
      <c r="F20" s="35">
        <v>0</v>
      </c>
      <c r="G20" s="35">
        <v>0</v>
      </c>
      <c r="H20" s="33">
        <f t="shared" si="0"/>
        <v>0</v>
      </c>
      <c r="I20" s="35">
        <v>0</v>
      </c>
      <c r="J20" s="35">
        <v>0</v>
      </c>
      <c r="K20" s="35">
        <v>0</v>
      </c>
      <c r="L20" s="35">
        <v>0</v>
      </c>
      <c r="M20" s="32">
        <f t="shared" si="5"/>
        <v>0</v>
      </c>
      <c r="N20" s="35">
        <v>0</v>
      </c>
      <c r="O20" s="35">
        <v>0</v>
      </c>
      <c r="P20" s="35">
        <v>0</v>
      </c>
      <c r="Q20" s="35">
        <v>0</v>
      </c>
      <c r="R20" s="32">
        <f t="shared" si="2"/>
        <v>0</v>
      </c>
      <c r="S20" s="35">
        <v>0</v>
      </c>
      <c r="T20" s="35">
        <v>0</v>
      </c>
      <c r="U20" s="35">
        <v>0</v>
      </c>
      <c r="V20" s="35">
        <v>0</v>
      </c>
      <c r="W20" s="32">
        <f t="shared" si="4"/>
        <v>0</v>
      </c>
    </row>
    <row r="21" spans="1:30" ht="16" x14ac:dyDescent="0.2">
      <c r="A21" s="35">
        <v>17</v>
      </c>
      <c r="B21" s="35" t="s">
        <v>2</v>
      </c>
      <c r="C21" s="34"/>
      <c r="D21" s="35">
        <v>2</v>
      </c>
      <c r="E21" s="35">
        <v>0</v>
      </c>
      <c r="F21" s="35">
        <v>6</v>
      </c>
      <c r="G21" s="35">
        <v>0</v>
      </c>
      <c r="H21" s="33">
        <f t="shared" si="0"/>
        <v>8</v>
      </c>
      <c r="I21" s="35">
        <v>1</v>
      </c>
      <c r="J21" s="35">
        <v>0</v>
      </c>
      <c r="K21" s="35">
        <v>0</v>
      </c>
      <c r="L21" s="35">
        <v>0</v>
      </c>
      <c r="M21" s="32">
        <f t="shared" si="5"/>
        <v>1</v>
      </c>
      <c r="N21" s="35">
        <v>4</v>
      </c>
      <c r="O21" s="35">
        <v>0</v>
      </c>
      <c r="P21" s="35">
        <v>2</v>
      </c>
      <c r="Q21" s="35">
        <v>0</v>
      </c>
      <c r="R21" s="32">
        <f t="shared" si="2"/>
        <v>6</v>
      </c>
      <c r="S21" s="35">
        <v>0</v>
      </c>
      <c r="T21" s="35">
        <v>1</v>
      </c>
      <c r="U21" s="35">
        <v>0</v>
      </c>
      <c r="V21" s="35">
        <v>0</v>
      </c>
      <c r="W21" s="32">
        <f t="shared" si="4"/>
        <v>1</v>
      </c>
    </row>
    <row r="22" spans="1:30" ht="16" x14ac:dyDescent="0.2">
      <c r="A22" s="35">
        <v>18</v>
      </c>
      <c r="B22" s="35" t="s">
        <v>1</v>
      </c>
      <c r="C22" s="34"/>
      <c r="D22" s="35">
        <v>1</v>
      </c>
      <c r="E22" s="35">
        <v>2</v>
      </c>
      <c r="F22" s="35">
        <v>2</v>
      </c>
      <c r="G22" s="35">
        <v>0</v>
      </c>
      <c r="H22" s="33">
        <f t="shared" si="0"/>
        <v>5</v>
      </c>
      <c r="I22" s="35">
        <v>0</v>
      </c>
      <c r="J22" s="35">
        <v>0</v>
      </c>
      <c r="K22" s="35">
        <v>0</v>
      </c>
      <c r="L22" s="35">
        <v>0</v>
      </c>
      <c r="M22" s="32">
        <f t="shared" si="5"/>
        <v>0</v>
      </c>
      <c r="N22" s="35">
        <v>1</v>
      </c>
      <c r="O22" s="35">
        <v>2</v>
      </c>
      <c r="P22" s="35">
        <v>3</v>
      </c>
      <c r="Q22" s="35">
        <v>0</v>
      </c>
      <c r="R22" s="32">
        <f t="shared" si="2"/>
        <v>6</v>
      </c>
      <c r="S22" s="35">
        <v>0</v>
      </c>
      <c r="T22" s="35">
        <v>0</v>
      </c>
      <c r="U22" s="35">
        <v>0</v>
      </c>
      <c r="V22" s="35">
        <v>0</v>
      </c>
      <c r="W22" s="32">
        <f t="shared" si="4"/>
        <v>0</v>
      </c>
    </row>
    <row r="23" spans="1:30" ht="16" x14ac:dyDescent="0.2">
      <c r="A23" s="35">
        <v>19</v>
      </c>
      <c r="B23" s="35" t="s">
        <v>2</v>
      </c>
      <c r="C23" s="34"/>
      <c r="D23" s="35">
        <v>0</v>
      </c>
      <c r="E23" s="35">
        <v>0</v>
      </c>
      <c r="F23" s="35">
        <v>0</v>
      </c>
      <c r="G23" s="35">
        <v>0</v>
      </c>
      <c r="H23" s="33">
        <f t="shared" si="0"/>
        <v>0</v>
      </c>
      <c r="I23" s="35">
        <v>0</v>
      </c>
      <c r="J23" s="35">
        <v>0</v>
      </c>
      <c r="K23" s="35">
        <v>0</v>
      </c>
      <c r="L23" s="35">
        <v>0</v>
      </c>
      <c r="M23" s="32">
        <f t="shared" si="5"/>
        <v>0</v>
      </c>
      <c r="N23" s="35">
        <v>0</v>
      </c>
      <c r="O23" s="35">
        <v>0</v>
      </c>
      <c r="P23" s="35">
        <v>0</v>
      </c>
      <c r="Q23" s="35">
        <v>0</v>
      </c>
      <c r="R23" s="32">
        <f t="shared" si="2"/>
        <v>0</v>
      </c>
      <c r="S23" s="35">
        <v>0</v>
      </c>
      <c r="T23" s="35">
        <v>0</v>
      </c>
      <c r="U23" s="35">
        <v>0</v>
      </c>
      <c r="V23" s="35">
        <v>0</v>
      </c>
      <c r="W23" s="32">
        <f t="shared" si="4"/>
        <v>0</v>
      </c>
    </row>
    <row r="24" spans="1:30" ht="16" x14ac:dyDescent="0.2">
      <c r="A24" s="35">
        <v>20</v>
      </c>
      <c r="B24" s="35" t="s">
        <v>1</v>
      </c>
      <c r="C24" s="34"/>
      <c r="D24" s="35">
        <v>2</v>
      </c>
      <c r="E24" s="35">
        <v>1</v>
      </c>
      <c r="F24" s="35">
        <v>4</v>
      </c>
      <c r="G24" s="35">
        <v>0</v>
      </c>
      <c r="H24" s="33">
        <f t="shared" si="0"/>
        <v>7</v>
      </c>
      <c r="I24" s="35">
        <v>0</v>
      </c>
      <c r="J24" s="35">
        <v>0</v>
      </c>
      <c r="K24" s="35">
        <v>2</v>
      </c>
      <c r="L24" s="35">
        <v>0</v>
      </c>
      <c r="M24" s="32">
        <f t="shared" si="5"/>
        <v>2</v>
      </c>
      <c r="N24" s="35">
        <v>1</v>
      </c>
      <c r="O24" s="35">
        <v>3</v>
      </c>
      <c r="P24" s="35">
        <v>6</v>
      </c>
      <c r="Q24" s="35">
        <v>0</v>
      </c>
      <c r="R24" s="32">
        <f t="shared" si="2"/>
        <v>10</v>
      </c>
      <c r="S24" s="35">
        <v>0</v>
      </c>
      <c r="T24" s="35">
        <v>0</v>
      </c>
      <c r="U24" s="35">
        <v>0</v>
      </c>
      <c r="V24" s="35">
        <v>0</v>
      </c>
      <c r="W24" s="32">
        <f t="shared" si="4"/>
        <v>0</v>
      </c>
    </row>
    <row r="25" spans="1:30" ht="16" x14ac:dyDescent="0.2">
      <c r="A25" s="35">
        <v>21</v>
      </c>
      <c r="B25" s="35" t="s">
        <v>1</v>
      </c>
      <c r="C25" s="34"/>
      <c r="D25" s="35">
        <v>1</v>
      </c>
      <c r="E25" s="35">
        <v>0</v>
      </c>
      <c r="F25" s="35">
        <v>3</v>
      </c>
      <c r="G25" s="35">
        <v>0</v>
      </c>
      <c r="H25" s="33">
        <f t="shared" si="0"/>
        <v>4</v>
      </c>
      <c r="I25" s="35">
        <v>0</v>
      </c>
      <c r="J25" s="35">
        <v>1</v>
      </c>
      <c r="K25" s="35">
        <v>0</v>
      </c>
      <c r="L25" s="35">
        <v>0</v>
      </c>
      <c r="M25" s="32">
        <f t="shared" si="5"/>
        <v>1</v>
      </c>
      <c r="N25" s="35">
        <v>0</v>
      </c>
      <c r="O25" s="35">
        <v>0</v>
      </c>
      <c r="P25" s="35">
        <v>1</v>
      </c>
      <c r="Q25" s="35">
        <v>0</v>
      </c>
      <c r="R25" s="32">
        <f t="shared" si="2"/>
        <v>1</v>
      </c>
      <c r="S25" s="35">
        <v>0</v>
      </c>
      <c r="T25" s="35">
        <v>0</v>
      </c>
      <c r="U25" s="35">
        <v>1</v>
      </c>
      <c r="V25" s="35">
        <v>0</v>
      </c>
      <c r="W25" s="32">
        <f t="shared" si="4"/>
        <v>1</v>
      </c>
      <c r="AC25" s="3"/>
      <c r="AD25" s="3"/>
    </row>
    <row r="26" spans="1:30" ht="16" x14ac:dyDescent="0.2">
      <c r="A26" s="35">
        <v>22</v>
      </c>
      <c r="B26" s="35" t="s">
        <v>1</v>
      </c>
      <c r="C26" s="34"/>
      <c r="D26" s="35">
        <v>1</v>
      </c>
      <c r="E26" s="35">
        <v>0</v>
      </c>
      <c r="F26" s="35">
        <v>1</v>
      </c>
      <c r="G26" s="35">
        <v>0</v>
      </c>
      <c r="H26" s="33">
        <f t="shared" si="0"/>
        <v>2</v>
      </c>
      <c r="I26" s="35">
        <v>0</v>
      </c>
      <c r="J26" s="35">
        <v>0</v>
      </c>
      <c r="K26" s="35">
        <v>0</v>
      </c>
      <c r="L26" s="35">
        <v>0</v>
      </c>
      <c r="M26" s="32">
        <f t="shared" si="5"/>
        <v>0</v>
      </c>
      <c r="N26" s="35">
        <v>0</v>
      </c>
      <c r="O26" s="35">
        <v>1</v>
      </c>
      <c r="P26" s="35">
        <v>1</v>
      </c>
      <c r="Q26" s="35">
        <v>0</v>
      </c>
      <c r="R26" s="32">
        <f t="shared" si="2"/>
        <v>2</v>
      </c>
      <c r="S26" s="35">
        <v>0</v>
      </c>
      <c r="T26" s="35">
        <v>0</v>
      </c>
      <c r="U26" s="35">
        <v>0</v>
      </c>
      <c r="V26" s="35">
        <v>0</v>
      </c>
      <c r="W26" s="32">
        <f t="shared" si="4"/>
        <v>0</v>
      </c>
    </row>
    <row r="27" spans="1:30" ht="16" x14ac:dyDescent="0.2">
      <c r="A27" s="35">
        <v>23</v>
      </c>
      <c r="B27" s="35" t="s">
        <v>1</v>
      </c>
      <c r="C27" s="34"/>
      <c r="D27" s="35">
        <v>0</v>
      </c>
      <c r="E27" s="35">
        <v>0</v>
      </c>
      <c r="F27" s="35">
        <v>0</v>
      </c>
      <c r="G27" s="35">
        <v>0</v>
      </c>
      <c r="H27" s="33">
        <f t="shared" si="0"/>
        <v>0</v>
      </c>
      <c r="I27" s="35">
        <v>0</v>
      </c>
      <c r="J27" s="35">
        <v>0</v>
      </c>
      <c r="K27" s="35">
        <v>0</v>
      </c>
      <c r="L27" s="35">
        <v>0</v>
      </c>
      <c r="M27" s="32">
        <f t="shared" si="5"/>
        <v>0</v>
      </c>
      <c r="N27" s="35">
        <v>0</v>
      </c>
      <c r="O27" s="35">
        <v>0</v>
      </c>
      <c r="P27" s="35">
        <v>0</v>
      </c>
      <c r="Q27" s="35">
        <v>0</v>
      </c>
      <c r="R27" s="32">
        <f t="shared" si="2"/>
        <v>0</v>
      </c>
      <c r="S27" s="35">
        <v>0</v>
      </c>
      <c r="T27" s="35">
        <v>0</v>
      </c>
      <c r="U27" s="35">
        <v>0</v>
      </c>
      <c r="V27" s="35">
        <v>0</v>
      </c>
      <c r="W27" s="32">
        <f t="shared" si="4"/>
        <v>0</v>
      </c>
    </row>
    <row r="28" spans="1:30" ht="16" x14ac:dyDescent="0.2">
      <c r="A28" s="35">
        <v>24</v>
      </c>
      <c r="B28" s="35" t="s">
        <v>1</v>
      </c>
      <c r="C28" s="34"/>
      <c r="D28" s="35">
        <v>0</v>
      </c>
      <c r="E28" s="35">
        <v>0</v>
      </c>
      <c r="F28" s="35">
        <v>0</v>
      </c>
      <c r="G28" s="35">
        <v>0</v>
      </c>
      <c r="H28" s="33">
        <f t="shared" si="0"/>
        <v>0</v>
      </c>
      <c r="I28" s="35">
        <v>0</v>
      </c>
      <c r="J28" s="35">
        <v>0</v>
      </c>
      <c r="K28" s="35">
        <v>0</v>
      </c>
      <c r="L28" s="35">
        <v>0</v>
      </c>
      <c r="M28" s="32">
        <f t="shared" si="5"/>
        <v>0</v>
      </c>
      <c r="N28" s="35">
        <v>0</v>
      </c>
      <c r="O28" s="35">
        <v>0</v>
      </c>
      <c r="P28" s="35">
        <v>0</v>
      </c>
      <c r="Q28" s="35">
        <v>0</v>
      </c>
      <c r="R28" s="32">
        <f t="shared" si="2"/>
        <v>0</v>
      </c>
      <c r="S28" s="35">
        <v>0</v>
      </c>
      <c r="T28" s="35">
        <v>0</v>
      </c>
      <c r="U28" s="35">
        <v>0</v>
      </c>
      <c r="V28" s="35">
        <v>0</v>
      </c>
      <c r="W28" s="32">
        <f t="shared" si="4"/>
        <v>0</v>
      </c>
    </row>
    <row r="29" spans="1:30" ht="16" x14ac:dyDescent="0.2">
      <c r="A29" s="35">
        <v>25</v>
      </c>
      <c r="B29" s="35" t="s">
        <v>1</v>
      </c>
      <c r="C29" s="34"/>
      <c r="D29" s="35">
        <v>2</v>
      </c>
      <c r="E29" s="35">
        <v>0</v>
      </c>
      <c r="F29" s="35">
        <v>2</v>
      </c>
      <c r="G29" s="35">
        <v>0</v>
      </c>
      <c r="H29" s="33">
        <f t="shared" si="0"/>
        <v>4</v>
      </c>
      <c r="I29" s="35">
        <v>0</v>
      </c>
      <c r="J29" s="35">
        <v>0</v>
      </c>
      <c r="K29" s="35">
        <v>0</v>
      </c>
      <c r="L29" s="35">
        <v>0</v>
      </c>
      <c r="M29" s="32">
        <f t="shared" si="5"/>
        <v>0</v>
      </c>
      <c r="N29" s="35">
        <v>1</v>
      </c>
      <c r="O29" s="35">
        <v>0</v>
      </c>
      <c r="P29" s="35">
        <v>2</v>
      </c>
      <c r="Q29" s="35">
        <v>0</v>
      </c>
      <c r="R29" s="32">
        <f t="shared" si="2"/>
        <v>3</v>
      </c>
      <c r="S29" s="35">
        <v>0</v>
      </c>
      <c r="T29" s="35">
        <v>0</v>
      </c>
      <c r="U29" s="35">
        <v>0</v>
      </c>
      <c r="V29" s="35">
        <v>0</v>
      </c>
      <c r="W29" s="32">
        <f t="shared" si="4"/>
        <v>0</v>
      </c>
    </row>
    <row r="30" spans="1:30" ht="16" x14ac:dyDescent="0.2">
      <c r="A30" s="35">
        <v>26</v>
      </c>
      <c r="B30" s="35" t="s">
        <v>1</v>
      </c>
      <c r="C30" s="34"/>
      <c r="D30" s="35">
        <v>0</v>
      </c>
      <c r="E30" s="35">
        <v>0</v>
      </c>
      <c r="F30" s="35">
        <v>0</v>
      </c>
      <c r="G30" s="35">
        <v>0</v>
      </c>
      <c r="H30" s="33">
        <f t="shared" si="0"/>
        <v>0</v>
      </c>
      <c r="I30" s="35">
        <v>0</v>
      </c>
      <c r="J30" s="35">
        <v>0</v>
      </c>
      <c r="K30" s="35">
        <v>0</v>
      </c>
      <c r="L30" s="35">
        <v>0</v>
      </c>
      <c r="M30" s="32">
        <f t="shared" si="5"/>
        <v>0</v>
      </c>
      <c r="N30" s="35">
        <v>0</v>
      </c>
      <c r="O30" s="35">
        <v>0</v>
      </c>
      <c r="P30" s="35">
        <v>0</v>
      </c>
      <c r="Q30" s="35">
        <v>0</v>
      </c>
      <c r="R30" s="32">
        <f t="shared" si="2"/>
        <v>0</v>
      </c>
      <c r="S30" s="35">
        <v>0</v>
      </c>
      <c r="T30" s="35">
        <v>0</v>
      </c>
      <c r="U30" s="35">
        <v>0</v>
      </c>
      <c r="V30" s="35">
        <v>0</v>
      </c>
      <c r="W30" s="32">
        <f t="shared" si="4"/>
        <v>0</v>
      </c>
    </row>
    <row r="31" spans="1:30" ht="16" x14ac:dyDescent="0.2">
      <c r="A31" s="35">
        <v>27</v>
      </c>
      <c r="B31" s="35" t="s">
        <v>1</v>
      </c>
      <c r="C31" s="34"/>
      <c r="D31" s="35">
        <v>0</v>
      </c>
      <c r="E31" s="35">
        <v>1</v>
      </c>
      <c r="F31" s="35">
        <v>3</v>
      </c>
      <c r="G31" s="35">
        <v>0</v>
      </c>
      <c r="H31" s="33">
        <f t="shared" si="0"/>
        <v>4</v>
      </c>
      <c r="I31" s="35">
        <v>0</v>
      </c>
      <c r="J31" s="35">
        <v>1</v>
      </c>
      <c r="K31" s="35">
        <v>0</v>
      </c>
      <c r="L31" s="35">
        <v>0</v>
      </c>
      <c r="M31" s="32">
        <f t="shared" si="5"/>
        <v>1</v>
      </c>
      <c r="N31" s="35">
        <v>0</v>
      </c>
      <c r="O31" s="35">
        <v>0</v>
      </c>
      <c r="P31" s="35">
        <v>3</v>
      </c>
      <c r="Q31" s="35">
        <v>0</v>
      </c>
      <c r="R31" s="32">
        <f t="shared" si="2"/>
        <v>3</v>
      </c>
      <c r="S31" s="35">
        <v>0</v>
      </c>
      <c r="T31" s="35">
        <v>0</v>
      </c>
      <c r="U31" s="35">
        <v>0</v>
      </c>
      <c r="V31" s="35">
        <v>0</v>
      </c>
      <c r="W31" s="32">
        <f t="shared" si="4"/>
        <v>0</v>
      </c>
    </row>
    <row r="32" spans="1:30" ht="16" x14ac:dyDescent="0.2">
      <c r="A32" s="35">
        <v>28</v>
      </c>
      <c r="B32" s="35" t="s">
        <v>1</v>
      </c>
      <c r="C32" s="34"/>
      <c r="D32" s="35">
        <v>1</v>
      </c>
      <c r="E32" s="35">
        <v>1</v>
      </c>
      <c r="F32" s="35">
        <v>4</v>
      </c>
      <c r="G32" s="35">
        <v>0</v>
      </c>
      <c r="H32" s="33">
        <f t="shared" si="0"/>
        <v>6</v>
      </c>
      <c r="I32" s="35">
        <v>0</v>
      </c>
      <c r="J32" s="35">
        <v>0</v>
      </c>
      <c r="K32" s="35">
        <v>2</v>
      </c>
      <c r="L32" s="35">
        <v>0</v>
      </c>
      <c r="M32" s="32">
        <f t="shared" si="5"/>
        <v>2</v>
      </c>
      <c r="N32" s="35">
        <v>2</v>
      </c>
      <c r="O32" s="35">
        <v>1</v>
      </c>
      <c r="P32" s="35">
        <v>2</v>
      </c>
      <c r="Q32" s="35">
        <v>0</v>
      </c>
      <c r="R32" s="32">
        <f t="shared" si="2"/>
        <v>5</v>
      </c>
      <c r="S32" s="35">
        <v>0</v>
      </c>
      <c r="T32" s="35">
        <v>0</v>
      </c>
      <c r="U32" s="35">
        <v>0</v>
      </c>
      <c r="V32" s="35">
        <v>0</v>
      </c>
      <c r="W32" s="32">
        <f t="shared" si="4"/>
        <v>0</v>
      </c>
    </row>
    <row r="33" spans="1:23" ht="16" x14ac:dyDescent="0.2">
      <c r="A33" s="35">
        <v>29</v>
      </c>
      <c r="B33" s="35" t="s">
        <v>1</v>
      </c>
      <c r="C33" s="34"/>
      <c r="D33" s="35">
        <v>0</v>
      </c>
      <c r="E33" s="35">
        <v>0</v>
      </c>
      <c r="F33" s="35">
        <v>0</v>
      </c>
      <c r="G33" s="35">
        <v>0</v>
      </c>
      <c r="H33" s="33">
        <f t="shared" si="0"/>
        <v>0</v>
      </c>
      <c r="I33" s="35">
        <v>0</v>
      </c>
      <c r="J33" s="35">
        <v>0</v>
      </c>
      <c r="K33" s="35">
        <v>0</v>
      </c>
      <c r="L33" s="35">
        <v>0</v>
      </c>
      <c r="M33" s="32">
        <f t="shared" si="5"/>
        <v>0</v>
      </c>
      <c r="N33" s="35">
        <v>0</v>
      </c>
      <c r="O33" s="35">
        <v>0</v>
      </c>
      <c r="P33" s="35">
        <v>0</v>
      </c>
      <c r="Q33" s="35">
        <v>0</v>
      </c>
      <c r="R33" s="32">
        <f t="shared" si="2"/>
        <v>0</v>
      </c>
      <c r="S33" s="35">
        <v>0</v>
      </c>
      <c r="T33" s="35">
        <v>0</v>
      </c>
      <c r="U33" s="35">
        <v>0</v>
      </c>
      <c r="V33" s="35">
        <v>0</v>
      </c>
      <c r="W33" s="32">
        <f t="shared" si="4"/>
        <v>0</v>
      </c>
    </row>
    <row r="34" spans="1:23" ht="16" x14ac:dyDescent="0.2">
      <c r="A34" s="35">
        <v>30</v>
      </c>
      <c r="B34" s="35" t="s">
        <v>2</v>
      </c>
      <c r="C34" s="34"/>
      <c r="D34" s="35">
        <v>2</v>
      </c>
      <c r="E34" s="35">
        <v>1</v>
      </c>
      <c r="F34" s="35">
        <v>3</v>
      </c>
      <c r="G34" s="35">
        <v>0</v>
      </c>
      <c r="H34" s="33">
        <f t="shared" si="0"/>
        <v>6</v>
      </c>
      <c r="I34" s="35">
        <v>0</v>
      </c>
      <c r="J34" s="35">
        <v>2</v>
      </c>
      <c r="K34" s="35">
        <v>1</v>
      </c>
      <c r="L34" s="35">
        <v>0</v>
      </c>
      <c r="M34" s="32">
        <f t="shared" si="5"/>
        <v>3</v>
      </c>
      <c r="N34" s="35">
        <v>0</v>
      </c>
      <c r="O34" s="35">
        <v>4</v>
      </c>
      <c r="P34" s="35">
        <v>3</v>
      </c>
      <c r="Q34" s="35">
        <v>0</v>
      </c>
      <c r="R34" s="32">
        <f t="shared" si="2"/>
        <v>7</v>
      </c>
      <c r="S34" s="35">
        <v>0</v>
      </c>
      <c r="T34" s="35">
        <v>0</v>
      </c>
      <c r="U34" s="35">
        <v>2</v>
      </c>
      <c r="V34" s="35">
        <v>0</v>
      </c>
      <c r="W34" s="32">
        <f>SUM(S34:V34)</f>
        <v>2</v>
      </c>
    </row>
    <row r="35" spans="1:23" ht="16" x14ac:dyDescent="0.2">
      <c r="A35" s="35">
        <v>31</v>
      </c>
      <c r="B35" s="35" t="s">
        <v>1</v>
      </c>
      <c r="C35" s="34"/>
      <c r="D35" s="35">
        <v>1</v>
      </c>
      <c r="E35" s="35">
        <v>0</v>
      </c>
      <c r="F35" s="35">
        <v>6</v>
      </c>
      <c r="G35" s="35">
        <v>0</v>
      </c>
      <c r="H35" s="33">
        <f t="shared" si="0"/>
        <v>7</v>
      </c>
      <c r="I35" s="35">
        <v>0</v>
      </c>
      <c r="J35" s="35">
        <v>0</v>
      </c>
      <c r="K35" s="35">
        <v>0</v>
      </c>
      <c r="L35" s="35">
        <v>0</v>
      </c>
      <c r="M35" s="32">
        <f t="shared" si="5"/>
        <v>0</v>
      </c>
      <c r="N35" s="35">
        <v>0</v>
      </c>
      <c r="O35" s="35">
        <v>3</v>
      </c>
      <c r="P35" s="35">
        <v>2</v>
      </c>
      <c r="Q35" s="35">
        <v>0</v>
      </c>
      <c r="R35" s="32">
        <f t="shared" si="2"/>
        <v>5</v>
      </c>
      <c r="S35" s="35">
        <v>0</v>
      </c>
      <c r="T35" s="35">
        <v>0</v>
      </c>
      <c r="U35" s="35">
        <v>0</v>
      </c>
      <c r="V35" s="35">
        <v>0</v>
      </c>
      <c r="W35" s="32">
        <f t="shared" ref="W35:W59" si="6">SUM(S35:V35)</f>
        <v>0</v>
      </c>
    </row>
    <row r="36" spans="1:23" ht="16" x14ac:dyDescent="0.2">
      <c r="A36" s="35">
        <v>32</v>
      </c>
      <c r="B36" s="35" t="s">
        <v>2</v>
      </c>
      <c r="C36" s="34"/>
      <c r="D36" s="35">
        <v>1</v>
      </c>
      <c r="E36" s="35">
        <v>3</v>
      </c>
      <c r="F36" s="35">
        <v>2</v>
      </c>
      <c r="G36" s="35">
        <v>0</v>
      </c>
      <c r="H36" s="33">
        <f t="shared" si="0"/>
        <v>6</v>
      </c>
      <c r="I36" s="35">
        <v>0</v>
      </c>
      <c r="J36" s="35">
        <v>0</v>
      </c>
      <c r="K36" s="35">
        <v>1</v>
      </c>
      <c r="L36" s="35">
        <v>0</v>
      </c>
      <c r="M36" s="32">
        <f t="shared" si="5"/>
        <v>1</v>
      </c>
      <c r="N36" s="35">
        <v>2</v>
      </c>
      <c r="O36" s="35">
        <v>4</v>
      </c>
      <c r="P36" s="35">
        <v>5</v>
      </c>
      <c r="Q36" s="35">
        <v>0</v>
      </c>
      <c r="R36" s="32">
        <f t="shared" si="2"/>
        <v>11</v>
      </c>
      <c r="S36" s="35">
        <v>0</v>
      </c>
      <c r="T36" s="35">
        <v>0</v>
      </c>
      <c r="U36" s="35">
        <v>0</v>
      </c>
      <c r="V36" s="35">
        <v>0</v>
      </c>
      <c r="W36" s="32">
        <f t="shared" si="6"/>
        <v>0</v>
      </c>
    </row>
    <row r="37" spans="1:23" ht="16" x14ac:dyDescent="0.2">
      <c r="A37" s="35">
        <v>33</v>
      </c>
      <c r="B37" s="35" t="s">
        <v>1</v>
      </c>
      <c r="C37" s="34"/>
      <c r="D37" s="35">
        <v>2</v>
      </c>
      <c r="E37" s="35">
        <v>4</v>
      </c>
      <c r="F37" s="35">
        <v>5</v>
      </c>
      <c r="G37" s="35">
        <v>0</v>
      </c>
      <c r="H37" s="33">
        <f t="shared" ref="H37:H68" si="7">SUM(D37:G37)</f>
        <v>11</v>
      </c>
      <c r="I37" s="35">
        <v>0</v>
      </c>
      <c r="J37" s="35">
        <v>1</v>
      </c>
      <c r="K37" s="35">
        <v>0</v>
      </c>
      <c r="L37" s="35">
        <v>0</v>
      </c>
      <c r="M37" s="32">
        <f t="shared" si="5"/>
        <v>1</v>
      </c>
      <c r="N37" s="35">
        <v>0</v>
      </c>
      <c r="O37" s="35">
        <v>3</v>
      </c>
      <c r="P37" s="35">
        <v>2</v>
      </c>
      <c r="Q37" s="35">
        <v>0</v>
      </c>
      <c r="R37" s="32">
        <f t="shared" si="2"/>
        <v>5</v>
      </c>
      <c r="S37" s="35">
        <v>0</v>
      </c>
      <c r="T37" s="35">
        <v>0</v>
      </c>
      <c r="U37" s="35">
        <v>0</v>
      </c>
      <c r="V37" s="35">
        <v>0</v>
      </c>
      <c r="W37" s="32">
        <f t="shared" si="6"/>
        <v>0</v>
      </c>
    </row>
    <row r="38" spans="1:23" ht="16" x14ac:dyDescent="0.2">
      <c r="A38" s="35">
        <v>34</v>
      </c>
      <c r="B38" s="35" t="s">
        <v>1</v>
      </c>
      <c r="C38" s="34"/>
      <c r="D38" s="35">
        <v>0</v>
      </c>
      <c r="E38" s="35">
        <v>0</v>
      </c>
      <c r="F38" s="35">
        <v>0</v>
      </c>
      <c r="G38" s="35">
        <v>0</v>
      </c>
      <c r="H38" s="33">
        <f t="shared" si="7"/>
        <v>0</v>
      </c>
      <c r="I38" s="35">
        <v>0</v>
      </c>
      <c r="J38" s="35">
        <v>0</v>
      </c>
      <c r="K38" s="35">
        <v>0</v>
      </c>
      <c r="L38" s="35">
        <v>0</v>
      </c>
      <c r="M38" s="32">
        <f t="shared" ref="M38:M58" si="8">SUM(I38:L38)</f>
        <v>0</v>
      </c>
      <c r="N38" s="35">
        <v>0</v>
      </c>
      <c r="O38" s="35">
        <v>0</v>
      </c>
      <c r="P38" s="35">
        <v>0</v>
      </c>
      <c r="Q38" s="35">
        <v>0</v>
      </c>
      <c r="R38" s="32">
        <f t="shared" ref="R38:R59" si="9">SUM(N38:Q38)</f>
        <v>0</v>
      </c>
      <c r="S38" s="35">
        <v>0</v>
      </c>
      <c r="T38" s="35">
        <v>0</v>
      </c>
      <c r="U38" s="35">
        <v>0</v>
      </c>
      <c r="V38" s="35">
        <v>0</v>
      </c>
      <c r="W38" s="32">
        <f t="shared" si="6"/>
        <v>0</v>
      </c>
    </row>
    <row r="39" spans="1:23" ht="16" x14ac:dyDescent="0.2">
      <c r="A39" s="35">
        <v>35</v>
      </c>
      <c r="B39" s="35" t="s">
        <v>2</v>
      </c>
      <c r="C39" s="34"/>
      <c r="D39" s="35">
        <v>2</v>
      </c>
      <c r="E39" s="35">
        <v>0</v>
      </c>
      <c r="F39" s="35">
        <v>3</v>
      </c>
      <c r="G39" s="35">
        <v>0</v>
      </c>
      <c r="H39" s="33">
        <f t="shared" si="7"/>
        <v>5</v>
      </c>
      <c r="I39" s="35">
        <v>0</v>
      </c>
      <c r="J39" s="35">
        <v>0</v>
      </c>
      <c r="K39" s="35">
        <v>0</v>
      </c>
      <c r="L39" s="35">
        <v>0</v>
      </c>
      <c r="M39" s="32">
        <f t="shared" si="8"/>
        <v>0</v>
      </c>
      <c r="N39" s="35">
        <v>0</v>
      </c>
      <c r="O39" s="35">
        <v>0</v>
      </c>
      <c r="P39" s="35">
        <v>3</v>
      </c>
      <c r="Q39" s="35">
        <v>0</v>
      </c>
      <c r="R39" s="32">
        <f t="shared" si="9"/>
        <v>3</v>
      </c>
      <c r="S39" s="35">
        <v>0</v>
      </c>
      <c r="T39" s="35">
        <v>0</v>
      </c>
      <c r="U39" s="35">
        <v>0</v>
      </c>
      <c r="V39" s="35">
        <v>0</v>
      </c>
      <c r="W39" s="32">
        <f t="shared" si="6"/>
        <v>0</v>
      </c>
    </row>
    <row r="40" spans="1:23" ht="16" x14ac:dyDescent="0.2">
      <c r="A40" s="35">
        <v>36</v>
      </c>
      <c r="B40" s="35" t="s">
        <v>2</v>
      </c>
      <c r="C40" s="34"/>
      <c r="D40" s="35">
        <v>1</v>
      </c>
      <c r="E40" s="35">
        <v>1</v>
      </c>
      <c r="F40" s="35">
        <v>2</v>
      </c>
      <c r="G40" s="35">
        <v>0</v>
      </c>
      <c r="H40" s="33">
        <f t="shared" si="7"/>
        <v>4</v>
      </c>
      <c r="I40" s="35">
        <v>0</v>
      </c>
      <c r="J40" s="35">
        <v>0</v>
      </c>
      <c r="K40" s="35">
        <v>0</v>
      </c>
      <c r="L40" s="35">
        <v>0</v>
      </c>
      <c r="M40" s="32">
        <f t="shared" si="8"/>
        <v>0</v>
      </c>
      <c r="N40" s="35">
        <v>2</v>
      </c>
      <c r="O40" s="35">
        <v>1</v>
      </c>
      <c r="P40" s="35">
        <v>4</v>
      </c>
      <c r="Q40" s="35">
        <v>0</v>
      </c>
      <c r="R40" s="32">
        <f t="shared" si="9"/>
        <v>7</v>
      </c>
      <c r="S40" s="35">
        <v>0</v>
      </c>
      <c r="T40" s="35">
        <v>1</v>
      </c>
      <c r="U40" s="35">
        <v>0</v>
      </c>
      <c r="V40" s="35">
        <v>0</v>
      </c>
      <c r="W40" s="32">
        <f t="shared" si="6"/>
        <v>1</v>
      </c>
    </row>
    <row r="41" spans="1:23" ht="16" x14ac:dyDescent="0.2">
      <c r="A41" s="35">
        <v>37</v>
      </c>
      <c r="B41" s="35" t="s">
        <v>2</v>
      </c>
      <c r="C41" s="34"/>
      <c r="D41" s="35">
        <v>1</v>
      </c>
      <c r="E41" s="35">
        <v>1</v>
      </c>
      <c r="F41" s="35">
        <v>3</v>
      </c>
      <c r="G41" s="35">
        <v>0</v>
      </c>
      <c r="H41" s="33">
        <f t="shared" si="7"/>
        <v>5</v>
      </c>
      <c r="I41" s="35">
        <v>0</v>
      </c>
      <c r="J41" s="35">
        <v>2</v>
      </c>
      <c r="K41" s="35">
        <v>0</v>
      </c>
      <c r="L41" s="35">
        <v>0</v>
      </c>
      <c r="M41" s="32">
        <f t="shared" si="8"/>
        <v>2</v>
      </c>
      <c r="N41" s="35">
        <v>0</v>
      </c>
      <c r="O41" s="35">
        <v>3</v>
      </c>
      <c r="P41" s="35">
        <v>5</v>
      </c>
      <c r="Q41" s="35">
        <v>0</v>
      </c>
      <c r="R41" s="32">
        <f t="shared" si="9"/>
        <v>8</v>
      </c>
      <c r="S41" s="35">
        <v>0</v>
      </c>
      <c r="T41" s="35">
        <v>0</v>
      </c>
      <c r="U41" s="35">
        <v>0</v>
      </c>
      <c r="V41" s="35">
        <v>0</v>
      </c>
      <c r="W41" s="32">
        <f t="shared" si="6"/>
        <v>0</v>
      </c>
    </row>
    <row r="42" spans="1:23" ht="16" x14ac:dyDescent="0.2">
      <c r="A42" s="35">
        <v>38</v>
      </c>
      <c r="B42" s="35" t="s">
        <v>2</v>
      </c>
      <c r="C42" s="34"/>
      <c r="D42" s="35">
        <v>0</v>
      </c>
      <c r="E42" s="35">
        <v>1</v>
      </c>
      <c r="F42" s="35">
        <v>0</v>
      </c>
      <c r="G42" s="35">
        <v>0</v>
      </c>
      <c r="H42" s="33">
        <f t="shared" si="7"/>
        <v>1</v>
      </c>
      <c r="I42" s="35">
        <v>0</v>
      </c>
      <c r="J42" s="35">
        <v>0</v>
      </c>
      <c r="K42" s="35">
        <v>0</v>
      </c>
      <c r="L42" s="35">
        <v>0</v>
      </c>
      <c r="M42" s="32">
        <f t="shared" si="8"/>
        <v>0</v>
      </c>
      <c r="N42" s="35">
        <v>0</v>
      </c>
      <c r="O42" s="35">
        <v>0</v>
      </c>
      <c r="P42" s="35">
        <v>1</v>
      </c>
      <c r="Q42" s="35">
        <v>0</v>
      </c>
      <c r="R42" s="32">
        <f t="shared" si="9"/>
        <v>1</v>
      </c>
      <c r="S42" s="35">
        <v>0</v>
      </c>
      <c r="T42" s="35">
        <v>0</v>
      </c>
      <c r="U42" s="35">
        <v>0</v>
      </c>
      <c r="V42" s="35">
        <v>0</v>
      </c>
      <c r="W42" s="32">
        <f t="shared" si="6"/>
        <v>0</v>
      </c>
    </row>
    <row r="43" spans="1:23" ht="16" x14ac:dyDescent="0.2">
      <c r="A43" s="35">
        <v>39</v>
      </c>
      <c r="B43" s="35" t="s">
        <v>2</v>
      </c>
      <c r="C43" s="34"/>
      <c r="D43" s="35">
        <v>1</v>
      </c>
      <c r="E43" s="35">
        <v>0</v>
      </c>
      <c r="F43" s="35">
        <v>1</v>
      </c>
      <c r="G43" s="35">
        <v>0</v>
      </c>
      <c r="H43" s="33">
        <f t="shared" si="7"/>
        <v>2</v>
      </c>
      <c r="I43" s="35">
        <v>0</v>
      </c>
      <c r="J43" s="35">
        <v>0</v>
      </c>
      <c r="K43" s="35">
        <v>0</v>
      </c>
      <c r="L43" s="35">
        <v>0</v>
      </c>
      <c r="M43" s="32">
        <f t="shared" si="8"/>
        <v>0</v>
      </c>
      <c r="N43" s="35">
        <v>0</v>
      </c>
      <c r="O43" s="35">
        <v>2</v>
      </c>
      <c r="P43" s="35">
        <v>1</v>
      </c>
      <c r="Q43" s="35">
        <v>0</v>
      </c>
      <c r="R43" s="32">
        <f t="shared" si="9"/>
        <v>3</v>
      </c>
      <c r="S43" s="35">
        <v>0</v>
      </c>
      <c r="T43" s="35">
        <v>0</v>
      </c>
      <c r="U43" s="35">
        <v>0</v>
      </c>
      <c r="V43" s="35">
        <v>0</v>
      </c>
      <c r="W43" s="32">
        <f t="shared" si="6"/>
        <v>0</v>
      </c>
    </row>
    <row r="44" spans="1:23" ht="16" x14ac:dyDescent="0.2">
      <c r="A44" s="35">
        <v>40</v>
      </c>
      <c r="B44" s="35" t="s">
        <v>1</v>
      </c>
      <c r="C44" s="34"/>
      <c r="D44" s="35">
        <v>2</v>
      </c>
      <c r="E44" s="35">
        <v>1</v>
      </c>
      <c r="F44" s="35">
        <v>2</v>
      </c>
      <c r="G44" s="35">
        <v>0</v>
      </c>
      <c r="H44" s="33">
        <f t="shared" si="7"/>
        <v>5</v>
      </c>
      <c r="I44" s="35">
        <v>0</v>
      </c>
      <c r="J44" s="35">
        <v>0</v>
      </c>
      <c r="K44" s="35">
        <v>0</v>
      </c>
      <c r="L44" s="35">
        <v>0</v>
      </c>
      <c r="M44" s="32">
        <f t="shared" si="8"/>
        <v>0</v>
      </c>
      <c r="N44" s="35">
        <v>2</v>
      </c>
      <c r="O44" s="35">
        <v>0</v>
      </c>
      <c r="P44" s="35">
        <v>2</v>
      </c>
      <c r="Q44" s="35">
        <v>0</v>
      </c>
      <c r="R44" s="32">
        <f t="shared" si="9"/>
        <v>4</v>
      </c>
      <c r="S44" s="35">
        <v>0</v>
      </c>
      <c r="T44" s="35">
        <v>0</v>
      </c>
      <c r="U44" s="35">
        <v>0</v>
      </c>
      <c r="V44" s="35">
        <v>0</v>
      </c>
      <c r="W44" s="32">
        <f t="shared" si="6"/>
        <v>0</v>
      </c>
    </row>
    <row r="45" spans="1:23" ht="16" x14ac:dyDescent="0.2">
      <c r="A45" s="35">
        <v>41</v>
      </c>
      <c r="B45" s="35" t="s">
        <v>2</v>
      </c>
      <c r="C45" s="34"/>
      <c r="D45" s="35">
        <v>0</v>
      </c>
      <c r="E45" s="35">
        <v>3</v>
      </c>
      <c r="F45" s="35">
        <v>0</v>
      </c>
      <c r="G45" s="35">
        <v>0</v>
      </c>
      <c r="H45" s="33">
        <f t="shared" si="7"/>
        <v>3</v>
      </c>
      <c r="I45" s="35">
        <v>0</v>
      </c>
      <c r="J45" s="35">
        <v>0</v>
      </c>
      <c r="K45" s="35">
        <v>0</v>
      </c>
      <c r="L45" s="35">
        <v>0</v>
      </c>
      <c r="M45" s="32">
        <f t="shared" si="8"/>
        <v>0</v>
      </c>
      <c r="N45" s="35">
        <v>1</v>
      </c>
      <c r="O45" s="35">
        <v>1</v>
      </c>
      <c r="P45" s="35">
        <v>1</v>
      </c>
      <c r="Q45" s="35">
        <v>0</v>
      </c>
      <c r="R45" s="32">
        <f t="shared" si="9"/>
        <v>3</v>
      </c>
      <c r="S45" s="35">
        <v>0</v>
      </c>
      <c r="T45" s="35">
        <v>1</v>
      </c>
      <c r="U45" s="35">
        <v>0</v>
      </c>
      <c r="V45" s="35">
        <v>0</v>
      </c>
      <c r="W45" s="32">
        <f t="shared" si="6"/>
        <v>1</v>
      </c>
    </row>
    <row r="46" spans="1:23" ht="16" x14ac:dyDescent="0.2">
      <c r="A46" s="35">
        <v>42</v>
      </c>
      <c r="B46" s="35" t="s">
        <v>1</v>
      </c>
      <c r="C46" s="34"/>
      <c r="D46" s="35">
        <v>2</v>
      </c>
      <c r="E46" s="35">
        <v>1</v>
      </c>
      <c r="F46" s="35">
        <v>4</v>
      </c>
      <c r="G46" s="35">
        <v>0</v>
      </c>
      <c r="H46" s="33">
        <f t="shared" si="7"/>
        <v>7</v>
      </c>
      <c r="I46" s="35">
        <v>0</v>
      </c>
      <c r="J46" s="35">
        <v>0</v>
      </c>
      <c r="K46" s="35">
        <v>1</v>
      </c>
      <c r="L46" s="35">
        <v>0</v>
      </c>
      <c r="M46" s="32">
        <f t="shared" si="8"/>
        <v>1</v>
      </c>
      <c r="N46" s="35">
        <v>0</v>
      </c>
      <c r="O46" s="35">
        <v>2</v>
      </c>
      <c r="P46" s="35">
        <v>1</v>
      </c>
      <c r="Q46" s="35">
        <v>0</v>
      </c>
      <c r="R46" s="32">
        <f t="shared" si="9"/>
        <v>3</v>
      </c>
      <c r="S46" s="35">
        <v>0</v>
      </c>
      <c r="T46" s="35">
        <v>0</v>
      </c>
      <c r="U46" s="35">
        <v>0</v>
      </c>
      <c r="V46" s="35">
        <v>0</v>
      </c>
      <c r="W46" s="32">
        <f t="shared" si="6"/>
        <v>0</v>
      </c>
    </row>
    <row r="47" spans="1:23" ht="16" x14ac:dyDescent="0.2">
      <c r="A47" s="35">
        <v>43</v>
      </c>
      <c r="B47" s="35" t="s">
        <v>2</v>
      </c>
      <c r="C47" s="34"/>
      <c r="D47" s="35">
        <v>1</v>
      </c>
      <c r="E47" s="35">
        <v>0</v>
      </c>
      <c r="F47" s="35">
        <v>1</v>
      </c>
      <c r="G47" s="35">
        <v>0</v>
      </c>
      <c r="H47" s="33">
        <f t="shared" si="7"/>
        <v>2</v>
      </c>
      <c r="I47" s="35">
        <v>0</v>
      </c>
      <c r="J47" s="35">
        <v>0</v>
      </c>
      <c r="K47" s="35">
        <v>0</v>
      </c>
      <c r="L47" s="35">
        <v>0</v>
      </c>
      <c r="M47" s="32">
        <f t="shared" si="8"/>
        <v>0</v>
      </c>
      <c r="N47" s="35">
        <v>0</v>
      </c>
      <c r="O47" s="35">
        <v>0</v>
      </c>
      <c r="P47" s="35">
        <v>0</v>
      </c>
      <c r="Q47" s="35">
        <v>0</v>
      </c>
      <c r="R47" s="32">
        <f t="shared" si="9"/>
        <v>0</v>
      </c>
      <c r="S47" s="35">
        <v>0</v>
      </c>
      <c r="T47" s="35">
        <v>0</v>
      </c>
      <c r="U47" s="35">
        <v>0</v>
      </c>
      <c r="V47" s="35">
        <v>0</v>
      </c>
      <c r="W47" s="32">
        <f t="shared" si="6"/>
        <v>0</v>
      </c>
    </row>
    <row r="48" spans="1:23" ht="16" x14ac:dyDescent="0.2">
      <c r="A48" s="35">
        <v>44</v>
      </c>
      <c r="B48" s="35" t="s">
        <v>2</v>
      </c>
      <c r="C48" s="34"/>
      <c r="D48" s="35">
        <v>1</v>
      </c>
      <c r="E48" s="35">
        <v>0</v>
      </c>
      <c r="F48" s="35">
        <v>0</v>
      </c>
      <c r="G48" s="35">
        <v>0</v>
      </c>
      <c r="H48" s="33">
        <f t="shared" si="7"/>
        <v>1</v>
      </c>
      <c r="I48" s="35">
        <v>0</v>
      </c>
      <c r="J48" s="35">
        <v>0</v>
      </c>
      <c r="K48" s="35">
        <v>0</v>
      </c>
      <c r="L48" s="35">
        <v>0</v>
      </c>
      <c r="M48" s="32">
        <f t="shared" si="8"/>
        <v>0</v>
      </c>
      <c r="N48" s="35">
        <v>0</v>
      </c>
      <c r="O48" s="35">
        <v>4</v>
      </c>
      <c r="P48" s="35">
        <v>3</v>
      </c>
      <c r="Q48" s="35">
        <v>0</v>
      </c>
      <c r="R48" s="32">
        <f t="shared" si="9"/>
        <v>7</v>
      </c>
      <c r="S48" s="35">
        <v>0</v>
      </c>
      <c r="T48" s="35">
        <v>0</v>
      </c>
      <c r="U48" s="35">
        <v>0</v>
      </c>
      <c r="V48" s="35">
        <v>0</v>
      </c>
      <c r="W48" s="32">
        <f t="shared" si="6"/>
        <v>0</v>
      </c>
    </row>
    <row r="49" spans="1:23" ht="16" x14ac:dyDescent="0.2">
      <c r="A49" s="35">
        <v>45</v>
      </c>
      <c r="B49" s="35" t="s">
        <v>2</v>
      </c>
      <c r="C49" s="34"/>
      <c r="D49" s="35">
        <v>0</v>
      </c>
      <c r="E49" s="35">
        <v>2</v>
      </c>
      <c r="F49" s="35">
        <v>2</v>
      </c>
      <c r="G49" s="35">
        <v>0</v>
      </c>
      <c r="H49" s="33">
        <f t="shared" si="7"/>
        <v>4</v>
      </c>
      <c r="I49" s="35">
        <v>0</v>
      </c>
      <c r="J49" s="35">
        <v>0</v>
      </c>
      <c r="K49" s="35">
        <v>2</v>
      </c>
      <c r="L49" s="35">
        <v>0</v>
      </c>
      <c r="M49" s="32">
        <f t="shared" si="8"/>
        <v>2</v>
      </c>
      <c r="N49" s="35">
        <v>0</v>
      </c>
      <c r="O49" s="35">
        <v>3</v>
      </c>
      <c r="P49" s="35">
        <v>3</v>
      </c>
      <c r="Q49" s="35">
        <v>0</v>
      </c>
      <c r="R49" s="32">
        <f t="shared" si="9"/>
        <v>6</v>
      </c>
      <c r="S49" s="35">
        <v>0</v>
      </c>
      <c r="T49" s="35">
        <v>0</v>
      </c>
      <c r="U49" s="35">
        <v>0</v>
      </c>
      <c r="V49" s="35">
        <v>0</v>
      </c>
      <c r="W49" s="32">
        <f t="shared" si="6"/>
        <v>0</v>
      </c>
    </row>
    <row r="50" spans="1:23" ht="16" x14ac:dyDescent="0.2">
      <c r="A50" s="35">
        <v>46</v>
      </c>
      <c r="B50" s="35" t="s">
        <v>2</v>
      </c>
      <c r="C50" s="34"/>
      <c r="D50" s="35">
        <v>0</v>
      </c>
      <c r="E50" s="35">
        <v>2</v>
      </c>
      <c r="F50" s="35">
        <v>3</v>
      </c>
      <c r="G50" s="35">
        <v>0</v>
      </c>
      <c r="H50" s="33">
        <f t="shared" si="7"/>
        <v>5</v>
      </c>
      <c r="I50" s="35">
        <v>0</v>
      </c>
      <c r="J50" s="35">
        <v>0</v>
      </c>
      <c r="K50" s="35">
        <v>0</v>
      </c>
      <c r="L50" s="35">
        <v>0</v>
      </c>
      <c r="M50" s="32">
        <f t="shared" si="8"/>
        <v>0</v>
      </c>
      <c r="N50" s="35">
        <v>1</v>
      </c>
      <c r="O50" s="35">
        <v>2</v>
      </c>
      <c r="P50" s="35">
        <v>4</v>
      </c>
      <c r="Q50" s="35">
        <v>0</v>
      </c>
      <c r="R50" s="32">
        <f t="shared" si="9"/>
        <v>7</v>
      </c>
      <c r="S50" s="35">
        <v>0</v>
      </c>
      <c r="T50" s="35">
        <v>0</v>
      </c>
      <c r="U50" s="35">
        <v>0</v>
      </c>
      <c r="V50" s="35">
        <v>0</v>
      </c>
      <c r="W50" s="32">
        <f t="shared" si="6"/>
        <v>0</v>
      </c>
    </row>
    <row r="51" spans="1:23" ht="16" x14ac:dyDescent="0.2">
      <c r="A51" s="35">
        <v>47</v>
      </c>
      <c r="B51" s="35" t="s">
        <v>2</v>
      </c>
      <c r="C51" s="34"/>
      <c r="D51" s="35">
        <v>1</v>
      </c>
      <c r="E51" s="35">
        <v>0</v>
      </c>
      <c r="F51" s="35">
        <v>0</v>
      </c>
      <c r="G51" s="35">
        <v>0</v>
      </c>
      <c r="H51" s="33">
        <f t="shared" si="7"/>
        <v>1</v>
      </c>
      <c r="I51" s="35">
        <v>0</v>
      </c>
      <c r="J51" s="35">
        <v>0</v>
      </c>
      <c r="K51" s="35">
        <v>0</v>
      </c>
      <c r="L51" s="35">
        <v>0</v>
      </c>
      <c r="M51" s="32">
        <f t="shared" si="8"/>
        <v>0</v>
      </c>
      <c r="N51" s="35">
        <v>0</v>
      </c>
      <c r="O51" s="35">
        <v>0</v>
      </c>
      <c r="P51" s="35">
        <v>1</v>
      </c>
      <c r="Q51" s="35">
        <v>0</v>
      </c>
      <c r="R51" s="32">
        <f t="shared" si="9"/>
        <v>1</v>
      </c>
      <c r="S51" s="35">
        <v>0</v>
      </c>
      <c r="T51" s="35">
        <v>0</v>
      </c>
      <c r="U51" s="35">
        <v>0</v>
      </c>
      <c r="V51" s="35">
        <v>0</v>
      </c>
      <c r="W51" s="32">
        <f t="shared" si="6"/>
        <v>0</v>
      </c>
    </row>
    <row r="52" spans="1:23" ht="16" x14ac:dyDescent="0.2">
      <c r="A52" s="35">
        <v>48</v>
      </c>
      <c r="B52" s="35" t="s">
        <v>2</v>
      </c>
      <c r="C52" s="34"/>
      <c r="D52" s="35">
        <v>1</v>
      </c>
      <c r="E52" s="35">
        <v>1</v>
      </c>
      <c r="F52" s="35">
        <v>2</v>
      </c>
      <c r="G52" s="35">
        <v>0</v>
      </c>
      <c r="H52" s="33">
        <f t="shared" si="7"/>
        <v>4</v>
      </c>
      <c r="I52" s="35">
        <v>0</v>
      </c>
      <c r="J52" s="35">
        <v>1</v>
      </c>
      <c r="K52" s="35">
        <v>1</v>
      </c>
      <c r="L52" s="35">
        <v>0</v>
      </c>
      <c r="M52" s="32">
        <f t="shared" si="8"/>
        <v>2</v>
      </c>
      <c r="N52" s="35">
        <v>0</v>
      </c>
      <c r="O52" s="35">
        <v>3</v>
      </c>
      <c r="P52" s="35">
        <v>2</v>
      </c>
      <c r="Q52" s="35">
        <v>0</v>
      </c>
      <c r="R52" s="32">
        <f t="shared" si="9"/>
        <v>5</v>
      </c>
      <c r="S52" s="35">
        <v>0</v>
      </c>
      <c r="T52" s="35">
        <v>0</v>
      </c>
      <c r="U52" s="35">
        <v>0</v>
      </c>
      <c r="V52" s="35">
        <v>0</v>
      </c>
      <c r="W52" s="32">
        <f t="shared" si="6"/>
        <v>0</v>
      </c>
    </row>
    <row r="53" spans="1:23" ht="16" x14ac:dyDescent="0.2">
      <c r="A53" s="35">
        <v>49</v>
      </c>
      <c r="B53" s="35" t="s">
        <v>1</v>
      </c>
      <c r="C53" s="34"/>
      <c r="D53" s="35">
        <v>0</v>
      </c>
      <c r="E53" s="35">
        <v>2</v>
      </c>
      <c r="F53" s="35">
        <v>1</v>
      </c>
      <c r="G53" s="35">
        <v>0</v>
      </c>
      <c r="H53" s="33">
        <f t="shared" si="7"/>
        <v>3</v>
      </c>
      <c r="I53" s="35">
        <v>0</v>
      </c>
      <c r="J53" s="35">
        <v>0</v>
      </c>
      <c r="K53" s="35">
        <v>0</v>
      </c>
      <c r="L53" s="35">
        <v>0</v>
      </c>
      <c r="M53" s="32">
        <f t="shared" si="8"/>
        <v>0</v>
      </c>
      <c r="N53" s="35">
        <v>0</v>
      </c>
      <c r="O53" s="35">
        <v>2</v>
      </c>
      <c r="P53" s="35">
        <v>4</v>
      </c>
      <c r="Q53" s="35">
        <v>0</v>
      </c>
      <c r="R53" s="32">
        <f t="shared" si="9"/>
        <v>6</v>
      </c>
      <c r="S53" s="35">
        <v>0</v>
      </c>
      <c r="T53" s="35">
        <v>0</v>
      </c>
      <c r="U53" s="35">
        <v>0</v>
      </c>
      <c r="V53" s="35">
        <v>0</v>
      </c>
      <c r="W53" s="32">
        <f t="shared" si="6"/>
        <v>0</v>
      </c>
    </row>
    <row r="54" spans="1:23" ht="16" x14ac:dyDescent="0.2">
      <c r="A54" s="35">
        <v>50</v>
      </c>
      <c r="B54" s="35" t="s">
        <v>1</v>
      </c>
      <c r="C54" s="34"/>
      <c r="D54" s="35">
        <v>0</v>
      </c>
      <c r="E54" s="35">
        <v>2</v>
      </c>
      <c r="F54" s="35">
        <v>1</v>
      </c>
      <c r="G54" s="35">
        <v>0</v>
      </c>
      <c r="H54" s="33">
        <f t="shared" si="7"/>
        <v>3</v>
      </c>
      <c r="I54" s="35">
        <v>0</v>
      </c>
      <c r="J54" s="35">
        <v>0</v>
      </c>
      <c r="K54" s="35">
        <v>0</v>
      </c>
      <c r="L54" s="35">
        <v>0</v>
      </c>
      <c r="M54" s="32">
        <f t="shared" si="8"/>
        <v>0</v>
      </c>
      <c r="N54" s="35">
        <v>0</v>
      </c>
      <c r="O54" s="35">
        <v>1</v>
      </c>
      <c r="P54" s="35">
        <v>1</v>
      </c>
      <c r="Q54" s="35">
        <v>0</v>
      </c>
      <c r="R54" s="32">
        <f t="shared" si="9"/>
        <v>2</v>
      </c>
      <c r="S54" s="35">
        <v>0</v>
      </c>
      <c r="T54" s="35">
        <v>0</v>
      </c>
      <c r="U54" s="35">
        <v>0</v>
      </c>
      <c r="V54" s="35">
        <v>0</v>
      </c>
      <c r="W54" s="32">
        <f t="shared" si="6"/>
        <v>0</v>
      </c>
    </row>
    <row r="55" spans="1:23" ht="16" x14ac:dyDescent="0.2">
      <c r="A55" s="35">
        <v>51</v>
      </c>
      <c r="B55" s="35" t="s">
        <v>2</v>
      </c>
      <c r="C55" s="34"/>
      <c r="D55" s="35">
        <v>0</v>
      </c>
      <c r="E55" s="35">
        <v>0</v>
      </c>
      <c r="F55" s="35">
        <v>0</v>
      </c>
      <c r="G55" s="35">
        <v>0</v>
      </c>
      <c r="H55" s="33">
        <f t="shared" si="7"/>
        <v>0</v>
      </c>
      <c r="I55" s="35">
        <v>0</v>
      </c>
      <c r="J55" s="35">
        <v>0</v>
      </c>
      <c r="K55" s="35">
        <v>0</v>
      </c>
      <c r="L55" s="35">
        <v>0</v>
      </c>
      <c r="M55" s="32">
        <f t="shared" si="8"/>
        <v>0</v>
      </c>
      <c r="N55" s="35">
        <v>0</v>
      </c>
      <c r="O55" s="35">
        <v>0</v>
      </c>
      <c r="P55" s="35">
        <v>0</v>
      </c>
      <c r="Q55" s="35">
        <v>0</v>
      </c>
      <c r="R55" s="32">
        <f t="shared" si="9"/>
        <v>0</v>
      </c>
      <c r="S55" s="35">
        <v>0</v>
      </c>
      <c r="T55" s="35">
        <v>0</v>
      </c>
      <c r="U55" s="35">
        <v>0</v>
      </c>
      <c r="V55" s="35">
        <v>0</v>
      </c>
      <c r="W55" s="32">
        <f t="shared" si="6"/>
        <v>0</v>
      </c>
    </row>
    <row r="56" spans="1:23" ht="16" x14ac:dyDescent="0.2">
      <c r="A56" s="35">
        <v>52</v>
      </c>
      <c r="B56" s="35" t="s">
        <v>2</v>
      </c>
      <c r="C56" s="34"/>
      <c r="D56" s="35">
        <v>0</v>
      </c>
      <c r="E56" s="35">
        <v>0</v>
      </c>
      <c r="F56" s="35">
        <v>0</v>
      </c>
      <c r="G56" s="35">
        <v>0</v>
      </c>
      <c r="H56" s="33">
        <f t="shared" si="7"/>
        <v>0</v>
      </c>
      <c r="I56" s="35">
        <v>0</v>
      </c>
      <c r="J56" s="35">
        <v>0</v>
      </c>
      <c r="K56" s="35">
        <v>0</v>
      </c>
      <c r="L56" s="35">
        <v>0</v>
      </c>
      <c r="M56" s="32">
        <f t="shared" si="8"/>
        <v>0</v>
      </c>
      <c r="N56" s="35">
        <v>0</v>
      </c>
      <c r="O56" s="35">
        <v>0</v>
      </c>
      <c r="P56" s="35">
        <v>0</v>
      </c>
      <c r="Q56" s="35">
        <v>0</v>
      </c>
      <c r="R56" s="32">
        <f t="shared" si="9"/>
        <v>0</v>
      </c>
      <c r="S56" s="35">
        <v>0</v>
      </c>
      <c r="T56" s="35">
        <v>0</v>
      </c>
      <c r="U56" s="35">
        <v>0</v>
      </c>
      <c r="V56" s="35">
        <v>0</v>
      </c>
      <c r="W56" s="32">
        <f t="shared" si="6"/>
        <v>0</v>
      </c>
    </row>
    <row r="57" spans="1:23" ht="16" x14ac:dyDescent="0.2">
      <c r="A57" s="35">
        <v>53</v>
      </c>
      <c r="B57" s="35" t="s">
        <v>1</v>
      </c>
      <c r="C57" s="34"/>
      <c r="D57" s="35">
        <v>0</v>
      </c>
      <c r="E57" s="35">
        <v>0</v>
      </c>
      <c r="F57" s="35">
        <v>0</v>
      </c>
      <c r="G57" s="35">
        <v>0</v>
      </c>
      <c r="H57" s="33">
        <f t="shared" si="7"/>
        <v>0</v>
      </c>
      <c r="I57" s="35">
        <v>0</v>
      </c>
      <c r="J57" s="35">
        <v>0</v>
      </c>
      <c r="K57" s="35">
        <v>0</v>
      </c>
      <c r="L57" s="35">
        <v>0</v>
      </c>
      <c r="M57" s="32">
        <f t="shared" si="8"/>
        <v>0</v>
      </c>
      <c r="N57" s="35">
        <v>0</v>
      </c>
      <c r="O57" s="35">
        <v>0</v>
      </c>
      <c r="P57" s="35">
        <v>0</v>
      </c>
      <c r="Q57" s="35">
        <v>0</v>
      </c>
      <c r="R57" s="32">
        <f t="shared" si="9"/>
        <v>0</v>
      </c>
      <c r="S57" s="35">
        <v>0</v>
      </c>
      <c r="T57" s="35">
        <v>0</v>
      </c>
      <c r="U57" s="35">
        <v>0</v>
      </c>
      <c r="V57" s="35">
        <v>0</v>
      </c>
      <c r="W57" s="32">
        <f t="shared" si="6"/>
        <v>0</v>
      </c>
    </row>
    <row r="58" spans="1:23" ht="16" x14ac:dyDescent="0.2">
      <c r="A58" s="35">
        <v>54</v>
      </c>
      <c r="B58" s="35" t="s">
        <v>2</v>
      </c>
      <c r="C58" s="34"/>
      <c r="D58" s="35">
        <v>0</v>
      </c>
      <c r="E58" s="35">
        <v>0</v>
      </c>
      <c r="F58" s="35">
        <v>0</v>
      </c>
      <c r="G58" s="35">
        <v>0</v>
      </c>
      <c r="H58" s="33">
        <f t="shared" si="7"/>
        <v>0</v>
      </c>
      <c r="I58" s="35">
        <v>0</v>
      </c>
      <c r="J58" s="35">
        <v>0</v>
      </c>
      <c r="K58" s="35">
        <v>0</v>
      </c>
      <c r="L58" s="35">
        <v>0</v>
      </c>
      <c r="M58" s="32">
        <f t="shared" si="8"/>
        <v>0</v>
      </c>
      <c r="N58" s="35">
        <v>0</v>
      </c>
      <c r="O58" s="35">
        <v>0</v>
      </c>
      <c r="P58" s="35">
        <v>0</v>
      </c>
      <c r="Q58" s="35">
        <v>0</v>
      </c>
      <c r="R58" s="32">
        <f t="shared" si="9"/>
        <v>0</v>
      </c>
      <c r="S58" s="35">
        <v>0</v>
      </c>
      <c r="T58" s="35">
        <v>0</v>
      </c>
      <c r="U58" s="35">
        <v>0</v>
      </c>
      <c r="V58" s="35">
        <v>0</v>
      </c>
      <c r="W58" s="32">
        <f t="shared" si="6"/>
        <v>0</v>
      </c>
    </row>
    <row r="59" spans="1:23" ht="16" x14ac:dyDescent="0.2">
      <c r="A59" s="35">
        <v>55</v>
      </c>
      <c r="B59" s="35" t="s">
        <v>1</v>
      </c>
      <c r="C59" s="34"/>
      <c r="D59" s="35">
        <v>8</v>
      </c>
      <c r="E59" s="35">
        <v>1</v>
      </c>
      <c r="F59" s="35">
        <v>3</v>
      </c>
      <c r="G59" s="35">
        <v>0</v>
      </c>
      <c r="H59" s="33">
        <f t="shared" si="7"/>
        <v>12</v>
      </c>
      <c r="I59" s="35">
        <v>4</v>
      </c>
      <c r="J59" s="35">
        <v>0</v>
      </c>
      <c r="K59" s="35">
        <v>0</v>
      </c>
      <c r="L59" s="35">
        <v>0</v>
      </c>
      <c r="M59" s="32">
        <f>SUM(I59:L59)</f>
        <v>4</v>
      </c>
      <c r="N59" s="35">
        <v>0</v>
      </c>
      <c r="O59" s="35">
        <v>0</v>
      </c>
      <c r="P59" s="35">
        <v>0</v>
      </c>
      <c r="Q59" s="35">
        <v>0</v>
      </c>
      <c r="R59" s="32">
        <f t="shared" si="9"/>
        <v>0</v>
      </c>
      <c r="S59" s="35">
        <v>0</v>
      </c>
      <c r="T59" s="35">
        <v>0</v>
      </c>
      <c r="U59" s="35">
        <v>0</v>
      </c>
      <c r="V59" s="35">
        <v>0</v>
      </c>
      <c r="W59" s="32">
        <f t="shared" si="6"/>
        <v>0</v>
      </c>
    </row>
    <row r="60" spans="1:23" ht="16" x14ac:dyDescent="0.2">
      <c r="A60" s="35">
        <v>56</v>
      </c>
      <c r="B60" s="35" t="s">
        <v>2</v>
      </c>
      <c r="C60" s="34"/>
      <c r="D60" s="35">
        <v>5</v>
      </c>
      <c r="E60" s="35">
        <v>1</v>
      </c>
      <c r="F60" s="35">
        <v>2</v>
      </c>
      <c r="G60" s="35">
        <v>0</v>
      </c>
      <c r="H60" s="33">
        <f t="shared" si="7"/>
        <v>8</v>
      </c>
      <c r="I60" s="35">
        <v>0</v>
      </c>
      <c r="J60" s="35">
        <v>1</v>
      </c>
      <c r="K60" s="35">
        <v>3</v>
      </c>
      <c r="L60" s="35">
        <v>0</v>
      </c>
      <c r="M60" s="32">
        <f t="shared" ref="M60:M89" si="10">SUM(I60:L60)</f>
        <v>4</v>
      </c>
      <c r="N60" s="35">
        <v>0</v>
      </c>
      <c r="O60" s="35">
        <v>3</v>
      </c>
      <c r="P60" s="35">
        <v>4</v>
      </c>
      <c r="Q60" s="35">
        <v>0</v>
      </c>
      <c r="R60" s="32">
        <f>SUM(N60:Q60)</f>
        <v>7</v>
      </c>
      <c r="S60" s="35">
        <v>0</v>
      </c>
      <c r="T60" s="35">
        <v>1</v>
      </c>
      <c r="U60" s="35">
        <v>0</v>
      </c>
      <c r="V60" s="35">
        <v>0</v>
      </c>
      <c r="W60" s="32">
        <f>SUM(S60:V60)</f>
        <v>1</v>
      </c>
    </row>
    <row r="61" spans="1:23" ht="16" x14ac:dyDescent="0.2">
      <c r="A61" s="35">
        <v>57</v>
      </c>
      <c r="B61" s="35" t="s">
        <v>2</v>
      </c>
      <c r="C61" s="34"/>
      <c r="D61" s="35">
        <v>3</v>
      </c>
      <c r="E61" s="35">
        <v>3</v>
      </c>
      <c r="F61" s="35">
        <v>1</v>
      </c>
      <c r="G61" s="35">
        <v>0</v>
      </c>
      <c r="H61" s="33">
        <f t="shared" si="7"/>
        <v>7</v>
      </c>
      <c r="I61" s="35">
        <v>1</v>
      </c>
      <c r="J61" s="35">
        <v>1</v>
      </c>
      <c r="K61" s="35">
        <v>1</v>
      </c>
      <c r="L61" s="35">
        <v>0</v>
      </c>
      <c r="M61" s="32">
        <f t="shared" si="10"/>
        <v>3</v>
      </c>
      <c r="N61" s="35">
        <v>0</v>
      </c>
      <c r="O61" s="35">
        <v>2</v>
      </c>
      <c r="P61" s="35">
        <v>3</v>
      </c>
      <c r="Q61" s="35">
        <v>0</v>
      </c>
      <c r="R61" s="32">
        <f t="shared" ref="R61:R89" si="11">SUM(N61:Q61)</f>
        <v>5</v>
      </c>
      <c r="S61" s="35">
        <v>2</v>
      </c>
      <c r="T61" s="35">
        <v>2</v>
      </c>
      <c r="U61" s="35">
        <v>1</v>
      </c>
      <c r="V61" s="35">
        <v>0</v>
      </c>
      <c r="W61" s="32">
        <f t="shared" ref="W61:W89" si="12">SUM(S61:V61)</f>
        <v>5</v>
      </c>
    </row>
    <row r="62" spans="1:23" ht="16" x14ac:dyDescent="0.2">
      <c r="A62" s="35">
        <v>58</v>
      </c>
      <c r="B62" s="35" t="s">
        <v>2</v>
      </c>
      <c r="C62" s="34"/>
      <c r="D62" s="35">
        <v>2</v>
      </c>
      <c r="E62" s="35">
        <v>3</v>
      </c>
      <c r="F62" s="35">
        <v>5</v>
      </c>
      <c r="G62" s="35">
        <v>0</v>
      </c>
      <c r="H62" s="33">
        <f t="shared" si="7"/>
        <v>10</v>
      </c>
      <c r="I62" s="35">
        <v>1</v>
      </c>
      <c r="J62" s="35">
        <v>1</v>
      </c>
      <c r="K62" s="35">
        <v>0</v>
      </c>
      <c r="L62" s="35">
        <v>0</v>
      </c>
      <c r="M62" s="32">
        <f t="shared" si="10"/>
        <v>2</v>
      </c>
      <c r="N62" s="35">
        <v>4</v>
      </c>
      <c r="O62" s="35">
        <v>4</v>
      </c>
      <c r="P62" s="35">
        <v>0</v>
      </c>
      <c r="Q62" s="35">
        <v>0</v>
      </c>
      <c r="R62" s="32">
        <f t="shared" si="11"/>
        <v>8</v>
      </c>
      <c r="S62" s="35">
        <v>0</v>
      </c>
      <c r="T62" s="35">
        <v>0</v>
      </c>
      <c r="U62" s="35">
        <v>0</v>
      </c>
      <c r="V62" s="35">
        <v>0</v>
      </c>
      <c r="W62" s="32">
        <f t="shared" si="12"/>
        <v>0</v>
      </c>
    </row>
    <row r="63" spans="1:23" ht="16" x14ac:dyDescent="0.2">
      <c r="A63" s="35">
        <v>59</v>
      </c>
      <c r="B63" s="35" t="s">
        <v>2</v>
      </c>
      <c r="C63" s="34"/>
      <c r="D63" s="35">
        <v>0</v>
      </c>
      <c r="E63" s="35">
        <v>1</v>
      </c>
      <c r="F63" s="35">
        <v>1</v>
      </c>
      <c r="G63" s="35">
        <v>0</v>
      </c>
      <c r="H63" s="33">
        <f t="shared" si="7"/>
        <v>2</v>
      </c>
      <c r="I63" s="35">
        <v>2</v>
      </c>
      <c r="J63" s="35">
        <v>1</v>
      </c>
      <c r="K63" s="35">
        <v>0</v>
      </c>
      <c r="L63" s="35">
        <v>0</v>
      </c>
      <c r="M63" s="32">
        <f t="shared" si="10"/>
        <v>3</v>
      </c>
      <c r="N63" s="35">
        <v>2</v>
      </c>
      <c r="O63" s="35">
        <v>3</v>
      </c>
      <c r="P63" s="35">
        <v>2</v>
      </c>
      <c r="Q63" s="35">
        <v>0</v>
      </c>
      <c r="R63" s="32">
        <f t="shared" si="11"/>
        <v>7</v>
      </c>
      <c r="S63" s="35">
        <v>0</v>
      </c>
      <c r="T63" s="35">
        <v>0</v>
      </c>
      <c r="U63" s="35">
        <v>0</v>
      </c>
      <c r="V63" s="35">
        <v>0</v>
      </c>
      <c r="W63" s="32">
        <f t="shared" si="12"/>
        <v>0</v>
      </c>
    </row>
    <row r="64" spans="1:23" ht="16" x14ac:dyDescent="0.2">
      <c r="A64" s="35">
        <v>60</v>
      </c>
      <c r="B64" s="35" t="s">
        <v>2</v>
      </c>
      <c r="C64" s="34"/>
      <c r="D64" s="35">
        <v>2</v>
      </c>
      <c r="E64" s="35">
        <v>0</v>
      </c>
      <c r="F64" s="35">
        <v>1</v>
      </c>
      <c r="G64" s="35">
        <v>0</v>
      </c>
      <c r="H64" s="33">
        <f t="shared" si="7"/>
        <v>3</v>
      </c>
      <c r="I64" s="35">
        <v>2</v>
      </c>
      <c r="J64" s="35">
        <v>0</v>
      </c>
      <c r="K64" s="35">
        <v>0</v>
      </c>
      <c r="L64" s="35">
        <v>0</v>
      </c>
      <c r="M64" s="32">
        <f t="shared" si="10"/>
        <v>2</v>
      </c>
      <c r="N64" s="35">
        <v>0</v>
      </c>
      <c r="O64" s="35">
        <v>1</v>
      </c>
      <c r="P64" s="35">
        <v>0</v>
      </c>
      <c r="Q64" s="35">
        <v>0</v>
      </c>
      <c r="R64" s="32">
        <f t="shared" si="11"/>
        <v>1</v>
      </c>
      <c r="S64" s="35">
        <v>0</v>
      </c>
      <c r="T64" s="35">
        <v>0</v>
      </c>
      <c r="U64" s="35">
        <v>0</v>
      </c>
      <c r="V64" s="35">
        <v>0</v>
      </c>
      <c r="W64" s="32">
        <f t="shared" si="12"/>
        <v>0</v>
      </c>
    </row>
    <row r="65" spans="1:23" ht="16" x14ac:dyDescent="0.2">
      <c r="A65" s="35">
        <v>61</v>
      </c>
      <c r="B65" s="35" t="s">
        <v>2</v>
      </c>
      <c r="C65" s="34"/>
      <c r="D65" s="35">
        <v>0</v>
      </c>
      <c r="E65" s="35">
        <v>3</v>
      </c>
      <c r="F65" s="35">
        <v>2</v>
      </c>
      <c r="G65" s="35">
        <v>0</v>
      </c>
      <c r="H65" s="33">
        <f t="shared" si="7"/>
        <v>5</v>
      </c>
      <c r="I65" s="35">
        <v>0</v>
      </c>
      <c r="J65" s="35">
        <v>2</v>
      </c>
      <c r="K65" s="35">
        <v>2</v>
      </c>
      <c r="L65" s="35">
        <v>0</v>
      </c>
      <c r="M65" s="32">
        <f t="shared" si="10"/>
        <v>4</v>
      </c>
      <c r="N65" s="35">
        <v>5</v>
      </c>
      <c r="O65" s="35">
        <v>0</v>
      </c>
      <c r="P65" s="35">
        <v>1</v>
      </c>
      <c r="Q65" s="35">
        <v>0</v>
      </c>
      <c r="R65" s="32">
        <f t="shared" si="11"/>
        <v>6</v>
      </c>
      <c r="S65" s="35">
        <v>2</v>
      </c>
      <c r="T65" s="35">
        <v>0</v>
      </c>
      <c r="U65" s="35">
        <v>2</v>
      </c>
      <c r="V65" s="35">
        <v>0</v>
      </c>
      <c r="W65" s="32">
        <f t="shared" si="12"/>
        <v>4</v>
      </c>
    </row>
    <row r="66" spans="1:23" ht="16" x14ac:dyDescent="0.2">
      <c r="A66" s="35">
        <v>62</v>
      </c>
      <c r="B66" s="35" t="s">
        <v>2</v>
      </c>
      <c r="C66" s="34"/>
      <c r="D66" s="35">
        <v>1</v>
      </c>
      <c r="E66" s="35">
        <v>1</v>
      </c>
      <c r="F66" s="35">
        <v>5</v>
      </c>
      <c r="G66" s="35">
        <v>0</v>
      </c>
      <c r="H66" s="33">
        <f t="shared" si="7"/>
        <v>7</v>
      </c>
      <c r="I66" s="35">
        <v>0</v>
      </c>
      <c r="J66" s="35">
        <v>0</v>
      </c>
      <c r="K66" s="35">
        <v>0</v>
      </c>
      <c r="L66" s="35">
        <v>0</v>
      </c>
      <c r="M66" s="32">
        <f t="shared" si="10"/>
        <v>0</v>
      </c>
      <c r="N66" s="35">
        <v>1</v>
      </c>
      <c r="O66" s="35">
        <v>0</v>
      </c>
      <c r="P66" s="35">
        <v>1</v>
      </c>
      <c r="Q66" s="35">
        <v>0</v>
      </c>
      <c r="R66" s="32">
        <f t="shared" si="11"/>
        <v>2</v>
      </c>
      <c r="S66" s="35">
        <v>0</v>
      </c>
      <c r="T66" s="35">
        <v>0</v>
      </c>
      <c r="U66" s="35">
        <v>0</v>
      </c>
      <c r="V66" s="35">
        <v>0</v>
      </c>
      <c r="W66" s="32">
        <f t="shared" si="12"/>
        <v>0</v>
      </c>
    </row>
    <row r="67" spans="1:23" ht="16" x14ac:dyDescent="0.2">
      <c r="A67" s="35">
        <v>63</v>
      </c>
      <c r="B67" s="35" t="s">
        <v>2</v>
      </c>
      <c r="C67" s="34"/>
      <c r="D67" s="35">
        <v>1</v>
      </c>
      <c r="E67" s="35">
        <v>0</v>
      </c>
      <c r="F67" s="35">
        <v>0</v>
      </c>
      <c r="G67" s="35">
        <v>0</v>
      </c>
      <c r="H67" s="33">
        <f t="shared" si="7"/>
        <v>1</v>
      </c>
      <c r="I67" s="35">
        <v>0</v>
      </c>
      <c r="J67" s="35">
        <v>0</v>
      </c>
      <c r="K67" s="35">
        <v>0</v>
      </c>
      <c r="L67" s="35">
        <v>0</v>
      </c>
      <c r="M67" s="32">
        <f t="shared" si="10"/>
        <v>0</v>
      </c>
      <c r="N67" s="35">
        <v>1</v>
      </c>
      <c r="O67" s="35">
        <v>0</v>
      </c>
      <c r="P67" s="35">
        <v>0</v>
      </c>
      <c r="Q67" s="35">
        <v>0</v>
      </c>
      <c r="R67" s="32">
        <f t="shared" si="11"/>
        <v>1</v>
      </c>
      <c r="S67" s="35">
        <v>0</v>
      </c>
      <c r="T67" s="35">
        <v>0</v>
      </c>
      <c r="U67" s="35">
        <v>0</v>
      </c>
      <c r="V67" s="35">
        <v>0</v>
      </c>
      <c r="W67" s="32">
        <f t="shared" si="12"/>
        <v>0</v>
      </c>
    </row>
    <row r="68" spans="1:23" ht="16" x14ac:dyDescent="0.2">
      <c r="A68" s="35">
        <v>64</v>
      </c>
      <c r="B68" s="35" t="s">
        <v>2</v>
      </c>
      <c r="C68" s="34"/>
      <c r="D68" s="35">
        <v>1</v>
      </c>
      <c r="E68" s="35">
        <v>3</v>
      </c>
      <c r="F68" s="35">
        <v>2</v>
      </c>
      <c r="G68" s="35">
        <v>0</v>
      </c>
      <c r="H68" s="33">
        <f t="shared" si="7"/>
        <v>6</v>
      </c>
      <c r="I68" s="35">
        <v>0</v>
      </c>
      <c r="J68" s="35">
        <v>0</v>
      </c>
      <c r="K68" s="35">
        <v>0</v>
      </c>
      <c r="L68" s="35">
        <v>0</v>
      </c>
      <c r="M68" s="32">
        <f t="shared" si="10"/>
        <v>0</v>
      </c>
      <c r="N68" s="35">
        <v>0</v>
      </c>
      <c r="O68" s="35">
        <v>2</v>
      </c>
      <c r="P68" s="35">
        <v>0</v>
      </c>
      <c r="Q68" s="35">
        <v>0</v>
      </c>
      <c r="R68" s="32">
        <f t="shared" si="11"/>
        <v>2</v>
      </c>
      <c r="S68" s="35">
        <v>0</v>
      </c>
      <c r="T68" s="35">
        <v>0</v>
      </c>
      <c r="U68" s="35">
        <v>0</v>
      </c>
      <c r="V68" s="35">
        <v>0</v>
      </c>
      <c r="W68" s="32">
        <f t="shared" si="12"/>
        <v>0</v>
      </c>
    </row>
    <row r="69" spans="1:23" ht="16" x14ac:dyDescent="0.2">
      <c r="A69" s="35">
        <v>65</v>
      </c>
      <c r="B69" s="35" t="s">
        <v>2</v>
      </c>
      <c r="C69" s="34"/>
      <c r="D69" s="35">
        <v>2</v>
      </c>
      <c r="E69" s="35">
        <v>2</v>
      </c>
      <c r="F69" s="35">
        <v>0</v>
      </c>
      <c r="G69" s="35">
        <v>0</v>
      </c>
      <c r="H69" s="33">
        <f t="shared" ref="H69:H89" si="13">SUM(D69:G69)</f>
        <v>4</v>
      </c>
      <c r="I69" s="35">
        <v>0</v>
      </c>
      <c r="J69" s="35">
        <v>1</v>
      </c>
      <c r="K69" s="35">
        <v>0</v>
      </c>
      <c r="L69" s="35">
        <v>0</v>
      </c>
      <c r="M69" s="32">
        <f t="shared" si="10"/>
        <v>1</v>
      </c>
      <c r="N69" s="35">
        <v>1</v>
      </c>
      <c r="O69" s="35">
        <v>2</v>
      </c>
      <c r="P69" s="35">
        <v>1</v>
      </c>
      <c r="Q69" s="35">
        <v>0</v>
      </c>
      <c r="R69" s="32">
        <f t="shared" si="11"/>
        <v>4</v>
      </c>
      <c r="S69" s="35">
        <v>0</v>
      </c>
      <c r="T69" s="35">
        <v>0</v>
      </c>
      <c r="U69" s="35">
        <v>0</v>
      </c>
      <c r="V69" s="35">
        <v>0</v>
      </c>
      <c r="W69" s="32">
        <f t="shared" si="12"/>
        <v>0</v>
      </c>
    </row>
    <row r="70" spans="1:23" ht="16" x14ac:dyDescent="0.2">
      <c r="A70" s="35">
        <v>66</v>
      </c>
      <c r="B70" s="35" t="s">
        <v>1</v>
      </c>
      <c r="C70" s="34"/>
      <c r="D70" s="35">
        <v>1</v>
      </c>
      <c r="E70" s="35">
        <v>2</v>
      </c>
      <c r="F70" s="35">
        <v>2</v>
      </c>
      <c r="G70" s="35">
        <v>0</v>
      </c>
      <c r="H70" s="33">
        <f t="shared" si="13"/>
        <v>5</v>
      </c>
      <c r="I70" s="35">
        <v>0</v>
      </c>
      <c r="J70" s="35">
        <v>0</v>
      </c>
      <c r="K70" s="35">
        <v>0</v>
      </c>
      <c r="L70" s="35">
        <v>0</v>
      </c>
      <c r="M70" s="32">
        <f t="shared" si="10"/>
        <v>0</v>
      </c>
      <c r="N70" s="35">
        <v>0</v>
      </c>
      <c r="O70" s="35">
        <v>0</v>
      </c>
      <c r="P70" s="35">
        <v>2</v>
      </c>
      <c r="Q70" s="35">
        <v>0</v>
      </c>
      <c r="R70" s="32">
        <f t="shared" si="11"/>
        <v>2</v>
      </c>
      <c r="S70" s="35">
        <v>1</v>
      </c>
      <c r="T70" s="35">
        <v>0</v>
      </c>
      <c r="U70" s="35">
        <v>0</v>
      </c>
      <c r="V70" s="35">
        <v>0</v>
      </c>
      <c r="W70" s="32">
        <f t="shared" si="12"/>
        <v>1</v>
      </c>
    </row>
    <row r="71" spans="1:23" ht="16" x14ac:dyDescent="0.2">
      <c r="A71" s="35">
        <v>67</v>
      </c>
      <c r="B71" s="35" t="s">
        <v>2</v>
      </c>
      <c r="C71" s="34"/>
      <c r="D71" s="35">
        <v>0</v>
      </c>
      <c r="E71" s="35">
        <v>2</v>
      </c>
      <c r="F71" s="35">
        <v>0</v>
      </c>
      <c r="G71" s="35">
        <v>0</v>
      </c>
      <c r="H71" s="33">
        <f t="shared" si="13"/>
        <v>2</v>
      </c>
      <c r="I71" s="35">
        <v>0</v>
      </c>
      <c r="J71" s="35">
        <v>0</v>
      </c>
      <c r="K71" s="35">
        <v>0</v>
      </c>
      <c r="L71" s="35">
        <v>0</v>
      </c>
      <c r="M71" s="32">
        <f t="shared" si="10"/>
        <v>0</v>
      </c>
      <c r="N71" s="35">
        <v>0</v>
      </c>
      <c r="O71" s="35">
        <v>0</v>
      </c>
      <c r="P71" s="35">
        <v>1</v>
      </c>
      <c r="Q71" s="35">
        <v>0</v>
      </c>
      <c r="R71" s="32">
        <f t="shared" si="11"/>
        <v>1</v>
      </c>
      <c r="S71" s="35">
        <v>0</v>
      </c>
      <c r="T71" s="35">
        <v>0</v>
      </c>
      <c r="U71" s="35">
        <v>1</v>
      </c>
      <c r="V71" s="35">
        <v>0</v>
      </c>
      <c r="W71" s="32">
        <f t="shared" si="12"/>
        <v>1</v>
      </c>
    </row>
    <row r="72" spans="1:23" ht="16" x14ac:dyDescent="0.2">
      <c r="A72" s="35">
        <v>68</v>
      </c>
      <c r="B72" s="35" t="s">
        <v>2</v>
      </c>
      <c r="C72" s="34"/>
      <c r="D72" s="35">
        <v>3</v>
      </c>
      <c r="E72" s="35">
        <v>1</v>
      </c>
      <c r="F72" s="35">
        <v>1</v>
      </c>
      <c r="G72" s="35">
        <v>0</v>
      </c>
      <c r="H72" s="33">
        <f t="shared" si="13"/>
        <v>5</v>
      </c>
      <c r="I72" s="35">
        <v>0</v>
      </c>
      <c r="J72" s="35">
        <v>0</v>
      </c>
      <c r="K72" s="35">
        <v>0</v>
      </c>
      <c r="L72" s="35">
        <v>0</v>
      </c>
      <c r="M72" s="32">
        <f t="shared" si="10"/>
        <v>0</v>
      </c>
      <c r="N72" s="35">
        <v>3</v>
      </c>
      <c r="O72" s="35">
        <v>1</v>
      </c>
      <c r="P72" s="35">
        <v>1</v>
      </c>
      <c r="Q72" s="35">
        <v>0</v>
      </c>
      <c r="R72" s="32">
        <f t="shared" si="11"/>
        <v>5</v>
      </c>
      <c r="S72" s="35">
        <v>0</v>
      </c>
      <c r="T72" s="35">
        <v>0</v>
      </c>
      <c r="U72" s="35">
        <v>0</v>
      </c>
      <c r="V72" s="35">
        <v>0</v>
      </c>
      <c r="W72" s="32">
        <f t="shared" si="12"/>
        <v>0</v>
      </c>
    </row>
    <row r="73" spans="1:23" ht="16" x14ac:dyDescent="0.2">
      <c r="A73" s="35">
        <v>69</v>
      </c>
      <c r="B73" s="35" t="s">
        <v>2</v>
      </c>
      <c r="C73" s="34"/>
      <c r="D73" s="35">
        <v>2</v>
      </c>
      <c r="E73" s="35">
        <v>2</v>
      </c>
      <c r="F73" s="35">
        <v>2</v>
      </c>
      <c r="G73" s="35">
        <v>0</v>
      </c>
      <c r="H73" s="33">
        <f t="shared" si="13"/>
        <v>6</v>
      </c>
      <c r="I73" s="35">
        <v>0</v>
      </c>
      <c r="J73" s="35">
        <v>0</v>
      </c>
      <c r="K73" s="35">
        <v>0</v>
      </c>
      <c r="L73" s="35">
        <v>0</v>
      </c>
      <c r="M73" s="32">
        <f t="shared" si="10"/>
        <v>0</v>
      </c>
      <c r="N73" s="35">
        <v>0</v>
      </c>
      <c r="O73" s="35">
        <v>13</v>
      </c>
      <c r="P73" s="35">
        <v>2</v>
      </c>
      <c r="Q73" s="35">
        <v>0</v>
      </c>
      <c r="R73" s="32">
        <f t="shared" si="11"/>
        <v>15</v>
      </c>
      <c r="S73" s="35">
        <v>0</v>
      </c>
      <c r="T73" s="35">
        <v>2</v>
      </c>
      <c r="U73" s="35">
        <v>1</v>
      </c>
      <c r="V73" s="35">
        <v>0</v>
      </c>
      <c r="W73" s="32">
        <f t="shared" si="12"/>
        <v>3</v>
      </c>
    </row>
    <row r="74" spans="1:23" ht="16" x14ac:dyDescent="0.2">
      <c r="A74" s="35">
        <v>70</v>
      </c>
      <c r="B74" s="35" t="s">
        <v>2</v>
      </c>
      <c r="C74" s="34"/>
      <c r="D74" s="35">
        <v>2</v>
      </c>
      <c r="E74" s="35">
        <v>1</v>
      </c>
      <c r="F74" s="35">
        <v>1</v>
      </c>
      <c r="G74" s="35">
        <v>0</v>
      </c>
      <c r="H74" s="33">
        <f t="shared" si="13"/>
        <v>4</v>
      </c>
      <c r="I74" s="35">
        <v>0</v>
      </c>
      <c r="J74" s="35">
        <v>0</v>
      </c>
      <c r="K74" s="35">
        <v>0</v>
      </c>
      <c r="L74" s="35">
        <v>0</v>
      </c>
      <c r="M74" s="32">
        <f t="shared" si="10"/>
        <v>0</v>
      </c>
      <c r="N74" s="35">
        <v>0</v>
      </c>
      <c r="O74" s="35">
        <v>2</v>
      </c>
      <c r="P74" s="35">
        <v>2</v>
      </c>
      <c r="Q74" s="35">
        <v>0</v>
      </c>
      <c r="R74" s="32">
        <f t="shared" si="11"/>
        <v>4</v>
      </c>
      <c r="S74" s="35">
        <v>0</v>
      </c>
      <c r="T74" s="35">
        <v>0</v>
      </c>
      <c r="U74" s="35">
        <v>0</v>
      </c>
      <c r="V74" s="35">
        <v>0</v>
      </c>
      <c r="W74" s="32">
        <f t="shared" si="12"/>
        <v>0</v>
      </c>
    </row>
    <row r="75" spans="1:23" ht="16" x14ac:dyDescent="0.2">
      <c r="A75" s="35">
        <v>71</v>
      </c>
      <c r="B75" s="35" t="s">
        <v>2</v>
      </c>
      <c r="C75" s="34"/>
      <c r="D75" s="35">
        <v>0</v>
      </c>
      <c r="E75" s="35">
        <v>0</v>
      </c>
      <c r="F75" s="35">
        <v>2</v>
      </c>
      <c r="G75" s="35">
        <v>0</v>
      </c>
      <c r="H75" s="33">
        <f t="shared" si="13"/>
        <v>2</v>
      </c>
      <c r="I75" s="35">
        <v>0</v>
      </c>
      <c r="J75" s="35">
        <v>0</v>
      </c>
      <c r="K75" s="35">
        <v>0</v>
      </c>
      <c r="L75" s="35">
        <v>0</v>
      </c>
      <c r="M75" s="32">
        <f t="shared" si="10"/>
        <v>0</v>
      </c>
      <c r="N75" s="35">
        <v>0</v>
      </c>
      <c r="O75" s="35">
        <v>1</v>
      </c>
      <c r="P75" s="35">
        <v>0</v>
      </c>
      <c r="Q75" s="35">
        <v>0</v>
      </c>
      <c r="R75" s="32">
        <f t="shared" si="11"/>
        <v>1</v>
      </c>
      <c r="S75" s="35">
        <v>0</v>
      </c>
      <c r="T75" s="35">
        <v>0</v>
      </c>
      <c r="U75" s="35">
        <v>0</v>
      </c>
      <c r="V75" s="35">
        <v>0</v>
      </c>
      <c r="W75" s="32">
        <f t="shared" si="12"/>
        <v>0</v>
      </c>
    </row>
    <row r="76" spans="1:23" ht="16" x14ac:dyDescent="0.2">
      <c r="A76" s="35">
        <v>72</v>
      </c>
      <c r="B76" s="35" t="s">
        <v>2</v>
      </c>
      <c r="C76" s="34"/>
      <c r="D76" s="35">
        <v>2</v>
      </c>
      <c r="E76" s="35">
        <v>1</v>
      </c>
      <c r="F76" s="35">
        <v>0</v>
      </c>
      <c r="G76" s="35">
        <v>0</v>
      </c>
      <c r="H76" s="33">
        <f t="shared" si="13"/>
        <v>3</v>
      </c>
      <c r="I76" s="35">
        <v>0</v>
      </c>
      <c r="J76" s="35">
        <v>0</v>
      </c>
      <c r="K76" s="35">
        <v>0</v>
      </c>
      <c r="L76" s="35">
        <v>0</v>
      </c>
      <c r="M76" s="32">
        <f t="shared" si="10"/>
        <v>0</v>
      </c>
      <c r="N76" s="35">
        <v>0</v>
      </c>
      <c r="O76" s="35">
        <v>0</v>
      </c>
      <c r="P76" s="35">
        <v>0</v>
      </c>
      <c r="Q76" s="35">
        <v>0</v>
      </c>
      <c r="R76" s="32">
        <f t="shared" si="11"/>
        <v>0</v>
      </c>
      <c r="S76" s="35">
        <v>0</v>
      </c>
      <c r="T76" s="35">
        <v>1</v>
      </c>
      <c r="U76" s="35">
        <v>1</v>
      </c>
      <c r="V76" s="35">
        <v>0</v>
      </c>
      <c r="W76" s="32">
        <f t="shared" si="12"/>
        <v>2</v>
      </c>
    </row>
    <row r="77" spans="1:23" ht="16" x14ac:dyDescent="0.2">
      <c r="A77" s="35">
        <v>73</v>
      </c>
      <c r="B77" s="35" t="s">
        <v>2</v>
      </c>
      <c r="C77" s="34"/>
      <c r="D77" s="35">
        <v>0</v>
      </c>
      <c r="E77" s="35">
        <v>0</v>
      </c>
      <c r="F77" s="35">
        <v>1</v>
      </c>
      <c r="G77" s="35">
        <v>0</v>
      </c>
      <c r="H77" s="33">
        <f t="shared" si="13"/>
        <v>1</v>
      </c>
      <c r="I77" s="35">
        <v>0</v>
      </c>
      <c r="J77" s="35">
        <v>1</v>
      </c>
      <c r="K77" s="35">
        <v>1</v>
      </c>
      <c r="L77" s="35">
        <v>0</v>
      </c>
      <c r="M77" s="32">
        <f t="shared" si="10"/>
        <v>2</v>
      </c>
      <c r="N77" s="35">
        <v>0</v>
      </c>
      <c r="O77" s="35">
        <v>0</v>
      </c>
      <c r="P77" s="35">
        <v>0</v>
      </c>
      <c r="Q77" s="35">
        <v>0</v>
      </c>
      <c r="R77" s="32">
        <f t="shared" si="11"/>
        <v>0</v>
      </c>
      <c r="S77" s="35">
        <v>0</v>
      </c>
      <c r="T77" s="35">
        <v>0</v>
      </c>
      <c r="U77" s="35">
        <v>0</v>
      </c>
      <c r="V77" s="35">
        <v>0</v>
      </c>
      <c r="W77" s="32">
        <f t="shared" si="12"/>
        <v>0</v>
      </c>
    </row>
    <row r="78" spans="1:23" ht="16" x14ac:dyDescent="0.2">
      <c r="A78" s="35">
        <v>74</v>
      </c>
      <c r="B78" s="35" t="s">
        <v>2</v>
      </c>
      <c r="C78" s="34"/>
      <c r="D78" s="35">
        <v>0</v>
      </c>
      <c r="E78" s="35">
        <v>0</v>
      </c>
      <c r="F78" s="35">
        <v>0</v>
      </c>
      <c r="G78" s="35">
        <v>0</v>
      </c>
      <c r="H78" s="33">
        <f t="shared" si="13"/>
        <v>0</v>
      </c>
      <c r="I78" s="35">
        <v>0</v>
      </c>
      <c r="J78" s="35">
        <v>0</v>
      </c>
      <c r="K78" s="35">
        <v>0</v>
      </c>
      <c r="L78" s="35">
        <v>0</v>
      </c>
      <c r="M78" s="32">
        <f t="shared" si="10"/>
        <v>0</v>
      </c>
      <c r="N78" s="35">
        <v>0</v>
      </c>
      <c r="O78" s="35">
        <v>0</v>
      </c>
      <c r="P78" s="35">
        <v>0</v>
      </c>
      <c r="Q78" s="35">
        <v>0</v>
      </c>
      <c r="R78" s="32">
        <f t="shared" si="11"/>
        <v>0</v>
      </c>
      <c r="S78" s="35">
        <v>0</v>
      </c>
      <c r="T78" s="35">
        <v>0</v>
      </c>
      <c r="U78" s="35">
        <v>0</v>
      </c>
      <c r="V78" s="35">
        <v>0</v>
      </c>
      <c r="W78" s="32">
        <f t="shared" si="12"/>
        <v>0</v>
      </c>
    </row>
    <row r="79" spans="1:23" ht="16" x14ac:dyDescent="0.2">
      <c r="A79" s="35">
        <v>75</v>
      </c>
      <c r="B79" s="35" t="s">
        <v>2</v>
      </c>
      <c r="C79" s="34"/>
      <c r="D79" s="35">
        <v>0</v>
      </c>
      <c r="E79" s="35">
        <v>0</v>
      </c>
      <c r="F79" s="35">
        <v>0</v>
      </c>
      <c r="G79" s="35">
        <v>0</v>
      </c>
      <c r="H79" s="33">
        <f t="shared" si="13"/>
        <v>0</v>
      </c>
      <c r="I79" s="35">
        <v>0</v>
      </c>
      <c r="J79" s="35">
        <v>0</v>
      </c>
      <c r="K79" s="35">
        <v>0</v>
      </c>
      <c r="L79" s="35">
        <v>0</v>
      </c>
      <c r="M79" s="32">
        <f t="shared" si="10"/>
        <v>0</v>
      </c>
      <c r="N79" s="35">
        <v>0</v>
      </c>
      <c r="O79" s="35">
        <v>0</v>
      </c>
      <c r="P79" s="35">
        <v>0</v>
      </c>
      <c r="Q79" s="35">
        <v>0</v>
      </c>
      <c r="R79" s="32">
        <f t="shared" si="11"/>
        <v>0</v>
      </c>
      <c r="S79" s="35">
        <v>0</v>
      </c>
      <c r="T79" s="35">
        <v>0</v>
      </c>
      <c r="U79" s="35">
        <v>0</v>
      </c>
      <c r="V79" s="35">
        <v>0</v>
      </c>
      <c r="W79" s="32">
        <f t="shared" si="12"/>
        <v>0</v>
      </c>
    </row>
    <row r="80" spans="1:23" ht="16" x14ac:dyDescent="0.2">
      <c r="A80" s="35">
        <v>76</v>
      </c>
      <c r="B80" s="35" t="s">
        <v>2</v>
      </c>
      <c r="C80" s="34"/>
      <c r="D80" s="35">
        <v>0</v>
      </c>
      <c r="E80" s="35">
        <v>0</v>
      </c>
      <c r="F80" s="35">
        <v>1</v>
      </c>
      <c r="G80" s="35">
        <v>0</v>
      </c>
      <c r="H80" s="33">
        <f t="shared" si="13"/>
        <v>1</v>
      </c>
      <c r="I80" s="35">
        <v>0</v>
      </c>
      <c r="J80" s="35">
        <v>0</v>
      </c>
      <c r="K80" s="35">
        <v>1</v>
      </c>
      <c r="L80" s="35">
        <v>0</v>
      </c>
      <c r="M80" s="32">
        <f t="shared" si="10"/>
        <v>1</v>
      </c>
      <c r="N80" s="35">
        <v>0</v>
      </c>
      <c r="O80" s="35">
        <v>0</v>
      </c>
      <c r="P80" s="35">
        <v>1</v>
      </c>
      <c r="Q80" s="35">
        <v>0</v>
      </c>
      <c r="R80" s="32">
        <f t="shared" si="11"/>
        <v>1</v>
      </c>
      <c r="S80" s="35">
        <v>0</v>
      </c>
      <c r="T80" s="35">
        <v>0</v>
      </c>
      <c r="U80" s="35">
        <v>1</v>
      </c>
      <c r="V80" s="35">
        <v>0</v>
      </c>
      <c r="W80" s="32">
        <f t="shared" si="12"/>
        <v>1</v>
      </c>
    </row>
    <row r="81" spans="1:24" ht="16" x14ac:dyDescent="0.2">
      <c r="A81" s="35">
        <v>77</v>
      </c>
      <c r="B81" s="35" t="s">
        <v>2</v>
      </c>
      <c r="C81" s="34"/>
      <c r="D81" s="35">
        <v>0</v>
      </c>
      <c r="E81" s="35">
        <v>0</v>
      </c>
      <c r="F81" s="35">
        <v>0</v>
      </c>
      <c r="G81" s="35">
        <v>0</v>
      </c>
      <c r="H81" s="33">
        <f t="shared" si="13"/>
        <v>0</v>
      </c>
      <c r="I81" s="35">
        <v>0</v>
      </c>
      <c r="J81" s="35">
        <v>0</v>
      </c>
      <c r="K81" s="35">
        <v>0</v>
      </c>
      <c r="L81" s="35">
        <v>0</v>
      </c>
      <c r="M81" s="32">
        <f t="shared" si="10"/>
        <v>0</v>
      </c>
      <c r="N81" s="35">
        <v>0</v>
      </c>
      <c r="O81" s="35">
        <v>0</v>
      </c>
      <c r="P81" s="35">
        <v>0</v>
      </c>
      <c r="Q81" s="35">
        <v>0</v>
      </c>
      <c r="R81" s="32">
        <f t="shared" si="11"/>
        <v>0</v>
      </c>
      <c r="S81" s="35">
        <v>0</v>
      </c>
      <c r="T81" s="35">
        <v>0</v>
      </c>
      <c r="U81" s="35">
        <v>0</v>
      </c>
      <c r="V81" s="35">
        <v>0</v>
      </c>
      <c r="W81" s="32">
        <f t="shared" si="12"/>
        <v>0</v>
      </c>
    </row>
    <row r="82" spans="1:24" ht="16" x14ac:dyDescent="0.2">
      <c r="A82" s="35">
        <v>78</v>
      </c>
      <c r="B82" s="35" t="s">
        <v>2</v>
      </c>
      <c r="C82" s="34"/>
      <c r="D82" s="35">
        <v>0</v>
      </c>
      <c r="E82" s="35">
        <v>0</v>
      </c>
      <c r="F82" s="35">
        <v>0</v>
      </c>
      <c r="G82" s="35">
        <v>0</v>
      </c>
      <c r="H82" s="33">
        <f t="shared" si="13"/>
        <v>0</v>
      </c>
      <c r="I82" s="35">
        <v>0</v>
      </c>
      <c r="J82" s="35">
        <v>2</v>
      </c>
      <c r="K82" s="35">
        <v>1</v>
      </c>
      <c r="L82" s="35">
        <v>0</v>
      </c>
      <c r="M82" s="32">
        <f t="shared" si="10"/>
        <v>3</v>
      </c>
      <c r="N82" s="35">
        <v>0</v>
      </c>
      <c r="O82" s="35">
        <v>0</v>
      </c>
      <c r="P82" s="35">
        <v>2</v>
      </c>
      <c r="Q82" s="35">
        <v>0</v>
      </c>
      <c r="R82" s="32">
        <f t="shared" si="11"/>
        <v>2</v>
      </c>
      <c r="S82" s="35">
        <v>0</v>
      </c>
      <c r="T82" s="35">
        <v>0</v>
      </c>
      <c r="U82" s="35">
        <v>0</v>
      </c>
      <c r="V82" s="35">
        <v>0</v>
      </c>
      <c r="W82" s="32">
        <f t="shared" si="12"/>
        <v>0</v>
      </c>
    </row>
    <row r="83" spans="1:24" ht="16" x14ac:dyDescent="0.2">
      <c r="A83" s="35">
        <v>79</v>
      </c>
      <c r="B83" s="35" t="s">
        <v>2</v>
      </c>
      <c r="C83" s="34"/>
      <c r="D83" s="35">
        <v>0</v>
      </c>
      <c r="E83" s="35">
        <v>4</v>
      </c>
      <c r="F83" s="35">
        <v>0</v>
      </c>
      <c r="G83" s="35">
        <v>0</v>
      </c>
      <c r="H83" s="33">
        <f t="shared" si="13"/>
        <v>4</v>
      </c>
      <c r="I83" s="35">
        <v>0</v>
      </c>
      <c r="J83" s="35">
        <v>0</v>
      </c>
      <c r="K83" s="35">
        <v>1</v>
      </c>
      <c r="L83" s="35">
        <v>0</v>
      </c>
      <c r="M83" s="32">
        <f t="shared" si="10"/>
        <v>1</v>
      </c>
      <c r="N83" s="35">
        <v>0</v>
      </c>
      <c r="O83" s="35">
        <v>0</v>
      </c>
      <c r="P83" s="35">
        <v>1</v>
      </c>
      <c r="Q83" s="35">
        <v>0</v>
      </c>
      <c r="R83" s="32">
        <f t="shared" si="11"/>
        <v>1</v>
      </c>
      <c r="S83" s="35">
        <v>0</v>
      </c>
      <c r="T83" s="35">
        <v>0</v>
      </c>
      <c r="U83" s="35">
        <v>0</v>
      </c>
      <c r="V83" s="35">
        <v>0</v>
      </c>
      <c r="W83" s="32">
        <f t="shared" si="12"/>
        <v>0</v>
      </c>
    </row>
    <row r="84" spans="1:24" ht="16" x14ac:dyDescent="0.2">
      <c r="A84" s="35">
        <v>80</v>
      </c>
      <c r="B84" s="35" t="s">
        <v>2</v>
      </c>
      <c r="C84" s="34"/>
      <c r="D84" s="35">
        <v>0</v>
      </c>
      <c r="E84" s="35">
        <v>0</v>
      </c>
      <c r="F84" s="35">
        <v>0</v>
      </c>
      <c r="G84" s="35">
        <v>0</v>
      </c>
      <c r="H84" s="33">
        <f t="shared" si="13"/>
        <v>0</v>
      </c>
      <c r="I84" s="35">
        <v>0</v>
      </c>
      <c r="J84" s="35">
        <v>0</v>
      </c>
      <c r="K84" s="35">
        <v>0</v>
      </c>
      <c r="L84" s="35">
        <v>0</v>
      </c>
      <c r="M84" s="32">
        <f t="shared" si="10"/>
        <v>0</v>
      </c>
      <c r="N84" s="35">
        <v>0</v>
      </c>
      <c r="O84" s="35">
        <v>0</v>
      </c>
      <c r="P84" s="35">
        <v>1</v>
      </c>
      <c r="Q84" s="35">
        <v>0</v>
      </c>
      <c r="R84" s="32">
        <f t="shared" si="11"/>
        <v>1</v>
      </c>
      <c r="S84" s="35">
        <v>0</v>
      </c>
      <c r="T84" s="35">
        <v>0</v>
      </c>
      <c r="U84" s="35">
        <v>0</v>
      </c>
      <c r="V84" s="35">
        <v>0</v>
      </c>
      <c r="W84" s="32">
        <f t="shared" si="12"/>
        <v>0</v>
      </c>
    </row>
    <row r="85" spans="1:24" ht="16" x14ac:dyDescent="0.2">
      <c r="A85" s="35">
        <v>81</v>
      </c>
      <c r="B85" s="35" t="s">
        <v>2</v>
      </c>
      <c r="C85" s="34"/>
      <c r="D85" s="35">
        <v>2</v>
      </c>
      <c r="E85" s="35">
        <v>1</v>
      </c>
      <c r="F85" s="35">
        <v>0</v>
      </c>
      <c r="G85" s="35">
        <v>0</v>
      </c>
      <c r="H85" s="33">
        <f t="shared" si="13"/>
        <v>3</v>
      </c>
      <c r="I85" s="35">
        <v>0</v>
      </c>
      <c r="J85" s="35">
        <v>0</v>
      </c>
      <c r="K85" s="35">
        <v>0</v>
      </c>
      <c r="L85" s="35">
        <v>0</v>
      </c>
      <c r="M85" s="32">
        <f t="shared" si="10"/>
        <v>0</v>
      </c>
      <c r="N85" s="35">
        <v>0</v>
      </c>
      <c r="O85" s="35">
        <v>0</v>
      </c>
      <c r="P85" s="35">
        <v>0</v>
      </c>
      <c r="Q85" s="35">
        <v>0</v>
      </c>
      <c r="R85" s="32">
        <f t="shared" si="11"/>
        <v>0</v>
      </c>
      <c r="S85" s="35">
        <v>0</v>
      </c>
      <c r="T85" s="35">
        <v>0</v>
      </c>
      <c r="U85" s="35">
        <v>2</v>
      </c>
      <c r="V85" s="35">
        <v>0</v>
      </c>
      <c r="W85" s="32">
        <f t="shared" si="12"/>
        <v>2</v>
      </c>
    </row>
    <row r="86" spans="1:24" ht="16" x14ac:dyDescent="0.2">
      <c r="A86" s="35">
        <v>82</v>
      </c>
      <c r="B86" s="35" t="s">
        <v>2</v>
      </c>
      <c r="C86" s="34"/>
      <c r="D86" s="35">
        <v>0</v>
      </c>
      <c r="E86" s="35">
        <v>0</v>
      </c>
      <c r="F86" s="35">
        <v>0</v>
      </c>
      <c r="G86" s="35">
        <v>0</v>
      </c>
      <c r="H86" s="33">
        <f t="shared" si="13"/>
        <v>0</v>
      </c>
      <c r="I86" s="35">
        <v>0</v>
      </c>
      <c r="J86" s="35">
        <v>0</v>
      </c>
      <c r="K86" s="35">
        <v>0</v>
      </c>
      <c r="L86" s="35">
        <v>0</v>
      </c>
      <c r="M86" s="32">
        <f t="shared" si="10"/>
        <v>0</v>
      </c>
      <c r="N86" s="35">
        <v>0</v>
      </c>
      <c r="O86" s="35">
        <v>0</v>
      </c>
      <c r="P86" s="35">
        <v>0</v>
      </c>
      <c r="Q86" s="35">
        <v>0</v>
      </c>
      <c r="R86" s="32">
        <f t="shared" si="11"/>
        <v>0</v>
      </c>
      <c r="S86" s="35">
        <v>0</v>
      </c>
      <c r="T86" s="35">
        <v>0</v>
      </c>
      <c r="U86" s="35">
        <v>0</v>
      </c>
      <c r="V86" s="35">
        <v>0</v>
      </c>
      <c r="W86" s="32">
        <f t="shared" si="12"/>
        <v>0</v>
      </c>
    </row>
    <row r="87" spans="1:24" ht="16" x14ac:dyDescent="0.2">
      <c r="A87" s="35">
        <v>83</v>
      </c>
      <c r="B87" s="35" t="s">
        <v>2</v>
      </c>
      <c r="C87" s="34"/>
      <c r="D87" s="35">
        <v>0</v>
      </c>
      <c r="E87" s="35">
        <v>1</v>
      </c>
      <c r="F87" s="35">
        <v>0</v>
      </c>
      <c r="G87" s="35">
        <v>0</v>
      </c>
      <c r="H87" s="33">
        <f t="shared" si="13"/>
        <v>1</v>
      </c>
      <c r="I87" s="35">
        <v>0</v>
      </c>
      <c r="J87" s="35">
        <v>0</v>
      </c>
      <c r="K87" s="35">
        <v>0</v>
      </c>
      <c r="L87" s="35">
        <v>0</v>
      </c>
      <c r="M87" s="32">
        <f t="shared" si="10"/>
        <v>0</v>
      </c>
      <c r="N87" s="35">
        <v>0</v>
      </c>
      <c r="O87" s="35">
        <v>1</v>
      </c>
      <c r="P87" s="35">
        <v>0</v>
      </c>
      <c r="Q87" s="35">
        <v>0</v>
      </c>
      <c r="R87" s="32">
        <f t="shared" si="11"/>
        <v>1</v>
      </c>
      <c r="S87" s="35">
        <v>0</v>
      </c>
      <c r="T87" s="35">
        <v>0</v>
      </c>
      <c r="U87" s="35">
        <v>0</v>
      </c>
      <c r="V87" s="35">
        <v>0</v>
      </c>
      <c r="W87" s="32">
        <f t="shared" si="12"/>
        <v>0</v>
      </c>
    </row>
    <row r="88" spans="1:24" ht="16" x14ac:dyDescent="0.2">
      <c r="A88" s="35">
        <v>84</v>
      </c>
      <c r="B88" s="35" t="s">
        <v>2</v>
      </c>
      <c r="C88" s="34"/>
      <c r="D88" s="35">
        <v>1</v>
      </c>
      <c r="E88" s="35">
        <v>0</v>
      </c>
      <c r="F88" s="35">
        <v>0</v>
      </c>
      <c r="G88" s="35">
        <v>0</v>
      </c>
      <c r="H88" s="33">
        <f t="shared" si="13"/>
        <v>1</v>
      </c>
      <c r="I88" s="35">
        <v>0</v>
      </c>
      <c r="J88" s="35">
        <v>0</v>
      </c>
      <c r="K88" s="35">
        <v>0</v>
      </c>
      <c r="L88" s="35">
        <v>0</v>
      </c>
      <c r="M88" s="32">
        <f t="shared" si="10"/>
        <v>0</v>
      </c>
      <c r="N88" s="35">
        <v>0</v>
      </c>
      <c r="O88" s="35">
        <v>1</v>
      </c>
      <c r="P88" s="35">
        <v>0</v>
      </c>
      <c r="Q88" s="35">
        <v>0</v>
      </c>
      <c r="R88" s="32">
        <f t="shared" si="11"/>
        <v>1</v>
      </c>
      <c r="S88" s="35">
        <v>0</v>
      </c>
      <c r="T88" s="35">
        <v>0</v>
      </c>
      <c r="U88" s="35">
        <v>0</v>
      </c>
      <c r="V88" s="35">
        <v>0</v>
      </c>
      <c r="W88" s="32">
        <f t="shared" si="12"/>
        <v>0</v>
      </c>
    </row>
    <row r="89" spans="1:24" ht="16" x14ac:dyDescent="0.2">
      <c r="A89" s="35">
        <v>85</v>
      </c>
      <c r="B89" s="35" t="s">
        <v>1</v>
      </c>
      <c r="C89" s="34"/>
      <c r="D89" s="35">
        <v>0</v>
      </c>
      <c r="E89" s="35">
        <v>0</v>
      </c>
      <c r="F89" s="35">
        <v>0</v>
      </c>
      <c r="G89" s="35">
        <v>0</v>
      </c>
      <c r="H89" s="33">
        <f t="shared" si="13"/>
        <v>0</v>
      </c>
      <c r="I89" s="35">
        <v>0</v>
      </c>
      <c r="J89" s="35">
        <v>0</v>
      </c>
      <c r="K89" s="35">
        <v>0</v>
      </c>
      <c r="L89" s="35">
        <v>0</v>
      </c>
      <c r="M89" s="32">
        <f t="shared" si="10"/>
        <v>0</v>
      </c>
      <c r="N89" s="35">
        <v>0</v>
      </c>
      <c r="O89" s="35">
        <v>0</v>
      </c>
      <c r="P89" s="35">
        <v>0</v>
      </c>
      <c r="Q89" s="35">
        <v>0</v>
      </c>
      <c r="R89" s="32">
        <f t="shared" si="11"/>
        <v>0</v>
      </c>
      <c r="S89" s="35">
        <v>0</v>
      </c>
      <c r="T89" s="35">
        <v>0</v>
      </c>
      <c r="U89" s="35">
        <v>0</v>
      </c>
      <c r="V89" s="35">
        <v>0</v>
      </c>
      <c r="W89" s="32">
        <f t="shared" si="12"/>
        <v>0</v>
      </c>
    </row>
    <row r="90" spans="1:24" ht="16" x14ac:dyDescent="0.2">
      <c r="A90" s="14"/>
      <c r="B90" s="14"/>
      <c r="C90" s="13"/>
      <c r="D90" s="13"/>
      <c r="E90" s="13"/>
      <c r="F90" s="13"/>
      <c r="G90" s="13"/>
      <c r="H90" s="16"/>
      <c r="I90" s="14"/>
      <c r="J90" s="14"/>
      <c r="K90" s="14"/>
      <c r="L90" s="14"/>
      <c r="M90" s="36"/>
      <c r="N90" s="14"/>
      <c r="O90" s="14"/>
      <c r="P90" s="14"/>
      <c r="Q90" s="14"/>
      <c r="R90" s="36"/>
      <c r="S90" s="14"/>
      <c r="T90" s="14"/>
      <c r="U90" s="14"/>
      <c r="V90" s="14"/>
      <c r="W90" s="36"/>
    </row>
    <row r="92" spans="1:24" x14ac:dyDescent="0.2">
      <c r="X92" s="2"/>
    </row>
    <row r="100" spans="2:3" x14ac:dyDescent="0.2">
      <c r="B100" s="39"/>
      <c r="C100" s="2"/>
    </row>
  </sheetData>
  <mergeCells count="4">
    <mergeCell ref="D2:G2"/>
    <mergeCell ref="I2:L2"/>
    <mergeCell ref="N2:Q2"/>
    <mergeCell ref="S2:V2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1353-DC6E-1D48-B62D-2C8AE88FDA8D}">
  <sheetPr codeName="Sheet7"/>
  <dimension ref="A1:T89"/>
  <sheetViews>
    <sheetView workbookViewId="0">
      <selection activeCell="P87" sqref="P87"/>
    </sheetView>
  </sheetViews>
  <sheetFormatPr baseColWidth="10" defaultColWidth="8.83203125" defaultRowHeight="15" x14ac:dyDescent="0.2"/>
  <cols>
    <col min="2" max="2" width="6.33203125" customWidth="1"/>
    <col min="3" max="3" width="12.1640625" customWidth="1"/>
    <col min="4" max="4" width="7.5" customWidth="1"/>
    <col min="5" max="5" width="17.5" customWidth="1"/>
    <col min="6" max="6" width="11.1640625" customWidth="1"/>
    <col min="7" max="7" width="9.6640625" customWidth="1"/>
    <col min="8" max="8" width="8.83203125" style="4"/>
    <col min="9" max="9" width="7.6640625" customWidth="1"/>
    <col min="10" max="10" width="17.83203125" customWidth="1"/>
    <col min="11" max="11" width="11.83203125" customWidth="1"/>
    <col min="12" max="12" width="10.1640625" customWidth="1"/>
    <col min="13" max="13" width="7.6640625" style="4" customWidth="1"/>
    <col min="15" max="15" width="13.6640625" customWidth="1"/>
  </cols>
  <sheetData>
    <row r="1" spans="1:20" x14ac:dyDescent="0.2">
      <c r="E1" s="1"/>
      <c r="F1" s="1"/>
      <c r="G1" s="1"/>
      <c r="H1" s="6"/>
      <c r="J1" s="1"/>
      <c r="K1" s="1"/>
      <c r="L1" s="1"/>
      <c r="M1" s="6"/>
      <c r="N1" s="1"/>
      <c r="Q1" s="1"/>
      <c r="R1" s="1"/>
      <c r="S1" s="1"/>
      <c r="T1" s="1"/>
    </row>
    <row r="2" spans="1:20" ht="18" x14ac:dyDescent="0.2">
      <c r="A2" s="18"/>
      <c r="B2" s="18"/>
      <c r="C2" s="19" t="s">
        <v>8</v>
      </c>
      <c r="D2" s="55" t="s">
        <v>9</v>
      </c>
      <c r="E2" s="55"/>
      <c r="F2" s="55"/>
      <c r="G2" s="55"/>
      <c r="H2" s="55"/>
      <c r="I2" s="55" t="s">
        <v>10</v>
      </c>
      <c r="J2" s="55"/>
      <c r="K2" s="55"/>
      <c r="L2" s="55"/>
      <c r="M2" s="55"/>
      <c r="N2" s="1"/>
      <c r="Q2" s="1"/>
      <c r="R2" s="1"/>
      <c r="S2" s="1"/>
      <c r="T2" s="1"/>
    </row>
    <row r="3" spans="1:20" ht="18" x14ac:dyDescent="0.2">
      <c r="A3" s="37" t="s">
        <v>87</v>
      </c>
      <c r="B3" s="37" t="s">
        <v>0</v>
      </c>
      <c r="C3" s="37" t="s">
        <v>6</v>
      </c>
      <c r="D3" s="37" t="s">
        <v>91</v>
      </c>
      <c r="E3" s="37" t="s">
        <v>3</v>
      </c>
      <c r="F3" s="37" t="s">
        <v>4</v>
      </c>
      <c r="G3" s="37" t="s">
        <v>15</v>
      </c>
      <c r="H3" s="37" t="s">
        <v>92</v>
      </c>
      <c r="I3" s="37" t="s">
        <v>91</v>
      </c>
      <c r="J3" s="37" t="s">
        <v>3</v>
      </c>
      <c r="K3" s="37" t="s">
        <v>4</v>
      </c>
      <c r="L3" s="37" t="s">
        <v>15</v>
      </c>
      <c r="M3" s="37" t="s">
        <v>92</v>
      </c>
      <c r="N3" s="1"/>
      <c r="Q3" s="1"/>
      <c r="R3" s="1"/>
      <c r="S3" s="1"/>
      <c r="T3" s="1"/>
    </row>
    <row r="4" spans="1:20" ht="16" x14ac:dyDescent="0.2">
      <c r="A4" s="35"/>
      <c r="B4" s="35"/>
      <c r="C4" s="35"/>
      <c r="D4" s="35"/>
      <c r="E4" s="35"/>
      <c r="F4" s="35"/>
      <c r="G4" s="35"/>
      <c r="H4" s="32"/>
      <c r="I4" s="35"/>
      <c r="J4" s="35"/>
      <c r="K4" s="35"/>
      <c r="L4" s="35"/>
      <c r="M4" s="32"/>
      <c r="N4" s="1"/>
      <c r="Q4" s="1"/>
      <c r="R4" s="1"/>
      <c r="S4" s="1"/>
      <c r="T4" s="1"/>
    </row>
    <row r="5" spans="1:20" ht="16" x14ac:dyDescent="0.2">
      <c r="A5" s="35">
        <v>1</v>
      </c>
      <c r="B5" s="35" t="s">
        <v>1</v>
      </c>
      <c r="C5" s="35"/>
      <c r="D5" s="35">
        <v>0</v>
      </c>
      <c r="E5" s="35">
        <v>0</v>
      </c>
      <c r="F5" s="35">
        <v>2</v>
      </c>
      <c r="G5" s="35">
        <v>0</v>
      </c>
      <c r="H5" s="32">
        <f>SUM(D5:G5)</f>
        <v>2</v>
      </c>
      <c r="I5" s="35">
        <v>1</v>
      </c>
      <c r="J5" s="35">
        <v>0</v>
      </c>
      <c r="K5" s="35">
        <v>1</v>
      </c>
      <c r="L5" s="35">
        <v>0</v>
      </c>
      <c r="M5" s="32">
        <f>SUM(I5:L5)</f>
        <v>2</v>
      </c>
    </row>
    <row r="6" spans="1:20" ht="16" x14ac:dyDescent="0.2">
      <c r="A6" s="35">
        <v>2</v>
      </c>
      <c r="B6" s="35" t="s">
        <v>2</v>
      </c>
      <c r="C6" s="35"/>
      <c r="D6" s="35">
        <v>0</v>
      </c>
      <c r="E6" s="35">
        <v>0</v>
      </c>
      <c r="F6" s="35">
        <v>2</v>
      </c>
      <c r="G6" s="35">
        <v>0</v>
      </c>
      <c r="H6" s="32">
        <f t="shared" ref="H6:H58" si="0">SUM(D6:G6)</f>
        <v>2</v>
      </c>
      <c r="I6" s="35">
        <v>1</v>
      </c>
      <c r="J6" s="35">
        <v>0</v>
      </c>
      <c r="K6" s="35">
        <v>0</v>
      </c>
      <c r="L6" s="35">
        <v>0</v>
      </c>
      <c r="M6" s="32">
        <f t="shared" ref="M6:M69" si="1">SUM(I6:L6)</f>
        <v>1</v>
      </c>
    </row>
    <row r="7" spans="1:20" ht="16" x14ac:dyDescent="0.2">
      <c r="A7" s="35">
        <v>3</v>
      </c>
      <c r="B7" s="35" t="s">
        <v>2</v>
      </c>
      <c r="C7" s="35"/>
      <c r="D7" s="35">
        <v>0</v>
      </c>
      <c r="E7" s="35">
        <v>0</v>
      </c>
      <c r="F7" s="35">
        <v>0</v>
      </c>
      <c r="G7" s="35">
        <v>0</v>
      </c>
      <c r="H7" s="32">
        <f t="shared" si="0"/>
        <v>0</v>
      </c>
      <c r="I7" s="35">
        <v>0</v>
      </c>
      <c r="J7" s="35">
        <v>0</v>
      </c>
      <c r="K7" s="35">
        <v>0</v>
      </c>
      <c r="L7" s="35">
        <v>0</v>
      </c>
      <c r="M7" s="32">
        <f t="shared" si="1"/>
        <v>0</v>
      </c>
    </row>
    <row r="8" spans="1:20" ht="16" x14ac:dyDescent="0.2">
      <c r="A8" s="35">
        <v>4</v>
      </c>
      <c r="B8" s="35" t="s">
        <v>1</v>
      </c>
      <c r="C8" s="35"/>
      <c r="D8" s="35">
        <v>0</v>
      </c>
      <c r="E8" s="35">
        <v>0</v>
      </c>
      <c r="F8" s="35">
        <v>4</v>
      </c>
      <c r="G8" s="35">
        <v>0</v>
      </c>
      <c r="H8" s="32">
        <f t="shared" si="0"/>
        <v>4</v>
      </c>
      <c r="I8" s="35">
        <v>1</v>
      </c>
      <c r="J8" s="35">
        <v>0</v>
      </c>
      <c r="K8" s="35">
        <v>0</v>
      </c>
      <c r="L8" s="35">
        <v>0</v>
      </c>
      <c r="M8" s="32">
        <f t="shared" si="1"/>
        <v>1</v>
      </c>
    </row>
    <row r="9" spans="1:20" ht="16" x14ac:dyDescent="0.2">
      <c r="A9" s="35">
        <v>5</v>
      </c>
      <c r="B9" s="35" t="s">
        <v>1</v>
      </c>
      <c r="C9" s="35"/>
      <c r="D9" s="35">
        <v>0</v>
      </c>
      <c r="E9" s="35">
        <v>0</v>
      </c>
      <c r="F9" s="35">
        <v>2</v>
      </c>
      <c r="G9" s="35">
        <v>0</v>
      </c>
      <c r="H9" s="32">
        <f t="shared" si="0"/>
        <v>2</v>
      </c>
      <c r="I9" s="35">
        <v>4</v>
      </c>
      <c r="J9" s="35">
        <v>0</v>
      </c>
      <c r="K9" s="35">
        <v>1</v>
      </c>
      <c r="L9" s="35">
        <v>0</v>
      </c>
      <c r="M9" s="32">
        <f t="shared" si="1"/>
        <v>5</v>
      </c>
    </row>
    <row r="10" spans="1:20" ht="16" x14ac:dyDescent="0.2">
      <c r="A10" s="35">
        <v>6</v>
      </c>
      <c r="B10" s="35" t="s">
        <v>2</v>
      </c>
      <c r="C10" s="35"/>
      <c r="D10" s="35">
        <v>0</v>
      </c>
      <c r="E10" s="35">
        <v>1</v>
      </c>
      <c r="F10" s="35">
        <v>4</v>
      </c>
      <c r="G10" s="35">
        <v>0</v>
      </c>
      <c r="H10" s="32">
        <f t="shared" si="0"/>
        <v>5</v>
      </c>
      <c r="I10" s="35">
        <v>6</v>
      </c>
      <c r="J10" s="35">
        <v>0</v>
      </c>
      <c r="K10" s="35">
        <v>0</v>
      </c>
      <c r="L10" s="35">
        <v>0</v>
      </c>
      <c r="M10" s="32">
        <f t="shared" si="1"/>
        <v>6</v>
      </c>
    </row>
    <row r="11" spans="1:20" ht="16" x14ac:dyDescent="0.2">
      <c r="A11" s="35">
        <v>7</v>
      </c>
      <c r="B11" s="35" t="s">
        <v>2</v>
      </c>
      <c r="C11" s="35"/>
      <c r="D11" s="35">
        <v>0</v>
      </c>
      <c r="E11" s="35">
        <v>0</v>
      </c>
      <c r="F11" s="35">
        <v>0</v>
      </c>
      <c r="G11" s="35">
        <v>0</v>
      </c>
      <c r="H11" s="32">
        <f t="shared" si="0"/>
        <v>0</v>
      </c>
      <c r="I11" s="35">
        <v>0</v>
      </c>
      <c r="J11" s="35">
        <v>0</v>
      </c>
      <c r="K11" s="35">
        <v>0</v>
      </c>
      <c r="L11" s="35">
        <v>0</v>
      </c>
      <c r="M11" s="32">
        <f t="shared" si="1"/>
        <v>0</v>
      </c>
    </row>
    <row r="12" spans="1:20" ht="16" x14ac:dyDescent="0.2">
      <c r="A12" s="35">
        <v>8</v>
      </c>
      <c r="B12" s="35" t="s">
        <v>2</v>
      </c>
      <c r="C12" s="35"/>
      <c r="D12" s="35">
        <v>2</v>
      </c>
      <c r="E12" s="35">
        <v>3</v>
      </c>
      <c r="F12" s="35">
        <v>5</v>
      </c>
      <c r="G12" s="35">
        <v>0</v>
      </c>
      <c r="H12" s="32">
        <f t="shared" si="0"/>
        <v>10</v>
      </c>
      <c r="I12" s="35">
        <v>2</v>
      </c>
      <c r="J12" s="35">
        <v>0</v>
      </c>
      <c r="K12" s="35">
        <v>2</v>
      </c>
      <c r="L12" s="35">
        <v>0</v>
      </c>
      <c r="M12" s="32">
        <f t="shared" si="1"/>
        <v>4</v>
      </c>
    </row>
    <row r="13" spans="1:20" ht="16" x14ac:dyDescent="0.2">
      <c r="A13" s="35">
        <v>9</v>
      </c>
      <c r="B13" s="35" t="s">
        <v>2</v>
      </c>
      <c r="C13" s="35"/>
      <c r="D13" s="35">
        <v>1</v>
      </c>
      <c r="E13" s="35">
        <v>0</v>
      </c>
      <c r="F13" s="35">
        <v>5</v>
      </c>
      <c r="G13" s="35">
        <v>0</v>
      </c>
      <c r="H13" s="32">
        <f t="shared" si="0"/>
        <v>6</v>
      </c>
      <c r="I13" s="35">
        <v>1</v>
      </c>
      <c r="J13" s="35">
        <v>0</v>
      </c>
      <c r="K13" s="35">
        <v>1</v>
      </c>
      <c r="L13" s="35">
        <v>0</v>
      </c>
      <c r="M13" s="32">
        <f t="shared" si="1"/>
        <v>2</v>
      </c>
    </row>
    <row r="14" spans="1:20" ht="16" x14ac:dyDescent="0.2">
      <c r="A14" s="35">
        <v>10</v>
      </c>
      <c r="B14" s="35" t="s">
        <v>1</v>
      </c>
      <c r="C14" s="35"/>
      <c r="D14" s="35">
        <v>0</v>
      </c>
      <c r="E14" s="35">
        <v>0</v>
      </c>
      <c r="F14" s="35">
        <v>0</v>
      </c>
      <c r="G14" s="35">
        <v>0</v>
      </c>
      <c r="H14" s="32">
        <f t="shared" si="0"/>
        <v>0</v>
      </c>
      <c r="I14" s="35">
        <v>0</v>
      </c>
      <c r="J14" s="35">
        <v>0</v>
      </c>
      <c r="K14" s="35">
        <v>0</v>
      </c>
      <c r="L14" s="35">
        <v>0</v>
      </c>
      <c r="M14" s="32">
        <f t="shared" si="1"/>
        <v>0</v>
      </c>
    </row>
    <row r="15" spans="1:20" ht="16" x14ac:dyDescent="0.2">
      <c r="A15" s="35">
        <v>11</v>
      </c>
      <c r="B15" s="35" t="s">
        <v>1</v>
      </c>
      <c r="C15" s="35"/>
      <c r="D15" s="35">
        <v>1</v>
      </c>
      <c r="E15" s="35">
        <v>1</v>
      </c>
      <c r="F15" s="35">
        <v>1</v>
      </c>
      <c r="G15" s="35">
        <v>0</v>
      </c>
      <c r="H15" s="32">
        <f t="shared" si="0"/>
        <v>3</v>
      </c>
      <c r="I15" s="35">
        <v>1</v>
      </c>
      <c r="J15" s="35">
        <v>0</v>
      </c>
      <c r="K15" s="35">
        <v>1</v>
      </c>
      <c r="L15" s="35">
        <v>0</v>
      </c>
      <c r="M15" s="32">
        <f t="shared" si="1"/>
        <v>2</v>
      </c>
    </row>
    <row r="16" spans="1:20" ht="16" x14ac:dyDescent="0.2">
      <c r="A16" s="35">
        <v>12</v>
      </c>
      <c r="B16" s="35" t="s">
        <v>2</v>
      </c>
      <c r="C16" s="35"/>
      <c r="D16" s="35">
        <v>2</v>
      </c>
      <c r="E16" s="35">
        <v>4</v>
      </c>
      <c r="F16" s="35">
        <v>3</v>
      </c>
      <c r="G16" s="35">
        <v>0</v>
      </c>
      <c r="H16" s="32">
        <f t="shared" si="0"/>
        <v>9</v>
      </c>
      <c r="I16" s="35">
        <v>2</v>
      </c>
      <c r="J16" s="35">
        <v>1</v>
      </c>
      <c r="K16" s="35">
        <v>2</v>
      </c>
      <c r="L16" s="35">
        <v>0</v>
      </c>
      <c r="M16" s="32">
        <f t="shared" si="1"/>
        <v>5</v>
      </c>
    </row>
    <row r="17" spans="1:17" ht="16" x14ac:dyDescent="0.2">
      <c r="A17" s="35">
        <v>13</v>
      </c>
      <c r="B17" s="35" t="s">
        <v>2</v>
      </c>
      <c r="C17" s="35"/>
      <c r="D17" s="35">
        <v>0</v>
      </c>
      <c r="E17" s="35">
        <v>0</v>
      </c>
      <c r="F17" s="35">
        <v>0</v>
      </c>
      <c r="G17" s="35">
        <v>0</v>
      </c>
      <c r="H17" s="32">
        <f t="shared" si="0"/>
        <v>0</v>
      </c>
      <c r="I17" s="35">
        <v>0</v>
      </c>
      <c r="J17" s="35">
        <v>0</v>
      </c>
      <c r="K17" s="35">
        <v>0</v>
      </c>
      <c r="L17" s="35">
        <v>0</v>
      </c>
      <c r="M17" s="32">
        <f t="shared" si="1"/>
        <v>0</v>
      </c>
    </row>
    <row r="18" spans="1:17" ht="16" x14ac:dyDescent="0.2">
      <c r="A18" s="35">
        <v>14</v>
      </c>
      <c r="B18" s="35" t="s">
        <v>1</v>
      </c>
      <c r="C18" s="35"/>
      <c r="D18" s="35">
        <v>0</v>
      </c>
      <c r="E18" s="35">
        <v>0</v>
      </c>
      <c r="F18" s="35">
        <v>2</v>
      </c>
      <c r="G18" s="35">
        <v>0</v>
      </c>
      <c r="H18" s="32">
        <f t="shared" si="0"/>
        <v>2</v>
      </c>
      <c r="I18" s="35">
        <v>2</v>
      </c>
      <c r="J18" s="35">
        <v>0</v>
      </c>
      <c r="K18" s="35">
        <v>1</v>
      </c>
      <c r="L18" s="35">
        <v>0</v>
      </c>
      <c r="M18" s="32">
        <f t="shared" si="1"/>
        <v>3</v>
      </c>
    </row>
    <row r="19" spans="1:17" ht="16" x14ac:dyDescent="0.2">
      <c r="A19" s="35">
        <v>15</v>
      </c>
      <c r="B19" s="35" t="s">
        <v>2</v>
      </c>
      <c r="C19" s="35"/>
      <c r="D19" s="35">
        <v>0</v>
      </c>
      <c r="E19" s="35">
        <v>0</v>
      </c>
      <c r="F19" s="35">
        <v>5</v>
      </c>
      <c r="G19" s="35">
        <v>0</v>
      </c>
      <c r="H19" s="32">
        <f t="shared" si="0"/>
        <v>5</v>
      </c>
      <c r="I19" s="35">
        <v>3</v>
      </c>
      <c r="J19" s="35">
        <v>0</v>
      </c>
      <c r="K19" s="35">
        <v>2</v>
      </c>
      <c r="L19" s="35">
        <v>0</v>
      </c>
      <c r="M19" s="32">
        <f t="shared" si="1"/>
        <v>5</v>
      </c>
      <c r="P19" s="3"/>
      <c r="Q19" s="3"/>
    </row>
    <row r="20" spans="1:17" ht="16" x14ac:dyDescent="0.2">
      <c r="A20" s="35">
        <v>16</v>
      </c>
      <c r="B20" s="35" t="s">
        <v>2</v>
      </c>
      <c r="C20" s="35"/>
      <c r="D20" s="35">
        <v>0</v>
      </c>
      <c r="E20" s="35">
        <v>0</v>
      </c>
      <c r="F20" s="35">
        <v>0</v>
      </c>
      <c r="G20" s="35">
        <v>0</v>
      </c>
      <c r="H20" s="32">
        <f t="shared" si="0"/>
        <v>0</v>
      </c>
      <c r="I20" s="35">
        <v>0</v>
      </c>
      <c r="J20" s="35">
        <v>0</v>
      </c>
      <c r="K20" s="35">
        <v>0</v>
      </c>
      <c r="L20" s="35">
        <v>0</v>
      </c>
      <c r="M20" s="32">
        <f t="shared" si="1"/>
        <v>0</v>
      </c>
    </row>
    <row r="21" spans="1:17" ht="16" x14ac:dyDescent="0.2">
      <c r="A21" s="35">
        <v>17</v>
      </c>
      <c r="B21" s="35" t="s">
        <v>2</v>
      </c>
      <c r="C21" s="35"/>
      <c r="D21" s="35">
        <v>1</v>
      </c>
      <c r="E21" s="35">
        <v>0</v>
      </c>
      <c r="F21" s="35">
        <v>8</v>
      </c>
      <c r="G21" s="35">
        <v>0</v>
      </c>
      <c r="H21" s="32">
        <f t="shared" si="0"/>
        <v>9</v>
      </c>
      <c r="I21" s="35">
        <v>4</v>
      </c>
      <c r="J21" s="35">
        <v>0</v>
      </c>
      <c r="K21" s="35">
        <v>3</v>
      </c>
      <c r="L21" s="35">
        <v>0</v>
      </c>
      <c r="M21" s="32">
        <f t="shared" si="1"/>
        <v>7</v>
      </c>
    </row>
    <row r="22" spans="1:17" ht="16" x14ac:dyDescent="0.2">
      <c r="A22" s="35">
        <v>18</v>
      </c>
      <c r="B22" s="35" t="s">
        <v>1</v>
      </c>
      <c r="C22" s="35"/>
      <c r="D22" s="35">
        <v>0</v>
      </c>
      <c r="E22" s="35">
        <v>4</v>
      </c>
      <c r="F22" s="35">
        <v>4</v>
      </c>
      <c r="G22" s="35">
        <v>0</v>
      </c>
      <c r="H22" s="32">
        <f t="shared" si="0"/>
        <v>8</v>
      </c>
      <c r="I22" s="35">
        <v>1</v>
      </c>
      <c r="J22" s="35">
        <v>0</v>
      </c>
      <c r="K22" s="35">
        <v>2</v>
      </c>
      <c r="L22" s="35">
        <v>0</v>
      </c>
      <c r="M22" s="32">
        <f t="shared" si="1"/>
        <v>3</v>
      </c>
    </row>
    <row r="23" spans="1:17" ht="16" x14ac:dyDescent="0.2">
      <c r="A23" s="35">
        <v>19</v>
      </c>
      <c r="B23" s="35" t="s">
        <v>2</v>
      </c>
      <c r="C23" s="35"/>
      <c r="D23" s="35">
        <v>0</v>
      </c>
      <c r="E23" s="35">
        <v>0</v>
      </c>
      <c r="F23" s="35">
        <v>0</v>
      </c>
      <c r="G23" s="35">
        <v>0</v>
      </c>
      <c r="H23" s="32">
        <f t="shared" si="0"/>
        <v>0</v>
      </c>
      <c r="I23" s="35">
        <v>0</v>
      </c>
      <c r="J23" s="35">
        <v>0</v>
      </c>
      <c r="K23" s="35">
        <v>0</v>
      </c>
      <c r="L23" s="35">
        <v>0</v>
      </c>
      <c r="M23" s="32">
        <f t="shared" si="1"/>
        <v>0</v>
      </c>
    </row>
    <row r="24" spans="1:17" ht="16" x14ac:dyDescent="0.2">
      <c r="A24" s="35">
        <v>20</v>
      </c>
      <c r="B24" s="35" t="s">
        <v>1</v>
      </c>
      <c r="C24" s="35"/>
      <c r="D24" s="35">
        <v>1</v>
      </c>
      <c r="E24" s="35">
        <v>4</v>
      </c>
      <c r="F24" s="35">
        <v>5</v>
      </c>
      <c r="G24" s="35">
        <v>0</v>
      </c>
      <c r="H24" s="32">
        <f t="shared" si="0"/>
        <v>10</v>
      </c>
      <c r="I24" s="35">
        <v>2</v>
      </c>
      <c r="J24" s="35">
        <v>3</v>
      </c>
      <c r="K24" s="35">
        <v>4</v>
      </c>
      <c r="L24" s="35">
        <v>0</v>
      </c>
      <c r="M24" s="32">
        <f t="shared" si="1"/>
        <v>9</v>
      </c>
    </row>
    <row r="25" spans="1:17" ht="16" x14ac:dyDescent="0.2">
      <c r="A25" s="35">
        <v>21</v>
      </c>
      <c r="B25" s="35" t="s">
        <v>1</v>
      </c>
      <c r="C25" s="35"/>
      <c r="D25" s="35">
        <v>0</v>
      </c>
      <c r="E25" s="35">
        <v>1</v>
      </c>
      <c r="F25" s="35">
        <v>4</v>
      </c>
      <c r="G25" s="35">
        <v>0</v>
      </c>
      <c r="H25" s="32">
        <f t="shared" si="0"/>
        <v>5</v>
      </c>
      <c r="I25" s="35">
        <v>1</v>
      </c>
      <c r="J25" s="35">
        <v>0</v>
      </c>
      <c r="K25" s="35">
        <v>1</v>
      </c>
      <c r="L25" s="35">
        <v>0</v>
      </c>
      <c r="M25" s="32">
        <f t="shared" si="1"/>
        <v>2</v>
      </c>
    </row>
    <row r="26" spans="1:17" ht="16" x14ac:dyDescent="0.2">
      <c r="A26" s="35">
        <v>22</v>
      </c>
      <c r="B26" s="35" t="s">
        <v>1</v>
      </c>
      <c r="C26" s="35"/>
      <c r="D26" s="35">
        <v>0</v>
      </c>
      <c r="E26" s="35">
        <v>1</v>
      </c>
      <c r="F26" s="35">
        <v>2</v>
      </c>
      <c r="G26" s="35">
        <v>0</v>
      </c>
      <c r="H26" s="32">
        <f t="shared" si="0"/>
        <v>3</v>
      </c>
      <c r="I26" s="35">
        <v>1</v>
      </c>
      <c r="J26" s="35">
        <v>0</v>
      </c>
      <c r="K26" s="35">
        <v>0</v>
      </c>
      <c r="L26" s="35">
        <v>0</v>
      </c>
      <c r="M26" s="32">
        <f t="shared" si="1"/>
        <v>1</v>
      </c>
    </row>
    <row r="27" spans="1:17" ht="16" x14ac:dyDescent="0.2">
      <c r="A27" s="35">
        <v>23</v>
      </c>
      <c r="B27" s="35" t="s">
        <v>1</v>
      </c>
      <c r="C27" s="35"/>
      <c r="D27" s="35">
        <v>0</v>
      </c>
      <c r="E27" s="35">
        <v>0</v>
      </c>
      <c r="F27" s="35">
        <v>0</v>
      </c>
      <c r="G27" s="35">
        <v>0</v>
      </c>
      <c r="H27" s="32">
        <f t="shared" si="0"/>
        <v>0</v>
      </c>
      <c r="I27" s="35">
        <v>0</v>
      </c>
      <c r="J27" s="35">
        <v>0</v>
      </c>
      <c r="K27" s="35">
        <v>0</v>
      </c>
      <c r="L27" s="35">
        <v>0</v>
      </c>
      <c r="M27" s="32">
        <f t="shared" si="1"/>
        <v>0</v>
      </c>
    </row>
    <row r="28" spans="1:17" ht="16" x14ac:dyDescent="0.2">
      <c r="A28" s="35">
        <v>24</v>
      </c>
      <c r="B28" s="35" t="s">
        <v>1</v>
      </c>
      <c r="C28" s="35"/>
      <c r="D28" s="35">
        <v>0</v>
      </c>
      <c r="E28" s="35">
        <v>0</v>
      </c>
      <c r="F28" s="35">
        <v>0</v>
      </c>
      <c r="G28" s="35">
        <v>0</v>
      </c>
      <c r="H28" s="32">
        <f t="shared" si="0"/>
        <v>0</v>
      </c>
      <c r="I28" s="35">
        <v>0</v>
      </c>
      <c r="J28" s="35">
        <v>0</v>
      </c>
      <c r="K28" s="35">
        <v>0</v>
      </c>
      <c r="L28" s="35">
        <v>0</v>
      </c>
      <c r="M28" s="32">
        <f t="shared" si="1"/>
        <v>0</v>
      </c>
    </row>
    <row r="29" spans="1:17" ht="16" x14ac:dyDescent="0.2">
      <c r="A29" s="35">
        <v>25</v>
      </c>
      <c r="B29" s="35" t="s">
        <v>1</v>
      </c>
      <c r="C29" s="35"/>
      <c r="D29" s="35">
        <v>0</v>
      </c>
      <c r="E29" s="35">
        <v>0</v>
      </c>
      <c r="F29" s="35">
        <v>4</v>
      </c>
      <c r="G29" s="35">
        <v>0</v>
      </c>
      <c r="H29" s="32">
        <f t="shared" si="0"/>
        <v>4</v>
      </c>
      <c r="I29" s="35">
        <v>3</v>
      </c>
      <c r="J29" s="35">
        <v>0</v>
      </c>
      <c r="K29" s="35">
        <v>0</v>
      </c>
      <c r="L29" s="35">
        <v>0</v>
      </c>
      <c r="M29" s="32">
        <f t="shared" si="1"/>
        <v>3</v>
      </c>
    </row>
    <row r="30" spans="1:17" ht="16" x14ac:dyDescent="0.2">
      <c r="A30" s="35">
        <v>26</v>
      </c>
      <c r="B30" s="35" t="s">
        <v>1</v>
      </c>
      <c r="C30" s="35"/>
      <c r="D30" s="35">
        <v>0</v>
      </c>
      <c r="E30" s="35">
        <v>0</v>
      </c>
      <c r="F30" s="35">
        <v>0</v>
      </c>
      <c r="G30" s="35">
        <v>0</v>
      </c>
      <c r="H30" s="32">
        <f t="shared" si="0"/>
        <v>0</v>
      </c>
      <c r="I30" s="35">
        <v>0</v>
      </c>
      <c r="J30" s="35">
        <v>0</v>
      </c>
      <c r="K30" s="35">
        <v>0</v>
      </c>
      <c r="L30" s="35">
        <v>0</v>
      </c>
      <c r="M30" s="32">
        <f t="shared" si="1"/>
        <v>0</v>
      </c>
    </row>
    <row r="31" spans="1:17" ht="16" x14ac:dyDescent="0.2">
      <c r="A31" s="35">
        <v>27</v>
      </c>
      <c r="B31" s="35" t="s">
        <v>1</v>
      </c>
      <c r="C31" s="35"/>
      <c r="D31" s="35">
        <v>0</v>
      </c>
      <c r="E31" s="35">
        <v>1</v>
      </c>
      <c r="F31" s="35">
        <v>4</v>
      </c>
      <c r="G31" s="35">
        <v>0</v>
      </c>
      <c r="H31" s="32">
        <f t="shared" si="0"/>
        <v>5</v>
      </c>
      <c r="I31" s="35">
        <v>0</v>
      </c>
      <c r="J31" s="35">
        <v>1</v>
      </c>
      <c r="K31" s="35">
        <v>2</v>
      </c>
      <c r="L31" s="35">
        <v>0</v>
      </c>
      <c r="M31" s="32">
        <f t="shared" si="1"/>
        <v>3</v>
      </c>
    </row>
    <row r="32" spans="1:17" ht="16" x14ac:dyDescent="0.2">
      <c r="A32" s="35">
        <v>28</v>
      </c>
      <c r="B32" s="35" t="s">
        <v>1</v>
      </c>
      <c r="C32" s="35"/>
      <c r="D32" s="35">
        <v>0</v>
      </c>
      <c r="E32" s="35">
        <v>3</v>
      </c>
      <c r="F32" s="35">
        <v>5</v>
      </c>
      <c r="G32" s="35">
        <v>0</v>
      </c>
      <c r="H32" s="32">
        <f t="shared" si="0"/>
        <v>8</v>
      </c>
      <c r="I32" s="35">
        <v>3</v>
      </c>
      <c r="J32" s="35">
        <v>0</v>
      </c>
      <c r="K32" s="35">
        <v>2</v>
      </c>
      <c r="L32" s="35">
        <v>0</v>
      </c>
      <c r="M32" s="32">
        <f t="shared" si="1"/>
        <v>5</v>
      </c>
    </row>
    <row r="33" spans="1:13" ht="16" x14ac:dyDescent="0.2">
      <c r="A33" s="35">
        <v>29</v>
      </c>
      <c r="B33" s="35" t="s">
        <v>1</v>
      </c>
      <c r="C33" s="35"/>
      <c r="D33" s="35">
        <v>0</v>
      </c>
      <c r="E33" s="35">
        <v>0</v>
      </c>
      <c r="F33" s="35">
        <v>0</v>
      </c>
      <c r="G33" s="35">
        <v>0</v>
      </c>
      <c r="H33" s="32">
        <f t="shared" si="0"/>
        <v>0</v>
      </c>
      <c r="I33" s="35">
        <v>0</v>
      </c>
      <c r="J33" s="35">
        <v>0</v>
      </c>
      <c r="K33" s="35">
        <v>0</v>
      </c>
      <c r="L33" s="35">
        <v>0</v>
      </c>
      <c r="M33" s="32">
        <f t="shared" si="1"/>
        <v>0</v>
      </c>
    </row>
    <row r="34" spans="1:13" ht="16" x14ac:dyDescent="0.2">
      <c r="A34" s="35">
        <v>30</v>
      </c>
      <c r="B34" s="35" t="s">
        <v>2</v>
      </c>
      <c r="C34" s="35"/>
      <c r="D34" s="35">
        <v>2</v>
      </c>
      <c r="E34" s="35">
        <v>4</v>
      </c>
      <c r="F34" s="35">
        <v>3</v>
      </c>
      <c r="G34" s="35">
        <v>0</v>
      </c>
      <c r="H34" s="32">
        <f t="shared" si="0"/>
        <v>9</v>
      </c>
      <c r="I34" s="35">
        <v>2</v>
      </c>
      <c r="J34" s="35">
        <v>2</v>
      </c>
      <c r="K34" s="35">
        <v>3</v>
      </c>
      <c r="L34" s="35">
        <v>0</v>
      </c>
      <c r="M34" s="32">
        <f t="shared" si="1"/>
        <v>7</v>
      </c>
    </row>
    <row r="35" spans="1:13" ht="16" x14ac:dyDescent="0.2">
      <c r="A35" s="35">
        <v>31</v>
      </c>
      <c r="B35" s="35" t="s">
        <v>1</v>
      </c>
      <c r="C35" s="35"/>
      <c r="D35" s="35">
        <v>0</v>
      </c>
      <c r="E35" s="35">
        <v>2</v>
      </c>
      <c r="F35" s="35">
        <v>4</v>
      </c>
      <c r="G35" s="35">
        <v>0</v>
      </c>
      <c r="H35" s="32">
        <f t="shared" si="0"/>
        <v>6</v>
      </c>
      <c r="I35" s="35">
        <v>1</v>
      </c>
      <c r="J35" s="35">
        <v>1</v>
      </c>
      <c r="K35" s="35">
        <v>4</v>
      </c>
      <c r="L35" s="35">
        <v>0</v>
      </c>
      <c r="M35" s="32">
        <f t="shared" si="1"/>
        <v>6</v>
      </c>
    </row>
    <row r="36" spans="1:13" ht="16" x14ac:dyDescent="0.2">
      <c r="A36" s="35">
        <v>32</v>
      </c>
      <c r="B36" s="35" t="s">
        <v>2</v>
      </c>
      <c r="C36" s="35"/>
      <c r="D36" s="35">
        <v>0</v>
      </c>
      <c r="E36" s="35">
        <v>6</v>
      </c>
      <c r="F36" s="35">
        <v>4</v>
      </c>
      <c r="G36" s="35">
        <v>0</v>
      </c>
      <c r="H36" s="32">
        <f t="shared" si="0"/>
        <v>10</v>
      </c>
      <c r="I36" s="35">
        <v>3</v>
      </c>
      <c r="J36" s="35">
        <v>2</v>
      </c>
      <c r="K36" s="35">
        <v>3</v>
      </c>
      <c r="L36" s="35">
        <v>0</v>
      </c>
      <c r="M36" s="32">
        <f t="shared" si="1"/>
        <v>8</v>
      </c>
    </row>
    <row r="37" spans="1:13" ht="16" x14ac:dyDescent="0.2">
      <c r="A37" s="35">
        <v>33</v>
      </c>
      <c r="B37" s="35" t="s">
        <v>1</v>
      </c>
      <c r="C37" s="35"/>
      <c r="D37" s="35">
        <v>0</v>
      </c>
      <c r="E37" s="35">
        <v>7</v>
      </c>
      <c r="F37" s="35">
        <v>5</v>
      </c>
      <c r="G37" s="35">
        <v>0</v>
      </c>
      <c r="H37" s="32">
        <f t="shared" si="0"/>
        <v>12</v>
      </c>
      <c r="I37" s="35">
        <v>2</v>
      </c>
      <c r="J37" s="35">
        <v>0</v>
      </c>
      <c r="K37" s="35">
        <v>3</v>
      </c>
      <c r="L37" s="35">
        <v>0</v>
      </c>
      <c r="M37" s="32">
        <f t="shared" si="1"/>
        <v>5</v>
      </c>
    </row>
    <row r="38" spans="1:13" ht="16" x14ac:dyDescent="0.2">
      <c r="A38" s="35">
        <v>34</v>
      </c>
      <c r="B38" s="35" t="s">
        <v>1</v>
      </c>
      <c r="C38" s="35"/>
      <c r="D38" s="35">
        <v>0</v>
      </c>
      <c r="E38" s="35">
        <v>0</v>
      </c>
      <c r="F38" s="35">
        <v>0</v>
      </c>
      <c r="G38" s="35">
        <v>0</v>
      </c>
      <c r="H38" s="32">
        <f t="shared" si="0"/>
        <v>0</v>
      </c>
      <c r="I38" s="35">
        <v>0</v>
      </c>
      <c r="J38" s="35">
        <v>0</v>
      </c>
      <c r="K38" s="35">
        <v>0</v>
      </c>
      <c r="L38" s="35">
        <v>0</v>
      </c>
      <c r="M38" s="32">
        <f t="shared" si="1"/>
        <v>0</v>
      </c>
    </row>
    <row r="39" spans="1:13" ht="16" x14ac:dyDescent="0.2">
      <c r="A39" s="35">
        <v>35</v>
      </c>
      <c r="B39" s="35" t="s">
        <v>2</v>
      </c>
      <c r="C39" s="35"/>
      <c r="D39" s="35">
        <v>0</v>
      </c>
      <c r="E39" s="35">
        <v>0</v>
      </c>
      <c r="F39" s="35">
        <v>5</v>
      </c>
      <c r="G39" s="35">
        <v>0</v>
      </c>
      <c r="H39" s="32">
        <f t="shared" si="0"/>
        <v>5</v>
      </c>
      <c r="I39" s="35">
        <v>2</v>
      </c>
      <c r="J39" s="35">
        <v>0</v>
      </c>
      <c r="K39" s="35">
        <v>1</v>
      </c>
      <c r="L39" s="35">
        <v>0</v>
      </c>
      <c r="M39" s="32">
        <f t="shared" si="1"/>
        <v>3</v>
      </c>
    </row>
    <row r="40" spans="1:13" ht="16" x14ac:dyDescent="0.2">
      <c r="A40" s="35">
        <v>36</v>
      </c>
      <c r="B40" s="35" t="s">
        <v>2</v>
      </c>
      <c r="C40" s="35"/>
      <c r="D40" s="35">
        <v>0</v>
      </c>
      <c r="E40" s="35">
        <v>3</v>
      </c>
      <c r="F40" s="35">
        <v>4</v>
      </c>
      <c r="G40" s="35">
        <v>0</v>
      </c>
      <c r="H40" s="32">
        <f t="shared" si="0"/>
        <v>7</v>
      </c>
      <c r="I40" s="35">
        <v>2</v>
      </c>
      <c r="J40" s="35">
        <v>0</v>
      </c>
      <c r="K40" s="35">
        <v>3</v>
      </c>
      <c r="L40" s="35">
        <v>0</v>
      </c>
      <c r="M40" s="32">
        <f t="shared" si="1"/>
        <v>5</v>
      </c>
    </row>
    <row r="41" spans="1:13" ht="16" x14ac:dyDescent="0.2">
      <c r="A41" s="35">
        <v>37</v>
      </c>
      <c r="B41" s="35" t="s">
        <v>2</v>
      </c>
      <c r="C41" s="35"/>
      <c r="D41" s="35">
        <v>0</v>
      </c>
      <c r="E41" s="35">
        <v>5</v>
      </c>
      <c r="F41" s="35">
        <v>5</v>
      </c>
      <c r="G41" s="35">
        <v>0</v>
      </c>
      <c r="H41" s="32">
        <f t="shared" si="0"/>
        <v>10</v>
      </c>
      <c r="I41" s="35">
        <v>1</v>
      </c>
      <c r="J41" s="35">
        <v>1</v>
      </c>
      <c r="K41" s="35">
        <v>3</v>
      </c>
      <c r="L41" s="35">
        <v>0</v>
      </c>
      <c r="M41" s="32">
        <f t="shared" si="1"/>
        <v>5</v>
      </c>
    </row>
    <row r="42" spans="1:13" ht="16" x14ac:dyDescent="0.2">
      <c r="A42" s="35">
        <v>38</v>
      </c>
      <c r="B42" s="35" t="s">
        <v>2</v>
      </c>
      <c r="C42" s="35"/>
      <c r="D42" s="35">
        <v>0</v>
      </c>
      <c r="E42" s="35">
        <v>1</v>
      </c>
      <c r="F42" s="35">
        <v>1</v>
      </c>
      <c r="G42" s="35">
        <v>0</v>
      </c>
      <c r="H42" s="32">
        <f t="shared" si="0"/>
        <v>2</v>
      </c>
      <c r="I42" s="35">
        <v>0</v>
      </c>
      <c r="J42" s="35">
        <v>0</v>
      </c>
      <c r="K42" s="35">
        <v>0</v>
      </c>
      <c r="L42" s="35">
        <v>0</v>
      </c>
      <c r="M42" s="32">
        <f t="shared" si="1"/>
        <v>0</v>
      </c>
    </row>
    <row r="43" spans="1:13" ht="16" x14ac:dyDescent="0.2">
      <c r="A43" s="35">
        <v>39</v>
      </c>
      <c r="B43" s="35" t="s">
        <v>2</v>
      </c>
      <c r="C43" s="35"/>
      <c r="D43" s="35">
        <v>0</v>
      </c>
      <c r="E43" s="35">
        <v>2</v>
      </c>
      <c r="F43" s="35">
        <v>1</v>
      </c>
      <c r="G43" s="35">
        <v>0</v>
      </c>
      <c r="H43" s="32">
        <f t="shared" si="0"/>
        <v>3</v>
      </c>
      <c r="I43" s="35">
        <v>1</v>
      </c>
      <c r="J43" s="35">
        <v>0</v>
      </c>
      <c r="K43" s="35">
        <v>1</v>
      </c>
      <c r="L43" s="35">
        <v>0</v>
      </c>
      <c r="M43" s="32">
        <f t="shared" si="1"/>
        <v>2</v>
      </c>
    </row>
    <row r="44" spans="1:13" ht="16" x14ac:dyDescent="0.2">
      <c r="A44" s="35">
        <v>40</v>
      </c>
      <c r="B44" s="35" t="s">
        <v>1</v>
      </c>
      <c r="C44" s="35"/>
      <c r="D44" s="35">
        <v>0</v>
      </c>
      <c r="E44" s="35">
        <v>1</v>
      </c>
      <c r="F44" s="35">
        <v>3</v>
      </c>
      <c r="G44" s="35">
        <v>0</v>
      </c>
      <c r="H44" s="32">
        <f t="shared" si="0"/>
        <v>4</v>
      </c>
      <c r="I44" s="35">
        <v>4</v>
      </c>
      <c r="J44" s="35">
        <v>0</v>
      </c>
      <c r="K44" s="35">
        <v>1</v>
      </c>
      <c r="L44" s="35">
        <v>0</v>
      </c>
      <c r="M44" s="32">
        <f t="shared" si="1"/>
        <v>5</v>
      </c>
    </row>
    <row r="45" spans="1:13" ht="16" x14ac:dyDescent="0.2">
      <c r="A45" s="35">
        <v>41</v>
      </c>
      <c r="B45" s="35" t="s">
        <v>2</v>
      </c>
      <c r="C45" s="35"/>
      <c r="D45" s="35">
        <v>0</v>
      </c>
      <c r="E45" s="35">
        <v>4</v>
      </c>
      <c r="F45" s="35">
        <v>1</v>
      </c>
      <c r="G45" s="35">
        <v>0</v>
      </c>
      <c r="H45" s="32">
        <f t="shared" si="0"/>
        <v>5</v>
      </c>
      <c r="I45" s="35">
        <v>1</v>
      </c>
      <c r="J45" s="35">
        <v>0</v>
      </c>
      <c r="K45" s="35">
        <v>1</v>
      </c>
      <c r="L45" s="35">
        <v>0</v>
      </c>
      <c r="M45" s="32">
        <f t="shared" si="1"/>
        <v>2</v>
      </c>
    </row>
    <row r="46" spans="1:13" ht="16" x14ac:dyDescent="0.2">
      <c r="A46" s="35">
        <v>42</v>
      </c>
      <c r="B46" s="35" t="s">
        <v>1</v>
      </c>
      <c r="C46" s="35"/>
      <c r="D46" s="35">
        <v>0</v>
      </c>
      <c r="E46" s="35">
        <v>2</v>
      </c>
      <c r="F46" s="35">
        <v>4</v>
      </c>
      <c r="G46" s="35">
        <v>0</v>
      </c>
      <c r="H46" s="32">
        <f t="shared" si="0"/>
        <v>6</v>
      </c>
      <c r="I46" s="35">
        <v>2</v>
      </c>
      <c r="J46" s="35">
        <v>3</v>
      </c>
      <c r="K46" s="35">
        <v>0</v>
      </c>
      <c r="L46" s="35">
        <v>0</v>
      </c>
      <c r="M46" s="32">
        <f t="shared" si="1"/>
        <v>5</v>
      </c>
    </row>
    <row r="47" spans="1:13" ht="16" x14ac:dyDescent="0.2">
      <c r="A47" s="35">
        <v>43</v>
      </c>
      <c r="B47" s="35" t="s">
        <v>2</v>
      </c>
      <c r="C47" s="35"/>
      <c r="D47" s="35">
        <v>0</v>
      </c>
      <c r="E47" s="35">
        <v>0</v>
      </c>
      <c r="F47" s="35">
        <v>1</v>
      </c>
      <c r="G47" s="35">
        <v>0</v>
      </c>
      <c r="H47" s="32">
        <f t="shared" si="0"/>
        <v>1</v>
      </c>
      <c r="I47" s="35">
        <v>1</v>
      </c>
      <c r="J47" s="35">
        <v>0</v>
      </c>
      <c r="K47" s="35">
        <v>0</v>
      </c>
      <c r="L47" s="35">
        <v>0</v>
      </c>
      <c r="M47" s="32">
        <f t="shared" si="1"/>
        <v>1</v>
      </c>
    </row>
    <row r="48" spans="1:13" ht="16" x14ac:dyDescent="0.2">
      <c r="A48" s="35">
        <v>44</v>
      </c>
      <c r="B48" s="35" t="s">
        <v>2</v>
      </c>
      <c r="C48" s="35"/>
      <c r="D48" s="35">
        <v>0</v>
      </c>
      <c r="E48" s="35">
        <v>3</v>
      </c>
      <c r="F48" s="35">
        <v>2</v>
      </c>
      <c r="G48" s="35">
        <v>0</v>
      </c>
      <c r="H48" s="32">
        <f t="shared" si="0"/>
        <v>5</v>
      </c>
      <c r="I48" s="35">
        <v>1</v>
      </c>
      <c r="J48" s="35">
        <v>1</v>
      </c>
      <c r="K48" s="35">
        <v>1</v>
      </c>
      <c r="L48" s="35">
        <v>0</v>
      </c>
      <c r="M48" s="32">
        <f t="shared" si="1"/>
        <v>3</v>
      </c>
    </row>
    <row r="49" spans="1:13" ht="16" x14ac:dyDescent="0.2">
      <c r="A49" s="35">
        <v>45</v>
      </c>
      <c r="B49" s="35" t="s">
        <v>2</v>
      </c>
      <c r="C49" s="35"/>
      <c r="D49" s="35">
        <v>0</v>
      </c>
      <c r="E49" s="35">
        <v>4</v>
      </c>
      <c r="F49" s="35">
        <v>4</v>
      </c>
      <c r="G49" s="35">
        <v>0</v>
      </c>
      <c r="H49" s="32">
        <f t="shared" si="0"/>
        <v>8</v>
      </c>
      <c r="I49" s="35">
        <v>0</v>
      </c>
      <c r="J49" s="35">
        <v>1</v>
      </c>
      <c r="K49" s="35">
        <v>3</v>
      </c>
      <c r="L49" s="35">
        <v>0</v>
      </c>
      <c r="M49" s="32">
        <f t="shared" si="1"/>
        <v>4</v>
      </c>
    </row>
    <row r="50" spans="1:13" ht="16" x14ac:dyDescent="0.2">
      <c r="A50" s="35">
        <v>46</v>
      </c>
      <c r="B50" s="35" t="s">
        <v>2</v>
      </c>
      <c r="C50" s="35"/>
      <c r="D50" s="35">
        <v>0</v>
      </c>
      <c r="E50" s="35">
        <v>3</v>
      </c>
      <c r="F50" s="35">
        <v>5</v>
      </c>
      <c r="G50" s="35">
        <v>0</v>
      </c>
      <c r="H50" s="32">
        <f t="shared" si="0"/>
        <v>8</v>
      </c>
      <c r="I50" s="35">
        <v>1</v>
      </c>
      <c r="J50" s="35">
        <v>1</v>
      </c>
      <c r="K50" s="35">
        <v>2</v>
      </c>
      <c r="L50" s="35">
        <v>0</v>
      </c>
      <c r="M50" s="32">
        <f t="shared" si="1"/>
        <v>4</v>
      </c>
    </row>
    <row r="51" spans="1:13" ht="16" x14ac:dyDescent="0.2">
      <c r="A51" s="35">
        <v>47</v>
      </c>
      <c r="B51" s="35" t="s">
        <v>2</v>
      </c>
      <c r="C51" s="35"/>
      <c r="D51" s="35">
        <v>0</v>
      </c>
      <c r="E51" s="35">
        <v>0</v>
      </c>
      <c r="F51" s="35">
        <v>1</v>
      </c>
      <c r="G51" s="35">
        <v>0</v>
      </c>
      <c r="H51" s="32">
        <f t="shared" si="0"/>
        <v>1</v>
      </c>
      <c r="I51" s="35">
        <v>1</v>
      </c>
      <c r="J51" s="35">
        <v>0</v>
      </c>
      <c r="K51" s="35">
        <v>0</v>
      </c>
      <c r="L51" s="35">
        <v>0</v>
      </c>
      <c r="M51" s="32">
        <f t="shared" si="1"/>
        <v>1</v>
      </c>
    </row>
    <row r="52" spans="1:13" ht="16" x14ac:dyDescent="0.2">
      <c r="A52" s="35">
        <v>48</v>
      </c>
      <c r="B52" s="35" t="s">
        <v>2</v>
      </c>
      <c r="C52" s="35"/>
      <c r="D52" s="35">
        <v>0</v>
      </c>
      <c r="E52" s="35">
        <v>2</v>
      </c>
      <c r="F52" s="35">
        <v>3</v>
      </c>
      <c r="G52" s="35">
        <v>0</v>
      </c>
      <c r="H52" s="32">
        <f t="shared" si="0"/>
        <v>5</v>
      </c>
      <c r="I52" s="35">
        <v>4</v>
      </c>
      <c r="J52" s="35">
        <v>1</v>
      </c>
      <c r="K52" s="35">
        <v>1</v>
      </c>
      <c r="L52" s="35">
        <v>0</v>
      </c>
      <c r="M52" s="32">
        <f t="shared" si="1"/>
        <v>6</v>
      </c>
    </row>
    <row r="53" spans="1:13" ht="16" x14ac:dyDescent="0.2">
      <c r="A53" s="35">
        <v>49</v>
      </c>
      <c r="B53" s="35" t="s">
        <v>1</v>
      </c>
      <c r="C53" s="35"/>
      <c r="D53" s="35">
        <v>0</v>
      </c>
      <c r="E53" s="35">
        <v>4</v>
      </c>
      <c r="F53" s="35">
        <v>2</v>
      </c>
      <c r="G53" s="35">
        <v>0</v>
      </c>
      <c r="H53" s="32">
        <f t="shared" si="0"/>
        <v>6</v>
      </c>
      <c r="I53" s="35">
        <v>0</v>
      </c>
      <c r="J53" s="35">
        <v>0</v>
      </c>
      <c r="K53" s="35">
        <v>3</v>
      </c>
      <c r="L53" s="35">
        <v>0</v>
      </c>
      <c r="M53" s="32">
        <f t="shared" si="1"/>
        <v>3</v>
      </c>
    </row>
    <row r="54" spans="1:13" ht="16" x14ac:dyDescent="0.2">
      <c r="A54" s="35">
        <v>50</v>
      </c>
      <c r="B54" s="35" t="s">
        <v>1</v>
      </c>
      <c r="C54" s="35"/>
      <c r="D54" s="35">
        <v>0</v>
      </c>
      <c r="E54" s="35">
        <v>3</v>
      </c>
      <c r="F54" s="35">
        <v>1</v>
      </c>
      <c r="G54" s="35">
        <v>0</v>
      </c>
      <c r="H54" s="32">
        <f t="shared" si="0"/>
        <v>4</v>
      </c>
      <c r="I54" s="35">
        <v>0</v>
      </c>
      <c r="J54" s="35">
        <v>0</v>
      </c>
      <c r="K54" s="35">
        <v>1</v>
      </c>
      <c r="L54" s="35">
        <v>0</v>
      </c>
      <c r="M54" s="32">
        <f t="shared" si="1"/>
        <v>1</v>
      </c>
    </row>
    <row r="55" spans="1:13" ht="16" x14ac:dyDescent="0.2">
      <c r="A55" s="35">
        <v>51</v>
      </c>
      <c r="B55" s="35" t="s">
        <v>2</v>
      </c>
      <c r="C55" s="35"/>
      <c r="D55" s="35">
        <v>0</v>
      </c>
      <c r="E55" s="35">
        <v>0</v>
      </c>
      <c r="F55" s="35">
        <v>0</v>
      </c>
      <c r="G55" s="35">
        <v>0</v>
      </c>
      <c r="H55" s="32">
        <f t="shared" si="0"/>
        <v>0</v>
      </c>
      <c r="I55" s="35">
        <v>0</v>
      </c>
      <c r="J55" s="35">
        <v>0</v>
      </c>
      <c r="K55" s="35">
        <v>0</v>
      </c>
      <c r="L55" s="35">
        <v>0</v>
      </c>
      <c r="M55" s="32">
        <f t="shared" si="1"/>
        <v>0</v>
      </c>
    </row>
    <row r="56" spans="1:13" ht="16" x14ac:dyDescent="0.2">
      <c r="A56" s="35">
        <v>52</v>
      </c>
      <c r="B56" s="35" t="s">
        <v>2</v>
      </c>
      <c r="C56" s="35"/>
      <c r="D56" s="35">
        <v>0</v>
      </c>
      <c r="E56" s="35">
        <v>0</v>
      </c>
      <c r="F56" s="35">
        <v>0</v>
      </c>
      <c r="G56" s="35">
        <v>0</v>
      </c>
      <c r="H56" s="32">
        <f t="shared" si="0"/>
        <v>0</v>
      </c>
      <c r="I56" s="35">
        <v>0</v>
      </c>
      <c r="J56" s="35">
        <v>0</v>
      </c>
      <c r="K56" s="35">
        <v>0</v>
      </c>
      <c r="L56" s="35">
        <v>0</v>
      </c>
      <c r="M56" s="32">
        <f t="shared" si="1"/>
        <v>0</v>
      </c>
    </row>
    <row r="57" spans="1:13" ht="16" x14ac:dyDescent="0.2">
      <c r="A57" s="35">
        <v>53</v>
      </c>
      <c r="B57" s="35" t="s">
        <v>1</v>
      </c>
      <c r="C57" s="35"/>
      <c r="D57" s="35">
        <v>0</v>
      </c>
      <c r="E57" s="35">
        <v>0</v>
      </c>
      <c r="F57" s="35">
        <v>0</v>
      </c>
      <c r="G57" s="35">
        <v>0</v>
      </c>
      <c r="H57" s="32">
        <f t="shared" si="0"/>
        <v>0</v>
      </c>
      <c r="I57" s="35">
        <v>0</v>
      </c>
      <c r="J57" s="35">
        <v>0</v>
      </c>
      <c r="K57" s="35">
        <v>0</v>
      </c>
      <c r="L57" s="35">
        <v>0</v>
      </c>
      <c r="M57" s="32">
        <f t="shared" si="1"/>
        <v>0</v>
      </c>
    </row>
    <row r="58" spans="1:13" ht="16" x14ac:dyDescent="0.2">
      <c r="A58" s="35">
        <v>54</v>
      </c>
      <c r="B58" s="35" t="s">
        <v>2</v>
      </c>
      <c r="C58" s="35"/>
      <c r="D58" s="35">
        <v>0</v>
      </c>
      <c r="E58" s="35">
        <v>0</v>
      </c>
      <c r="F58" s="35">
        <v>0</v>
      </c>
      <c r="G58" s="35">
        <v>0</v>
      </c>
      <c r="H58" s="32">
        <f t="shared" si="0"/>
        <v>0</v>
      </c>
      <c r="I58" s="35">
        <v>0</v>
      </c>
      <c r="J58" s="35">
        <v>0</v>
      </c>
      <c r="K58" s="35">
        <v>0</v>
      </c>
      <c r="L58" s="35">
        <v>0</v>
      </c>
      <c r="M58" s="32">
        <f t="shared" si="1"/>
        <v>0</v>
      </c>
    </row>
    <row r="59" spans="1:13" ht="16" x14ac:dyDescent="0.2">
      <c r="A59" s="35">
        <v>55</v>
      </c>
      <c r="B59" s="35" t="s">
        <v>1</v>
      </c>
      <c r="C59" s="35"/>
      <c r="D59" s="35">
        <v>0</v>
      </c>
      <c r="E59" s="35">
        <v>0</v>
      </c>
      <c r="F59" s="35">
        <v>1</v>
      </c>
      <c r="G59" s="35">
        <v>0</v>
      </c>
      <c r="H59" s="32">
        <f>SUM(D59:G59)</f>
        <v>1</v>
      </c>
      <c r="I59" s="35">
        <v>12</v>
      </c>
      <c r="J59" s="35">
        <v>2</v>
      </c>
      <c r="K59" s="35">
        <v>2</v>
      </c>
      <c r="L59" s="35">
        <v>0</v>
      </c>
      <c r="M59" s="32">
        <f t="shared" si="1"/>
        <v>16</v>
      </c>
    </row>
    <row r="60" spans="1:13" ht="16" x14ac:dyDescent="0.2">
      <c r="A60" s="35">
        <v>56</v>
      </c>
      <c r="B60" s="35" t="s">
        <v>2</v>
      </c>
      <c r="C60" s="35"/>
      <c r="D60" s="35">
        <v>0</v>
      </c>
      <c r="E60" s="35">
        <v>4</v>
      </c>
      <c r="F60" s="35">
        <v>3</v>
      </c>
      <c r="G60" s="35">
        <v>0</v>
      </c>
      <c r="H60" s="32">
        <f t="shared" ref="H60:H89" si="2">SUM(D60:G60)</f>
        <v>7</v>
      </c>
      <c r="I60" s="35">
        <v>5</v>
      </c>
      <c r="J60" s="35">
        <v>3</v>
      </c>
      <c r="K60" s="35">
        <v>6</v>
      </c>
      <c r="L60" s="35">
        <v>0</v>
      </c>
      <c r="M60" s="32">
        <f t="shared" si="1"/>
        <v>14</v>
      </c>
    </row>
    <row r="61" spans="1:13" ht="16" x14ac:dyDescent="0.2">
      <c r="A61" s="35">
        <v>57</v>
      </c>
      <c r="B61" s="35" t="s">
        <v>2</v>
      </c>
      <c r="C61" s="35"/>
      <c r="D61" s="35">
        <v>4</v>
      </c>
      <c r="E61" s="35">
        <v>6</v>
      </c>
      <c r="F61" s="35">
        <v>2</v>
      </c>
      <c r="G61" s="35">
        <v>0</v>
      </c>
      <c r="H61" s="32">
        <f t="shared" si="2"/>
        <v>12</v>
      </c>
      <c r="I61" s="35">
        <v>2</v>
      </c>
      <c r="J61" s="35">
        <v>2</v>
      </c>
      <c r="K61" s="35">
        <v>4</v>
      </c>
      <c r="L61" s="35">
        <v>0</v>
      </c>
      <c r="M61" s="32">
        <f t="shared" si="1"/>
        <v>8</v>
      </c>
    </row>
    <row r="62" spans="1:13" ht="16" x14ac:dyDescent="0.2">
      <c r="A62" s="35">
        <v>58</v>
      </c>
      <c r="B62" s="35" t="s">
        <v>2</v>
      </c>
      <c r="C62" s="35"/>
      <c r="D62" s="35">
        <v>5</v>
      </c>
      <c r="E62" s="35">
        <v>4</v>
      </c>
      <c r="F62" s="35">
        <v>2</v>
      </c>
      <c r="G62" s="35">
        <v>0</v>
      </c>
      <c r="H62" s="32">
        <f t="shared" si="2"/>
        <v>11</v>
      </c>
      <c r="I62" s="35">
        <v>2</v>
      </c>
      <c r="J62" s="35">
        <v>4</v>
      </c>
      <c r="K62" s="35">
        <v>3</v>
      </c>
      <c r="L62" s="35">
        <v>0</v>
      </c>
      <c r="M62" s="32">
        <f t="shared" si="1"/>
        <v>9</v>
      </c>
    </row>
    <row r="63" spans="1:13" ht="17" customHeight="1" x14ac:dyDescent="0.2">
      <c r="A63" s="35">
        <v>59</v>
      </c>
      <c r="B63" s="35" t="s">
        <v>2</v>
      </c>
      <c r="C63" s="35"/>
      <c r="D63" s="35">
        <v>1</v>
      </c>
      <c r="E63" s="35">
        <v>2</v>
      </c>
      <c r="F63" s="35">
        <v>1</v>
      </c>
      <c r="G63" s="35">
        <v>0</v>
      </c>
      <c r="H63" s="32">
        <f t="shared" si="2"/>
        <v>4</v>
      </c>
      <c r="I63" s="35">
        <v>3</v>
      </c>
      <c r="J63" s="35">
        <v>3</v>
      </c>
      <c r="K63" s="35">
        <v>2</v>
      </c>
      <c r="L63" s="35">
        <v>0</v>
      </c>
      <c r="M63" s="32">
        <f t="shared" si="1"/>
        <v>8</v>
      </c>
    </row>
    <row r="64" spans="1:13" ht="16" x14ac:dyDescent="0.2">
      <c r="A64" s="35">
        <v>60</v>
      </c>
      <c r="B64" s="35" t="s">
        <v>2</v>
      </c>
      <c r="C64" s="35"/>
      <c r="D64" s="35">
        <v>2</v>
      </c>
      <c r="E64" s="35">
        <v>1</v>
      </c>
      <c r="F64" s="35">
        <v>1</v>
      </c>
      <c r="G64" s="35">
        <v>0</v>
      </c>
      <c r="H64" s="32">
        <f t="shared" si="2"/>
        <v>4</v>
      </c>
      <c r="I64" s="35">
        <v>2</v>
      </c>
      <c r="J64" s="35">
        <v>1</v>
      </c>
      <c r="K64" s="35">
        <v>1</v>
      </c>
      <c r="L64" s="35">
        <v>0</v>
      </c>
      <c r="M64" s="32">
        <f t="shared" si="1"/>
        <v>4</v>
      </c>
    </row>
    <row r="65" spans="1:13" ht="16" x14ac:dyDescent="0.2">
      <c r="A65" s="35">
        <v>61</v>
      </c>
      <c r="B65" s="35" t="s">
        <v>2</v>
      </c>
      <c r="C65" s="35"/>
      <c r="D65" s="35">
        <v>4</v>
      </c>
      <c r="E65" s="35">
        <v>2</v>
      </c>
      <c r="F65" s="35">
        <v>1</v>
      </c>
      <c r="G65" s="35">
        <v>0</v>
      </c>
      <c r="H65" s="32">
        <f t="shared" si="2"/>
        <v>7</v>
      </c>
      <c r="I65" s="35">
        <v>3</v>
      </c>
      <c r="J65" s="35">
        <v>3</v>
      </c>
      <c r="K65" s="35">
        <v>4</v>
      </c>
      <c r="L65" s="35">
        <v>0</v>
      </c>
      <c r="M65" s="32">
        <f t="shared" si="1"/>
        <v>10</v>
      </c>
    </row>
    <row r="66" spans="1:13" ht="16" x14ac:dyDescent="0.2">
      <c r="A66" s="35">
        <v>62</v>
      </c>
      <c r="B66" s="35" t="s">
        <v>2</v>
      </c>
      <c r="C66" s="35"/>
      <c r="D66" s="35">
        <v>2</v>
      </c>
      <c r="E66" s="35">
        <v>0</v>
      </c>
      <c r="F66" s="35">
        <v>3</v>
      </c>
      <c r="G66" s="35">
        <v>0</v>
      </c>
      <c r="H66" s="32">
        <f t="shared" si="2"/>
        <v>5</v>
      </c>
      <c r="I66" s="35">
        <v>0</v>
      </c>
      <c r="J66" s="35">
        <v>1</v>
      </c>
      <c r="K66" s="35">
        <v>3</v>
      </c>
      <c r="L66" s="35">
        <v>0</v>
      </c>
      <c r="M66" s="32">
        <f t="shared" si="1"/>
        <v>4</v>
      </c>
    </row>
    <row r="67" spans="1:13" ht="16" x14ac:dyDescent="0.2">
      <c r="A67" s="35">
        <v>63</v>
      </c>
      <c r="B67" s="35" t="s">
        <v>2</v>
      </c>
      <c r="C67" s="35"/>
      <c r="D67" s="35">
        <v>1</v>
      </c>
      <c r="E67" s="35">
        <v>0</v>
      </c>
      <c r="F67" s="35">
        <v>0</v>
      </c>
      <c r="G67" s="35">
        <v>0</v>
      </c>
      <c r="H67" s="32">
        <f t="shared" si="2"/>
        <v>1</v>
      </c>
      <c r="I67" s="35">
        <v>1</v>
      </c>
      <c r="J67" s="35">
        <v>0</v>
      </c>
      <c r="K67" s="35">
        <v>0</v>
      </c>
      <c r="L67" s="35">
        <v>0</v>
      </c>
      <c r="M67" s="32">
        <f t="shared" si="1"/>
        <v>1</v>
      </c>
    </row>
    <row r="68" spans="1:13" ht="16" x14ac:dyDescent="0.2">
      <c r="A68" s="35">
        <v>64</v>
      </c>
      <c r="B68" s="35" t="s">
        <v>2</v>
      </c>
      <c r="C68" s="35"/>
      <c r="D68" s="35">
        <v>0</v>
      </c>
      <c r="E68" s="35">
        <v>3</v>
      </c>
      <c r="F68" s="35">
        <v>0</v>
      </c>
      <c r="G68" s="35">
        <v>0</v>
      </c>
      <c r="H68" s="32">
        <f t="shared" si="2"/>
        <v>3</v>
      </c>
      <c r="I68" s="35">
        <v>1</v>
      </c>
      <c r="J68" s="35">
        <v>2</v>
      </c>
      <c r="K68" s="35">
        <v>2</v>
      </c>
      <c r="L68" s="35">
        <v>0</v>
      </c>
      <c r="M68" s="32">
        <f t="shared" si="1"/>
        <v>5</v>
      </c>
    </row>
    <row r="69" spans="1:13" ht="16" x14ac:dyDescent="0.2">
      <c r="A69" s="35">
        <v>65</v>
      </c>
      <c r="B69" s="35" t="s">
        <v>2</v>
      </c>
      <c r="C69" s="35"/>
      <c r="D69" s="35">
        <v>1</v>
      </c>
      <c r="E69" s="35">
        <v>3</v>
      </c>
      <c r="F69" s="35">
        <v>0</v>
      </c>
      <c r="G69" s="35">
        <v>0</v>
      </c>
      <c r="H69" s="32">
        <f t="shared" si="2"/>
        <v>4</v>
      </c>
      <c r="I69" s="35">
        <v>2</v>
      </c>
      <c r="J69" s="35">
        <v>1</v>
      </c>
      <c r="K69" s="35">
        <v>2</v>
      </c>
      <c r="L69" s="35">
        <v>0</v>
      </c>
      <c r="M69" s="32">
        <f t="shared" si="1"/>
        <v>5</v>
      </c>
    </row>
    <row r="70" spans="1:13" ht="16" x14ac:dyDescent="0.2">
      <c r="A70" s="35">
        <v>66</v>
      </c>
      <c r="B70" s="35" t="s">
        <v>1</v>
      </c>
      <c r="C70" s="35"/>
      <c r="D70" s="35">
        <v>0</v>
      </c>
      <c r="E70" s="35">
        <v>1</v>
      </c>
      <c r="F70" s="35">
        <v>0</v>
      </c>
      <c r="G70" s="35">
        <v>0</v>
      </c>
      <c r="H70" s="32">
        <f t="shared" si="2"/>
        <v>1</v>
      </c>
      <c r="I70" s="35">
        <v>2</v>
      </c>
      <c r="J70" s="35">
        <v>1</v>
      </c>
      <c r="K70" s="35">
        <v>4</v>
      </c>
      <c r="L70" s="35">
        <v>0</v>
      </c>
      <c r="M70" s="32">
        <f t="shared" ref="M70:M89" si="3">SUM(I70:L70)</f>
        <v>7</v>
      </c>
    </row>
    <row r="71" spans="1:13" ht="16" x14ac:dyDescent="0.2">
      <c r="A71" s="35">
        <v>67</v>
      </c>
      <c r="B71" s="35" t="s">
        <v>2</v>
      </c>
      <c r="C71" s="35"/>
      <c r="D71" s="35">
        <v>0</v>
      </c>
      <c r="E71" s="35">
        <v>1</v>
      </c>
      <c r="F71" s="35">
        <v>1</v>
      </c>
      <c r="G71" s="35">
        <v>0</v>
      </c>
      <c r="H71" s="32">
        <f t="shared" si="2"/>
        <v>2</v>
      </c>
      <c r="I71" s="35">
        <v>0</v>
      </c>
      <c r="J71" s="35">
        <v>1</v>
      </c>
      <c r="K71" s="35">
        <v>1</v>
      </c>
      <c r="L71" s="35">
        <v>0</v>
      </c>
      <c r="M71" s="32">
        <f t="shared" si="3"/>
        <v>2</v>
      </c>
    </row>
    <row r="72" spans="1:13" ht="16" x14ac:dyDescent="0.2">
      <c r="A72" s="35">
        <v>68</v>
      </c>
      <c r="B72" s="35" t="s">
        <v>2</v>
      </c>
      <c r="C72" s="35"/>
      <c r="D72" s="35">
        <v>4</v>
      </c>
      <c r="E72" s="35">
        <v>1</v>
      </c>
      <c r="F72" s="35">
        <v>2</v>
      </c>
      <c r="G72" s="35">
        <v>0</v>
      </c>
      <c r="H72" s="32">
        <f t="shared" si="2"/>
        <v>7</v>
      </c>
      <c r="I72" s="35">
        <v>2</v>
      </c>
      <c r="J72" s="35">
        <v>1</v>
      </c>
      <c r="K72" s="35">
        <v>0</v>
      </c>
      <c r="L72" s="35">
        <v>0</v>
      </c>
      <c r="M72" s="32">
        <f t="shared" si="3"/>
        <v>3</v>
      </c>
    </row>
    <row r="73" spans="1:13" ht="16" x14ac:dyDescent="0.2">
      <c r="A73" s="35">
        <v>69</v>
      </c>
      <c r="B73" s="35" t="s">
        <v>2</v>
      </c>
      <c r="C73" s="35"/>
      <c r="D73" s="35">
        <v>0</v>
      </c>
      <c r="E73" s="35">
        <v>15</v>
      </c>
      <c r="F73" s="35">
        <v>3</v>
      </c>
      <c r="G73" s="35">
        <v>0</v>
      </c>
      <c r="H73" s="32">
        <f t="shared" si="2"/>
        <v>18</v>
      </c>
      <c r="I73" s="35">
        <v>2</v>
      </c>
      <c r="J73" s="35">
        <v>2</v>
      </c>
      <c r="K73" s="35">
        <v>2</v>
      </c>
      <c r="L73" s="35">
        <v>0</v>
      </c>
      <c r="M73" s="32">
        <f t="shared" si="3"/>
        <v>6</v>
      </c>
    </row>
    <row r="74" spans="1:13" ht="16" x14ac:dyDescent="0.2">
      <c r="A74" s="35">
        <v>70</v>
      </c>
      <c r="B74" s="35" t="s">
        <v>2</v>
      </c>
      <c r="C74" s="35"/>
      <c r="D74" s="35">
        <v>0</v>
      </c>
      <c r="E74" s="35">
        <v>1</v>
      </c>
      <c r="F74" s="35">
        <v>1</v>
      </c>
      <c r="G74" s="35">
        <v>0</v>
      </c>
      <c r="H74" s="32">
        <f t="shared" si="2"/>
        <v>2</v>
      </c>
      <c r="I74" s="35">
        <v>2</v>
      </c>
      <c r="J74" s="35">
        <v>2</v>
      </c>
      <c r="K74" s="35">
        <v>2</v>
      </c>
      <c r="L74" s="35">
        <v>0</v>
      </c>
      <c r="M74" s="32">
        <f t="shared" si="3"/>
        <v>6</v>
      </c>
    </row>
    <row r="75" spans="1:13" ht="16" x14ac:dyDescent="0.2">
      <c r="A75" s="35">
        <v>71</v>
      </c>
      <c r="B75" s="35" t="s">
        <v>2</v>
      </c>
      <c r="C75" s="35"/>
      <c r="D75" s="35">
        <v>0</v>
      </c>
      <c r="E75" s="35">
        <v>1</v>
      </c>
      <c r="F75" s="35">
        <v>1</v>
      </c>
      <c r="G75" s="35">
        <v>0</v>
      </c>
      <c r="H75" s="32">
        <f t="shared" si="2"/>
        <v>2</v>
      </c>
      <c r="I75" s="35">
        <v>0</v>
      </c>
      <c r="J75" s="35">
        <v>0</v>
      </c>
      <c r="K75" s="35">
        <v>1</v>
      </c>
      <c r="L75" s="35">
        <v>0</v>
      </c>
      <c r="M75" s="32">
        <f t="shared" si="3"/>
        <v>1</v>
      </c>
    </row>
    <row r="76" spans="1:13" ht="16" x14ac:dyDescent="0.2">
      <c r="A76" s="35">
        <v>72</v>
      </c>
      <c r="B76" s="35" t="s">
        <v>2</v>
      </c>
      <c r="C76" s="35"/>
      <c r="D76" s="35">
        <v>1</v>
      </c>
      <c r="E76" s="35">
        <v>1</v>
      </c>
      <c r="F76" s="35">
        <v>0</v>
      </c>
      <c r="G76" s="35">
        <v>0</v>
      </c>
      <c r="H76" s="32">
        <f t="shared" si="2"/>
        <v>2</v>
      </c>
      <c r="I76" s="35">
        <v>1</v>
      </c>
      <c r="J76" s="35">
        <v>1</v>
      </c>
      <c r="K76" s="35">
        <v>1</v>
      </c>
      <c r="L76" s="35">
        <v>0</v>
      </c>
      <c r="M76" s="32">
        <f t="shared" si="3"/>
        <v>3</v>
      </c>
    </row>
    <row r="77" spans="1:13" ht="16" x14ac:dyDescent="0.2">
      <c r="A77" s="35">
        <v>73</v>
      </c>
      <c r="B77" s="35" t="s">
        <v>2</v>
      </c>
      <c r="C77" s="35"/>
      <c r="D77" s="35">
        <v>0</v>
      </c>
      <c r="E77" s="35">
        <v>2</v>
      </c>
      <c r="F77" s="35">
        <v>2</v>
      </c>
      <c r="G77" s="35">
        <v>0</v>
      </c>
      <c r="H77" s="32">
        <f t="shared" si="2"/>
        <v>4</v>
      </c>
      <c r="I77" s="35">
        <v>2</v>
      </c>
      <c r="J77" s="35">
        <v>0</v>
      </c>
      <c r="K77" s="35">
        <v>0</v>
      </c>
      <c r="L77" s="35">
        <v>0</v>
      </c>
      <c r="M77" s="32">
        <f t="shared" si="3"/>
        <v>2</v>
      </c>
    </row>
    <row r="78" spans="1:13" ht="16" x14ac:dyDescent="0.2">
      <c r="A78" s="35">
        <v>74</v>
      </c>
      <c r="B78" s="35" t="s">
        <v>2</v>
      </c>
      <c r="C78" s="35"/>
      <c r="D78" s="35">
        <v>0</v>
      </c>
      <c r="E78" s="35">
        <v>0</v>
      </c>
      <c r="F78" s="35">
        <v>0</v>
      </c>
      <c r="G78" s="35">
        <v>0</v>
      </c>
      <c r="H78" s="32">
        <f t="shared" si="2"/>
        <v>0</v>
      </c>
      <c r="I78" s="35">
        <v>0</v>
      </c>
      <c r="J78" s="35">
        <v>0</v>
      </c>
      <c r="K78" s="35">
        <v>0</v>
      </c>
      <c r="L78" s="35">
        <v>0</v>
      </c>
      <c r="M78" s="32">
        <f t="shared" si="3"/>
        <v>0</v>
      </c>
    </row>
    <row r="79" spans="1:13" ht="16" x14ac:dyDescent="0.2">
      <c r="A79" s="35">
        <v>75</v>
      </c>
      <c r="B79" s="35" t="s">
        <v>2</v>
      </c>
      <c r="C79" s="35"/>
      <c r="D79" s="35">
        <v>0</v>
      </c>
      <c r="E79" s="35">
        <v>0</v>
      </c>
      <c r="F79" s="35">
        <v>0</v>
      </c>
      <c r="G79" s="35">
        <v>0</v>
      </c>
      <c r="H79" s="32">
        <f t="shared" si="2"/>
        <v>0</v>
      </c>
      <c r="I79" s="35">
        <v>0</v>
      </c>
      <c r="J79" s="35">
        <v>0</v>
      </c>
      <c r="K79" s="35">
        <v>0</v>
      </c>
      <c r="L79" s="35">
        <v>0</v>
      </c>
      <c r="M79" s="32">
        <f t="shared" si="3"/>
        <v>0</v>
      </c>
    </row>
    <row r="80" spans="1:13" ht="16" x14ac:dyDescent="0.2">
      <c r="A80" s="35">
        <v>76</v>
      </c>
      <c r="B80" s="35" t="s">
        <v>2</v>
      </c>
      <c r="C80" s="35"/>
      <c r="D80" s="35">
        <v>0</v>
      </c>
      <c r="E80" s="35">
        <v>0</v>
      </c>
      <c r="F80" s="35">
        <v>2</v>
      </c>
      <c r="G80" s="35">
        <v>0</v>
      </c>
      <c r="H80" s="32">
        <f t="shared" si="2"/>
        <v>2</v>
      </c>
      <c r="I80" s="35">
        <v>0</v>
      </c>
      <c r="J80" s="35">
        <v>0</v>
      </c>
      <c r="K80" s="35">
        <v>2</v>
      </c>
      <c r="L80" s="35">
        <v>0</v>
      </c>
      <c r="M80" s="32">
        <f t="shared" si="3"/>
        <v>2</v>
      </c>
    </row>
    <row r="81" spans="1:13" ht="16" x14ac:dyDescent="0.2">
      <c r="A81" s="35">
        <v>77</v>
      </c>
      <c r="B81" s="35" t="s">
        <v>2</v>
      </c>
      <c r="C81" s="35"/>
      <c r="D81" s="35">
        <v>0</v>
      </c>
      <c r="E81" s="35">
        <v>0</v>
      </c>
      <c r="F81" s="35">
        <v>0</v>
      </c>
      <c r="G81" s="35">
        <v>0</v>
      </c>
      <c r="H81" s="32">
        <f t="shared" si="2"/>
        <v>0</v>
      </c>
      <c r="I81" s="35">
        <v>0</v>
      </c>
      <c r="J81" s="35">
        <v>0</v>
      </c>
      <c r="K81" s="35">
        <v>0</v>
      </c>
      <c r="L81" s="35">
        <v>0</v>
      </c>
      <c r="M81" s="32">
        <f t="shared" si="3"/>
        <v>0</v>
      </c>
    </row>
    <row r="82" spans="1:13" ht="16" x14ac:dyDescent="0.2">
      <c r="A82" s="35">
        <v>78</v>
      </c>
      <c r="B82" s="35" t="s">
        <v>2</v>
      </c>
      <c r="C82" s="35"/>
      <c r="D82" s="35">
        <v>0</v>
      </c>
      <c r="E82" s="35">
        <v>2</v>
      </c>
      <c r="F82" s="35">
        <v>1</v>
      </c>
      <c r="G82" s="35">
        <v>0</v>
      </c>
      <c r="H82" s="32">
        <f t="shared" si="2"/>
        <v>3</v>
      </c>
      <c r="I82" s="35">
        <v>0</v>
      </c>
      <c r="J82" s="35">
        <v>0</v>
      </c>
      <c r="K82" s="35">
        <v>1</v>
      </c>
      <c r="L82" s="35">
        <v>0</v>
      </c>
      <c r="M82" s="32">
        <f t="shared" si="3"/>
        <v>1</v>
      </c>
    </row>
    <row r="83" spans="1:13" ht="16" x14ac:dyDescent="0.2">
      <c r="A83" s="35">
        <v>79</v>
      </c>
      <c r="B83" s="35" t="s">
        <v>2</v>
      </c>
      <c r="C83" s="35"/>
      <c r="D83" s="35">
        <v>0</v>
      </c>
      <c r="E83" s="35">
        <v>3</v>
      </c>
      <c r="F83" s="35">
        <v>0</v>
      </c>
      <c r="G83" s="35">
        <v>0</v>
      </c>
      <c r="H83" s="32">
        <f t="shared" si="2"/>
        <v>3</v>
      </c>
      <c r="I83" s="35">
        <v>0</v>
      </c>
      <c r="J83" s="35">
        <v>1</v>
      </c>
      <c r="K83" s="35">
        <v>0</v>
      </c>
      <c r="L83" s="35">
        <v>0</v>
      </c>
      <c r="M83" s="32">
        <f t="shared" si="3"/>
        <v>1</v>
      </c>
    </row>
    <row r="84" spans="1:13" ht="16" x14ac:dyDescent="0.2">
      <c r="A84" s="35">
        <v>80</v>
      </c>
      <c r="B84" s="35" t="s">
        <v>2</v>
      </c>
      <c r="C84" s="35"/>
      <c r="D84" s="35">
        <v>0</v>
      </c>
      <c r="E84" s="35">
        <v>0</v>
      </c>
      <c r="F84" s="35">
        <v>1</v>
      </c>
      <c r="G84" s="35">
        <v>0</v>
      </c>
      <c r="H84" s="32">
        <f t="shared" si="2"/>
        <v>1</v>
      </c>
      <c r="I84" s="35">
        <v>0</v>
      </c>
      <c r="J84" s="35">
        <v>0</v>
      </c>
      <c r="K84" s="35">
        <v>0</v>
      </c>
      <c r="L84" s="35">
        <v>0</v>
      </c>
      <c r="M84" s="32">
        <f t="shared" si="3"/>
        <v>0</v>
      </c>
    </row>
    <row r="85" spans="1:13" ht="16" x14ac:dyDescent="0.2">
      <c r="A85" s="35">
        <v>81</v>
      </c>
      <c r="B85" s="35" t="s">
        <v>2</v>
      </c>
      <c r="C85" s="35"/>
      <c r="D85" s="35">
        <v>0</v>
      </c>
      <c r="E85" s="35">
        <v>1</v>
      </c>
      <c r="F85" s="35">
        <v>1</v>
      </c>
      <c r="G85" s="35">
        <v>0</v>
      </c>
      <c r="H85" s="32">
        <f t="shared" si="2"/>
        <v>2</v>
      </c>
      <c r="I85" s="35">
        <v>2</v>
      </c>
      <c r="J85" s="35">
        <v>0</v>
      </c>
      <c r="K85" s="35">
        <v>1</v>
      </c>
      <c r="L85" s="35">
        <v>0</v>
      </c>
      <c r="M85" s="32">
        <f t="shared" si="3"/>
        <v>3</v>
      </c>
    </row>
    <row r="86" spans="1:13" ht="16" x14ac:dyDescent="0.2">
      <c r="A86" s="35">
        <v>82</v>
      </c>
      <c r="B86" s="35" t="s">
        <v>2</v>
      </c>
      <c r="C86" s="35"/>
      <c r="D86" s="35">
        <v>0</v>
      </c>
      <c r="E86" s="35">
        <v>0</v>
      </c>
      <c r="F86" s="35">
        <v>0</v>
      </c>
      <c r="G86" s="35">
        <v>0</v>
      </c>
      <c r="H86" s="32">
        <f t="shared" si="2"/>
        <v>0</v>
      </c>
      <c r="I86" s="35">
        <v>0</v>
      </c>
      <c r="J86" s="35">
        <v>0</v>
      </c>
      <c r="K86" s="35">
        <v>0</v>
      </c>
      <c r="L86" s="35">
        <v>0</v>
      </c>
      <c r="M86" s="32">
        <f t="shared" si="3"/>
        <v>0</v>
      </c>
    </row>
    <row r="87" spans="1:13" ht="16" x14ac:dyDescent="0.2">
      <c r="A87" s="35">
        <v>83</v>
      </c>
      <c r="B87" s="35" t="s">
        <v>2</v>
      </c>
      <c r="C87" s="35"/>
      <c r="D87" s="35">
        <v>0</v>
      </c>
      <c r="E87" s="35">
        <v>1</v>
      </c>
      <c r="F87" s="35">
        <v>0</v>
      </c>
      <c r="G87" s="35">
        <v>0</v>
      </c>
      <c r="H87" s="32">
        <f t="shared" si="2"/>
        <v>1</v>
      </c>
      <c r="I87" s="35">
        <v>0</v>
      </c>
      <c r="J87" s="35">
        <v>1</v>
      </c>
      <c r="K87" s="35">
        <v>0</v>
      </c>
      <c r="L87" s="35">
        <v>0</v>
      </c>
      <c r="M87" s="32">
        <f t="shared" si="3"/>
        <v>1</v>
      </c>
    </row>
    <row r="88" spans="1:13" ht="16" x14ac:dyDescent="0.2">
      <c r="A88" s="35">
        <v>84</v>
      </c>
      <c r="B88" s="35" t="s">
        <v>2</v>
      </c>
      <c r="C88" s="35"/>
      <c r="D88" s="35">
        <v>0</v>
      </c>
      <c r="E88" s="35">
        <v>0</v>
      </c>
      <c r="F88" s="35">
        <v>1</v>
      </c>
      <c r="G88" s="35">
        <v>0</v>
      </c>
      <c r="H88" s="32">
        <f t="shared" si="2"/>
        <v>1</v>
      </c>
      <c r="I88" s="35">
        <v>1</v>
      </c>
      <c r="J88" s="35">
        <v>0</v>
      </c>
      <c r="K88" s="35">
        <v>0</v>
      </c>
      <c r="L88" s="35">
        <v>0</v>
      </c>
      <c r="M88" s="32">
        <f t="shared" si="3"/>
        <v>1</v>
      </c>
    </row>
    <row r="89" spans="1:13" ht="16" x14ac:dyDescent="0.2">
      <c r="A89" s="35">
        <v>85</v>
      </c>
      <c r="B89" s="35" t="s">
        <v>1</v>
      </c>
      <c r="C89" s="35"/>
      <c r="D89" s="35">
        <v>0</v>
      </c>
      <c r="E89" s="35">
        <v>0</v>
      </c>
      <c r="F89" s="35">
        <v>0</v>
      </c>
      <c r="G89" s="35">
        <v>0</v>
      </c>
      <c r="H89" s="32">
        <f t="shared" si="2"/>
        <v>0</v>
      </c>
      <c r="I89" s="35">
        <v>0</v>
      </c>
      <c r="J89" s="35">
        <v>0</v>
      </c>
      <c r="K89" s="35">
        <v>0</v>
      </c>
      <c r="L89" s="35">
        <v>0</v>
      </c>
      <c r="M89" s="32">
        <f t="shared" si="3"/>
        <v>0</v>
      </c>
    </row>
  </sheetData>
  <mergeCells count="2">
    <mergeCell ref="D2:H2"/>
    <mergeCell ref="I2:M2"/>
  </mergeCells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86D9-4621-2F46-B839-6F1827E4BC85}">
  <dimension ref="A1:I292"/>
  <sheetViews>
    <sheetView workbookViewId="0">
      <selection activeCell="A6" sqref="A6"/>
    </sheetView>
  </sheetViews>
  <sheetFormatPr baseColWidth="10" defaultRowHeight="15" x14ac:dyDescent="0.2"/>
  <cols>
    <col min="1" max="1" width="38.83203125" customWidth="1"/>
    <col min="2" max="2" width="24" customWidth="1"/>
    <col min="3" max="3" width="14" customWidth="1"/>
    <col min="4" max="4" width="19.83203125" customWidth="1"/>
    <col min="5" max="5" width="22.83203125" customWidth="1"/>
  </cols>
  <sheetData>
    <row r="1" spans="1:6" ht="16" x14ac:dyDescent="0.2">
      <c r="A1" s="8" t="s">
        <v>27</v>
      </c>
      <c r="B1" s="7" t="s">
        <v>28</v>
      </c>
      <c r="C1" s="7"/>
      <c r="D1" s="7"/>
      <c r="E1" s="7"/>
      <c r="F1" s="7"/>
    </row>
    <row r="2" spans="1:6" ht="16" x14ac:dyDescent="0.2">
      <c r="A2" s="8"/>
      <c r="B2" s="7"/>
      <c r="C2" s="7"/>
      <c r="D2" s="7"/>
      <c r="E2" s="7"/>
      <c r="F2" s="7"/>
    </row>
    <row r="3" spans="1:6" ht="16" x14ac:dyDescent="0.2">
      <c r="A3" s="8" t="s">
        <v>29</v>
      </c>
      <c r="B3" s="7" t="s">
        <v>30</v>
      </c>
      <c r="C3" s="7"/>
      <c r="D3" s="7"/>
      <c r="E3" s="7"/>
      <c r="F3" s="7"/>
    </row>
    <row r="4" spans="1:6" ht="16" x14ac:dyDescent="0.2">
      <c r="A4" s="8" t="s">
        <v>31</v>
      </c>
      <c r="B4" s="7">
        <v>0.05</v>
      </c>
      <c r="C4" s="7"/>
      <c r="D4" s="7"/>
      <c r="E4" s="7"/>
      <c r="F4" s="7"/>
    </row>
    <row r="5" spans="1:6" ht="16" x14ac:dyDescent="0.2">
      <c r="A5" s="8"/>
      <c r="B5" s="7"/>
      <c r="C5" s="7"/>
      <c r="D5" s="7"/>
      <c r="E5" s="7"/>
      <c r="F5" s="7"/>
    </row>
    <row r="6" spans="1:6" ht="16" x14ac:dyDescent="0.2">
      <c r="A6" s="8" t="s">
        <v>32</v>
      </c>
      <c r="B6" s="7" t="s">
        <v>33</v>
      </c>
      <c r="C6" s="7" t="s">
        <v>34</v>
      </c>
      <c r="D6" s="7" t="s">
        <v>35</v>
      </c>
      <c r="E6" s="7" t="s">
        <v>36</v>
      </c>
      <c r="F6" s="7"/>
    </row>
    <row r="7" spans="1:6" ht="16" x14ac:dyDescent="0.2">
      <c r="A7" s="8" t="s">
        <v>37</v>
      </c>
      <c r="B7" s="7">
        <v>4.95</v>
      </c>
      <c r="C7" s="7" t="s">
        <v>38</v>
      </c>
      <c r="D7" s="7" t="s">
        <v>39</v>
      </c>
      <c r="E7" s="7" t="s">
        <v>40</v>
      </c>
      <c r="F7" s="7"/>
    </row>
    <row r="8" spans="1:6" ht="16" x14ac:dyDescent="0.2">
      <c r="A8" s="8" t="s">
        <v>41</v>
      </c>
      <c r="B8" s="7">
        <v>7.8410000000000002</v>
      </c>
      <c r="C8" s="7" t="s">
        <v>38</v>
      </c>
      <c r="D8" s="7" t="s">
        <v>39</v>
      </c>
      <c r="E8" s="7" t="s">
        <v>40</v>
      </c>
      <c r="F8" s="7"/>
    </row>
    <row r="9" spans="1:6" ht="16" x14ac:dyDescent="0.2">
      <c r="A9" s="8" t="s">
        <v>42</v>
      </c>
      <c r="B9" s="7">
        <v>8.48</v>
      </c>
      <c r="C9" s="7" t="s">
        <v>38</v>
      </c>
      <c r="D9" s="7" t="s">
        <v>39</v>
      </c>
      <c r="E9" s="7" t="s">
        <v>40</v>
      </c>
      <c r="F9" s="7"/>
    </row>
    <row r="10" spans="1:6" ht="16" x14ac:dyDescent="0.2">
      <c r="A10" s="8"/>
      <c r="B10" s="7"/>
      <c r="C10" s="7"/>
      <c r="D10" s="7"/>
      <c r="E10" s="7"/>
      <c r="F10" s="7"/>
    </row>
    <row r="11" spans="1:6" ht="16" x14ac:dyDescent="0.2">
      <c r="A11" s="8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34</v>
      </c>
    </row>
    <row r="12" spans="1:6" ht="16" x14ac:dyDescent="0.2">
      <c r="A12" s="8" t="s">
        <v>37</v>
      </c>
      <c r="B12" s="7">
        <v>71.95</v>
      </c>
      <c r="C12" s="7">
        <v>9</v>
      </c>
      <c r="D12" s="7">
        <v>7.9950000000000001</v>
      </c>
      <c r="E12" s="7" t="s">
        <v>48</v>
      </c>
      <c r="F12" s="7" t="s">
        <v>49</v>
      </c>
    </row>
    <row r="13" spans="1:6" ht="16" x14ac:dyDescent="0.2">
      <c r="A13" s="8" t="s">
        <v>41</v>
      </c>
      <c r="B13" s="7">
        <v>114</v>
      </c>
      <c r="C13" s="7">
        <v>3</v>
      </c>
      <c r="D13" s="7">
        <v>37.99</v>
      </c>
      <c r="E13" s="7" t="s">
        <v>50</v>
      </c>
      <c r="F13" s="7" t="s">
        <v>49</v>
      </c>
    </row>
    <row r="14" spans="1:6" ht="16" x14ac:dyDescent="0.2">
      <c r="A14" s="8" t="s">
        <v>42</v>
      </c>
      <c r="B14" s="7">
        <v>123.3</v>
      </c>
      <c r="C14" s="7">
        <v>3</v>
      </c>
      <c r="D14" s="7">
        <v>41.09</v>
      </c>
      <c r="E14" s="7" t="s">
        <v>51</v>
      </c>
      <c r="F14" s="7" t="s">
        <v>49</v>
      </c>
    </row>
    <row r="15" spans="1:6" ht="16" x14ac:dyDescent="0.2">
      <c r="A15" s="8" t="s">
        <v>52</v>
      </c>
      <c r="B15" s="7">
        <v>1144</v>
      </c>
      <c r="C15" s="7">
        <v>1344</v>
      </c>
      <c r="D15" s="7">
        <v>0.85150000000000003</v>
      </c>
      <c r="E15" s="7"/>
      <c r="F15" s="7"/>
    </row>
    <row r="16" spans="1:6" ht="16" x14ac:dyDescent="0.2">
      <c r="A16" s="8"/>
      <c r="B16" s="7"/>
      <c r="C16" s="7"/>
      <c r="D16" s="7"/>
      <c r="E16" s="7"/>
      <c r="F16" s="7"/>
    </row>
    <row r="17" spans="1:9" ht="16" x14ac:dyDescent="0.2">
      <c r="A17" s="8" t="s">
        <v>53</v>
      </c>
      <c r="B17" s="7"/>
      <c r="C17" s="7"/>
      <c r="D17" s="7"/>
      <c r="E17" s="7"/>
      <c r="F17" s="7"/>
    </row>
    <row r="18" spans="1:9" ht="16" x14ac:dyDescent="0.2">
      <c r="A18" s="8" t="s">
        <v>54</v>
      </c>
      <c r="B18" s="7">
        <v>4</v>
      </c>
      <c r="C18" s="7"/>
      <c r="D18" s="7"/>
      <c r="E18" s="7"/>
      <c r="F18" s="7"/>
    </row>
    <row r="19" spans="1:9" ht="16" x14ac:dyDescent="0.2">
      <c r="A19" s="8" t="s">
        <v>55</v>
      </c>
      <c r="B19" s="7">
        <v>4</v>
      </c>
      <c r="C19" s="7"/>
      <c r="D19" s="7"/>
      <c r="E19" s="7"/>
      <c r="F19" s="7"/>
    </row>
    <row r="20" spans="1:9" ht="16" x14ac:dyDescent="0.2">
      <c r="A20" s="8" t="s">
        <v>56</v>
      </c>
      <c r="B20" s="7">
        <v>1360</v>
      </c>
      <c r="C20" s="7"/>
      <c r="D20" s="7"/>
      <c r="E20" s="7"/>
      <c r="F20" s="7"/>
    </row>
    <row r="23" spans="1:9" ht="16" x14ac:dyDescent="0.2">
      <c r="A23" s="8" t="s">
        <v>142</v>
      </c>
      <c r="B23" s="7"/>
      <c r="C23" s="7"/>
      <c r="D23" s="7"/>
      <c r="E23" s="7"/>
      <c r="F23" s="7"/>
      <c r="G23" s="7"/>
      <c r="H23" s="7"/>
      <c r="I23" s="7"/>
    </row>
    <row r="24" spans="1:9" ht="16" x14ac:dyDescent="0.2">
      <c r="A24" s="8"/>
      <c r="B24" s="7"/>
      <c r="C24" s="7"/>
      <c r="D24" s="7"/>
      <c r="E24" s="7"/>
      <c r="F24" s="7"/>
      <c r="G24" s="7"/>
      <c r="H24" s="7"/>
      <c r="I24" s="7"/>
    </row>
    <row r="25" spans="1:9" ht="16" x14ac:dyDescent="0.2">
      <c r="A25" s="8" t="s">
        <v>143</v>
      </c>
      <c r="B25" s="7">
        <v>1</v>
      </c>
      <c r="C25" s="7"/>
      <c r="D25" s="7"/>
      <c r="E25" s="7"/>
      <c r="F25" s="7"/>
      <c r="G25" s="7"/>
      <c r="H25" s="7"/>
      <c r="I25" s="7"/>
    </row>
    <row r="26" spans="1:9" ht="16" x14ac:dyDescent="0.2">
      <c r="A26" s="8" t="s">
        <v>144</v>
      </c>
      <c r="B26" s="7">
        <v>120</v>
      </c>
      <c r="C26" s="7"/>
      <c r="D26" s="7"/>
      <c r="E26" s="7"/>
      <c r="F26" s="7"/>
      <c r="G26" s="7"/>
      <c r="H26" s="7"/>
      <c r="I26" s="7"/>
    </row>
    <row r="27" spans="1:9" ht="16" x14ac:dyDescent="0.2">
      <c r="A27" s="8" t="s">
        <v>145</v>
      </c>
      <c r="B27" s="7">
        <v>0.05</v>
      </c>
      <c r="C27" s="7"/>
      <c r="D27" s="7"/>
      <c r="E27" s="7"/>
      <c r="F27" s="7"/>
      <c r="G27" s="7"/>
      <c r="H27" s="7"/>
      <c r="I27" s="7"/>
    </row>
    <row r="28" spans="1:9" ht="16" x14ac:dyDescent="0.2">
      <c r="A28" s="8"/>
      <c r="B28" s="7"/>
      <c r="C28" s="7"/>
      <c r="D28" s="7"/>
      <c r="E28" s="7"/>
      <c r="F28" s="7"/>
      <c r="G28" s="7"/>
      <c r="H28" s="7"/>
      <c r="I28" s="7"/>
    </row>
    <row r="29" spans="1:9" ht="16" x14ac:dyDescent="0.2">
      <c r="A29" s="8" t="s">
        <v>146</v>
      </c>
      <c r="B29" s="7" t="s">
        <v>147</v>
      </c>
      <c r="C29" s="7" t="s">
        <v>148</v>
      </c>
      <c r="D29" s="7" t="s">
        <v>149</v>
      </c>
      <c r="E29" s="7" t="s">
        <v>150</v>
      </c>
      <c r="F29" s="7" t="s">
        <v>151</v>
      </c>
      <c r="G29" s="7"/>
      <c r="H29" s="7"/>
      <c r="I29" s="7"/>
    </row>
    <row r="30" spans="1:9" ht="16" x14ac:dyDescent="0.2">
      <c r="A30" s="8"/>
      <c r="B30" s="7"/>
      <c r="C30" s="7"/>
      <c r="D30" s="7"/>
      <c r="E30" s="7"/>
      <c r="F30" s="7"/>
      <c r="G30" s="7"/>
      <c r="H30" s="7"/>
      <c r="I30" s="7"/>
    </row>
    <row r="31" spans="1:9" ht="16" x14ac:dyDescent="0.2">
      <c r="A31" s="8" t="s">
        <v>152</v>
      </c>
      <c r="B31" s="7">
        <v>0.4471</v>
      </c>
      <c r="C31" s="7" t="s">
        <v>153</v>
      </c>
      <c r="D31" s="7" t="s">
        <v>59</v>
      </c>
      <c r="E31" s="7" t="s">
        <v>58</v>
      </c>
      <c r="F31" s="7">
        <v>0.1124</v>
      </c>
      <c r="G31" s="7"/>
      <c r="H31" s="7"/>
      <c r="I31" s="7"/>
    </row>
    <row r="32" spans="1:9" ht="16" x14ac:dyDescent="0.2">
      <c r="A32" s="8" t="s">
        <v>154</v>
      </c>
      <c r="B32" s="7">
        <v>0.4</v>
      </c>
      <c r="C32" s="7" t="s">
        <v>155</v>
      </c>
      <c r="D32" s="7" t="s">
        <v>59</v>
      </c>
      <c r="E32" s="7" t="s">
        <v>58</v>
      </c>
      <c r="F32" s="7">
        <v>0.25540000000000002</v>
      </c>
      <c r="G32" s="7"/>
      <c r="H32" s="7"/>
      <c r="I32" s="7"/>
    </row>
    <row r="33" spans="1:9" ht="16" x14ac:dyDescent="0.2">
      <c r="A33" s="8" t="s">
        <v>156</v>
      </c>
      <c r="B33" s="7">
        <v>0.88239999999999996</v>
      </c>
      <c r="C33" s="7" t="s">
        <v>157</v>
      </c>
      <c r="D33" s="7" t="s">
        <v>40</v>
      </c>
      <c r="E33" s="7" t="s">
        <v>39</v>
      </c>
      <c r="F33" s="7" t="s">
        <v>38</v>
      </c>
      <c r="G33" s="7"/>
      <c r="H33" s="7"/>
      <c r="I33" s="7"/>
    </row>
    <row r="34" spans="1:9" ht="16" x14ac:dyDescent="0.2">
      <c r="A34" s="8" t="s">
        <v>158</v>
      </c>
      <c r="B34" s="7">
        <v>0.15290000000000001</v>
      </c>
      <c r="C34" s="7" t="s">
        <v>159</v>
      </c>
      <c r="D34" s="7" t="s">
        <v>59</v>
      </c>
      <c r="E34" s="7" t="s">
        <v>58</v>
      </c>
      <c r="F34" s="7">
        <v>0.99950000000000006</v>
      </c>
      <c r="G34" s="7"/>
      <c r="H34" s="7"/>
      <c r="I34" s="7"/>
    </row>
    <row r="35" spans="1:9" ht="16" x14ac:dyDescent="0.2">
      <c r="A35" s="8" t="s">
        <v>160</v>
      </c>
      <c r="B35" s="7">
        <v>0.70589999999999997</v>
      </c>
      <c r="C35" s="7" t="s">
        <v>161</v>
      </c>
      <c r="D35" s="7" t="s">
        <v>40</v>
      </c>
      <c r="E35" s="7" t="s">
        <v>39</v>
      </c>
      <c r="F35" s="7" t="s">
        <v>38</v>
      </c>
      <c r="G35" s="7"/>
      <c r="H35" s="7"/>
      <c r="I35" s="7"/>
    </row>
    <row r="36" spans="1:9" ht="16" x14ac:dyDescent="0.2">
      <c r="A36" s="8" t="s">
        <v>162</v>
      </c>
      <c r="B36" s="7">
        <v>-3.5290000000000002E-2</v>
      </c>
      <c r="C36" s="7" t="s">
        <v>163</v>
      </c>
      <c r="D36" s="7" t="s">
        <v>59</v>
      </c>
      <c r="E36" s="7" t="s">
        <v>58</v>
      </c>
      <c r="F36" s="7" t="s">
        <v>164</v>
      </c>
      <c r="G36" s="7"/>
      <c r="H36" s="7"/>
      <c r="I36" s="7"/>
    </row>
    <row r="37" spans="1:9" ht="16" x14ac:dyDescent="0.2">
      <c r="A37" s="8" t="s">
        <v>165</v>
      </c>
      <c r="B37" s="7">
        <v>0.85880000000000001</v>
      </c>
      <c r="C37" s="7" t="s">
        <v>166</v>
      </c>
      <c r="D37" s="7" t="s">
        <v>40</v>
      </c>
      <c r="E37" s="7" t="s">
        <v>39</v>
      </c>
      <c r="F37" s="7" t="s">
        <v>38</v>
      </c>
      <c r="G37" s="7"/>
      <c r="H37" s="7"/>
      <c r="I37" s="7"/>
    </row>
    <row r="38" spans="1:9" ht="16" x14ac:dyDescent="0.2">
      <c r="A38" s="8" t="s">
        <v>167</v>
      </c>
      <c r="B38" s="7">
        <v>-0.4824</v>
      </c>
      <c r="C38" s="7" t="s">
        <v>168</v>
      </c>
      <c r="D38" s="7" t="s">
        <v>59</v>
      </c>
      <c r="E38" s="7" t="s">
        <v>58</v>
      </c>
      <c r="F38" s="7">
        <v>5.4100000000000002E-2</v>
      </c>
      <c r="G38" s="7"/>
      <c r="H38" s="7"/>
      <c r="I38" s="7"/>
    </row>
    <row r="39" spans="1:9" ht="16" x14ac:dyDescent="0.2">
      <c r="A39" s="8" t="s">
        <v>169</v>
      </c>
      <c r="B39" s="7">
        <v>0.65880000000000005</v>
      </c>
      <c r="C39" s="7" t="s">
        <v>170</v>
      </c>
      <c r="D39" s="7" t="s">
        <v>40</v>
      </c>
      <c r="E39" s="7" t="s">
        <v>171</v>
      </c>
      <c r="F39" s="7">
        <v>4.0000000000000002E-4</v>
      </c>
      <c r="G39" s="7"/>
      <c r="H39" s="7"/>
      <c r="I39" s="7"/>
    </row>
    <row r="40" spans="1:9" ht="16" x14ac:dyDescent="0.2">
      <c r="A40" s="8" t="s">
        <v>172</v>
      </c>
      <c r="B40" s="7">
        <v>-0.4</v>
      </c>
      <c r="C40" s="7" t="s">
        <v>173</v>
      </c>
      <c r="D40" s="7" t="s">
        <v>59</v>
      </c>
      <c r="E40" s="7" t="s">
        <v>58</v>
      </c>
      <c r="F40" s="7">
        <v>0.25540000000000002</v>
      </c>
      <c r="G40" s="7"/>
      <c r="H40" s="7"/>
      <c r="I40" s="7"/>
    </row>
    <row r="41" spans="1:9" ht="16" x14ac:dyDescent="0.2">
      <c r="A41" s="8" t="s">
        <v>174</v>
      </c>
      <c r="B41" s="7">
        <v>0.77649999999999997</v>
      </c>
      <c r="C41" s="7" t="s">
        <v>175</v>
      </c>
      <c r="D41" s="7" t="s">
        <v>40</v>
      </c>
      <c r="E41" s="7" t="s">
        <v>39</v>
      </c>
      <c r="F41" s="7" t="s">
        <v>38</v>
      </c>
      <c r="G41" s="7"/>
      <c r="H41" s="7"/>
      <c r="I41" s="7"/>
    </row>
    <row r="42" spans="1:9" ht="16" x14ac:dyDescent="0.2">
      <c r="A42" s="8" t="s">
        <v>176</v>
      </c>
      <c r="B42" s="7">
        <v>0.94120000000000004</v>
      </c>
      <c r="C42" s="7" t="s">
        <v>177</v>
      </c>
      <c r="D42" s="7" t="s">
        <v>40</v>
      </c>
      <c r="E42" s="7" t="s">
        <v>39</v>
      </c>
      <c r="F42" s="7" t="s">
        <v>38</v>
      </c>
      <c r="G42" s="7"/>
      <c r="H42" s="7"/>
      <c r="I42" s="7"/>
    </row>
    <row r="43" spans="1:9" ht="16" x14ac:dyDescent="0.2">
      <c r="A43" s="8" t="s">
        <v>178</v>
      </c>
      <c r="B43" s="7">
        <v>0.94120000000000004</v>
      </c>
      <c r="C43" s="7" t="s">
        <v>177</v>
      </c>
      <c r="D43" s="7" t="s">
        <v>40</v>
      </c>
      <c r="E43" s="7" t="s">
        <v>39</v>
      </c>
      <c r="F43" s="7" t="s">
        <v>38</v>
      </c>
      <c r="G43" s="7"/>
      <c r="H43" s="7"/>
      <c r="I43" s="7"/>
    </row>
    <row r="44" spans="1:9" ht="16" x14ac:dyDescent="0.2">
      <c r="A44" s="8" t="s">
        <v>179</v>
      </c>
      <c r="B44" s="7">
        <v>0.94120000000000004</v>
      </c>
      <c r="C44" s="7" t="s">
        <v>177</v>
      </c>
      <c r="D44" s="7" t="s">
        <v>40</v>
      </c>
      <c r="E44" s="7" t="s">
        <v>39</v>
      </c>
      <c r="F44" s="7" t="s">
        <v>38</v>
      </c>
      <c r="G44" s="7"/>
      <c r="H44" s="7"/>
      <c r="I44" s="7"/>
    </row>
    <row r="45" spans="1:9" ht="16" x14ac:dyDescent="0.2">
      <c r="A45" s="8" t="s">
        <v>180</v>
      </c>
      <c r="B45" s="7">
        <v>0.94120000000000004</v>
      </c>
      <c r="C45" s="7" t="s">
        <v>177</v>
      </c>
      <c r="D45" s="7" t="s">
        <v>40</v>
      </c>
      <c r="E45" s="7" t="s">
        <v>39</v>
      </c>
      <c r="F45" s="7" t="s">
        <v>38</v>
      </c>
      <c r="G45" s="7"/>
      <c r="H45" s="7"/>
      <c r="I45" s="7"/>
    </row>
    <row r="46" spans="1:9" ht="16" x14ac:dyDescent="0.2">
      <c r="A46" s="8" t="s">
        <v>181</v>
      </c>
      <c r="B46" s="7">
        <v>-4.7059999999999998E-2</v>
      </c>
      <c r="C46" s="7" t="s">
        <v>182</v>
      </c>
      <c r="D46" s="7" t="s">
        <v>59</v>
      </c>
      <c r="E46" s="7" t="s">
        <v>58</v>
      </c>
      <c r="F46" s="7" t="s">
        <v>164</v>
      </c>
      <c r="G46" s="7"/>
      <c r="H46" s="7"/>
      <c r="I46" s="7"/>
    </row>
    <row r="47" spans="1:9" ht="16" x14ac:dyDescent="0.2">
      <c r="A47" s="8" t="s">
        <v>183</v>
      </c>
      <c r="B47" s="7">
        <v>0.43530000000000002</v>
      </c>
      <c r="C47" s="7" t="s">
        <v>184</v>
      </c>
      <c r="D47" s="7" t="s">
        <v>59</v>
      </c>
      <c r="E47" s="7" t="s">
        <v>58</v>
      </c>
      <c r="F47" s="7">
        <v>0.1404</v>
      </c>
      <c r="G47" s="7"/>
      <c r="H47" s="7"/>
      <c r="I47" s="7"/>
    </row>
    <row r="48" spans="1:9" ht="16" x14ac:dyDescent="0.2">
      <c r="A48" s="8" t="s">
        <v>185</v>
      </c>
      <c r="B48" s="7">
        <v>-0.29409999999999997</v>
      </c>
      <c r="C48" s="7" t="s">
        <v>186</v>
      </c>
      <c r="D48" s="7" t="s">
        <v>59</v>
      </c>
      <c r="E48" s="7" t="s">
        <v>58</v>
      </c>
      <c r="F48" s="7">
        <v>0.7792</v>
      </c>
      <c r="G48" s="7"/>
      <c r="H48" s="7"/>
      <c r="I48" s="7"/>
    </row>
    <row r="49" spans="1:9" ht="16" x14ac:dyDescent="0.2">
      <c r="A49" s="8" t="s">
        <v>187</v>
      </c>
      <c r="B49" s="7">
        <v>0.25879999999999997</v>
      </c>
      <c r="C49" s="7" t="s">
        <v>188</v>
      </c>
      <c r="D49" s="7" t="s">
        <v>59</v>
      </c>
      <c r="E49" s="7" t="s">
        <v>58</v>
      </c>
      <c r="F49" s="7">
        <v>0.90590000000000004</v>
      </c>
      <c r="G49" s="7"/>
      <c r="H49" s="7"/>
      <c r="I49" s="7"/>
    </row>
    <row r="50" spans="1:9" ht="16" x14ac:dyDescent="0.2">
      <c r="A50" s="8" t="s">
        <v>189</v>
      </c>
      <c r="B50" s="7">
        <v>-0.4824</v>
      </c>
      <c r="C50" s="7" t="s">
        <v>168</v>
      </c>
      <c r="D50" s="7" t="s">
        <v>59</v>
      </c>
      <c r="E50" s="7" t="s">
        <v>58</v>
      </c>
      <c r="F50" s="7">
        <v>5.4100000000000002E-2</v>
      </c>
      <c r="G50" s="7"/>
      <c r="H50" s="7"/>
      <c r="I50" s="7"/>
    </row>
    <row r="51" spans="1:9" ht="16" x14ac:dyDescent="0.2">
      <c r="A51" s="8" t="s">
        <v>190</v>
      </c>
      <c r="B51" s="7">
        <v>0.4118</v>
      </c>
      <c r="C51" s="7" t="s">
        <v>191</v>
      </c>
      <c r="D51" s="7" t="s">
        <v>59</v>
      </c>
      <c r="E51" s="7" t="s">
        <v>58</v>
      </c>
      <c r="F51" s="7">
        <v>0.2117</v>
      </c>
      <c r="G51" s="7"/>
      <c r="H51" s="7"/>
      <c r="I51" s="7"/>
    </row>
    <row r="52" spans="1:9" ht="16" x14ac:dyDescent="0.2">
      <c r="A52" s="8" t="s">
        <v>192</v>
      </c>
      <c r="B52" s="7">
        <v>-0.9294</v>
      </c>
      <c r="C52" s="7" t="s">
        <v>193</v>
      </c>
      <c r="D52" s="7" t="s">
        <v>40</v>
      </c>
      <c r="E52" s="7" t="s">
        <v>39</v>
      </c>
      <c r="F52" s="7" t="s">
        <v>38</v>
      </c>
      <c r="G52" s="7"/>
      <c r="H52" s="7"/>
      <c r="I52" s="7"/>
    </row>
    <row r="53" spans="1:9" ht="16" x14ac:dyDescent="0.2">
      <c r="A53" s="8" t="s">
        <v>194</v>
      </c>
      <c r="B53" s="7">
        <v>0.21179999999999999</v>
      </c>
      <c r="C53" s="7" t="s">
        <v>195</v>
      </c>
      <c r="D53" s="7" t="s">
        <v>59</v>
      </c>
      <c r="E53" s="7" t="s">
        <v>58</v>
      </c>
      <c r="F53" s="7">
        <v>0.98299999999999998</v>
      </c>
      <c r="G53" s="7"/>
      <c r="H53" s="7"/>
      <c r="I53" s="7"/>
    </row>
    <row r="54" spans="1:9" ht="16" x14ac:dyDescent="0.2">
      <c r="A54" s="8" t="s">
        <v>196</v>
      </c>
      <c r="B54" s="7">
        <v>-0.84709999999999996</v>
      </c>
      <c r="C54" s="7" t="s">
        <v>197</v>
      </c>
      <c r="D54" s="7" t="s">
        <v>40</v>
      </c>
      <c r="E54" s="7" t="s">
        <v>39</v>
      </c>
      <c r="F54" s="7" t="s">
        <v>38</v>
      </c>
      <c r="G54" s="7"/>
      <c r="H54" s="7"/>
      <c r="I54" s="7"/>
    </row>
    <row r="55" spans="1:9" ht="16" x14ac:dyDescent="0.2">
      <c r="A55" s="8" t="s">
        <v>198</v>
      </c>
      <c r="B55" s="7">
        <v>0.32940000000000003</v>
      </c>
      <c r="C55" s="7" t="s">
        <v>199</v>
      </c>
      <c r="D55" s="7" t="s">
        <v>59</v>
      </c>
      <c r="E55" s="7" t="s">
        <v>58</v>
      </c>
      <c r="F55" s="7">
        <v>0.60329999999999995</v>
      </c>
      <c r="G55" s="7"/>
      <c r="H55" s="7"/>
      <c r="I55" s="7"/>
    </row>
    <row r="56" spans="1:9" ht="16" x14ac:dyDescent="0.2">
      <c r="A56" s="8" t="s">
        <v>200</v>
      </c>
      <c r="B56" s="7">
        <v>0.49409999999999998</v>
      </c>
      <c r="C56" s="7" t="s">
        <v>201</v>
      </c>
      <c r="D56" s="7" t="s">
        <v>40</v>
      </c>
      <c r="E56" s="7" t="s">
        <v>202</v>
      </c>
      <c r="F56" s="7">
        <v>4.1500000000000002E-2</v>
      </c>
      <c r="G56" s="7"/>
      <c r="H56" s="7"/>
      <c r="I56" s="7"/>
    </row>
    <row r="57" spans="1:9" ht="16" x14ac:dyDescent="0.2">
      <c r="A57" s="8" t="s">
        <v>203</v>
      </c>
      <c r="B57" s="7">
        <v>0.49409999999999998</v>
      </c>
      <c r="C57" s="7" t="s">
        <v>201</v>
      </c>
      <c r="D57" s="7" t="s">
        <v>40</v>
      </c>
      <c r="E57" s="7" t="s">
        <v>202</v>
      </c>
      <c r="F57" s="7">
        <v>4.1500000000000002E-2</v>
      </c>
      <c r="G57" s="7"/>
      <c r="H57" s="7"/>
      <c r="I57" s="7"/>
    </row>
    <row r="58" spans="1:9" ht="16" x14ac:dyDescent="0.2">
      <c r="A58" s="8" t="s">
        <v>204</v>
      </c>
      <c r="B58" s="7">
        <v>0.49409999999999998</v>
      </c>
      <c r="C58" s="7" t="s">
        <v>201</v>
      </c>
      <c r="D58" s="7" t="s">
        <v>40</v>
      </c>
      <c r="E58" s="7" t="s">
        <v>202</v>
      </c>
      <c r="F58" s="7">
        <v>4.1500000000000002E-2</v>
      </c>
      <c r="G58" s="7"/>
      <c r="H58" s="7"/>
      <c r="I58" s="7"/>
    </row>
    <row r="59" spans="1:9" ht="16" x14ac:dyDescent="0.2">
      <c r="A59" s="8" t="s">
        <v>205</v>
      </c>
      <c r="B59" s="7">
        <v>0.49409999999999998</v>
      </c>
      <c r="C59" s="7" t="s">
        <v>201</v>
      </c>
      <c r="D59" s="7" t="s">
        <v>40</v>
      </c>
      <c r="E59" s="7" t="s">
        <v>202</v>
      </c>
      <c r="F59" s="7">
        <v>4.1500000000000002E-2</v>
      </c>
      <c r="G59" s="7"/>
      <c r="H59" s="7"/>
      <c r="I59" s="7"/>
    </row>
    <row r="60" spans="1:9" ht="16" x14ac:dyDescent="0.2">
      <c r="A60" s="8" t="s">
        <v>206</v>
      </c>
      <c r="B60" s="7">
        <v>0.4824</v>
      </c>
      <c r="C60" s="7" t="s">
        <v>207</v>
      </c>
      <c r="D60" s="7" t="s">
        <v>59</v>
      </c>
      <c r="E60" s="7" t="s">
        <v>58</v>
      </c>
      <c r="F60" s="7">
        <v>5.4100000000000002E-2</v>
      </c>
      <c r="G60" s="7"/>
      <c r="H60" s="7"/>
      <c r="I60" s="7"/>
    </row>
    <row r="61" spans="1:9" ht="16" x14ac:dyDescent="0.2">
      <c r="A61" s="8" t="s">
        <v>208</v>
      </c>
      <c r="B61" s="7">
        <v>-0.24709999999999999</v>
      </c>
      <c r="C61" s="7" t="s">
        <v>209</v>
      </c>
      <c r="D61" s="7" t="s">
        <v>59</v>
      </c>
      <c r="E61" s="7" t="s">
        <v>58</v>
      </c>
      <c r="F61" s="7">
        <v>0.93430000000000002</v>
      </c>
      <c r="G61" s="7"/>
      <c r="H61" s="7"/>
      <c r="I61" s="7"/>
    </row>
    <row r="62" spans="1:9" ht="16" x14ac:dyDescent="0.2">
      <c r="A62" s="8" t="s">
        <v>210</v>
      </c>
      <c r="B62" s="7">
        <v>0.30590000000000001</v>
      </c>
      <c r="C62" s="7" t="s">
        <v>211</v>
      </c>
      <c r="D62" s="7" t="s">
        <v>59</v>
      </c>
      <c r="E62" s="7" t="s">
        <v>58</v>
      </c>
      <c r="F62" s="7">
        <v>0.72450000000000003</v>
      </c>
      <c r="G62" s="7"/>
      <c r="H62" s="7"/>
      <c r="I62" s="7"/>
    </row>
    <row r="63" spans="1:9" ht="16" x14ac:dyDescent="0.2">
      <c r="A63" s="8" t="s">
        <v>212</v>
      </c>
      <c r="B63" s="7">
        <v>-0.43530000000000002</v>
      </c>
      <c r="C63" s="7" t="s">
        <v>213</v>
      </c>
      <c r="D63" s="7" t="s">
        <v>59</v>
      </c>
      <c r="E63" s="7" t="s">
        <v>58</v>
      </c>
      <c r="F63" s="7">
        <v>0.1404</v>
      </c>
      <c r="G63" s="7"/>
      <c r="H63" s="7"/>
      <c r="I63" s="7"/>
    </row>
    <row r="64" spans="1:9" ht="16" x14ac:dyDescent="0.2">
      <c r="A64" s="8" t="s">
        <v>214</v>
      </c>
      <c r="B64" s="7">
        <v>0.45879999999999999</v>
      </c>
      <c r="C64" s="7" t="s">
        <v>215</v>
      </c>
      <c r="D64" s="7" t="s">
        <v>59</v>
      </c>
      <c r="E64" s="7" t="s">
        <v>58</v>
      </c>
      <c r="F64" s="7">
        <v>8.8999999999999996E-2</v>
      </c>
      <c r="G64" s="7"/>
      <c r="H64" s="7"/>
      <c r="I64" s="7"/>
    </row>
    <row r="65" spans="1:9" ht="16" x14ac:dyDescent="0.2">
      <c r="A65" s="8" t="s">
        <v>216</v>
      </c>
      <c r="B65" s="7">
        <v>-0.88239999999999996</v>
      </c>
      <c r="C65" s="7" t="s">
        <v>217</v>
      </c>
      <c r="D65" s="7" t="s">
        <v>40</v>
      </c>
      <c r="E65" s="7" t="s">
        <v>39</v>
      </c>
      <c r="F65" s="7" t="s">
        <v>38</v>
      </c>
      <c r="G65" s="7"/>
      <c r="H65" s="7"/>
      <c r="I65" s="7"/>
    </row>
    <row r="66" spans="1:9" ht="16" x14ac:dyDescent="0.2">
      <c r="A66" s="8" t="s">
        <v>218</v>
      </c>
      <c r="B66" s="7">
        <v>0.25879999999999997</v>
      </c>
      <c r="C66" s="7" t="s">
        <v>188</v>
      </c>
      <c r="D66" s="7" t="s">
        <v>59</v>
      </c>
      <c r="E66" s="7" t="s">
        <v>58</v>
      </c>
      <c r="F66" s="7">
        <v>0.90590000000000004</v>
      </c>
      <c r="G66" s="7"/>
      <c r="H66" s="7"/>
      <c r="I66" s="7"/>
    </row>
    <row r="67" spans="1:9" ht="16" x14ac:dyDescent="0.2">
      <c r="A67" s="8" t="s">
        <v>219</v>
      </c>
      <c r="B67" s="7">
        <v>-0.8</v>
      </c>
      <c r="C67" s="7" t="s">
        <v>220</v>
      </c>
      <c r="D67" s="7" t="s">
        <v>40</v>
      </c>
      <c r="E67" s="7" t="s">
        <v>39</v>
      </c>
      <c r="F67" s="7" t="s">
        <v>38</v>
      </c>
      <c r="G67" s="7"/>
      <c r="H67" s="7"/>
      <c r="I67" s="7"/>
    </row>
    <row r="68" spans="1:9" ht="16" x14ac:dyDescent="0.2">
      <c r="A68" s="8" t="s">
        <v>221</v>
      </c>
      <c r="B68" s="7">
        <v>0.3765</v>
      </c>
      <c r="C68" s="7" t="s">
        <v>222</v>
      </c>
      <c r="D68" s="7" t="s">
        <v>59</v>
      </c>
      <c r="E68" s="7" t="s">
        <v>58</v>
      </c>
      <c r="F68" s="7">
        <v>0.35809999999999997</v>
      </c>
      <c r="G68" s="7"/>
      <c r="H68" s="7"/>
      <c r="I68" s="7"/>
    </row>
    <row r="69" spans="1:9" ht="16" x14ac:dyDescent="0.2">
      <c r="A69" s="8" t="s">
        <v>223</v>
      </c>
      <c r="B69" s="7">
        <v>0.54120000000000001</v>
      </c>
      <c r="C69" s="7" t="s">
        <v>224</v>
      </c>
      <c r="D69" s="7" t="s">
        <v>40</v>
      </c>
      <c r="E69" s="7" t="s">
        <v>202</v>
      </c>
      <c r="F69" s="7">
        <v>1.3100000000000001E-2</v>
      </c>
      <c r="G69" s="7"/>
      <c r="H69" s="7"/>
      <c r="I69" s="7"/>
    </row>
    <row r="70" spans="1:9" ht="16" x14ac:dyDescent="0.2">
      <c r="A70" s="8" t="s">
        <v>225</v>
      </c>
      <c r="B70" s="7">
        <v>0.54120000000000001</v>
      </c>
      <c r="C70" s="7" t="s">
        <v>224</v>
      </c>
      <c r="D70" s="7" t="s">
        <v>40</v>
      </c>
      <c r="E70" s="7" t="s">
        <v>202</v>
      </c>
      <c r="F70" s="7">
        <v>1.3100000000000001E-2</v>
      </c>
      <c r="G70" s="7"/>
      <c r="H70" s="7"/>
      <c r="I70" s="7"/>
    </row>
    <row r="71" spans="1:9" ht="16" x14ac:dyDescent="0.2">
      <c r="A71" s="8" t="s">
        <v>226</v>
      </c>
      <c r="B71" s="7">
        <v>0.54120000000000001</v>
      </c>
      <c r="C71" s="7" t="s">
        <v>224</v>
      </c>
      <c r="D71" s="7" t="s">
        <v>40</v>
      </c>
      <c r="E71" s="7" t="s">
        <v>202</v>
      </c>
      <c r="F71" s="7">
        <v>1.3100000000000001E-2</v>
      </c>
      <c r="G71" s="7"/>
      <c r="H71" s="7"/>
      <c r="I71" s="7"/>
    </row>
    <row r="72" spans="1:9" ht="16" x14ac:dyDescent="0.2">
      <c r="A72" s="8" t="s">
        <v>227</v>
      </c>
      <c r="B72" s="7">
        <v>0.54120000000000001</v>
      </c>
      <c r="C72" s="7" t="s">
        <v>224</v>
      </c>
      <c r="D72" s="7" t="s">
        <v>40</v>
      </c>
      <c r="E72" s="7" t="s">
        <v>202</v>
      </c>
      <c r="F72" s="7">
        <v>1.3100000000000001E-2</v>
      </c>
      <c r="G72" s="7"/>
      <c r="H72" s="7"/>
      <c r="I72" s="7"/>
    </row>
    <row r="73" spans="1:9" ht="16" x14ac:dyDescent="0.2">
      <c r="A73" s="8" t="s">
        <v>228</v>
      </c>
      <c r="B73" s="7">
        <v>-0.72940000000000005</v>
      </c>
      <c r="C73" s="7" t="s">
        <v>229</v>
      </c>
      <c r="D73" s="7" t="s">
        <v>40</v>
      </c>
      <c r="E73" s="7" t="s">
        <v>39</v>
      </c>
      <c r="F73" s="7" t="s">
        <v>38</v>
      </c>
      <c r="G73" s="7"/>
      <c r="H73" s="7"/>
      <c r="I73" s="7"/>
    </row>
    <row r="74" spans="1:9" ht="16" x14ac:dyDescent="0.2">
      <c r="A74" s="8" t="s">
        <v>230</v>
      </c>
      <c r="B74" s="7">
        <v>-0.17649999999999999</v>
      </c>
      <c r="C74" s="7" t="s">
        <v>231</v>
      </c>
      <c r="D74" s="7" t="s">
        <v>59</v>
      </c>
      <c r="E74" s="7" t="s">
        <v>58</v>
      </c>
      <c r="F74" s="7">
        <v>0.99739999999999995</v>
      </c>
      <c r="G74" s="7"/>
      <c r="H74" s="7"/>
      <c r="I74" s="7"/>
    </row>
    <row r="75" spans="1:9" ht="16" x14ac:dyDescent="0.2">
      <c r="A75" s="8" t="s">
        <v>232</v>
      </c>
      <c r="B75" s="7">
        <v>-0.91759999999999997</v>
      </c>
      <c r="C75" s="7" t="s">
        <v>233</v>
      </c>
      <c r="D75" s="7" t="s">
        <v>40</v>
      </c>
      <c r="E75" s="7" t="s">
        <v>39</v>
      </c>
      <c r="F75" s="7" t="s">
        <v>38</v>
      </c>
      <c r="G75" s="7"/>
      <c r="H75" s="7"/>
      <c r="I75" s="7"/>
    </row>
    <row r="76" spans="1:9" ht="16" x14ac:dyDescent="0.2">
      <c r="A76" s="8" t="s">
        <v>234</v>
      </c>
      <c r="B76" s="7">
        <v>-2.3529999999999999E-2</v>
      </c>
      <c r="C76" s="7" t="s">
        <v>235</v>
      </c>
      <c r="D76" s="7" t="s">
        <v>59</v>
      </c>
      <c r="E76" s="7" t="s">
        <v>58</v>
      </c>
      <c r="F76" s="7" t="s">
        <v>164</v>
      </c>
      <c r="G76" s="7"/>
      <c r="H76" s="7"/>
      <c r="I76" s="7"/>
    </row>
    <row r="77" spans="1:9" ht="16" x14ac:dyDescent="0.2">
      <c r="A77" s="8" t="s">
        <v>236</v>
      </c>
      <c r="B77" s="7">
        <v>-1.365</v>
      </c>
      <c r="C77" s="7" t="s">
        <v>237</v>
      </c>
      <c r="D77" s="7" t="s">
        <v>40</v>
      </c>
      <c r="E77" s="7" t="s">
        <v>39</v>
      </c>
      <c r="F77" s="7" t="s">
        <v>38</v>
      </c>
      <c r="G77" s="7"/>
      <c r="H77" s="7"/>
      <c r="I77" s="7"/>
    </row>
    <row r="78" spans="1:9" ht="16" x14ac:dyDescent="0.2">
      <c r="A78" s="8" t="s">
        <v>238</v>
      </c>
      <c r="B78" s="7">
        <v>-0.2235</v>
      </c>
      <c r="C78" s="7" t="s">
        <v>239</v>
      </c>
      <c r="D78" s="7" t="s">
        <v>59</v>
      </c>
      <c r="E78" s="7" t="s">
        <v>58</v>
      </c>
      <c r="F78" s="7">
        <v>0.97189999999999999</v>
      </c>
      <c r="G78" s="7"/>
      <c r="H78" s="7"/>
      <c r="I78" s="7"/>
    </row>
    <row r="79" spans="1:9" ht="16" x14ac:dyDescent="0.2">
      <c r="A79" s="8" t="s">
        <v>240</v>
      </c>
      <c r="B79" s="7">
        <v>-1.282</v>
      </c>
      <c r="C79" s="7" t="s">
        <v>241</v>
      </c>
      <c r="D79" s="7" t="s">
        <v>40</v>
      </c>
      <c r="E79" s="7" t="s">
        <v>39</v>
      </c>
      <c r="F79" s="7" t="s">
        <v>38</v>
      </c>
      <c r="G79" s="7"/>
      <c r="H79" s="7"/>
      <c r="I79" s="7"/>
    </row>
    <row r="80" spans="1:9" ht="16" x14ac:dyDescent="0.2">
      <c r="A80" s="8" t="s">
        <v>242</v>
      </c>
      <c r="B80" s="7">
        <v>-0.10589999999999999</v>
      </c>
      <c r="C80" s="7" t="s">
        <v>243</v>
      </c>
      <c r="D80" s="7" t="s">
        <v>59</v>
      </c>
      <c r="E80" s="7" t="s">
        <v>58</v>
      </c>
      <c r="F80" s="7" t="s">
        <v>164</v>
      </c>
      <c r="G80" s="7"/>
      <c r="H80" s="7"/>
      <c r="I80" s="7"/>
    </row>
    <row r="81" spans="1:9" ht="16" x14ac:dyDescent="0.2">
      <c r="A81" s="8" t="s">
        <v>244</v>
      </c>
      <c r="B81" s="7">
        <v>5.8819999999999997E-2</v>
      </c>
      <c r="C81" s="7" t="s">
        <v>245</v>
      </c>
      <c r="D81" s="7" t="s">
        <v>59</v>
      </c>
      <c r="E81" s="7" t="s">
        <v>58</v>
      </c>
      <c r="F81" s="7" t="s">
        <v>164</v>
      </c>
      <c r="G81" s="7"/>
      <c r="H81" s="7"/>
      <c r="I81" s="7"/>
    </row>
    <row r="82" spans="1:9" ht="16" x14ac:dyDescent="0.2">
      <c r="A82" s="8" t="s">
        <v>246</v>
      </c>
      <c r="B82" s="7">
        <v>5.8819999999999997E-2</v>
      </c>
      <c r="C82" s="7" t="s">
        <v>245</v>
      </c>
      <c r="D82" s="7" t="s">
        <v>59</v>
      </c>
      <c r="E82" s="7" t="s">
        <v>58</v>
      </c>
      <c r="F82" s="7" t="s">
        <v>164</v>
      </c>
      <c r="G82" s="7"/>
      <c r="H82" s="7"/>
      <c r="I82" s="7"/>
    </row>
    <row r="83" spans="1:9" ht="16" x14ac:dyDescent="0.2">
      <c r="A83" s="8" t="s">
        <v>247</v>
      </c>
      <c r="B83" s="7">
        <v>5.8819999999999997E-2</v>
      </c>
      <c r="C83" s="7" t="s">
        <v>245</v>
      </c>
      <c r="D83" s="7" t="s">
        <v>59</v>
      </c>
      <c r="E83" s="7" t="s">
        <v>58</v>
      </c>
      <c r="F83" s="7" t="s">
        <v>164</v>
      </c>
      <c r="G83" s="7"/>
      <c r="H83" s="7"/>
      <c r="I83" s="7"/>
    </row>
    <row r="84" spans="1:9" ht="16" x14ac:dyDescent="0.2">
      <c r="A84" s="8" t="s">
        <v>248</v>
      </c>
      <c r="B84" s="7">
        <v>5.8819999999999997E-2</v>
      </c>
      <c r="C84" s="7" t="s">
        <v>245</v>
      </c>
      <c r="D84" s="7" t="s">
        <v>59</v>
      </c>
      <c r="E84" s="7" t="s">
        <v>58</v>
      </c>
      <c r="F84" s="7" t="s">
        <v>164</v>
      </c>
      <c r="G84" s="7"/>
      <c r="H84" s="7"/>
      <c r="I84" s="7"/>
    </row>
    <row r="85" spans="1:9" ht="16" x14ac:dyDescent="0.2">
      <c r="A85" s="8" t="s">
        <v>249</v>
      </c>
      <c r="B85" s="7">
        <v>0.55289999999999995</v>
      </c>
      <c r="C85" s="7" t="s">
        <v>250</v>
      </c>
      <c r="D85" s="7" t="s">
        <v>40</v>
      </c>
      <c r="E85" s="7" t="s">
        <v>251</v>
      </c>
      <c r="F85" s="7">
        <v>9.5999999999999992E-3</v>
      </c>
      <c r="G85" s="7"/>
      <c r="H85" s="7"/>
      <c r="I85" s="7"/>
    </row>
    <row r="86" spans="1:9" ht="16" x14ac:dyDescent="0.2">
      <c r="A86" s="8" t="s">
        <v>252</v>
      </c>
      <c r="B86" s="7">
        <v>-0.18820000000000001</v>
      </c>
      <c r="C86" s="7" t="s">
        <v>253</v>
      </c>
      <c r="D86" s="7" t="s">
        <v>59</v>
      </c>
      <c r="E86" s="7" t="s">
        <v>58</v>
      </c>
      <c r="F86" s="7">
        <v>0.99480000000000002</v>
      </c>
      <c r="G86" s="7"/>
      <c r="H86" s="7"/>
      <c r="I86" s="7"/>
    </row>
    <row r="87" spans="1:9" ht="16" x14ac:dyDescent="0.2">
      <c r="A87" s="8" t="s">
        <v>254</v>
      </c>
      <c r="B87" s="7">
        <v>0.70589999999999997</v>
      </c>
      <c r="C87" s="7" t="s">
        <v>161</v>
      </c>
      <c r="D87" s="7" t="s">
        <v>40</v>
      </c>
      <c r="E87" s="7" t="s">
        <v>39</v>
      </c>
      <c r="F87" s="7" t="s">
        <v>38</v>
      </c>
      <c r="G87" s="7"/>
      <c r="H87" s="7"/>
      <c r="I87" s="7"/>
    </row>
    <row r="88" spans="1:9" ht="16" x14ac:dyDescent="0.2">
      <c r="A88" s="8" t="s">
        <v>255</v>
      </c>
      <c r="B88" s="7">
        <v>-0.63529999999999998</v>
      </c>
      <c r="C88" s="7" t="s">
        <v>256</v>
      </c>
      <c r="D88" s="7" t="s">
        <v>40</v>
      </c>
      <c r="E88" s="7" t="s">
        <v>171</v>
      </c>
      <c r="F88" s="7">
        <v>8.9999999999999998E-4</v>
      </c>
      <c r="G88" s="7"/>
      <c r="H88" s="7"/>
      <c r="I88" s="7"/>
    </row>
    <row r="89" spans="1:9" ht="16" x14ac:dyDescent="0.2">
      <c r="A89" s="8" t="s">
        <v>257</v>
      </c>
      <c r="B89" s="7">
        <v>0.50590000000000002</v>
      </c>
      <c r="C89" s="7" t="s">
        <v>258</v>
      </c>
      <c r="D89" s="7" t="s">
        <v>40</v>
      </c>
      <c r="E89" s="7" t="s">
        <v>202</v>
      </c>
      <c r="F89" s="7">
        <v>3.15E-2</v>
      </c>
      <c r="G89" s="7"/>
      <c r="H89" s="7"/>
      <c r="I89" s="7"/>
    </row>
    <row r="90" spans="1:9" ht="16" x14ac:dyDescent="0.2">
      <c r="A90" s="8" t="s">
        <v>259</v>
      </c>
      <c r="B90" s="7">
        <v>-0.55289999999999995</v>
      </c>
      <c r="C90" s="7" t="s">
        <v>260</v>
      </c>
      <c r="D90" s="7" t="s">
        <v>40</v>
      </c>
      <c r="E90" s="7" t="s">
        <v>251</v>
      </c>
      <c r="F90" s="7">
        <v>9.5999999999999992E-3</v>
      </c>
      <c r="G90" s="7"/>
      <c r="H90" s="7"/>
      <c r="I90" s="7"/>
    </row>
    <row r="91" spans="1:9" ht="16" x14ac:dyDescent="0.2">
      <c r="A91" s="8" t="s">
        <v>261</v>
      </c>
      <c r="B91" s="7">
        <v>0.62350000000000005</v>
      </c>
      <c r="C91" s="7" t="s">
        <v>262</v>
      </c>
      <c r="D91" s="7" t="s">
        <v>40</v>
      </c>
      <c r="E91" s="7" t="s">
        <v>251</v>
      </c>
      <c r="F91" s="7">
        <v>1.1999999999999999E-3</v>
      </c>
      <c r="G91" s="7"/>
      <c r="H91" s="7"/>
      <c r="I91" s="7"/>
    </row>
    <row r="92" spans="1:9" ht="16" x14ac:dyDescent="0.2">
      <c r="A92" s="8" t="s">
        <v>263</v>
      </c>
      <c r="B92" s="7">
        <v>0.78820000000000001</v>
      </c>
      <c r="C92" s="7" t="s">
        <v>264</v>
      </c>
      <c r="D92" s="7" t="s">
        <v>40</v>
      </c>
      <c r="E92" s="7" t="s">
        <v>39</v>
      </c>
      <c r="F92" s="7" t="s">
        <v>38</v>
      </c>
      <c r="G92" s="7"/>
      <c r="H92" s="7"/>
      <c r="I92" s="7"/>
    </row>
    <row r="93" spans="1:9" ht="16" x14ac:dyDescent="0.2">
      <c r="A93" s="8" t="s">
        <v>265</v>
      </c>
      <c r="B93" s="7">
        <v>0.78820000000000001</v>
      </c>
      <c r="C93" s="7" t="s">
        <v>264</v>
      </c>
      <c r="D93" s="7" t="s">
        <v>40</v>
      </c>
      <c r="E93" s="7" t="s">
        <v>39</v>
      </c>
      <c r="F93" s="7" t="s">
        <v>38</v>
      </c>
      <c r="G93" s="7"/>
      <c r="H93" s="7"/>
      <c r="I93" s="7"/>
    </row>
    <row r="94" spans="1:9" ht="16" x14ac:dyDescent="0.2">
      <c r="A94" s="8" t="s">
        <v>266</v>
      </c>
      <c r="B94" s="7">
        <v>0.78820000000000001</v>
      </c>
      <c r="C94" s="7" t="s">
        <v>264</v>
      </c>
      <c r="D94" s="7" t="s">
        <v>40</v>
      </c>
      <c r="E94" s="7" t="s">
        <v>39</v>
      </c>
      <c r="F94" s="7" t="s">
        <v>38</v>
      </c>
      <c r="G94" s="7"/>
      <c r="H94" s="7"/>
      <c r="I94" s="7"/>
    </row>
    <row r="95" spans="1:9" ht="16" x14ac:dyDescent="0.2">
      <c r="A95" s="8" t="s">
        <v>267</v>
      </c>
      <c r="B95" s="7">
        <v>0.78820000000000001</v>
      </c>
      <c r="C95" s="7" t="s">
        <v>264</v>
      </c>
      <c r="D95" s="7" t="s">
        <v>40</v>
      </c>
      <c r="E95" s="7" t="s">
        <v>39</v>
      </c>
      <c r="F95" s="7" t="s">
        <v>38</v>
      </c>
      <c r="G95" s="7"/>
      <c r="H95" s="7"/>
      <c r="I95" s="7"/>
    </row>
    <row r="96" spans="1:9" ht="16" x14ac:dyDescent="0.2">
      <c r="A96" s="8" t="s">
        <v>268</v>
      </c>
      <c r="B96" s="7">
        <v>-0.74119999999999997</v>
      </c>
      <c r="C96" s="7" t="s">
        <v>269</v>
      </c>
      <c r="D96" s="7" t="s">
        <v>40</v>
      </c>
      <c r="E96" s="7" t="s">
        <v>39</v>
      </c>
      <c r="F96" s="7" t="s">
        <v>38</v>
      </c>
      <c r="G96" s="7"/>
      <c r="H96" s="7"/>
      <c r="I96" s="7"/>
    </row>
    <row r="97" spans="1:9" ht="16" x14ac:dyDescent="0.2">
      <c r="A97" s="8" t="s">
        <v>270</v>
      </c>
      <c r="B97" s="7">
        <v>0.15290000000000001</v>
      </c>
      <c r="C97" s="7" t="s">
        <v>159</v>
      </c>
      <c r="D97" s="7" t="s">
        <v>59</v>
      </c>
      <c r="E97" s="7" t="s">
        <v>58</v>
      </c>
      <c r="F97" s="7">
        <v>0.99950000000000006</v>
      </c>
      <c r="G97" s="7"/>
      <c r="H97" s="7"/>
      <c r="I97" s="7"/>
    </row>
    <row r="98" spans="1:9" ht="16" x14ac:dyDescent="0.2">
      <c r="A98" s="8" t="s">
        <v>271</v>
      </c>
      <c r="B98" s="7">
        <v>-1.1879999999999999</v>
      </c>
      <c r="C98" s="7" t="s">
        <v>272</v>
      </c>
      <c r="D98" s="7" t="s">
        <v>40</v>
      </c>
      <c r="E98" s="7" t="s">
        <v>39</v>
      </c>
      <c r="F98" s="7" t="s">
        <v>38</v>
      </c>
      <c r="G98" s="7"/>
      <c r="H98" s="7"/>
      <c r="I98" s="7"/>
    </row>
    <row r="99" spans="1:9" ht="16" x14ac:dyDescent="0.2">
      <c r="A99" s="8" t="s">
        <v>273</v>
      </c>
      <c r="B99" s="7">
        <v>-4.7059999999999998E-2</v>
      </c>
      <c r="C99" s="7" t="s">
        <v>182</v>
      </c>
      <c r="D99" s="7" t="s">
        <v>59</v>
      </c>
      <c r="E99" s="7" t="s">
        <v>58</v>
      </c>
      <c r="F99" s="7" t="s">
        <v>164</v>
      </c>
      <c r="G99" s="7"/>
      <c r="H99" s="7"/>
      <c r="I99" s="7"/>
    </row>
    <row r="100" spans="1:9" ht="16" x14ac:dyDescent="0.2">
      <c r="A100" s="8" t="s">
        <v>274</v>
      </c>
      <c r="B100" s="7">
        <v>-1.1060000000000001</v>
      </c>
      <c r="C100" s="7" t="s">
        <v>275</v>
      </c>
      <c r="D100" s="7" t="s">
        <v>40</v>
      </c>
      <c r="E100" s="7" t="s">
        <v>39</v>
      </c>
      <c r="F100" s="7" t="s">
        <v>38</v>
      </c>
      <c r="G100" s="7"/>
      <c r="H100" s="7"/>
      <c r="I100" s="7"/>
    </row>
    <row r="101" spans="1:9" ht="16" x14ac:dyDescent="0.2">
      <c r="A101" s="8" t="s">
        <v>276</v>
      </c>
      <c r="B101" s="7">
        <v>7.059E-2</v>
      </c>
      <c r="C101" s="7" t="s">
        <v>277</v>
      </c>
      <c r="D101" s="7" t="s">
        <v>59</v>
      </c>
      <c r="E101" s="7" t="s">
        <v>58</v>
      </c>
      <c r="F101" s="7" t="s">
        <v>164</v>
      </c>
      <c r="G101" s="7"/>
      <c r="H101" s="7"/>
      <c r="I101" s="7"/>
    </row>
    <row r="102" spans="1:9" ht="16" x14ac:dyDescent="0.2">
      <c r="A102" s="8" t="s">
        <v>278</v>
      </c>
      <c r="B102" s="7">
        <v>0.23530000000000001</v>
      </c>
      <c r="C102" s="7" t="s">
        <v>279</v>
      </c>
      <c r="D102" s="7" t="s">
        <v>59</v>
      </c>
      <c r="E102" s="7" t="s">
        <v>58</v>
      </c>
      <c r="F102" s="7">
        <v>0.95599999999999996</v>
      </c>
      <c r="G102" s="7"/>
      <c r="H102" s="7"/>
      <c r="I102" s="7"/>
    </row>
    <row r="103" spans="1:9" ht="16" x14ac:dyDescent="0.2">
      <c r="A103" s="8" t="s">
        <v>280</v>
      </c>
      <c r="B103" s="7">
        <v>0.23530000000000001</v>
      </c>
      <c r="C103" s="7" t="s">
        <v>279</v>
      </c>
      <c r="D103" s="7" t="s">
        <v>59</v>
      </c>
      <c r="E103" s="7" t="s">
        <v>58</v>
      </c>
      <c r="F103" s="7">
        <v>0.95599999999999996</v>
      </c>
      <c r="G103" s="7"/>
      <c r="H103" s="7"/>
      <c r="I103" s="7"/>
    </row>
    <row r="104" spans="1:9" ht="16" x14ac:dyDescent="0.2">
      <c r="A104" s="8" t="s">
        <v>281</v>
      </c>
      <c r="B104" s="7">
        <v>0.23530000000000001</v>
      </c>
      <c r="C104" s="7" t="s">
        <v>279</v>
      </c>
      <c r="D104" s="7" t="s">
        <v>59</v>
      </c>
      <c r="E104" s="7" t="s">
        <v>58</v>
      </c>
      <c r="F104" s="7">
        <v>0.95599999999999996</v>
      </c>
      <c r="G104" s="7"/>
      <c r="H104" s="7"/>
      <c r="I104" s="7"/>
    </row>
    <row r="105" spans="1:9" ht="16" x14ac:dyDescent="0.2">
      <c r="A105" s="8" t="s">
        <v>282</v>
      </c>
      <c r="B105" s="7">
        <v>0.23530000000000001</v>
      </c>
      <c r="C105" s="7" t="s">
        <v>279</v>
      </c>
      <c r="D105" s="7" t="s">
        <v>59</v>
      </c>
      <c r="E105" s="7" t="s">
        <v>58</v>
      </c>
      <c r="F105" s="7">
        <v>0.95599999999999996</v>
      </c>
      <c r="G105" s="7"/>
      <c r="H105" s="7"/>
      <c r="I105" s="7"/>
    </row>
    <row r="106" spans="1:9" ht="16" x14ac:dyDescent="0.2">
      <c r="A106" s="8" t="s">
        <v>283</v>
      </c>
      <c r="B106" s="7">
        <v>0.89410000000000001</v>
      </c>
      <c r="C106" s="7" t="s">
        <v>284</v>
      </c>
      <c r="D106" s="7" t="s">
        <v>40</v>
      </c>
      <c r="E106" s="7" t="s">
        <v>39</v>
      </c>
      <c r="F106" s="7" t="s">
        <v>38</v>
      </c>
      <c r="G106" s="7"/>
      <c r="H106" s="7"/>
      <c r="I106" s="7"/>
    </row>
    <row r="107" spans="1:9" ht="16" x14ac:dyDescent="0.2">
      <c r="A107" s="8" t="s">
        <v>285</v>
      </c>
      <c r="B107" s="7">
        <v>-0.4471</v>
      </c>
      <c r="C107" s="7" t="s">
        <v>286</v>
      </c>
      <c r="D107" s="7" t="s">
        <v>59</v>
      </c>
      <c r="E107" s="7" t="s">
        <v>58</v>
      </c>
      <c r="F107" s="7">
        <v>0.1124</v>
      </c>
      <c r="G107" s="7"/>
      <c r="H107" s="7"/>
      <c r="I107" s="7"/>
    </row>
    <row r="108" spans="1:9" ht="16" x14ac:dyDescent="0.2">
      <c r="A108" s="8" t="s">
        <v>287</v>
      </c>
      <c r="B108" s="7">
        <v>0.69410000000000005</v>
      </c>
      <c r="C108" s="7" t="s">
        <v>288</v>
      </c>
      <c r="D108" s="7" t="s">
        <v>40</v>
      </c>
      <c r="E108" s="7" t="s">
        <v>171</v>
      </c>
      <c r="F108" s="7">
        <v>1E-4</v>
      </c>
      <c r="G108" s="7"/>
      <c r="H108" s="7"/>
      <c r="I108" s="7"/>
    </row>
    <row r="109" spans="1:9" ht="16" x14ac:dyDescent="0.2">
      <c r="A109" s="8" t="s">
        <v>289</v>
      </c>
      <c r="B109" s="7">
        <v>-0.36470000000000002</v>
      </c>
      <c r="C109" s="7" t="s">
        <v>290</v>
      </c>
      <c r="D109" s="7" t="s">
        <v>59</v>
      </c>
      <c r="E109" s="7" t="s">
        <v>58</v>
      </c>
      <c r="F109" s="7">
        <v>0.41599999999999998</v>
      </c>
      <c r="G109" s="7"/>
      <c r="H109" s="7"/>
      <c r="I109" s="7"/>
    </row>
    <row r="110" spans="1:9" ht="16" x14ac:dyDescent="0.2">
      <c r="A110" s="8" t="s">
        <v>291</v>
      </c>
      <c r="B110" s="7">
        <v>0.81179999999999997</v>
      </c>
      <c r="C110" s="7" t="s">
        <v>292</v>
      </c>
      <c r="D110" s="7" t="s">
        <v>40</v>
      </c>
      <c r="E110" s="7" t="s">
        <v>39</v>
      </c>
      <c r="F110" s="7" t="s">
        <v>38</v>
      </c>
      <c r="G110" s="7"/>
      <c r="H110" s="7"/>
      <c r="I110" s="7"/>
    </row>
    <row r="111" spans="1:9" ht="16" x14ac:dyDescent="0.2">
      <c r="A111" s="8" t="s">
        <v>293</v>
      </c>
      <c r="B111" s="7">
        <v>0.97650000000000003</v>
      </c>
      <c r="C111" s="7" t="s">
        <v>294</v>
      </c>
      <c r="D111" s="7" t="s">
        <v>40</v>
      </c>
      <c r="E111" s="7" t="s">
        <v>39</v>
      </c>
      <c r="F111" s="7" t="s">
        <v>38</v>
      </c>
      <c r="G111" s="7"/>
      <c r="H111" s="7"/>
      <c r="I111" s="7"/>
    </row>
    <row r="112" spans="1:9" ht="16" x14ac:dyDescent="0.2">
      <c r="A112" s="8" t="s">
        <v>295</v>
      </c>
      <c r="B112" s="7">
        <v>0.97650000000000003</v>
      </c>
      <c r="C112" s="7" t="s">
        <v>294</v>
      </c>
      <c r="D112" s="7" t="s">
        <v>40</v>
      </c>
      <c r="E112" s="7" t="s">
        <v>39</v>
      </c>
      <c r="F112" s="7" t="s">
        <v>38</v>
      </c>
      <c r="G112" s="7"/>
      <c r="H112" s="7"/>
      <c r="I112" s="7"/>
    </row>
    <row r="113" spans="1:9" ht="16" x14ac:dyDescent="0.2">
      <c r="A113" s="8" t="s">
        <v>296</v>
      </c>
      <c r="B113" s="7">
        <v>0.97650000000000003</v>
      </c>
      <c r="C113" s="7" t="s">
        <v>294</v>
      </c>
      <c r="D113" s="7" t="s">
        <v>40</v>
      </c>
      <c r="E113" s="7" t="s">
        <v>39</v>
      </c>
      <c r="F113" s="7" t="s">
        <v>38</v>
      </c>
      <c r="G113" s="7"/>
      <c r="H113" s="7"/>
      <c r="I113" s="7"/>
    </row>
    <row r="114" spans="1:9" ht="16" x14ac:dyDescent="0.2">
      <c r="A114" s="8" t="s">
        <v>297</v>
      </c>
      <c r="B114" s="7">
        <v>0.97650000000000003</v>
      </c>
      <c r="C114" s="7" t="s">
        <v>294</v>
      </c>
      <c r="D114" s="7" t="s">
        <v>40</v>
      </c>
      <c r="E114" s="7" t="s">
        <v>39</v>
      </c>
      <c r="F114" s="7" t="s">
        <v>38</v>
      </c>
      <c r="G114" s="7"/>
      <c r="H114" s="7"/>
      <c r="I114" s="7"/>
    </row>
    <row r="115" spans="1:9" ht="16" x14ac:dyDescent="0.2">
      <c r="A115" s="8" t="s">
        <v>298</v>
      </c>
      <c r="B115" s="7">
        <v>-1.341</v>
      </c>
      <c r="C115" s="7" t="s">
        <v>299</v>
      </c>
      <c r="D115" s="7" t="s">
        <v>40</v>
      </c>
      <c r="E115" s="7" t="s">
        <v>39</v>
      </c>
      <c r="F115" s="7" t="s">
        <v>38</v>
      </c>
      <c r="G115" s="7"/>
      <c r="H115" s="7"/>
      <c r="I115" s="7"/>
    </row>
    <row r="116" spans="1:9" ht="16" x14ac:dyDescent="0.2">
      <c r="A116" s="8" t="s">
        <v>300</v>
      </c>
      <c r="B116" s="7">
        <v>-0.2</v>
      </c>
      <c r="C116" s="7" t="s">
        <v>301</v>
      </c>
      <c r="D116" s="7" t="s">
        <v>59</v>
      </c>
      <c r="E116" s="7" t="s">
        <v>58</v>
      </c>
      <c r="F116" s="7">
        <v>0.99029999999999996</v>
      </c>
      <c r="G116" s="7"/>
      <c r="H116" s="7"/>
      <c r="I116" s="7"/>
    </row>
    <row r="117" spans="1:9" ht="16" x14ac:dyDescent="0.2">
      <c r="A117" s="8" t="s">
        <v>302</v>
      </c>
      <c r="B117" s="7">
        <v>-1.2589999999999999</v>
      </c>
      <c r="C117" s="7" t="s">
        <v>303</v>
      </c>
      <c r="D117" s="7" t="s">
        <v>40</v>
      </c>
      <c r="E117" s="7" t="s">
        <v>39</v>
      </c>
      <c r="F117" s="7" t="s">
        <v>38</v>
      </c>
      <c r="G117" s="7"/>
      <c r="H117" s="7"/>
      <c r="I117" s="7"/>
    </row>
    <row r="118" spans="1:9" ht="16" x14ac:dyDescent="0.2">
      <c r="A118" s="8" t="s">
        <v>304</v>
      </c>
      <c r="B118" s="7">
        <v>-8.2350000000000007E-2</v>
      </c>
      <c r="C118" s="7" t="s">
        <v>305</v>
      </c>
      <c r="D118" s="7" t="s">
        <v>59</v>
      </c>
      <c r="E118" s="7" t="s">
        <v>58</v>
      </c>
      <c r="F118" s="7" t="s">
        <v>164</v>
      </c>
      <c r="G118" s="7"/>
      <c r="H118" s="7"/>
      <c r="I118" s="7"/>
    </row>
    <row r="119" spans="1:9" ht="16" x14ac:dyDescent="0.2">
      <c r="A119" s="8" t="s">
        <v>306</v>
      </c>
      <c r="B119" s="7">
        <v>8.2350000000000007E-2</v>
      </c>
      <c r="C119" s="7" t="s">
        <v>307</v>
      </c>
      <c r="D119" s="7" t="s">
        <v>59</v>
      </c>
      <c r="E119" s="7" t="s">
        <v>58</v>
      </c>
      <c r="F119" s="7" t="s">
        <v>164</v>
      </c>
      <c r="G119" s="7"/>
      <c r="H119" s="7"/>
      <c r="I119" s="7"/>
    </row>
    <row r="120" spans="1:9" ht="16" x14ac:dyDescent="0.2">
      <c r="A120" s="8" t="s">
        <v>308</v>
      </c>
      <c r="B120" s="7">
        <v>8.2350000000000007E-2</v>
      </c>
      <c r="C120" s="7" t="s">
        <v>307</v>
      </c>
      <c r="D120" s="7" t="s">
        <v>59</v>
      </c>
      <c r="E120" s="7" t="s">
        <v>58</v>
      </c>
      <c r="F120" s="7" t="s">
        <v>164</v>
      </c>
      <c r="G120" s="7"/>
      <c r="H120" s="7"/>
      <c r="I120" s="7"/>
    </row>
    <row r="121" spans="1:9" ht="16" x14ac:dyDescent="0.2">
      <c r="A121" s="8" t="s">
        <v>309</v>
      </c>
      <c r="B121" s="7">
        <v>8.2350000000000007E-2</v>
      </c>
      <c r="C121" s="7" t="s">
        <v>307</v>
      </c>
      <c r="D121" s="7" t="s">
        <v>59</v>
      </c>
      <c r="E121" s="7" t="s">
        <v>58</v>
      </c>
      <c r="F121" s="7" t="s">
        <v>164</v>
      </c>
      <c r="G121" s="7"/>
      <c r="H121" s="7"/>
      <c r="I121" s="7"/>
    </row>
    <row r="122" spans="1:9" ht="16" x14ac:dyDescent="0.2">
      <c r="A122" s="8" t="s">
        <v>310</v>
      </c>
      <c r="B122" s="7">
        <v>8.2350000000000007E-2</v>
      </c>
      <c r="C122" s="7" t="s">
        <v>307</v>
      </c>
      <c r="D122" s="7" t="s">
        <v>59</v>
      </c>
      <c r="E122" s="7" t="s">
        <v>58</v>
      </c>
      <c r="F122" s="7" t="s">
        <v>164</v>
      </c>
      <c r="G122" s="7"/>
      <c r="H122" s="7"/>
      <c r="I122" s="7"/>
    </row>
    <row r="123" spans="1:9" ht="16" x14ac:dyDescent="0.2">
      <c r="A123" s="8" t="s">
        <v>311</v>
      </c>
      <c r="B123" s="7">
        <v>1.141</v>
      </c>
      <c r="C123" s="7" t="s">
        <v>312</v>
      </c>
      <c r="D123" s="7" t="s">
        <v>40</v>
      </c>
      <c r="E123" s="7" t="s">
        <v>39</v>
      </c>
      <c r="F123" s="7" t="s">
        <v>38</v>
      </c>
      <c r="G123" s="7"/>
      <c r="H123" s="7"/>
      <c r="I123" s="7"/>
    </row>
    <row r="124" spans="1:9" ht="16" x14ac:dyDescent="0.2">
      <c r="A124" s="8" t="s">
        <v>313</v>
      </c>
      <c r="B124" s="7">
        <v>8.2350000000000007E-2</v>
      </c>
      <c r="C124" s="7" t="s">
        <v>307</v>
      </c>
      <c r="D124" s="7" t="s">
        <v>59</v>
      </c>
      <c r="E124" s="7" t="s">
        <v>58</v>
      </c>
      <c r="F124" s="7" t="s">
        <v>164</v>
      </c>
      <c r="G124" s="7"/>
      <c r="H124" s="7"/>
      <c r="I124" s="7"/>
    </row>
    <row r="125" spans="1:9" ht="16" x14ac:dyDescent="0.2">
      <c r="A125" s="8" t="s">
        <v>314</v>
      </c>
      <c r="B125" s="7">
        <v>1.2589999999999999</v>
      </c>
      <c r="C125" s="7" t="s">
        <v>315</v>
      </c>
      <c r="D125" s="7" t="s">
        <v>40</v>
      </c>
      <c r="E125" s="7" t="s">
        <v>39</v>
      </c>
      <c r="F125" s="7" t="s">
        <v>38</v>
      </c>
      <c r="G125" s="7"/>
      <c r="H125" s="7"/>
      <c r="I125" s="7"/>
    </row>
    <row r="126" spans="1:9" ht="16" x14ac:dyDescent="0.2">
      <c r="A126" s="8" t="s">
        <v>316</v>
      </c>
      <c r="B126" s="7">
        <v>1.4239999999999999</v>
      </c>
      <c r="C126" s="7" t="s">
        <v>317</v>
      </c>
      <c r="D126" s="7" t="s">
        <v>40</v>
      </c>
      <c r="E126" s="7" t="s">
        <v>39</v>
      </c>
      <c r="F126" s="7" t="s">
        <v>38</v>
      </c>
      <c r="G126" s="7"/>
      <c r="H126" s="7"/>
      <c r="I126" s="7"/>
    </row>
    <row r="127" spans="1:9" ht="16" x14ac:dyDescent="0.2">
      <c r="A127" s="8" t="s">
        <v>318</v>
      </c>
      <c r="B127" s="7">
        <v>1.4239999999999999</v>
      </c>
      <c r="C127" s="7" t="s">
        <v>317</v>
      </c>
      <c r="D127" s="7" t="s">
        <v>40</v>
      </c>
      <c r="E127" s="7" t="s">
        <v>39</v>
      </c>
      <c r="F127" s="7" t="s">
        <v>38</v>
      </c>
      <c r="G127" s="7"/>
      <c r="H127" s="7"/>
      <c r="I127" s="7"/>
    </row>
    <row r="128" spans="1:9" ht="16" x14ac:dyDescent="0.2">
      <c r="A128" s="8" t="s">
        <v>319</v>
      </c>
      <c r="B128" s="7">
        <v>1.4239999999999999</v>
      </c>
      <c r="C128" s="7" t="s">
        <v>317</v>
      </c>
      <c r="D128" s="7" t="s">
        <v>40</v>
      </c>
      <c r="E128" s="7" t="s">
        <v>39</v>
      </c>
      <c r="F128" s="7" t="s">
        <v>38</v>
      </c>
      <c r="G128" s="7"/>
      <c r="H128" s="7"/>
      <c r="I128" s="7"/>
    </row>
    <row r="129" spans="1:9" ht="16" x14ac:dyDescent="0.2">
      <c r="A129" s="8" t="s">
        <v>320</v>
      </c>
      <c r="B129" s="7">
        <v>1.4239999999999999</v>
      </c>
      <c r="C129" s="7" t="s">
        <v>317</v>
      </c>
      <c r="D129" s="7" t="s">
        <v>40</v>
      </c>
      <c r="E129" s="7" t="s">
        <v>39</v>
      </c>
      <c r="F129" s="7" t="s">
        <v>38</v>
      </c>
      <c r="G129" s="7"/>
      <c r="H129" s="7"/>
      <c r="I129" s="7"/>
    </row>
    <row r="130" spans="1:9" ht="16" x14ac:dyDescent="0.2">
      <c r="A130" s="8" t="s">
        <v>321</v>
      </c>
      <c r="B130" s="7">
        <v>-1.0589999999999999</v>
      </c>
      <c r="C130" s="7" t="s">
        <v>322</v>
      </c>
      <c r="D130" s="7" t="s">
        <v>40</v>
      </c>
      <c r="E130" s="7" t="s">
        <v>39</v>
      </c>
      <c r="F130" s="7" t="s">
        <v>38</v>
      </c>
      <c r="G130" s="7"/>
      <c r="H130" s="7"/>
      <c r="I130" s="7"/>
    </row>
    <row r="131" spans="1:9" ht="16" x14ac:dyDescent="0.2">
      <c r="A131" s="8" t="s">
        <v>323</v>
      </c>
      <c r="B131" s="7">
        <v>0.1176</v>
      </c>
      <c r="C131" s="7" t="s">
        <v>324</v>
      </c>
      <c r="D131" s="7" t="s">
        <v>59</v>
      </c>
      <c r="E131" s="7" t="s">
        <v>58</v>
      </c>
      <c r="F131" s="7" t="s">
        <v>164</v>
      </c>
      <c r="G131" s="7"/>
      <c r="H131" s="7"/>
      <c r="I131" s="7"/>
    </row>
    <row r="132" spans="1:9" ht="16" x14ac:dyDescent="0.2">
      <c r="A132" s="8" t="s">
        <v>325</v>
      </c>
      <c r="B132" s="7">
        <v>0.28239999999999998</v>
      </c>
      <c r="C132" s="7" t="s">
        <v>326</v>
      </c>
      <c r="D132" s="7" t="s">
        <v>59</v>
      </c>
      <c r="E132" s="7" t="s">
        <v>58</v>
      </c>
      <c r="F132" s="7">
        <v>0.82809999999999995</v>
      </c>
      <c r="G132" s="7"/>
      <c r="H132" s="7"/>
      <c r="I132" s="7"/>
    </row>
    <row r="133" spans="1:9" ht="16" x14ac:dyDescent="0.2">
      <c r="A133" s="8" t="s">
        <v>327</v>
      </c>
      <c r="B133" s="7">
        <v>0.28239999999999998</v>
      </c>
      <c r="C133" s="7" t="s">
        <v>326</v>
      </c>
      <c r="D133" s="7" t="s">
        <v>59</v>
      </c>
      <c r="E133" s="7" t="s">
        <v>58</v>
      </c>
      <c r="F133" s="7">
        <v>0.82809999999999995</v>
      </c>
      <c r="G133" s="7"/>
      <c r="H133" s="7"/>
      <c r="I133" s="7"/>
    </row>
    <row r="134" spans="1:9" ht="16" x14ac:dyDescent="0.2">
      <c r="A134" s="8" t="s">
        <v>328</v>
      </c>
      <c r="B134" s="7">
        <v>0.28239999999999998</v>
      </c>
      <c r="C134" s="7" t="s">
        <v>326</v>
      </c>
      <c r="D134" s="7" t="s">
        <v>59</v>
      </c>
      <c r="E134" s="7" t="s">
        <v>58</v>
      </c>
      <c r="F134" s="7">
        <v>0.82809999999999995</v>
      </c>
      <c r="G134" s="7"/>
      <c r="H134" s="7"/>
      <c r="I134" s="7"/>
    </row>
    <row r="135" spans="1:9" ht="16" x14ac:dyDescent="0.2">
      <c r="A135" s="8" t="s">
        <v>329</v>
      </c>
      <c r="B135" s="7">
        <v>0.28239999999999998</v>
      </c>
      <c r="C135" s="7" t="s">
        <v>326</v>
      </c>
      <c r="D135" s="7" t="s">
        <v>59</v>
      </c>
      <c r="E135" s="7" t="s">
        <v>58</v>
      </c>
      <c r="F135" s="7">
        <v>0.82809999999999995</v>
      </c>
      <c r="G135" s="7"/>
      <c r="H135" s="7"/>
      <c r="I135" s="7"/>
    </row>
    <row r="136" spans="1:9" ht="16" x14ac:dyDescent="0.2">
      <c r="A136" s="8" t="s">
        <v>330</v>
      </c>
      <c r="B136" s="7">
        <v>1.1759999999999999</v>
      </c>
      <c r="C136" s="7" t="s">
        <v>331</v>
      </c>
      <c r="D136" s="7" t="s">
        <v>40</v>
      </c>
      <c r="E136" s="7" t="s">
        <v>39</v>
      </c>
      <c r="F136" s="7" t="s">
        <v>38</v>
      </c>
      <c r="G136" s="7"/>
      <c r="H136" s="7"/>
      <c r="I136" s="7"/>
    </row>
    <row r="137" spans="1:9" ht="16" x14ac:dyDescent="0.2">
      <c r="A137" s="8" t="s">
        <v>332</v>
      </c>
      <c r="B137" s="7">
        <v>1.341</v>
      </c>
      <c r="C137" s="7" t="s">
        <v>333</v>
      </c>
      <c r="D137" s="7" t="s">
        <v>40</v>
      </c>
      <c r="E137" s="7" t="s">
        <v>39</v>
      </c>
      <c r="F137" s="7" t="s">
        <v>38</v>
      </c>
      <c r="G137" s="7"/>
      <c r="H137" s="7"/>
      <c r="I137" s="7"/>
    </row>
    <row r="138" spans="1:9" ht="16" x14ac:dyDescent="0.2">
      <c r="A138" s="8" t="s">
        <v>334</v>
      </c>
      <c r="B138" s="7">
        <v>1.341</v>
      </c>
      <c r="C138" s="7" t="s">
        <v>333</v>
      </c>
      <c r="D138" s="7" t="s">
        <v>40</v>
      </c>
      <c r="E138" s="7" t="s">
        <v>39</v>
      </c>
      <c r="F138" s="7" t="s">
        <v>38</v>
      </c>
      <c r="G138" s="7"/>
      <c r="H138" s="7"/>
      <c r="I138" s="7"/>
    </row>
    <row r="139" spans="1:9" ht="16" x14ac:dyDescent="0.2">
      <c r="A139" s="8" t="s">
        <v>335</v>
      </c>
      <c r="B139" s="7">
        <v>1.341</v>
      </c>
      <c r="C139" s="7" t="s">
        <v>333</v>
      </c>
      <c r="D139" s="7" t="s">
        <v>40</v>
      </c>
      <c r="E139" s="7" t="s">
        <v>39</v>
      </c>
      <c r="F139" s="7" t="s">
        <v>38</v>
      </c>
      <c r="G139" s="7"/>
      <c r="H139" s="7"/>
      <c r="I139" s="7"/>
    </row>
    <row r="140" spans="1:9" ht="16" x14ac:dyDescent="0.2">
      <c r="A140" s="8" t="s">
        <v>336</v>
      </c>
      <c r="B140" s="7">
        <v>1.341</v>
      </c>
      <c r="C140" s="7" t="s">
        <v>333</v>
      </c>
      <c r="D140" s="7" t="s">
        <v>40</v>
      </c>
      <c r="E140" s="7" t="s">
        <v>39</v>
      </c>
      <c r="F140" s="7" t="s">
        <v>38</v>
      </c>
      <c r="G140" s="7"/>
      <c r="H140" s="7"/>
      <c r="I140" s="7"/>
    </row>
    <row r="141" spans="1:9" ht="16" x14ac:dyDescent="0.2">
      <c r="A141" s="8" t="s">
        <v>337</v>
      </c>
      <c r="B141" s="7">
        <v>0.16470000000000001</v>
      </c>
      <c r="C141" s="7" t="s">
        <v>338</v>
      </c>
      <c r="D141" s="7" t="s">
        <v>59</v>
      </c>
      <c r="E141" s="7" t="s">
        <v>58</v>
      </c>
      <c r="F141" s="7">
        <v>0.99880000000000002</v>
      </c>
      <c r="G141" s="7"/>
      <c r="H141" s="7"/>
      <c r="I141" s="7"/>
    </row>
    <row r="142" spans="1:9" ht="16" x14ac:dyDescent="0.2">
      <c r="A142" s="8" t="s">
        <v>339</v>
      </c>
      <c r="B142" s="7">
        <v>0.16470000000000001</v>
      </c>
      <c r="C142" s="7" t="s">
        <v>338</v>
      </c>
      <c r="D142" s="7" t="s">
        <v>59</v>
      </c>
      <c r="E142" s="7" t="s">
        <v>58</v>
      </c>
      <c r="F142" s="7">
        <v>0.99880000000000002</v>
      </c>
      <c r="G142" s="7"/>
      <c r="H142" s="7"/>
      <c r="I142" s="7"/>
    </row>
    <row r="143" spans="1:9" ht="16" x14ac:dyDescent="0.2">
      <c r="A143" s="8" t="s">
        <v>340</v>
      </c>
      <c r="B143" s="7">
        <v>0.16470000000000001</v>
      </c>
      <c r="C143" s="7" t="s">
        <v>338</v>
      </c>
      <c r="D143" s="7" t="s">
        <v>59</v>
      </c>
      <c r="E143" s="7" t="s">
        <v>58</v>
      </c>
      <c r="F143" s="7">
        <v>0.99880000000000002</v>
      </c>
      <c r="G143" s="7"/>
      <c r="H143" s="7"/>
      <c r="I143" s="7"/>
    </row>
    <row r="144" spans="1:9" ht="16" x14ac:dyDescent="0.2">
      <c r="A144" s="8" t="s">
        <v>341</v>
      </c>
      <c r="B144" s="7">
        <v>0.16470000000000001</v>
      </c>
      <c r="C144" s="7" t="s">
        <v>338</v>
      </c>
      <c r="D144" s="7" t="s">
        <v>59</v>
      </c>
      <c r="E144" s="7" t="s">
        <v>58</v>
      </c>
      <c r="F144" s="7">
        <v>0.99880000000000002</v>
      </c>
      <c r="G144" s="7"/>
      <c r="H144" s="7"/>
      <c r="I144" s="7"/>
    </row>
    <row r="145" spans="1:9" ht="16" x14ac:dyDescent="0.2">
      <c r="A145" s="8" t="s">
        <v>342</v>
      </c>
      <c r="B145" s="7">
        <v>0</v>
      </c>
      <c r="C145" s="7" t="s">
        <v>343</v>
      </c>
      <c r="D145" s="7" t="s">
        <v>59</v>
      </c>
      <c r="E145" s="7" t="s">
        <v>58</v>
      </c>
      <c r="F145" s="7" t="s">
        <v>164</v>
      </c>
      <c r="G145" s="7"/>
      <c r="H145" s="7"/>
      <c r="I145" s="7"/>
    </row>
    <row r="146" spans="1:9" ht="16" x14ac:dyDescent="0.2">
      <c r="A146" s="8" t="s">
        <v>344</v>
      </c>
      <c r="B146" s="7">
        <v>0</v>
      </c>
      <c r="C146" s="7" t="s">
        <v>343</v>
      </c>
      <c r="D146" s="7" t="s">
        <v>59</v>
      </c>
      <c r="E146" s="7" t="s">
        <v>58</v>
      </c>
      <c r="F146" s="7" t="s">
        <v>164</v>
      </c>
      <c r="G146" s="7"/>
      <c r="H146" s="7"/>
      <c r="I146" s="7"/>
    </row>
    <row r="147" spans="1:9" ht="16" x14ac:dyDescent="0.2">
      <c r="A147" s="8" t="s">
        <v>345</v>
      </c>
      <c r="B147" s="7">
        <v>0</v>
      </c>
      <c r="C147" s="7" t="s">
        <v>343</v>
      </c>
      <c r="D147" s="7" t="s">
        <v>59</v>
      </c>
      <c r="E147" s="7" t="s">
        <v>58</v>
      </c>
      <c r="F147" s="7" t="s">
        <v>164</v>
      </c>
      <c r="G147" s="7"/>
      <c r="H147" s="7"/>
      <c r="I147" s="7"/>
    </row>
    <row r="148" spans="1:9" ht="16" x14ac:dyDescent="0.2">
      <c r="A148" s="8" t="s">
        <v>346</v>
      </c>
      <c r="B148" s="7">
        <v>0</v>
      </c>
      <c r="C148" s="7" t="s">
        <v>343</v>
      </c>
      <c r="D148" s="7" t="s">
        <v>59</v>
      </c>
      <c r="E148" s="7" t="s">
        <v>58</v>
      </c>
      <c r="F148" s="7" t="s">
        <v>164</v>
      </c>
      <c r="G148" s="7"/>
      <c r="H148" s="7"/>
      <c r="I148" s="7"/>
    </row>
    <row r="149" spans="1:9" ht="16" x14ac:dyDescent="0.2">
      <c r="A149" s="8" t="s">
        <v>347</v>
      </c>
      <c r="B149" s="7">
        <v>0</v>
      </c>
      <c r="C149" s="7" t="s">
        <v>343</v>
      </c>
      <c r="D149" s="7" t="s">
        <v>59</v>
      </c>
      <c r="E149" s="7" t="s">
        <v>58</v>
      </c>
      <c r="F149" s="7" t="s">
        <v>164</v>
      </c>
      <c r="G149" s="7"/>
      <c r="H149" s="7"/>
      <c r="I149" s="7"/>
    </row>
    <row r="150" spans="1:9" ht="16" x14ac:dyDescent="0.2">
      <c r="A150" s="8" t="s">
        <v>348</v>
      </c>
      <c r="B150" s="7">
        <v>0</v>
      </c>
      <c r="C150" s="7" t="s">
        <v>343</v>
      </c>
      <c r="D150" s="7" t="s">
        <v>59</v>
      </c>
      <c r="E150" s="7" t="s">
        <v>58</v>
      </c>
      <c r="F150" s="7" t="s">
        <v>164</v>
      </c>
      <c r="G150" s="7"/>
      <c r="H150" s="7"/>
      <c r="I150" s="7"/>
    </row>
    <row r="151" spans="1:9" ht="16" x14ac:dyDescent="0.2">
      <c r="A151" s="8"/>
      <c r="B151" s="7"/>
      <c r="C151" s="7"/>
      <c r="D151" s="7"/>
      <c r="E151" s="7"/>
      <c r="F151" s="7"/>
      <c r="G151" s="7"/>
      <c r="H151" s="7"/>
      <c r="I151" s="7"/>
    </row>
    <row r="152" spans="1:9" ht="16" x14ac:dyDescent="0.2">
      <c r="A152" s="8"/>
      <c r="B152" s="7"/>
      <c r="C152" s="7"/>
      <c r="D152" s="7"/>
      <c r="E152" s="7"/>
      <c r="F152" s="7"/>
      <c r="G152" s="7"/>
      <c r="H152" s="7"/>
      <c r="I152" s="7"/>
    </row>
    <row r="153" spans="1:9" ht="16" x14ac:dyDescent="0.2">
      <c r="A153" s="8" t="s">
        <v>349</v>
      </c>
      <c r="B153" s="7" t="s">
        <v>350</v>
      </c>
      <c r="C153" s="7" t="s">
        <v>351</v>
      </c>
      <c r="D153" s="7" t="s">
        <v>147</v>
      </c>
      <c r="E153" s="7" t="s">
        <v>352</v>
      </c>
      <c r="F153" s="7" t="s">
        <v>353</v>
      </c>
      <c r="G153" s="7" t="s">
        <v>354</v>
      </c>
      <c r="H153" s="7" t="s">
        <v>355</v>
      </c>
      <c r="I153" s="7" t="s">
        <v>45</v>
      </c>
    </row>
    <row r="154" spans="1:9" ht="16" x14ac:dyDescent="0.2">
      <c r="A154" s="8"/>
      <c r="B154" s="7"/>
      <c r="C154" s="7"/>
      <c r="D154" s="7"/>
      <c r="E154" s="7"/>
      <c r="F154" s="7"/>
      <c r="G154" s="7"/>
      <c r="H154" s="7"/>
      <c r="I154" s="7"/>
    </row>
    <row r="155" spans="1:9" ht="16" x14ac:dyDescent="0.2">
      <c r="A155" s="8" t="s">
        <v>152</v>
      </c>
      <c r="B155" s="7">
        <v>0.94120000000000004</v>
      </c>
      <c r="C155" s="7">
        <v>0.49409999999999998</v>
      </c>
      <c r="D155" s="7">
        <v>0.4471</v>
      </c>
      <c r="E155" s="7">
        <v>0.14149999999999999</v>
      </c>
      <c r="F155" s="7">
        <v>85</v>
      </c>
      <c r="G155" s="7">
        <v>85</v>
      </c>
      <c r="H155" s="7">
        <v>4.4669999999999996</v>
      </c>
      <c r="I155" s="7">
        <v>1344</v>
      </c>
    </row>
    <row r="156" spans="1:9" ht="16" x14ac:dyDescent="0.2">
      <c r="A156" s="8" t="s">
        <v>154</v>
      </c>
      <c r="B156" s="7">
        <v>0.94120000000000004</v>
      </c>
      <c r="C156" s="7">
        <v>0.54120000000000001</v>
      </c>
      <c r="D156" s="7">
        <v>0.4</v>
      </c>
      <c r="E156" s="7">
        <v>0.14149999999999999</v>
      </c>
      <c r="F156" s="7">
        <v>85</v>
      </c>
      <c r="G156" s="7">
        <v>85</v>
      </c>
      <c r="H156" s="7">
        <v>3.9969999999999999</v>
      </c>
      <c r="I156" s="7">
        <v>1344</v>
      </c>
    </row>
    <row r="157" spans="1:9" ht="16" x14ac:dyDescent="0.2">
      <c r="A157" s="8" t="s">
        <v>156</v>
      </c>
      <c r="B157" s="7">
        <v>0.94120000000000004</v>
      </c>
      <c r="C157" s="7">
        <v>5.8819999999999997E-2</v>
      </c>
      <c r="D157" s="7">
        <v>0.88239999999999996</v>
      </c>
      <c r="E157" s="7">
        <v>0.14149999999999999</v>
      </c>
      <c r="F157" s="7">
        <v>85</v>
      </c>
      <c r="G157" s="7">
        <v>85</v>
      </c>
      <c r="H157" s="7">
        <v>8.8160000000000007</v>
      </c>
      <c r="I157" s="7">
        <v>1344</v>
      </c>
    </row>
    <row r="158" spans="1:9" ht="16" x14ac:dyDescent="0.2">
      <c r="A158" s="8" t="s">
        <v>158</v>
      </c>
      <c r="B158" s="7">
        <v>0.94120000000000004</v>
      </c>
      <c r="C158" s="7">
        <v>0.78820000000000001</v>
      </c>
      <c r="D158" s="7">
        <v>0.15290000000000001</v>
      </c>
      <c r="E158" s="7">
        <v>0.14149999999999999</v>
      </c>
      <c r="F158" s="7">
        <v>85</v>
      </c>
      <c r="G158" s="7">
        <v>85</v>
      </c>
      <c r="H158" s="7">
        <v>1.528</v>
      </c>
      <c r="I158" s="7">
        <v>1344</v>
      </c>
    </row>
    <row r="159" spans="1:9" ht="16" x14ac:dyDescent="0.2">
      <c r="A159" s="8" t="s">
        <v>160</v>
      </c>
      <c r="B159" s="7">
        <v>0.94120000000000004</v>
      </c>
      <c r="C159" s="7">
        <v>0.23530000000000001</v>
      </c>
      <c r="D159" s="7">
        <v>0.70589999999999997</v>
      </c>
      <c r="E159" s="7">
        <v>0.14149999999999999</v>
      </c>
      <c r="F159" s="7">
        <v>85</v>
      </c>
      <c r="G159" s="7">
        <v>85</v>
      </c>
      <c r="H159" s="7">
        <v>7.0529999999999999</v>
      </c>
      <c r="I159" s="7">
        <v>1344</v>
      </c>
    </row>
    <row r="160" spans="1:9" ht="16" x14ac:dyDescent="0.2">
      <c r="A160" s="8" t="s">
        <v>162</v>
      </c>
      <c r="B160" s="7">
        <v>0.94120000000000004</v>
      </c>
      <c r="C160" s="7">
        <v>0.97650000000000003</v>
      </c>
      <c r="D160" s="7">
        <v>-3.5290000000000002E-2</v>
      </c>
      <c r="E160" s="7">
        <v>0.14149999999999999</v>
      </c>
      <c r="F160" s="7">
        <v>85</v>
      </c>
      <c r="G160" s="7">
        <v>85</v>
      </c>
      <c r="H160" s="7">
        <v>0.35260000000000002</v>
      </c>
      <c r="I160" s="7">
        <v>1344</v>
      </c>
    </row>
    <row r="161" spans="1:9" ht="16" x14ac:dyDescent="0.2">
      <c r="A161" s="8" t="s">
        <v>165</v>
      </c>
      <c r="B161" s="7">
        <v>0.94120000000000004</v>
      </c>
      <c r="C161" s="7">
        <v>8.2350000000000007E-2</v>
      </c>
      <c r="D161" s="7">
        <v>0.85880000000000001</v>
      </c>
      <c r="E161" s="7">
        <v>0.14149999999999999</v>
      </c>
      <c r="F161" s="7">
        <v>85</v>
      </c>
      <c r="G161" s="7">
        <v>85</v>
      </c>
      <c r="H161" s="7">
        <v>8.5809999999999995</v>
      </c>
      <c r="I161" s="7">
        <v>1344</v>
      </c>
    </row>
    <row r="162" spans="1:9" ht="16" x14ac:dyDescent="0.2">
      <c r="A162" s="8" t="s">
        <v>167</v>
      </c>
      <c r="B162" s="7">
        <v>0.94120000000000004</v>
      </c>
      <c r="C162" s="7">
        <v>1.4239999999999999</v>
      </c>
      <c r="D162" s="7">
        <v>-0.4824</v>
      </c>
      <c r="E162" s="7">
        <v>0.14149999999999999</v>
      </c>
      <c r="F162" s="7">
        <v>85</v>
      </c>
      <c r="G162" s="7">
        <v>85</v>
      </c>
      <c r="H162" s="7">
        <v>4.819</v>
      </c>
      <c r="I162" s="7">
        <v>1344</v>
      </c>
    </row>
    <row r="163" spans="1:9" ht="16" x14ac:dyDescent="0.2">
      <c r="A163" s="8" t="s">
        <v>169</v>
      </c>
      <c r="B163" s="7">
        <v>0.94120000000000004</v>
      </c>
      <c r="C163" s="7">
        <v>0.28239999999999998</v>
      </c>
      <c r="D163" s="7">
        <v>0.65880000000000005</v>
      </c>
      <c r="E163" s="7">
        <v>0.14149999999999999</v>
      </c>
      <c r="F163" s="7">
        <v>85</v>
      </c>
      <c r="G163" s="7">
        <v>85</v>
      </c>
      <c r="H163" s="7">
        <v>6.5819999999999999</v>
      </c>
      <c r="I163" s="7">
        <v>1344</v>
      </c>
    </row>
    <row r="164" spans="1:9" ht="16" x14ac:dyDescent="0.2">
      <c r="A164" s="8" t="s">
        <v>172</v>
      </c>
      <c r="B164" s="7">
        <v>0.94120000000000004</v>
      </c>
      <c r="C164" s="7">
        <v>1.341</v>
      </c>
      <c r="D164" s="7">
        <v>-0.4</v>
      </c>
      <c r="E164" s="7">
        <v>0.14149999999999999</v>
      </c>
      <c r="F164" s="7">
        <v>85</v>
      </c>
      <c r="G164" s="7">
        <v>85</v>
      </c>
      <c r="H164" s="7">
        <v>3.9969999999999999</v>
      </c>
      <c r="I164" s="7">
        <v>1344</v>
      </c>
    </row>
    <row r="165" spans="1:9" ht="16" x14ac:dyDescent="0.2">
      <c r="A165" s="8" t="s">
        <v>174</v>
      </c>
      <c r="B165" s="7">
        <v>0.94120000000000004</v>
      </c>
      <c r="C165" s="7">
        <v>0.16470000000000001</v>
      </c>
      <c r="D165" s="7">
        <v>0.77649999999999997</v>
      </c>
      <c r="E165" s="7">
        <v>0.14149999999999999</v>
      </c>
      <c r="F165" s="7">
        <v>85</v>
      </c>
      <c r="G165" s="7">
        <v>85</v>
      </c>
      <c r="H165" s="7">
        <v>7.758</v>
      </c>
      <c r="I165" s="7">
        <v>1344</v>
      </c>
    </row>
    <row r="166" spans="1:9" ht="16" x14ac:dyDescent="0.2">
      <c r="A166" s="8" t="s">
        <v>176</v>
      </c>
      <c r="B166" s="7">
        <v>0.94120000000000004</v>
      </c>
      <c r="C166" s="7">
        <v>0</v>
      </c>
      <c r="D166" s="7">
        <v>0.94120000000000004</v>
      </c>
      <c r="E166" s="7">
        <v>0.14149999999999999</v>
      </c>
      <c r="F166" s="7">
        <v>85</v>
      </c>
      <c r="G166" s="7">
        <v>85</v>
      </c>
      <c r="H166" s="7">
        <v>9.4039999999999999</v>
      </c>
      <c r="I166" s="7">
        <v>1344</v>
      </c>
    </row>
    <row r="167" spans="1:9" ht="16" x14ac:dyDescent="0.2">
      <c r="A167" s="8" t="s">
        <v>178</v>
      </c>
      <c r="B167" s="7">
        <v>0.94120000000000004</v>
      </c>
      <c r="C167" s="7">
        <v>0</v>
      </c>
      <c r="D167" s="7">
        <v>0.94120000000000004</v>
      </c>
      <c r="E167" s="7">
        <v>0.14149999999999999</v>
      </c>
      <c r="F167" s="7">
        <v>85</v>
      </c>
      <c r="G167" s="7">
        <v>85</v>
      </c>
      <c r="H167" s="7">
        <v>9.4039999999999999</v>
      </c>
      <c r="I167" s="7">
        <v>1344</v>
      </c>
    </row>
    <row r="168" spans="1:9" ht="16" x14ac:dyDescent="0.2">
      <c r="A168" s="8" t="s">
        <v>179</v>
      </c>
      <c r="B168" s="7">
        <v>0.94120000000000004</v>
      </c>
      <c r="C168" s="7">
        <v>0</v>
      </c>
      <c r="D168" s="7">
        <v>0.94120000000000004</v>
      </c>
      <c r="E168" s="7">
        <v>0.14149999999999999</v>
      </c>
      <c r="F168" s="7">
        <v>85</v>
      </c>
      <c r="G168" s="7">
        <v>85</v>
      </c>
      <c r="H168" s="7">
        <v>9.4039999999999999</v>
      </c>
      <c r="I168" s="7">
        <v>1344</v>
      </c>
    </row>
    <row r="169" spans="1:9" ht="16" x14ac:dyDescent="0.2">
      <c r="A169" s="8" t="s">
        <v>180</v>
      </c>
      <c r="B169" s="7">
        <v>0.94120000000000004</v>
      </c>
      <c r="C169" s="7">
        <v>0</v>
      </c>
      <c r="D169" s="7">
        <v>0.94120000000000004</v>
      </c>
      <c r="E169" s="7">
        <v>0.14149999999999999</v>
      </c>
      <c r="F169" s="7">
        <v>85</v>
      </c>
      <c r="G169" s="7">
        <v>85</v>
      </c>
      <c r="H169" s="7">
        <v>9.4039999999999999</v>
      </c>
      <c r="I169" s="7">
        <v>1344</v>
      </c>
    </row>
    <row r="170" spans="1:9" ht="16" x14ac:dyDescent="0.2">
      <c r="A170" s="8" t="s">
        <v>181</v>
      </c>
      <c r="B170" s="7">
        <v>0.49409999999999998</v>
      </c>
      <c r="C170" s="7">
        <v>0.54120000000000001</v>
      </c>
      <c r="D170" s="7">
        <v>-4.7059999999999998E-2</v>
      </c>
      <c r="E170" s="7">
        <v>0.14149999999999999</v>
      </c>
      <c r="F170" s="7">
        <v>85</v>
      </c>
      <c r="G170" s="7">
        <v>85</v>
      </c>
      <c r="H170" s="7">
        <v>0.47020000000000001</v>
      </c>
      <c r="I170" s="7">
        <v>1344</v>
      </c>
    </row>
    <row r="171" spans="1:9" ht="16" x14ac:dyDescent="0.2">
      <c r="A171" s="8" t="s">
        <v>183</v>
      </c>
      <c r="B171" s="7">
        <v>0.49409999999999998</v>
      </c>
      <c r="C171" s="7">
        <v>5.8819999999999997E-2</v>
      </c>
      <c r="D171" s="7">
        <v>0.43530000000000002</v>
      </c>
      <c r="E171" s="7">
        <v>0.14149999999999999</v>
      </c>
      <c r="F171" s="7">
        <v>85</v>
      </c>
      <c r="G171" s="7">
        <v>85</v>
      </c>
      <c r="H171" s="7">
        <v>4.3490000000000002</v>
      </c>
      <c r="I171" s="7">
        <v>1344</v>
      </c>
    </row>
    <row r="172" spans="1:9" ht="16" x14ac:dyDescent="0.2">
      <c r="A172" s="8" t="s">
        <v>185</v>
      </c>
      <c r="B172" s="7">
        <v>0.49409999999999998</v>
      </c>
      <c r="C172" s="7">
        <v>0.78820000000000001</v>
      </c>
      <c r="D172" s="7">
        <v>-0.29409999999999997</v>
      </c>
      <c r="E172" s="7">
        <v>0.14149999999999999</v>
      </c>
      <c r="F172" s="7">
        <v>85</v>
      </c>
      <c r="G172" s="7">
        <v>85</v>
      </c>
      <c r="H172" s="7">
        <v>2.9390000000000001</v>
      </c>
      <c r="I172" s="7">
        <v>1344</v>
      </c>
    </row>
    <row r="173" spans="1:9" ht="16" x14ac:dyDescent="0.2">
      <c r="A173" s="8" t="s">
        <v>187</v>
      </c>
      <c r="B173" s="7">
        <v>0.49409999999999998</v>
      </c>
      <c r="C173" s="7">
        <v>0.23530000000000001</v>
      </c>
      <c r="D173" s="7">
        <v>0.25879999999999997</v>
      </c>
      <c r="E173" s="7">
        <v>0.14149999999999999</v>
      </c>
      <c r="F173" s="7">
        <v>85</v>
      </c>
      <c r="G173" s="7">
        <v>85</v>
      </c>
      <c r="H173" s="7">
        <v>2.5859999999999999</v>
      </c>
      <c r="I173" s="7">
        <v>1344</v>
      </c>
    </row>
    <row r="174" spans="1:9" ht="16" x14ac:dyDescent="0.2">
      <c r="A174" s="8" t="s">
        <v>189</v>
      </c>
      <c r="B174" s="7">
        <v>0.49409999999999998</v>
      </c>
      <c r="C174" s="7">
        <v>0.97650000000000003</v>
      </c>
      <c r="D174" s="7">
        <v>-0.4824</v>
      </c>
      <c r="E174" s="7">
        <v>0.14149999999999999</v>
      </c>
      <c r="F174" s="7">
        <v>85</v>
      </c>
      <c r="G174" s="7">
        <v>85</v>
      </c>
      <c r="H174" s="7">
        <v>4.819</v>
      </c>
      <c r="I174" s="7">
        <v>1344</v>
      </c>
    </row>
    <row r="175" spans="1:9" ht="16" x14ac:dyDescent="0.2">
      <c r="A175" s="8" t="s">
        <v>190</v>
      </c>
      <c r="B175" s="7">
        <v>0.49409999999999998</v>
      </c>
      <c r="C175" s="7">
        <v>8.2350000000000007E-2</v>
      </c>
      <c r="D175" s="7">
        <v>0.4118</v>
      </c>
      <c r="E175" s="7">
        <v>0.14149999999999999</v>
      </c>
      <c r="F175" s="7">
        <v>85</v>
      </c>
      <c r="G175" s="7">
        <v>85</v>
      </c>
      <c r="H175" s="7">
        <v>4.1139999999999999</v>
      </c>
      <c r="I175" s="7">
        <v>1344</v>
      </c>
    </row>
    <row r="176" spans="1:9" ht="16" x14ac:dyDescent="0.2">
      <c r="A176" s="8" t="s">
        <v>192</v>
      </c>
      <c r="B176" s="7">
        <v>0.49409999999999998</v>
      </c>
      <c r="C176" s="7">
        <v>1.4239999999999999</v>
      </c>
      <c r="D176" s="7">
        <v>-0.9294</v>
      </c>
      <c r="E176" s="7">
        <v>0.14149999999999999</v>
      </c>
      <c r="F176" s="7">
        <v>85</v>
      </c>
      <c r="G176" s="7">
        <v>85</v>
      </c>
      <c r="H176" s="7">
        <v>9.2859999999999996</v>
      </c>
      <c r="I176" s="7">
        <v>1344</v>
      </c>
    </row>
    <row r="177" spans="1:9" ht="16" x14ac:dyDescent="0.2">
      <c r="A177" s="8" t="s">
        <v>194</v>
      </c>
      <c r="B177" s="7">
        <v>0.49409999999999998</v>
      </c>
      <c r="C177" s="7">
        <v>0.28239999999999998</v>
      </c>
      <c r="D177" s="7">
        <v>0.21179999999999999</v>
      </c>
      <c r="E177" s="7">
        <v>0.14149999999999999</v>
      </c>
      <c r="F177" s="7">
        <v>85</v>
      </c>
      <c r="G177" s="7">
        <v>85</v>
      </c>
      <c r="H177" s="7">
        <v>2.1160000000000001</v>
      </c>
      <c r="I177" s="7">
        <v>1344</v>
      </c>
    </row>
    <row r="178" spans="1:9" ht="16" x14ac:dyDescent="0.2">
      <c r="A178" s="8" t="s">
        <v>196</v>
      </c>
      <c r="B178" s="7">
        <v>0.49409999999999998</v>
      </c>
      <c r="C178" s="7">
        <v>1.341</v>
      </c>
      <c r="D178" s="7">
        <v>-0.84709999999999996</v>
      </c>
      <c r="E178" s="7">
        <v>0.14149999999999999</v>
      </c>
      <c r="F178" s="7">
        <v>85</v>
      </c>
      <c r="G178" s="7">
        <v>85</v>
      </c>
      <c r="H178" s="7">
        <v>8.4629999999999992</v>
      </c>
      <c r="I178" s="7">
        <v>1344</v>
      </c>
    </row>
    <row r="179" spans="1:9" ht="16" x14ac:dyDescent="0.2">
      <c r="A179" s="8" t="s">
        <v>198</v>
      </c>
      <c r="B179" s="7">
        <v>0.49409999999999998</v>
      </c>
      <c r="C179" s="7">
        <v>0.16470000000000001</v>
      </c>
      <c r="D179" s="7">
        <v>0.32940000000000003</v>
      </c>
      <c r="E179" s="7">
        <v>0.14149999999999999</v>
      </c>
      <c r="F179" s="7">
        <v>85</v>
      </c>
      <c r="G179" s="7">
        <v>85</v>
      </c>
      <c r="H179" s="7">
        <v>3.2909999999999999</v>
      </c>
      <c r="I179" s="7">
        <v>1344</v>
      </c>
    </row>
    <row r="180" spans="1:9" ht="16" x14ac:dyDescent="0.2">
      <c r="A180" s="8" t="s">
        <v>200</v>
      </c>
      <c r="B180" s="7">
        <v>0.49409999999999998</v>
      </c>
      <c r="C180" s="7">
        <v>0</v>
      </c>
      <c r="D180" s="7">
        <v>0.49409999999999998</v>
      </c>
      <c r="E180" s="7">
        <v>0.14149999999999999</v>
      </c>
      <c r="F180" s="7">
        <v>85</v>
      </c>
      <c r="G180" s="7">
        <v>85</v>
      </c>
      <c r="H180" s="7">
        <v>4.9370000000000003</v>
      </c>
      <c r="I180" s="7">
        <v>1344</v>
      </c>
    </row>
    <row r="181" spans="1:9" ht="16" x14ac:dyDescent="0.2">
      <c r="A181" s="8" t="s">
        <v>203</v>
      </c>
      <c r="B181" s="7">
        <v>0.49409999999999998</v>
      </c>
      <c r="C181" s="7">
        <v>0</v>
      </c>
      <c r="D181" s="7">
        <v>0.49409999999999998</v>
      </c>
      <c r="E181" s="7">
        <v>0.14149999999999999</v>
      </c>
      <c r="F181" s="7">
        <v>85</v>
      </c>
      <c r="G181" s="7">
        <v>85</v>
      </c>
      <c r="H181" s="7">
        <v>4.9370000000000003</v>
      </c>
      <c r="I181" s="7">
        <v>1344</v>
      </c>
    </row>
    <row r="182" spans="1:9" ht="16" x14ac:dyDescent="0.2">
      <c r="A182" s="8" t="s">
        <v>204</v>
      </c>
      <c r="B182" s="7">
        <v>0.49409999999999998</v>
      </c>
      <c r="C182" s="7">
        <v>0</v>
      </c>
      <c r="D182" s="7">
        <v>0.49409999999999998</v>
      </c>
      <c r="E182" s="7">
        <v>0.14149999999999999</v>
      </c>
      <c r="F182" s="7">
        <v>85</v>
      </c>
      <c r="G182" s="7">
        <v>85</v>
      </c>
      <c r="H182" s="7">
        <v>4.9370000000000003</v>
      </c>
      <c r="I182" s="7">
        <v>1344</v>
      </c>
    </row>
    <row r="183" spans="1:9" ht="16" x14ac:dyDescent="0.2">
      <c r="A183" s="8" t="s">
        <v>205</v>
      </c>
      <c r="B183" s="7">
        <v>0.49409999999999998</v>
      </c>
      <c r="C183" s="7">
        <v>0</v>
      </c>
      <c r="D183" s="7">
        <v>0.49409999999999998</v>
      </c>
      <c r="E183" s="7">
        <v>0.14149999999999999</v>
      </c>
      <c r="F183" s="7">
        <v>85</v>
      </c>
      <c r="G183" s="7">
        <v>85</v>
      </c>
      <c r="H183" s="7">
        <v>4.9370000000000003</v>
      </c>
      <c r="I183" s="7">
        <v>1344</v>
      </c>
    </row>
    <row r="184" spans="1:9" ht="16" x14ac:dyDescent="0.2">
      <c r="A184" s="8" t="s">
        <v>206</v>
      </c>
      <c r="B184" s="7">
        <v>0.54120000000000001</v>
      </c>
      <c r="C184" s="7">
        <v>5.8819999999999997E-2</v>
      </c>
      <c r="D184" s="7">
        <v>0.4824</v>
      </c>
      <c r="E184" s="7">
        <v>0.14149999999999999</v>
      </c>
      <c r="F184" s="7">
        <v>85</v>
      </c>
      <c r="G184" s="7">
        <v>85</v>
      </c>
      <c r="H184" s="7">
        <v>4.819</v>
      </c>
      <c r="I184" s="7">
        <v>1344</v>
      </c>
    </row>
    <row r="185" spans="1:9" ht="16" x14ac:dyDescent="0.2">
      <c r="A185" s="8" t="s">
        <v>208</v>
      </c>
      <c r="B185" s="7">
        <v>0.54120000000000001</v>
      </c>
      <c r="C185" s="7">
        <v>0.78820000000000001</v>
      </c>
      <c r="D185" s="7">
        <v>-0.24709999999999999</v>
      </c>
      <c r="E185" s="7">
        <v>0.14149999999999999</v>
      </c>
      <c r="F185" s="7">
        <v>85</v>
      </c>
      <c r="G185" s="7">
        <v>85</v>
      </c>
      <c r="H185" s="7">
        <v>2.468</v>
      </c>
      <c r="I185" s="7">
        <v>1344</v>
      </c>
    </row>
    <row r="186" spans="1:9" ht="16" x14ac:dyDescent="0.2">
      <c r="A186" s="8" t="s">
        <v>210</v>
      </c>
      <c r="B186" s="7">
        <v>0.54120000000000001</v>
      </c>
      <c r="C186" s="7">
        <v>0.23530000000000001</v>
      </c>
      <c r="D186" s="7">
        <v>0.30590000000000001</v>
      </c>
      <c r="E186" s="7">
        <v>0.14149999999999999</v>
      </c>
      <c r="F186" s="7">
        <v>85</v>
      </c>
      <c r="G186" s="7">
        <v>85</v>
      </c>
      <c r="H186" s="7">
        <v>3.056</v>
      </c>
      <c r="I186" s="7">
        <v>1344</v>
      </c>
    </row>
    <row r="187" spans="1:9" ht="16" x14ac:dyDescent="0.2">
      <c r="A187" s="8" t="s">
        <v>212</v>
      </c>
      <c r="B187" s="7">
        <v>0.54120000000000001</v>
      </c>
      <c r="C187" s="7">
        <v>0.97650000000000003</v>
      </c>
      <c r="D187" s="7">
        <v>-0.43530000000000002</v>
      </c>
      <c r="E187" s="7">
        <v>0.14149999999999999</v>
      </c>
      <c r="F187" s="7">
        <v>85</v>
      </c>
      <c r="G187" s="7">
        <v>85</v>
      </c>
      <c r="H187" s="7">
        <v>4.3490000000000002</v>
      </c>
      <c r="I187" s="7">
        <v>1344</v>
      </c>
    </row>
    <row r="188" spans="1:9" ht="16" x14ac:dyDescent="0.2">
      <c r="A188" s="8" t="s">
        <v>214</v>
      </c>
      <c r="B188" s="7">
        <v>0.54120000000000001</v>
      </c>
      <c r="C188" s="7">
        <v>8.2350000000000007E-2</v>
      </c>
      <c r="D188" s="7">
        <v>0.45879999999999999</v>
      </c>
      <c r="E188" s="7">
        <v>0.14149999999999999</v>
      </c>
      <c r="F188" s="7">
        <v>85</v>
      </c>
      <c r="G188" s="7">
        <v>85</v>
      </c>
      <c r="H188" s="7">
        <v>4.5839999999999996</v>
      </c>
      <c r="I188" s="7">
        <v>1344</v>
      </c>
    </row>
    <row r="189" spans="1:9" ht="16" x14ac:dyDescent="0.2">
      <c r="A189" s="8" t="s">
        <v>216</v>
      </c>
      <c r="B189" s="7">
        <v>0.54120000000000001</v>
      </c>
      <c r="C189" s="7">
        <v>1.4239999999999999</v>
      </c>
      <c r="D189" s="7">
        <v>-0.88239999999999996</v>
      </c>
      <c r="E189" s="7">
        <v>0.14149999999999999</v>
      </c>
      <c r="F189" s="7">
        <v>85</v>
      </c>
      <c r="G189" s="7">
        <v>85</v>
      </c>
      <c r="H189" s="7">
        <v>8.8160000000000007</v>
      </c>
      <c r="I189" s="7">
        <v>1344</v>
      </c>
    </row>
    <row r="190" spans="1:9" ht="16" x14ac:dyDescent="0.2">
      <c r="A190" s="8" t="s">
        <v>218</v>
      </c>
      <c r="B190" s="7">
        <v>0.54120000000000001</v>
      </c>
      <c r="C190" s="7">
        <v>0.28239999999999998</v>
      </c>
      <c r="D190" s="7">
        <v>0.25879999999999997</v>
      </c>
      <c r="E190" s="7">
        <v>0.14149999999999999</v>
      </c>
      <c r="F190" s="7">
        <v>85</v>
      </c>
      <c r="G190" s="7">
        <v>85</v>
      </c>
      <c r="H190" s="7">
        <v>2.5859999999999999</v>
      </c>
      <c r="I190" s="7">
        <v>1344</v>
      </c>
    </row>
    <row r="191" spans="1:9" ht="16" x14ac:dyDescent="0.2">
      <c r="A191" s="8" t="s">
        <v>219</v>
      </c>
      <c r="B191" s="7">
        <v>0.54120000000000001</v>
      </c>
      <c r="C191" s="7">
        <v>1.341</v>
      </c>
      <c r="D191" s="7">
        <v>-0.8</v>
      </c>
      <c r="E191" s="7">
        <v>0.14149999999999999</v>
      </c>
      <c r="F191" s="7">
        <v>85</v>
      </c>
      <c r="G191" s="7">
        <v>85</v>
      </c>
      <c r="H191" s="7">
        <v>7.9930000000000003</v>
      </c>
      <c r="I191" s="7">
        <v>1344</v>
      </c>
    </row>
    <row r="192" spans="1:9" ht="16" x14ac:dyDescent="0.2">
      <c r="A192" s="8" t="s">
        <v>221</v>
      </c>
      <c r="B192" s="7">
        <v>0.54120000000000001</v>
      </c>
      <c r="C192" s="7">
        <v>0.16470000000000001</v>
      </c>
      <c r="D192" s="7">
        <v>0.3765</v>
      </c>
      <c r="E192" s="7">
        <v>0.14149999999999999</v>
      </c>
      <c r="F192" s="7">
        <v>85</v>
      </c>
      <c r="G192" s="7">
        <v>85</v>
      </c>
      <c r="H192" s="7">
        <v>3.7610000000000001</v>
      </c>
      <c r="I192" s="7">
        <v>1344</v>
      </c>
    </row>
    <row r="193" spans="1:9" ht="16" x14ac:dyDescent="0.2">
      <c r="A193" s="8" t="s">
        <v>223</v>
      </c>
      <c r="B193" s="7">
        <v>0.54120000000000001</v>
      </c>
      <c r="C193" s="7">
        <v>0</v>
      </c>
      <c r="D193" s="7">
        <v>0.54120000000000001</v>
      </c>
      <c r="E193" s="7">
        <v>0.14149999999999999</v>
      </c>
      <c r="F193" s="7">
        <v>85</v>
      </c>
      <c r="G193" s="7">
        <v>85</v>
      </c>
      <c r="H193" s="7">
        <v>5.407</v>
      </c>
      <c r="I193" s="7">
        <v>1344</v>
      </c>
    </row>
    <row r="194" spans="1:9" ht="16" x14ac:dyDescent="0.2">
      <c r="A194" s="8" t="s">
        <v>225</v>
      </c>
      <c r="B194" s="7">
        <v>0.54120000000000001</v>
      </c>
      <c r="C194" s="7">
        <v>0</v>
      </c>
      <c r="D194" s="7">
        <v>0.54120000000000001</v>
      </c>
      <c r="E194" s="7">
        <v>0.14149999999999999</v>
      </c>
      <c r="F194" s="7">
        <v>85</v>
      </c>
      <c r="G194" s="7">
        <v>85</v>
      </c>
      <c r="H194" s="7">
        <v>5.407</v>
      </c>
      <c r="I194" s="7">
        <v>1344</v>
      </c>
    </row>
    <row r="195" spans="1:9" ht="16" x14ac:dyDescent="0.2">
      <c r="A195" s="8" t="s">
        <v>226</v>
      </c>
      <c r="B195" s="7">
        <v>0.54120000000000001</v>
      </c>
      <c r="C195" s="7">
        <v>0</v>
      </c>
      <c r="D195" s="7">
        <v>0.54120000000000001</v>
      </c>
      <c r="E195" s="7">
        <v>0.14149999999999999</v>
      </c>
      <c r="F195" s="7">
        <v>85</v>
      </c>
      <c r="G195" s="7">
        <v>85</v>
      </c>
      <c r="H195" s="7">
        <v>5.407</v>
      </c>
      <c r="I195" s="7">
        <v>1344</v>
      </c>
    </row>
    <row r="196" spans="1:9" ht="16" x14ac:dyDescent="0.2">
      <c r="A196" s="8" t="s">
        <v>227</v>
      </c>
      <c r="B196" s="7">
        <v>0.54120000000000001</v>
      </c>
      <c r="C196" s="7">
        <v>0</v>
      </c>
      <c r="D196" s="7">
        <v>0.54120000000000001</v>
      </c>
      <c r="E196" s="7">
        <v>0.14149999999999999</v>
      </c>
      <c r="F196" s="7">
        <v>85</v>
      </c>
      <c r="G196" s="7">
        <v>85</v>
      </c>
      <c r="H196" s="7">
        <v>5.407</v>
      </c>
      <c r="I196" s="7">
        <v>1344</v>
      </c>
    </row>
    <row r="197" spans="1:9" ht="16" x14ac:dyDescent="0.2">
      <c r="A197" s="8" t="s">
        <v>228</v>
      </c>
      <c r="B197" s="7">
        <v>5.8819999999999997E-2</v>
      </c>
      <c r="C197" s="7">
        <v>0.78820000000000001</v>
      </c>
      <c r="D197" s="7">
        <v>-0.72940000000000005</v>
      </c>
      <c r="E197" s="7">
        <v>0.14149999999999999</v>
      </c>
      <c r="F197" s="7">
        <v>85</v>
      </c>
      <c r="G197" s="7">
        <v>85</v>
      </c>
      <c r="H197" s="7">
        <v>7.2880000000000003</v>
      </c>
      <c r="I197" s="7">
        <v>1344</v>
      </c>
    </row>
    <row r="198" spans="1:9" ht="16" x14ac:dyDescent="0.2">
      <c r="A198" s="8" t="s">
        <v>230</v>
      </c>
      <c r="B198" s="7">
        <v>5.8819999999999997E-2</v>
      </c>
      <c r="C198" s="7">
        <v>0.23530000000000001</v>
      </c>
      <c r="D198" s="7">
        <v>-0.17649999999999999</v>
      </c>
      <c r="E198" s="7">
        <v>0.14149999999999999</v>
      </c>
      <c r="F198" s="7">
        <v>85</v>
      </c>
      <c r="G198" s="7">
        <v>85</v>
      </c>
      <c r="H198" s="7">
        <v>1.7629999999999999</v>
      </c>
      <c r="I198" s="7">
        <v>1344</v>
      </c>
    </row>
    <row r="199" spans="1:9" ht="16" x14ac:dyDescent="0.2">
      <c r="A199" s="8" t="s">
        <v>232</v>
      </c>
      <c r="B199" s="7">
        <v>5.8819999999999997E-2</v>
      </c>
      <c r="C199" s="7">
        <v>0.97650000000000003</v>
      </c>
      <c r="D199" s="7">
        <v>-0.91759999999999997</v>
      </c>
      <c r="E199" s="7">
        <v>0.14149999999999999</v>
      </c>
      <c r="F199" s="7">
        <v>85</v>
      </c>
      <c r="G199" s="7">
        <v>85</v>
      </c>
      <c r="H199" s="7">
        <v>9.1679999999999993</v>
      </c>
      <c r="I199" s="7">
        <v>1344</v>
      </c>
    </row>
    <row r="200" spans="1:9" ht="16" x14ac:dyDescent="0.2">
      <c r="A200" s="8" t="s">
        <v>234</v>
      </c>
      <c r="B200" s="7">
        <v>5.8819999999999997E-2</v>
      </c>
      <c r="C200" s="7">
        <v>8.2350000000000007E-2</v>
      </c>
      <c r="D200" s="7">
        <v>-2.3529999999999999E-2</v>
      </c>
      <c r="E200" s="7">
        <v>0.14149999999999999</v>
      </c>
      <c r="F200" s="7">
        <v>85</v>
      </c>
      <c r="G200" s="7">
        <v>85</v>
      </c>
      <c r="H200" s="7">
        <v>0.2351</v>
      </c>
      <c r="I200" s="7">
        <v>1344</v>
      </c>
    </row>
    <row r="201" spans="1:9" ht="16" x14ac:dyDescent="0.2">
      <c r="A201" s="8" t="s">
        <v>236</v>
      </c>
      <c r="B201" s="7">
        <v>5.8819999999999997E-2</v>
      </c>
      <c r="C201" s="7">
        <v>1.4239999999999999</v>
      </c>
      <c r="D201" s="7">
        <v>-1.365</v>
      </c>
      <c r="E201" s="7">
        <v>0.14149999999999999</v>
      </c>
      <c r="F201" s="7">
        <v>85</v>
      </c>
      <c r="G201" s="7">
        <v>85</v>
      </c>
      <c r="H201" s="7">
        <v>13.64</v>
      </c>
      <c r="I201" s="7">
        <v>1344</v>
      </c>
    </row>
    <row r="202" spans="1:9" ht="16" x14ac:dyDescent="0.2">
      <c r="A202" s="8" t="s">
        <v>238</v>
      </c>
      <c r="B202" s="7">
        <v>5.8819999999999997E-2</v>
      </c>
      <c r="C202" s="7">
        <v>0.28239999999999998</v>
      </c>
      <c r="D202" s="7">
        <v>-0.2235</v>
      </c>
      <c r="E202" s="7">
        <v>0.14149999999999999</v>
      </c>
      <c r="F202" s="7">
        <v>85</v>
      </c>
      <c r="G202" s="7">
        <v>85</v>
      </c>
      <c r="H202" s="7">
        <v>2.2330000000000001</v>
      </c>
      <c r="I202" s="7">
        <v>1344</v>
      </c>
    </row>
    <row r="203" spans="1:9" ht="16" x14ac:dyDescent="0.2">
      <c r="A203" s="8" t="s">
        <v>240</v>
      </c>
      <c r="B203" s="7">
        <v>5.8819999999999997E-2</v>
      </c>
      <c r="C203" s="7">
        <v>1.341</v>
      </c>
      <c r="D203" s="7">
        <v>-1.282</v>
      </c>
      <c r="E203" s="7">
        <v>0.14149999999999999</v>
      </c>
      <c r="F203" s="7">
        <v>85</v>
      </c>
      <c r="G203" s="7">
        <v>85</v>
      </c>
      <c r="H203" s="7">
        <v>12.81</v>
      </c>
      <c r="I203" s="7">
        <v>1344</v>
      </c>
    </row>
    <row r="204" spans="1:9" ht="16" x14ac:dyDescent="0.2">
      <c r="A204" s="8" t="s">
        <v>242</v>
      </c>
      <c r="B204" s="7">
        <v>5.8819999999999997E-2</v>
      </c>
      <c r="C204" s="7">
        <v>0.16470000000000001</v>
      </c>
      <c r="D204" s="7">
        <v>-0.10589999999999999</v>
      </c>
      <c r="E204" s="7">
        <v>0.14149999999999999</v>
      </c>
      <c r="F204" s="7">
        <v>85</v>
      </c>
      <c r="G204" s="7">
        <v>85</v>
      </c>
      <c r="H204" s="7">
        <v>1.0580000000000001</v>
      </c>
      <c r="I204" s="7">
        <v>1344</v>
      </c>
    </row>
    <row r="205" spans="1:9" ht="16" x14ac:dyDescent="0.2">
      <c r="A205" s="8" t="s">
        <v>244</v>
      </c>
      <c r="B205" s="7">
        <v>5.8819999999999997E-2</v>
      </c>
      <c r="C205" s="7">
        <v>0</v>
      </c>
      <c r="D205" s="7">
        <v>5.8819999999999997E-2</v>
      </c>
      <c r="E205" s="7">
        <v>0.14149999999999999</v>
      </c>
      <c r="F205" s="7">
        <v>85</v>
      </c>
      <c r="G205" s="7">
        <v>85</v>
      </c>
      <c r="H205" s="7">
        <v>0.5877</v>
      </c>
      <c r="I205" s="7">
        <v>1344</v>
      </c>
    </row>
    <row r="206" spans="1:9" ht="16" x14ac:dyDescent="0.2">
      <c r="A206" s="8" t="s">
        <v>246</v>
      </c>
      <c r="B206" s="7">
        <v>5.8819999999999997E-2</v>
      </c>
      <c r="C206" s="7">
        <v>0</v>
      </c>
      <c r="D206" s="7">
        <v>5.8819999999999997E-2</v>
      </c>
      <c r="E206" s="7">
        <v>0.14149999999999999</v>
      </c>
      <c r="F206" s="7">
        <v>85</v>
      </c>
      <c r="G206" s="7">
        <v>85</v>
      </c>
      <c r="H206" s="7">
        <v>0.5877</v>
      </c>
      <c r="I206" s="7">
        <v>1344</v>
      </c>
    </row>
    <row r="207" spans="1:9" ht="16" x14ac:dyDescent="0.2">
      <c r="A207" s="8" t="s">
        <v>247</v>
      </c>
      <c r="B207" s="7">
        <v>5.8819999999999997E-2</v>
      </c>
      <c r="C207" s="7">
        <v>0</v>
      </c>
      <c r="D207" s="7">
        <v>5.8819999999999997E-2</v>
      </c>
      <c r="E207" s="7">
        <v>0.14149999999999999</v>
      </c>
      <c r="F207" s="7">
        <v>85</v>
      </c>
      <c r="G207" s="7">
        <v>85</v>
      </c>
      <c r="H207" s="7">
        <v>0.5877</v>
      </c>
      <c r="I207" s="7">
        <v>1344</v>
      </c>
    </row>
    <row r="208" spans="1:9" ht="16" x14ac:dyDescent="0.2">
      <c r="A208" s="8" t="s">
        <v>248</v>
      </c>
      <c r="B208" s="7">
        <v>5.8819999999999997E-2</v>
      </c>
      <c r="C208" s="7">
        <v>0</v>
      </c>
      <c r="D208" s="7">
        <v>5.8819999999999997E-2</v>
      </c>
      <c r="E208" s="7">
        <v>0.14149999999999999</v>
      </c>
      <c r="F208" s="7">
        <v>85</v>
      </c>
      <c r="G208" s="7">
        <v>85</v>
      </c>
      <c r="H208" s="7">
        <v>0.5877</v>
      </c>
      <c r="I208" s="7">
        <v>1344</v>
      </c>
    </row>
    <row r="209" spans="1:9" ht="16" x14ac:dyDescent="0.2">
      <c r="A209" s="8" t="s">
        <v>249</v>
      </c>
      <c r="B209" s="7">
        <v>0.78820000000000001</v>
      </c>
      <c r="C209" s="7">
        <v>0.23530000000000001</v>
      </c>
      <c r="D209" s="7">
        <v>0.55289999999999995</v>
      </c>
      <c r="E209" s="7">
        <v>0.14149999999999999</v>
      </c>
      <c r="F209" s="7">
        <v>85</v>
      </c>
      <c r="G209" s="7">
        <v>85</v>
      </c>
      <c r="H209" s="7">
        <v>5.5250000000000004</v>
      </c>
      <c r="I209" s="7">
        <v>1344</v>
      </c>
    </row>
    <row r="210" spans="1:9" ht="16" x14ac:dyDescent="0.2">
      <c r="A210" s="8" t="s">
        <v>252</v>
      </c>
      <c r="B210" s="7">
        <v>0.78820000000000001</v>
      </c>
      <c r="C210" s="7">
        <v>0.97650000000000003</v>
      </c>
      <c r="D210" s="7">
        <v>-0.18820000000000001</v>
      </c>
      <c r="E210" s="7">
        <v>0.14149999999999999</v>
      </c>
      <c r="F210" s="7">
        <v>85</v>
      </c>
      <c r="G210" s="7">
        <v>85</v>
      </c>
      <c r="H210" s="7">
        <v>1.881</v>
      </c>
      <c r="I210" s="7">
        <v>1344</v>
      </c>
    </row>
    <row r="211" spans="1:9" ht="16" x14ac:dyDescent="0.2">
      <c r="A211" s="8" t="s">
        <v>254</v>
      </c>
      <c r="B211" s="7">
        <v>0.78820000000000001</v>
      </c>
      <c r="C211" s="7">
        <v>8.2350000000000007E-2</v>
      </c>
      <c r="D211" s="7">
        <v>0.70589999999999997</v>
      </c>
      <c r="E211" s="7">
        <v>0.14149999999999999</v>
      </c>
      <c r="F211" s="7">
        <v>85</v>
      </c>
      <c r="G211" s="7">
        <v>85</v>
      </c>
      <c r="H211" s="7">
        <v>7.0529999999999999</v>
      </c>
      <c r="I211" s="7">
        <v>1344</v>
      </c>
    </row>
    <row r="212" spans="1:9" ht="16" x14ac:dyDescent="0.2">
      <c r="A212" s="8" t="s">
        <v>255</v>
      </c>
      <c r="B212" s="7">
        <v>0.78820000000000001</v>
      </c>
      <c r="C212" s="7">
        <v>1.4239999999999999</v>
      </c>
      <c r="D212" s="7">
        <v>-0.63529999999999998</v>
      </c>
      <c r="E212" s="7">
        <v>0.14149999999999999</v>
      </c>
      <c r="F212" s="7">
        <v>85</v>
      </c>
      <c r="G212" s="7">
        <v>85</v>
      </c>
      <c r="H212" s="7">
        <v>6.3470000000000004</v>
      </c>
      <c r="I212" s="7">
        <v>1344</v>
      </c>
    </row>
    <row r="213" spans="1:9" ht="16" x14ac:dyDescent="0.2">
      <c r="A213" s="8" t="s">
        <v>257</v>
      </c>
      <c r="B213" s="7">
        <v>0.78820000000000001</v>
      </c>
      <c r="C213" s="7">
        <v>0.28239999999999998</v>
      </c>
      <c r="D213" s="7">
        <v>0.50590000000000002</v>
      </c>
      <c r="E213" s="7">
        <v>0.14149999999999999</v>
      </c>
      <c r="F213" s="7">
        <v>85</v>
      </c>
      <c r="G213" s="7">
        <v>85</v>
      </c>
      <c r="H213" s="7">
        <v>5.0540000000000003</v>
      </c>
      <c r="I213" s="7">
        <v>1344</v>
      </c>
    </row>
    <row r="214" spans="1:9" ht="16" x14ac:dyDescent="0.2">
      <c r="A214" s="8" t="s">
        <v>259</v>
      </c>
      <c r="B214" s="7">
        <v>0.78820000000000001</v>
      </c>
      <c r="C214" s="7">
        <v>1.341</v>
      </c>
      <c r="D214" s="7">
        <v>-0.55289999999999995</v>
      </c>
      <c r="E214" s="7">
        <v>0.14149999999999999</v>
      </c>
      <c r="F214" s="7">
        <v>85</v>
      </c>
      <c r="G214" s="7">
        <v>85</v>
      </c>
      <c r="H214" s="7">
        <v>5.5250000000000004</v>
      </c>
      <c r="I214" s="7">
        <v>1344</v>
      </c>
    </row>
    <row r="215" spans="1:9" ht="16" x14ac:dyDescent="0.2">
      <c r="A215" s="8" t="s">
        <v>261</v>
      </c>
      <c r="B215" s="7">
        <v>0.78820000000000001</v>
      </c>
      <c r="C215" s="7">
        <v>0.16470000000000001</v>
      </c>
      <c r="D215" s="7">
        <v>0.62350000000000005</v>
      </c>
      <c r="E215" s="7">
        <v>0.14149999999999999</v>
      </c>
      <c r="F215" s="7">
        <v>85</v>
      </c>
      <c r="G215" s="7">
        <v>85</v>
      </c>
      <c r="H215" s="7">
        <v>6.23</v>
      </c>
      <c r="I215" s="7">
        <v>1344</v>
      </c>
    </row>
    <row r="216" spans="1:9" ht="16" x14ac:dyDescent="0.2">
      <c r="A216" s="8" t="s">
        <v>263</v>
      </c>
      <c r="B216" s="7">
        <v>0.78820000000000001</v>
      </c>
      <c r="C216" s="7">
        <v>0</v>
      </c>
      <c r="D216" s="7">
        <v>0.78820000000000001</v>
      </c>
      <c r="E216" s="7">
        <v>0.14149999999999999</v>
      </c>
      <c r="F216" s="7">
        <v>85</v>
      </c>
      <c r="G216" s="7">
        <v>85</v>
      </c>
      <c r="H216" s="7">
        <v>7.875</v>
      </c>
      <c r="I216" s="7">
        <v>1344</v>
      </c>
    </row>
    <row r="217" spans="1:9" ht="16" x14ac:dyDescent="0.2">
      <c r="A217" s="8" t="s">
        <v>265</v>
      </c>
      <c r="B217" s="7">
        <v>0.78820000000000001</v>
      </c>
      <c r="C217" s="7">
        <v>0</v>
      </c>
      <c r="D217" s="7">
        <v>0.78820000000000001</v>
      </c>
      <c r="E217" s="7">
        <v>0.14149999999999999</v>
      </c>
      <c r="F217" s="7">
        <v>85</v>
      </c>
      <c r="G217" s="7">
        <v>85</v>
      </c>
      <c r="H217" s="7">
        <v>7.875</v>
      </c>
      <c r="I217" s="7">
        <v>1344</v>
      </c>
    </row>
    <row r="218" spans="1:9" ht="16" x14ac:dyDescent="0.2">
      <c r="A218" s="8" t="s">
        <v>266</v>
      </c>
      <c r="B218" s="7">
        <v>0.78820000000000001</v>
      </c>
      <c r="C218" s="7">
        <v>0</v>
      </c>
      <c r="D218" s="7">
        <v>0.78820000000000001</v>
      </c>
      <c r="E218" s="7">
        <v>0.14149999999999999</v>
      </c>
      <c r="F218" s="7">
        <v>85</v>
      </c>
      <c r="G218" s="7">
        <v>85</v>
      </c>
      <c r="H218" s="7">
        <v>7.875</v>
      </c>
      <c r="I218" s="7">
        <v>1344</v>
      </c>
    </row>
    <row r="219" spans="1:9" ht="16" x14ac:dyDescent="0.2">
      <c r="A219" s="8" t="s">
        <v>267</v>
      </c>
      <c r="B219" s="7">
        <v>0.78820000000000001</v>
      </c>
      <c r="C219" s="7">
        <v>0</v>
      </c>
      <c r="D219" s="7">
        <v>0.78820000000000001</v>
      </c>
      <c r="E219" s="7">
        <v>0.14149999999999999</v>
      </c>
      <c r="F219" s="7">
        <v>85</v>
      </c>
      <c r="G219" s="7">
        <v>85</v>
      </c>
      <c r="H219" s="7">
        <v>7.875</v>
      </c>
      <c r="I219" s="7">
        <v>1344</v>
      </c>
    </row>
    <row r="220" spans="1:9" ht="16" x14ac:dyDescent="0.2">
      <c r="A220" s="8" t="s">
        <v>268</v>
      </c>
      <c r="B220" s="7">
        <v>0.23530000000000001</v>
      </c>
      <c r="C220" s="7">
        <v>0.97650000000000003</v>
      </c>
      <c r="D220" s="7">
        <v>-0.74119999999999997</v>
      </c>
      <c r="E220" s="7">
        <v>0.14149999999999999</v>
      </c>
      <c r="F220" s="7">
        <v>85</v>
      </c>
      <c r="G220" s="7">
        <v>85</v>
      </c>
      <c r="H220" s="7">
        <v>7.4050000000000002</v>
      </c>
      <c r="I220" s="7">
        <v>1344</v>
      </c>
    </row>
    <row r="221" spans="1:9" ht="16" x14ac:dyDescent="0.2">
      <c r="A221" s="8" t="s">
        <v>270</v>
      </c>
      <c r="B221" s="7">
        <v>0.23530000000000001</v>
      </c>
      <c r="C221" s="7">
        <v>8.2350000000000007E-2</v>
      </c>
      <c r="D221" s="7">
        <v>0.15290000000000001</v>
      </c>
      <c r="E221" s="7">
        <v>0.14149999999999999</v>
      </c>
      <c r="F221" s="7">
        <v>85</v>
      </c>
      <c r="G221" s="7">
        <v>85</v>
      </c>
      <c r="H221" s="7">
        <v>1.528</v>
      </c>
      <c r="I221" s="7">
        <v>1344</v>
      </c>
    </row>
    <row r="222" spans="1:9" ht="16" x14ac:dyDescent="0.2">
      <c r="A222" s="8" t="s">
        <v>271</v>
      </c>
      <c r="B222" s="7">
        <v>0.23530000000000001</v>
      </c>
      <c r="C222" s="7">
        <v>1.4239999999999999</v>
      </c>
      <c r="D222" s="7">
        <v>-1.1879999999999999</v>
      </c>
      <c r="E222" s="7">
        <v>0.14149999999999999</v>
      </c>
      <c r="F222" s="7">
        <v>85</v>
      </c>
      <c r="G222" s="7">
        <v>85</v>
      </c>
      <c r="H222" s="7">
        <v>11.87</v>
      </c>
      <c r="I222" s="7">
        <v>1344</v>
      </c>
    </row>
    <row r="223" spans="1:9" ht="16" x14ac:dyDescent="0.2">
      <c r="A223" s="8" t="s">
        <v>273</v>
      </c>
      <c r="B223" s="7">
        <v>0.23530000000000001</v>
      </c>
      <c r="C223" s="7">
        <v>0.28239999999999998</v>
      </c>
      <c r="D223" s="7">
        <v>-4.7059999999999998E-2</v>
      </c>
      <c r="E223" s="7">
        <v>0.14149999999999999</v>
      </c>
      <c r="F223" s="7">
        <v>85</v>
      </c>
      <c r="G223" s="7">
        <v>85</v>
      </c>
      <c r="H223" s="7">
        <v>0.47020000000000001</v>
      </c>
      <c r="I223" s="7">
        <v>1344</v>
      </c>
    </row>
    <row r="224" spans="1:9" ht="16" x14ac:dyDescent="0.2">
      <c r="A224" s="8" t="s">
        <v>274</v>
      </c>
      <c r="B224" s="7">
        <v>0.23530000000000001</v>
      </c>
      <c r="C224" s="7">
        <v>1.341</v>
      </c>
      <c r="D224" s="7">
        <v>-1.1060000000000001</v>
      </c>
      <c r="E224" s="7">
        <v>0.14149999999999999</v>
      </c>
      <c r="F224" s="7">
        <v>85</v>
      </c>
      <c r="G224" s="7">
        <v>85</v>
      </c>
      <c r="H224" s="7">
        <v>11.05</v>
      </c>
      <c r="I224" s="7">
        <v>1344</v>
      </c>
    </row>
    <row r="225" spans="1:9" ht="16" x14ac:dyDescent="0.2">
      <c r="A225" s="8" t="s">
        <v>276</v>
      </c>
      <c r="B225" s="7">
        <v>0.23530000000000001</v>
      </c>
      <c r="C225" s="7">
        <v>0.16470000000000001</v>
      </c>
      <c r="D225" s="7">
        <v>7.059E-2</v>
      </c>
      <c r="E225" s="7">
        <v>0.14149999999999999</v>
      </c>
      <c r="F225" s="7">
        <v>85</v>
      </c>
      <c r="G225" s="7">
        <v>85</v>
      </c>
      <c r="H225" s="7">
        <v>0.70530000000000004</v>
      </c>
      <c r="I225" s="7">
        <v>1344</v>
      </c>
    </row>
    <row r="226" spans="1:9" ht="16" x14ac:dyDescent="0.2">
      <c r="A226" s="8" t="s">
        <v>278</v>
      </c>
      <c r="B226" s="7">
        <v>0.23530000000000001</v>
      </c>
      <c r="C226" s="7">
        <v>0</v>
      </c>
      <c r="D226" s="7">
        <v>0.23530000000000001</v>
      </c>
      <c r="E226" s="7">
        <v>0.14149999999999999</v>
      </c>
      <c r="F226" s="7">
        <v>85</v>
      </c>
      <c r="G226" s="7">
        <v>85</v>
      </c>
      <c r="H226" s="7">
        <v>2.351</v>
      </c>
      <c r="I226" s="7">
        <v>1344</v>
      </c>
    </row>
    <row r="227" spans="1:9" ht="16" x14ac:dyDescent="0.2">
      <c r="A227" s="8" t="s">
        <v>280</v>
      </c>
      <c r="B227" s="7">
        <v>0.23530000000000001</v>
      </c>
      <c r="C227" s="7">
        <v>0</v>
      </c>
      <c r="D227" s="7">
        <v>0.23530000000000001</v>
      </c>
      <c r="E227" s="7">
        <v>0.14149999999999999</v>
      </c>
      <c r="F227" s="7">
        <v>85</v>
      </c>
      <c r="G227" s="7">
        <v>85</v>
      </c>
      <c r="H227" s="7">
        <v>2.351</v>
      </c>
      <c r="I227" s="7">
        <v>1344</v>
      </c>
    </row>
    <row r="228" spans="1:9" ht="16" x14ac:dyDescent="0.2">
      <c r="A228" s="8" t="s">
        <v>281</v>
      </c>
      <c r="B228" s="7">
        <v>0.23530000000000001</v>
      </c>
      <c r="C228" s="7">
        <v>0</v>
      </c>
      <c r="D228" s="7">
        <v>0.23530000000000001</v>
      </c>
      <c r="E228" s="7">
        <v>0.14149999999999999</v>
      </c>
      <c r="F228" s="7">
        <v>85</v>
      </c>
      <c r="G228" s="7">
        <v>85</v>
      </c>
      <c r="H228" s="7">
        <v>2.351</v>
      </c>
      <c r="I228" s="7">
        <v>1344</v>
      </c>
    </row>
    <row r="229" spans="1:9" ht="16" x14ac:dyDescent="0.2">
      <c r="A229" s="8" t="s">
        <v>282</v>
      </c>
      <c r="B229" s="7">
        <v>0.23530000000000001</v>
      </c>
      <c r="C229" s="7">
        <v>0</v>
      </c>
      <c r="D229" s="7">
        <v>0.23530000000000001</v>
      </c>
      <c r="E229" s="7">
        <v>0.14149999999999999</v>
      </c>
      <c r="F229" s="7">
        <v>85</v>
      </c>
      <c r="G229" s="7">
        <v>85</v>
      </c>
      <c r="H229" s="7">
        <v>2.351</v>
      </c>
      <c r="I229" s="7">
        <v>1344</v>
      </c>
    </row>
    <row r="230" spans="1:9" ht="16" x14ac:dyDescent="0.2">
      <c r="A230" s="8" t="s">
        <v>283</v>
      </c>
      <c r="B230" s="7">
        <v>0.97650000000000003</v>
      </c>
      <c r="C230" s="7">
        <v>8.2350000000000007E-2</v>
      </c>
      <c r="D230" s="7">
        <v>0.89410000000000001</v>
      </c>
      <c r="E230" s="7">
        <v>0.14149999999999999</v>
      </c>
      <c r="F230" s="7">
        <v>85</v>
      </c>
      <c r="G230" s="7">
        <v>85</v>
      </c>
      <c r="H230" s="7">
        <v>8.9329999999999998</v>
      </c>
      <c r="I230" s="7">
        <v>1344</v>
      </c>
    </row>
    <row r="231" spans="1:9" ht="16" x14ac:dyDescent="0.2">
      <c r="A231" s="8" t="s">
        <v>285</v>
      </c>
      <c r="B231" s="7">
        <v>0.97650000000000003</v>
      </c>
      <c r="C231" s="7">
        <v>1.4239999999999999</v>
      </c>
      <c r="D231" s="7">
        <v>-0.4471</v>
      </c>
      <c r="E231" s="7">
        <v>0.14149999999999999</v>
      </c>
      <c r="F231" s="7">
        <v>85</v>
      </c>
      <c r="G231" s="7">
        <v>85</v>
      </c>
      <c r="H231" s="7">
        <v>4.4669999999999996</v>
      </c>
      <c r="I231" s="7">
        <v>1344</v>
      </c>
    </row>
    <row r="232" spans="1:9" ht="16" x14ac:dyDescent="0.2">
      <c r="A232" s="8" t="s">
        <v>287</v>
      </c>
      <c r="B232" s="7">
        <v>0.97650000000000003</v>
      </c>
      <c r="C232" s="7">
        <v>0.28239999999999998</v>
      </c>
      <c r="D232" s="7">
        <v>0.69410000000000005</v>
      </c>
      <c r="E232" s="7">
        <v>0.14149999999999999</v>
      </c>
      <c r="F232" s="7">
        <v>85</v>
      </c>
      <c r="G232" s="7">
        <v>85</v>
      </c>
      <c r="H232" s="7">
        <v>6.9349999999999996</v>
      </c>
      <c r="I232" s="7">
        <v>1344</v>
      </c>
    </row>
    <row r="233" spans="1:9" ht="16" x14ac:dyDescent="0.2">
      <c r="A233" s="8" t="s">
        <v>289</v>
      </c>
      <c r="B233" s="7">
        <v>0.97650000000000003</v>
      </c>
      <c r="C233" s="7">
        <v>1.341</v>
      </c>
      <c r="D233" s="7">
        <v>-0.36470000000000002</v>
      </c>
      <c r="E233" s="7">
        <v>0.14149999999999999</v>
      </c>
      <c r="F233" s="7">
        <v>85</v>
      </c>
      <c r="G233" s="7">
        <v>85</v>
      </c>
      <c r="H233" s="7">
        <v>3.6440000000000001</v>
      </c>
      <c r="I233" s="7">
        <v>1344</v>
      </c>
    </row>
    <row r="234" spans="1:9" ht="16" x14ac:dyDescent="0.2">
      <c r="A234" s="8" t="s">
        <v>291</v>
      </c>
      <c r="B234" s="7">
        <v>0.97650000000000003</v>
      </c>
      <c r="C234" s="7">
        <v>0.16470000000000001</v>
      </c>
      <c r="D234" s="7">
        <v>0.81179999999999997</v>
      </c>
      <c r="E234" s="7">
        <v>0.14149999999999999</v>
      </c>
      <c r="F234" s="7">
        <v>85</v>
      </c>
      <c r="G234" s="7">
        <v>85</v>
      </c>
      <c r="H234" s="7">
        <v>8.1110000000000007</v>
      </c>
      <c r="I234" s="7">
        <v>1344</v>
      </c>
    </row>
    <row r="235" spans="1:9" ht="16" x14ac:dyDescent="0.2">
      <c r="A235" s="8" t="s">
        <v>293</v>
      </c>
      <c r="B235" s="7">
        <v>0.97650000000000003</v>
      </c>
      <c r="C235" s="7">
        <v>0</v>
      </c>
      <c r="D235" s="7">
        <v>0.97650000000000003</v>
      </c>
      <c r="E235" s="7">
        <v>0.14149999999999999</v>
      </c>
      <c r="F235" s="7">
        <v>85</v>
      </c>
      <c r="G235" s="7">
        <v>85</v>
      </c>
      <c r="H235" s="7">
        <v>9.7560000000000002</v>
      </c>
      <c r="I235" s="7">
        <v>1344</v>
      </c>
    </row>
    <row r="236" spans="1:9" ht="16" x14ac:dyDescent="0.2">
      <c r="A236" s="8" t="s">
        <v>295</v>
      </c>
      <c r="B236" s="7">
        <v>0.97650000000000003</v>
      </c>
      <c r="C236" s="7">
        <v>0</v>
      </c>
      <c r="D236" s="7">
        <v>0.97650000000000003</v>
      </c>
      <c r="E236" s="7">
        <v>0.14149999999999999</v>
      </c>
      <c r="F236" s="7">
        <v>85</v>
      </c>
      <c r="G236" s="7">
        <v>85</v>
      </c>
      <c r="H236" s="7">
        <v>9.7560000000000002</v>
      </c>
      <c r="I236" s="7">
        <v>1344</v>
      </c>
    </row>
    <row r="237" spans="1:9" ht="16" x14ac:dyDescent="0.2">
      <c r="A237" s="8" t="s">
        <v>296</v>
      </c>
      <c r="B237" s="7">
        <v>0.97650000000000003</v>
      </c>
      <c r="C237" s="7">
        <v>0</v>
      </c>
      <c r="D237" s="7">
        <v>0.97650000000000003</v>
      </c>
      <c r="E237" s="7">
        <v>0.14149999999999999</v>
      </c>
      <c r="F237" s="7">
        <v>85</v>
      </c>
      <c r="G237" s="7">
        <v>85</v>
      </c>
      <c r="H237" s="7">
        <v>9.7560000000000002</v>
      </c>
      <c r="I237" s="7">
        <v>1344</v>
      </c>
    </row>
    <row r="238" spans="1:9" ht="16" x14ac:dyDescent="0.2">
      <c r="A238" s="8" t="s">
        <v>297</v>
      </c>
      <c r="B238" s="7">
        <v>0.97650000000000003</v>
      </c>
      <c r="C238" s="7">
        <v>0</v>
      </c>
      <c r="D238" s="7">
        <v>0.97650000000000003</v>
      </c>
      <c r="E238" s="7">
        <v>0.14149999999999999</v>
      </c>
      <c r="F238" s="7">
        <v>85</v>
      </c>
      <c r="G238" s="7">
        <v>85</v>
      </c>
      <c r="H238" s="7">
        <v>9.7560000000000002</v>
      </c>
      <c r="I238" s="7">
        <v>1344</v>
      </c>
    </row>
    <row r="239" spans="1:9" ht="16" x14ac:dyDescent="0.2">
      <c r="A239" s="8" t="s">
        <v>298</v>
      </c>
      <c r="B239" s="7">
        <v>8.2350000000000007E-2</v>
      </c>
      <c r="C239" s="7">
        <v>1.4239999999999999</v>
      </c>
      <c r="D239" s="7">
        <v>-1.341</v>
      </c>
      <c r="E239" s="7">
        <v>0.14149999999999999</v>
      </c>
      <c r="F239" s="7">
        <v>85</v>
      </c>
      <c r="G239" s="7">
        <v>85</v>
      </c>
      <c r="H239" s="7">
        <v>13.4</v>
      </c>
      <c r="I239" s="7">
        <v>1344</v>
      </c>
    </row>
    <row r="240" spans="1:9" ht="16" x14ac:dyDescent="0.2">
      <c r="A240" s="8" t="s">
        <v>300</v>
      </c>
      <c r="B240" s="7">
        <v>8.2350000000000007E-2</v>
      </c>
      <c r="C240" s="7">
        <v>0.28239999999999998</v>
      </c>
      <c r="D240" s="7">
        <v>-0.2</v>
      </c>
      <c r="E240" s="7">
        <v>0.14149999999999999</v>
      </c>
      <c r="F240" s="7">
        <v>85</v>
      </c>
      <c r="G240" s="7">
        <v>85</v>
      </c>
      <c r="H240" s="7">
        <v>1.998</v>
      </c>
      <c r="I240" s="7">
        <v>1344</v>
      </c>
    </row>
    <row r="241" spans="1:9" ht="16" x14ac:dyDescent="0.2">
      <c r="A241" s="8" t="s">
        <v>302</v>
      </c>
      <c r="B241" s="7">
        <v>8.2350000000000007E-2</v>
      </c>
      <c r="C241" s="7">
        <v>1.341</v>
      </c>
      <c r="D241" s="7">
        <v>-1.2589999999999999</v>
      </c>
      <c r="E241" s="7">
        <v>0.14149999999999999</v>
      </c>
      <c r="F241" s="7">
        <v>85</v>
      </c>
      <c r="G241" s="7">
        <v>85</v>
      </c>
      <c r="H241" s="7">
        <v>12.58</v>
      </c>
      <c r="I241" s="7">
        <v>1344</v>
      </c>
    </row>
    <row r="242" spans="1:9" ht="16" x14ac:dyDescent="0.2">
      <c r="A242" s="8" t="s">
        <v>304</v>
      </c>
      <c r="B242" s="7">
        <v>8.2350000000000007E-2</v>
      </c>
      <c r="C242" s="7">
        <v>0.16470000000000001</v>
      </c>
      <c r="D242" s="7">
        <v>-8.2350000000000007E-2</v>
      </c>
      <c r="E242" s="7">
        <v>0.14149999999999999</v>
      </c>
      <c r="F242" s="7">
        <v>85</v>
      </c>
      <c r="G242" s="7">
        <v>85</v>
      </c>
      <c r="H242" s="7">
        <v>0.82279999999999998</v>
      </c>
      <c r="I242" s="7">
        <v>1344</v>
      </c>
    </row>
    <row r="243" spans="1:9" ht="16" x14ac:dyDescent="0.2">
      <c r="A243" s="8" t="s">
        <v>306</v>
      </c>
      <c r="B243" s="7">
        <v>8.2350000000000007E-2</v>
      </c>
      <c r="C243" s="7">
        <v>0</v>
      </c>
      <c r="D243" s="7">
        <v>8.2350000000000007E-2</v>
      </c>
      <c r="E243" s="7">
        <v>0.14149999999999999</v>
      </c>
      <c r="F243" s="7">
        <v>85</v>
      </c>
      <c r="G243" s="7">
        <v>85</v>
      </c>
      <c r="H243" s="7">
        <v>0.82279999999999998</v>
      </c>
      <c r="I243" s="7">
        <v>1344</v>
      </c>
    </row>
    <row r="244" spans="1:9" ht="16" x14ac:dyDescent="0.2">
      <c r="A244" s="8" t="s">
        <v>308</v>
      </c>
      <c r="B244" s="7">
        <v>8.2350000000000007E-2</v>
      </c>
      <c r="C244" s="7">
        <v>0</v>
      </c>
      <c r="D244" s="7">
        <v>8.2350000000000007E-2</v>
      </c>
      <c r="E244" s="7">
        <v>0.14149999999999999</v>
      </c>
      <c r="F244" s="7">
        <v>85</v>
      </c>
      <c r="G244" s="7">
        <v>85</v>
      </c>
      <c r="H244" s="7">
        <v>0.82279999999999998</v>
      </c>
      <c r="I244" s="7">
        <v>1344</v>
      </c>
    </row>
    <row r="245" spans="1:9" ht="16" x14ac:dyDescent="0.2">
      <c r="A245" s="8" t="s">
        <v>309</v>
      </c>
      <c r="B245" s="7">
        <v>8.2350000000000007E-2</v>
      </c>
      <c r="C245" s="7">
        <v>0</v>
      </c>
      <c r="D245" s="7">
        <v>8.2350000000000007E-2</v>
      </c>
      <c r="E245" s="7">
        <v>0.14149999999999999</v>
      </c>
      <c r="F245" s="7">
        <v>85</v>
      </c>
      <c r="G245" s="7">
        <v>85</v>
      </c>
      <c r="H245" s="7">
        <v>0.82279999999999998</v>
      </c>
      <c r="I245" s="7">
        <v>1344</v>
      </c>
    </row>
    <row r="246" spans="1:9" ht="16" x14ac:dyDescent="0.2">
      <c r="A246" s="8" t="s">
        <v>310</v>
      </c>
      <c r="B246" s="7">
        <v>8.2350000000000007E-2</v>
      </c>
      <c r="C246" s="7">
        <v>0</v>
      </c>
      <c r="D246" s="7">
        <v>8.2350000000000007E-2</v>
      </c>
      <c r="E246" s="7">
        <v>0.14149999999999999</v>
      </c>
      <c r="F246" s="7">
        <v>85</v>
      </c>
      <c r="G246" s="7">
        <v>85</v>
      </c>
      <c r="H246" s="7">
        <v>0.82279999999999998</v>
      </c>
      <c r="I246" s="7">
        <v>1344</v>
      </c>
    </row>
    <row r="247" spans="1:9" ht="16" x14ac:dyDescent="0.2">
      <c r="A247" s="8" t="s">
        <v>311</v>
      </c>
      <c r="B247" s="7">
        <v>1.4239999999999999</v>
      </c>
      <c r="C247" s="7">
        <v>0.28239999999999998</v>
      </c>
      <c r="D247" s="7">
        <v>1.141</v>
      </c>
      <c r="E247" s="7">
        <v>0.14149999999999999</v>
      </c>
      <c r="F247" s="7">
        <v>85</v>
      </c>
      <c r="G247" s="7">
        <v>85</v>
      </c>
      <c r="H247" s="7">
        <v>11.4</v>
      </c>
      <c r="I247" s="7">
        <v>1344</v>
      </c>
    </row>
    <row r="248" spans="1:9" ht="16" x14ac:dyDescent="0.2">
      <c r="A248" s="8" t="s">
        <v>313</v>
      </c>
      <c r="B248" s="7">
        <v>1.4239999999999999</v>
      </c>
      <c r="C248" s="7">
        <v>1.341</v>
      </c>
      <c r="D248" s="7">
        <v>8.2350000000000007E-2</v>
      </c>
      <c r="E248" s="7">
        <v>0.14149999999999999</v>
      </c>
      <c r="F248" s="7">
        <v>85</v>
      </c>
      <c r="G248" s="7">
        <v>85</v>
      </c>
      <c r="H248" s="7">
        <v>0.82279999999999998</v>
      </c>
      <c r="I248" s="7">
        <v>1344</v>
      </c>
    </row>
    <row r="249" spans="1:9" ht="16" x14ac:dyDescent="0.2">
      <c r="A249" s="8" t="s">
        <v>314</v>
      </c>
      <c r="B249" s="7">
        <v>1.4239999999999999</v>
      </c>
      <c r="C249" s="7">
        <v>0.16470000000000001</v>
      </c>
      <c r="D249" s="7">
        <v>1.2589999999999999</v>
      </c>
      <c r="E249" s="7">
        <v>0.14149999999999999</v>
      </c>
      <c r="F249" s="7">
        <v>85</v>
      </c>
      <c r="G249" s="7">
        <v>85</v>
      </c>
      <c r="H249" s="7">
        <v>12.58</v>
      </c>
      <c r="I249" s="7">
        <v>1344</v>
      </c>
    </row>
    <row r="250" spans="1:9" ht="16" x14ac:dyDescent="0.2">
      <c r="A250" s="8" t="s">
        <v>316</v>
      </c>
      <c r="B250" s="7">
        <v>1.4239999999999999</v>
      </c>
      <c r="C250" s="7">
        <v>0</v>
      </c>
      <c r="D250" s="7">
        <v>1.4239999999999999</v>
      </c>
      <c r="E250" s="7">
        <v>0.14149999999999999</v>
      </c>
      <c r="F250" s="7">
        <v>85</v>
      </c>
      <c r="G250" s="7">
        <v>85</v>
      </c>
      <c r="H250" s="7">
        <v>14.22</v>
      </c>
      <c r="I250" s="7">
        <v>1344</v>
      </c>
    </row>
    <row r="251" spans="1:9" ht="16" x14ac:dyDescent="0.2">
      <c r="A251" s="8" t="s">
        <v>318</v>
      </c>
      <c r="B251" s="7">
        <v>1.4239999999999999</v>
      </c>
      <c r="C251" s="7">
        <v>0</v>
      </c>
      <c r="D251" s="7">
        <v>1.4239999999999999</v>
      </c>
      <c r="E251" s="7">
        <v>0.14149999999999999</v>
      </c>
      <c r="F251" s="7">
        <v>85</v>
      </c>
      <c r="G251" s="7">
        <v>85</v>
      </c>
      <c r="H251" s="7">
        <v>14.22</v>
      </c>
      <c r="I251" s="7">
        <v>1344</v>
      </c>
    </row>
    <row r="252" spans="1:9" ht="16" x14ac:dyDescent="0.2">
      <c r="A252" s="8" t="s">
        <v>319</v>
      </c>
      <c r="B252" s="7">
        <v>1.4239999999999999</v>
      </c>
      <c r="C252" s="7">
        <v>0</v>
      </c>
      <c r="D252" s="7">
        <v>1.4239999999999999</v>
      </c>
      <c r="E252" s="7">
        <v>0.14149999999999999</v>
      </c>
      <c r="F252" s="7">
        <v>85</v>
      </c>
      <c r="G252" s="7">
        <v>85</v>
      </c>
      <c r="H252" s="7">
        <v>14.22</v>
      </c>
      <c r="I252" s="7">
        <v>1344</v>
      </c>
    </row>
    <row r="253" spans="1:9" ht="16" x14ac:dyDescent="0.2">
      <c r="A253" s="8" t="s">
        <v>320</v>
      </c>
      <c r="B253" s="7">
        <v>1.4239999999999999</v>
      </c>
      <c r="C253" s="7">
        <v>0</v>
      </c>
      <c r="D253" s="7">
        <v>1.4239999999999999</v>
      </c>
      <c r="E253" s="7">
        <v>0.14149999999999999</v>
      </c>
      <c r="F253" s="7">
        <v>85</v>
      </c>
      <c r="G253" s="7">
        <v>85</v>
      </c>
      <c r="H253" s="7">
        <v>14.22</v>
      </c>
      <c r="I253" s="7">
        <v>1344</v>
      </c>
    </row>
    <row r="254" spans="1:9" ht="16" x14ac:dyDescent="0.2">
      <c r="A254" s="8" t="s">
        <v>321</v>
      </c>
      <c r="B254" s="7">
        <v>0.28239999999999998</v>
      </c>
      <c r="C254" s="7">
        <v>1.341</v>
      </c>
      <c r="D254" s="7">
        <v>-1.0589999999999999</v>
      </c>
      <c r="E254" s="7">
        <v>0.14149999999999999</v>
      </c>
      <c r="F254" s="7">
        <v>85</v>
      </c>
      <c r="G254" s="7">
        <v>85</v>
      </c>
      <c r="H254" s="7">
        <v>10.58</v>
      </c>
      <c r="I254" s="7">
        <v>1344</v>
      </c>
    </row>
    <row r="255" spans="1:9" ht="16" x14ac:dyDescent="0.2">
      <c r="A255" s="8" t="s">
        <v>323</v>
      </c>
      <c r="B255" s="7">
        <v>0.28239999999999998</v>
      </c>
      <c r="C255" s="7">
        <v>0.16470000000000001</v>
      </c>
      <c r="D255" s="7">
        <v>0.1176</v>
      </c>
      <c r="E255" s="7">
        <v>0.14149999999999999</v>
      </c>
      <c r="F255" s="7">
        <v>85</v>
      </c>
      <c r="G255" s="7">
        <v>85</v>
      </c>
      <c r="H255" s="7">
        <v>1.175</v>
      </c>
      <c r="I255" s="7">
        <v>1344</v>
      </c>
    </row>
    <row r="256" spans="1:9" ht="16" x14ac:dyDescent="0.2">
      <c r="A256" s="8" t="s">
        <v>325</v>
      </c>
      <c r="B256" s="7">
        <v>0.28239999999999998</v>
      </c>
      <c r="C256" s="7">
        <v>0</v>
      </c>
      <c r="D256" s="7">
        <v>0.28239999999999998</v>
      </c>
      <c r="E256" s="7">
        <v>0.14149999999999999</v>
      </c>
      <c r="F256" s="7">
        <v>85</v>
      </c>
      <c r="G256" s="7">
        <v>85</v>
      </c>
      <c r="H256" s="7">
        <v>2.8210000000000002</v>
      </c>
      <c r="I256" s="7">
        <v>1344</v>
      </c>
    </row>
    <row r="257" spans="1:9" ht="16" x14ac:dyDescent="0.2">
      <c r="A257" s="8" t="s">
        <v>327</v>
      </c>
      <c r="B257" s="7">
        <v>0.28239999999999998</v>
      </c>
      <c r="C257" s="7">
        <v>0</v>
      </c>
      <c r="D257" s="7">
        <v>0.28239999999999998</v>
      </c>
      <c r="E257" s="7">
        <v>0.14149999999999999</v>
      </c>
      <c r="F257" s="7">
        <v>85</v>
      </c>
      <c r="G257" s="7">
        <v>85</v>
      </c>
      <c r="H257" s="7">
        <v>2.8210000000000002</v>
      </c>
      <c r="I257" s="7">
        <v>1344</v>
      </c>
    </row>
    <row r="258" spans="1:9" ht="16" x14ac:dyDescent="0.2">
      <c r="A258" s="8" t="s">
        <v>328</v>
      </c>
      <c r="B258" s="7">
        <v>0.28239999999999998</v>
      </c>
      <c r="C258" s="7">
        <v>0</v>
      </c>
      <c r="D258" s="7">
        <v>0.28239999999999998</v>
      </c>
      <c r="E258" s="7">
        <v>0.14149999999999999</v>
      </c>
      <c r="F258" s="7">
        <v>85</v>
      </c>
      <c r="G258" s="7">
        <v>85</v>
      </c>
      <c r="H258" s="7">
        <v>2.8210000000000002</v>
      </c>
      <c r="I258" s="7">
        <v>1344</v>
      </c>
    </row>
    <row r="259" spans="1:9" ht="16" x14ac:dyDescent="0.2">
      <c r="A259" s="8" t="s">
        <v>329</v>
      </c>
      <c r="B259" s="7">
        <v>0.28239999999999998</v>
      </c>
      <c r="C259" s="7">
        <v>0</v>
      </c>
      <c r="D259" s="7">
        <v>0.28239999999999998</v>
      </c>
      <c r="E259" s="7">
        <v>0.14149999999999999</v>
      </c>
      <c r="F259" s="7">
        <v>85</v>
      </c>
      <c r="G259" s="7">
        <v>85</v>
      </c>
      <c r="H259" s="7">
        <v>2.8210000000000002</v>
      </c>
      <c r="I259" s="7">
        <v>1344</v>
      </c>
    </row>
    <row r="260" spans="1:9" ht="16" x14ac:dyDescent="0.2">
      <c r="A260" s="8" t="s">
        <v>330</v>
      </c>
      <c r="B260" s="7">
        <v>1.341</v>
      </c>
      <c r="C260" s="7">
        <v>0.16470000000000001</v>
      </c>
      <c r="D260" s="7">
        <v>1.1759999999999999</v>
      </c>
      <c r="E260" s="7">
        <v>0.14149999999999999</v>
      </c>
      <c r="F260" s="7">
        <v>85</v>
      </c>
      <c r="G260" s="7">
        <v>85</v>
      </c>
      <c r="H260" s="7">
        <v>11.75</v>
      </c>
      <c r="I260" s="7">
        <v>1344</v>
      </c>
    </row>
    <row r="261" spans="1:9" ht="16" x14ac:dyDescent="0.2">
      <c r="A261" s="8" t="s">
        <v>332</v>
      </c>
      <c r="B261" s="7">
        <v>1.341</v>
      </c>
      <c r="C261" s="7">
        <v>0</v>
      </c>
      <c r="D261" s="7">
        <v>1.341</v>
      </c>
      <c r="E261" s="7">
        <v>0.14149999999999999</v>
      </c>
      <c r="F261" s="7">
        <v>85</v>
      </c>
      <c r="G261" s="7">
        <v>85</v>
      </c>
      <c r="H261" s="7">
        <v>13.4</v>
      </c>
      <c r="I261" s="7">
        <v>1344</v>
      </c>
    </row>
    <row r="262" spans="1:9" ht="16" x14ac:dyDescent="0.2">
      <c r="A262" s="8" t="s">
        <v>334</v>
      </c>
      <c r="B262" s="7">
        <v>1.341</v>
      </c>
      <c r="C262" s="7">
        <v>0</v>
      </c>
      <c r="D262" s="7">
        <v>1.341</v>
      </c>
      <c r="E262" s="7">
        <v>0.14149999999999999</v>
      </c>
      <c r="F262" s="7">
        <v>85</v>
      </c>
      <c r="G262" s="7">
        <v>85</v>
      </c>
      <c r="H262" s="7">
        <v>13.4</v>
      </c>
      <c r="I262" s="7">
        <v>1344</v>
      </c>
    </row>
    <row r="263" spans="1:9" ht="16" x14ac:dyDescent="0.2">
      <c r="A263" s="8" t="s">
        <v>335</v>
      </c>
      <c r="B263" s="7">
        <v>1.341</v>
      </c>
      <c r="C263" s="7">
        <v>0</v>
      </c>
      <c r="D263" s="7">
        <v>1.341</v>
      </c>
      <c r="E263" s="7">
        <v>0.14149999999999999</v>
      </c>
      <c r="F263" s="7">
        <v>85</v>
      </c>
      <c r="G263" s="7">
        <v>85</v>
      </c>
      <c r="H263" s="7">
        <v>13.4</v>
      </c>
      <c r="I263" s="7">
        <v>1344</v>
      </c>
    </row>
    <row r="264" spans="1:9" ht="16" x14ac:dyDescent="0.2">
      <c r="A264" s="8" t="s">
        <v>336</v>
      </c>
      <c r="B264" s="7">
        <v>1.341</v>
      </c>
      <c r="C264" s="7">
        <v>0</v>
      </c>
      <c r="D264" s="7">
        <v>1.341</v>
      </c>
      <c r="E264" s="7">
        <v>0.14149999999999999</v>
      </c>
      <c r="F264" s="7">
        <v>85</v>
      </c>
      <c r="G264" s="7">
        <v>85</v>
      </c>
      <c r="H264" s="7">
        <v>13.4</v>
      </c>
      <c r="I264" s="7">
        <v>1344</v>
      </c>
    </row>
    <row r="265" spans="1:9" ht="16" x14ac:dyDescent="0.2">
      <c r="A265" s="8" t="s">
        <v>337</v>
      </c>
      <c r="B265" s="7">
        <v>0.16470000000000001</v>
      </c>
      <c r="C265" s="7">
        <v>0</v>
      </c>
      <c r="D265" s="7">
        <v>0.16470000000000001</v>
      </c>
      <c r="E265" s="7">
        <v>0.14149999999999999</v>
      </c>
      <c r="F265" s="7">
        <v>85</v>
      </c>
      <c r="G265" s="7">
        <v>85</v>
      </c>
      <c r="H265" s="7">
        <v>1.6459999999999999</v>
      </c>
      <c r="I265" s="7">
        <v>1344</v>
      </c>
    </row>
    <row r="266" spans="1:9" ht="16" x14ac:dyDescent="0.2">
      <c r="A266" s="8" t="s">
        <v>339</v>
      </c>
      <c r="B266" s="7">
        <v>0.16470000000000001</v>
      </c>
      <c r="C266" s="7">
        <v>0</v>
      </c>
      <c r="D266" s="7">
        <v>0.16470000000000001</v>
      </c>
      <c r="E266" s="7">
        <v>0.14149999999999999</v>
      </c>
      <c r="F266" s="7">
        <v>85</v>
      </c>
      <c r="G266" s="7">
        <v>85</v>
      </c>
      <c r="H266" s="7">
        <v>1.6459999999999999</v>
      </c>
      <c r="I266" s="7">
        <v>1344</v>
      </c>
    </row>
    <row r="267" spans="1:9" ht="16" x14ac:dyDescent="0.2">
      <c r="A267" s="8" t="s">
        <v>340</v>
      </c>
      <c r="B267" s="7">
        <v>0.16470000000000001</v>
      </c>
      <c r="C267" s="7">
        <v>0</v>
      </c>
      <c r="D267" s="7">
        <v>0.16470000000000001</v>
      </c>
      <c r="E267" s="7">
        <v>0.14149999999999999</v>
      </c>
      <c r="F267" s="7">
        <v>85</v>
      </c>
      <c r="G267" s="7">
        <v>85</v>
      </c>
      <c r="H267" s="7">
        <v>1.6459999999999999</v>
      </c>
      <c r="I267" s="7">
        <v>1344</v>
      </c>
    </row>
    <row r="268" spans="1:9" ht="16" x14ac:dyDescent="0.2">
      <c r="A268" s="8" t="s">
        <v>341</v>
      </c>
      <c r="B268" s="7">
        <v>0.16470000000000001</v>
      </c>
      <c r="C268" s="7">
        <v>0</v>
      </c>
      <c r="D268" s="7">
        <v>0.16470000000000001</v>
      </c>
      <c r="E268" s="7">
        <v>0.14149999999999999</v>
      </c>
      <c r="F268" s="7">
        <v>85</v>
      </c>
      <c r="G268" s="7">
        <v>85</v>
      </c>
      <c r="H268" s="7">
        <v>1.6459999999999999</v>
      </c>
      <c r="I268" s="7">
        <v>1344</v>
      </c>
    </row>
    <row r="269" spans="1:9" ht="16" x14ac:dyDescent="0.2">
      <c r="A269" s="8" t="s">
        <v>342</v>
      </c>
      <c r="B269" s="7">
        <v>0</v>
      </c>
      <c r="C269" s="7">
        <v>0</v>
      </c>
      <c r="D269" s="7">
        <v>0</v>
      </c>
      <c r="E269" s="7">
        <v>0.14149999999999999</v>
      </c>
      <c r="F269" s="7">
        <v>85</v>
      </c>
      <c r="G269" s="7">
        <v>85</v>
      </c>
      <c r="H269" s="7">
        <v>0</v>
      </c>
      <c r="I269" s="7">
        <v>1344</v>
      </c>
    </row>
    <row r="270" spans="1:9" ht="16" x14ac:dyDescent="0.2">
      <c r="A270" s="8" t="s">
        <v>344</v>
      </c>
      <c r="B270" s="7">
        <v>0</v>
      </c>
      <c r="C270" s="7">
        <v>0</v>
      </c>
      <c r="D270" s="7">
        <v>0</v>
      </c>
      <c r="E270" s="7">
        <v>0.14149999999999999</v>
      </c>
      <c r="F270" s="7">
        <v>85</v>
      </c>
      <c r="G270" s="7">
        <v>85</v>
      </c>
      <c r="H270" s="7">
        <v>0</v>
      </c>
      <c r="I270" s="7">
        <v>1344</v>
      </c>
    </row>
    <row r="271" spans="1:9" ht="16" x14ac:dyDescent="0.2">
      <c r="A271" s="8" t="s">
        <v>345</v>
      </c>
      <c r="B271" s="7">
        <v>0</v>
      </c>
      <c r="C271" s="7">
        <v>0</v>
      </c>
      <c r="D271" s="7">
        <v>0</v>
      </c>
      <c r="E271" s="7">
        <v>0.14149999999999999</v>
      </c>
      <c r="F271" s="7">
        <v>85</v>
      </c>
      <c r="G271" s="7">
        <v>85</v>
      </c>
      <c r="H271" s="7">
        <v>0</v>
      </c>
      <c r="I271" s="7">
        <v>1344</v>
      </c>
    </row>
    <row r="272" spans="1:9" ht="16" x14ac:dyDescent="0.2">
      <c r="A272" s="8" t="s">
        <v>346</v>
      </c>
      <c r="B272" s="7">
        <v>0</v>
      </c>
      <c r="C272" s="7">
        <v>0</v>
      </c>
      <c r="D272" s="7">
        <v>0</v>
      </c>
      <c r="E272" s="7">
        <v>0.14149999999999999</v>
      </c>
      <c r="F272" s="7">
        <v>85</v>
      </c>
      <c r="G272" s="7">
        <v>85</v>
      </c>
      <c r="H272" s="7">
        <v>0</v>
      </c>
      <c r="I272" s="7">
        <v>1344</v>
      </c>
    </row>
    <row r="273" spans="1:9" ht="16" x14ac:dyDescent="0.2">
      <c r="A273" s="8" t="s">
        <v>347</v>
      </c>
      <c r="B273" s="7">
        <v>0</v>
      </c>
      <c r="C273" s="7">
        <v>0</v>
      </c>
      <c r="D273" s="7">
        <v>0</v>
      </c>
      <c r="E273" s="7">
        <v>0.14149999999999999</v>
      </c>
      <c r="F273" s="7">
        <v>85</v>
      </c>
      <c r="G273" s="7">
        <v>85</v>
      </c>
      <c r="H273" s="7">
        <v>0</v>
      </c>
      <c r="I273" s="7">
        <v>1344</v>
      </c>
    </row>
    <row r="274" spans="1:9" ht="16" x14ac:dyDescent="0.2">
      <c r="A274" s="8" t="s">
        <v>348</v>
      </c>
      <c r="B274" s="7">
        <v>0</v>
      </c>
      <c r="C274" s="7">
        <v>0</v>
      </c>
      <c r="D274" s="7">
        <v>0</v>
      </c>
      <c r="E274" s="7">
        <v>0.14149999999999999</v>
      </c>
      <c r="F274" s="7">
        <v>85</v>
      </c>
      <c r="G274" s="7">
        <v>85</v>
      </c>
      <c r="H274" s="7">
        <v>0</v>
      </c>
      <c r="I274" s="7">
        <v>1344</v>
      </c>
    </row>
    <row r="275" spans="1:9" ht="16" x14ac:dyDescent="0.2">
      <c r="A275" s="8"/>
      <c r="B275" s="7"/>
      <c r="C275" s="7"/>
      <c r="D275" s="7"/>
      <c r="E275" s="7"/>
      <c r="F275" s="7"/>
      <c r="G275" s="7"/>
      <c r="H275" s="7"/>
      <c r="I275" s="7"/>
    </row>
    <row r="276" spans="1:9" ht="16" x14ac:dyDescent="0.2">
      <c r="A276" s="8" t="s">
        <v>356</v>
      </c>
      <c r="B276" s="7"/>
      <c r="C276" s="7"/>
      <c r="D276" s="7"/>
      <c r="E276" s="7"/>
      <c r="F276" s="7"/>
      <c r="G276" s="7"/>
      <c r="H276" s="7"/>
      <c r="I276" s="7"/>
    </row>
    <row r="277" spans="1:9" ht="16" x14ac:dyDescent="0.2">
      <c r="A277" s="8" t="s">
        <v>357</v>
      </c>
      <c r="B277" s="7" t="s">
        <v>358</v>
      </c>
      <c r="C277" s="7"/>
      <c r="D277" s="7"/>
      <c r="E277" s="7"/>
      <c r="F277" s="7"/>
      <c r="G277" s="7"/>
      <c r="H277" s="7"/>
      <c r="I277" s="7"/>
    </row>
    <row r="278" spans="1:9" ht="16" x14ac:dyDescent="0.2">
      <c r="A278" s="8" t="s">
        <v>359</v>
      </c>
      <c r="B278" s="7" t="s">
        <v>358</v>
      </c>
      <c r="C278" s="7"/>
      <c r="D278" s="7"/>
      <c r="E278" s="7"/>
      <c r="F278" s="7"/>
      <c r="G278" s="7"/>
      <c r="H278" s="7"/>
      <c r="I278" s="7"/>
    </row>
    <row r="279" spans="1:9" ht="16" x14ac:dyDescent="0.2">
      <c r="A279" s="8" t="s">
        <v>360</v>
      </c>
      <c r="B279" s="7" t="s">
        <v>361</v>
      </c>
      <c r="C279" s="7"/>
      <c r="D279" s="7"/>
      <c r="E279" s="7"/>
      <c r="F279" s="7"/>
      <c r="G279" s="7"/>
      <c r="H279" s="7"/>
      <c r="I279" s="7"/>
    </row>
    <row r="280" spans="1:9" ht="16" x14ac:dyDescent="0.2">
      <c r="A280" s="8" t="s">
        <v>362</v>
      </c>
      <c r="B280" s="7" t="s">
        <v>361</v>
      </c>
      <c r="C280" s="7"/>
      <c r="D280" s="7"/>
      <c r="E280" s="7"/>
      <c r="F280" s="7"/>
      <c r="G280" s="7"/>
      <c r="H280" s="7"/>
      <c r="I280" s="7"/>
    </row>
    <row r="281" spans="1:9" ht="16" x14ac:dyDescent="0.2">
      <c r="A281" s="8" t="s">
        <v>363</v>
      </c>
      <c r="B281" s="7" t="s">
        <v>364</v>
      </c>
      <c r="C281" s="7"/>
      <c r="D281" s="7"/>
      <c r="E281" s="7"/>
      <c r="F281" s="7"/>
      <c r="G281" s="7"/>
      <c r="H281" s="7"/>
      <c r="I281" s="7"/>
    </row>
    <row r="282" spans="1:9" ht="16" x14ac:dyDescent="0.2">
      <c r="A282" s="8" t="s">
        <v>365</v>
      </c>
      <c r="B282" s="7" t="s">
        <v>366</v>
      </c>
      <c r="C282" s="7"/>
      <c r="D282" s="7"/>
      <c r="E282" s="7"/>
      <c r="F282" s="7"/>
      <c r="G282" s="7"/>
      <c r="H282" s="7"/>
      <c r="I282" s="7"/>
    </row>
    <row r="283" spans="1:9" ht="16" x14ac:dyDescent="0.2">
      <c r="A283" s="8" t="s">
        <v>367</v>
      </c>
      <c r="B283" s="7" t="s">
        <v>366</v>
      </c>
      <c r="C283" s="7"/>
      <c r="D283" s="7"/>
      <c r="E283" s="7"/>
      <c r="F283" s="7"/>
      <c r="G283" s="7"/>
      <c r="H283" s="7"/>
      <c r="I283" s="7"/>
    </row>
    <row r="284" spans="1:9" ht="16" x14ac:dyDescent="0.2">
      <c r="A284" s="8" t="s">
        <v>368</v>
      </c>
      <c r="B284" s="7" t="s">
        <v>369</v>
      </c>
      <c r="C284" s="7"/>
      <c r="D284" s="7"/>
      <c r="E284" s="7"/>
      <c r="F284" s="7"/>
      <c r="G284" s="7"/>
      <c r="H284" s="7"/>
      <c r="I284" s="7"/>
    </row>
    <row r="285" spans="1:9" ht="16" x14ac:dyDescent="0.2">
      <c r="A285" s="8" t="s">
        <v>370</v>
      </c>
      <c r="B285" s="7" t="s">
        <v>369</v>
      </c>
      <c r="C285" s="7"/>
      <c r="D285" s="7"/>
      <c r="E285" s="7"/>
      <c r="F285" s="7"/>
      <c r="G285" s="7"/>
      <c r="H285" s="7"/>
      <c r="I285" s="7"/>
    </row>
    <row r="286" spans="1:9" ht="16" x14ac:dyDescent="0.2">
      <c r="A286" s="8" t="s">
        <v>371</v>
      </c>
      <c r="B286" s="7" t="s">
        <v>369</v>
      </c>
      <c r="C286" s="7"/>
      <c r="D286" s="7"/>
      <c r="E286" s="7"/>
      <c r="F286" s="7"/>
      <c r="G286" s="7"/>
      <c r="H286" s="7"/>
      <c r="I286" s="7"/>
    </row>
    <row r="287" spans="1:9" ht="16" x14ac:dyDescent="0.2">
      <c r="A287" s="8" t="s">
        <v>372</v>
      </c>
      <c r="B287" s="7" t="s">
        <v>369</v>
      </c>
      <c r="C287" s="7"/>
      <c r="D287" s="7"/>
      <c r="E287" s="7"/>
      <c r="F287" s="7"/>
      <c r="G287" s="7"/>
      <c r="H287" s="7"/>
      <c r="I287" s="7"/>
    </row>
    <row r="288" spans="1:9" ht="16" x14ac:dyDescent="0.2">
      <c r="A288" s="8" t="s">
        <v>373</v>
      </c>
      <c r="B288" s="7" t="s">
        <v>369</v>
      </c>
      <c r="C288" s="7"/>
      <c r="D288" s="7"/>
      <c r="E288" s="7"/>
      <c r="F288" s="7"/>
      <c r="G288" s="7"/>
      <c r="H288" s="7"/>
      <c r="I288" s="7"/>
    </row>
    <row r="289" spans="1:9" ht="16" x14ac:dyDescent="0.2">
      <c r="A289" s="8" t="s">
        <v>374</v>
      </c>
      <c r="B289" s="7" t="s">
        <v>375</v>
      </c>
      <c r="C289" s="7"/>
      <c r="D289" s="7"/>
      <c r="E289" s="7"/>
      <c r="F289" s="7"/>
      <c r="G289" s="7"/>
      <c r="H289" s="7"/>
      <c r="I289" s="7"/>
    </row>
    <row r="290" spans="1:9" ht="16" x14ac:dyDescent="0.2">
      <c r="A290" s="8" t="s">
        <v>376</v>
      </c>
      <c r="B290" s="7" t="s">
        <v>375</v>
      </c>
      <c r="C290" s="7"/>
      <c r="D290" s="7"/>
      <c r="E290" s="7"/>
      <c r="F290" s="7"/>
      <c r="G290" s="7"/>
      <c r="H290" s="7"/>
      <c r="I290" s="7"/>
    </row>
    <row r="291" spans="1:9" ht="16" x14ac:dyDescent="0.2">
      <c r="A291" s="8" t="s">
        <v>377</v>
      </c>
      <c r="B291" s="7" t="s">
        <v>375</v>
      </c>
      <c r="C291" s="7"/>
      <c r="D291" s="7"/>
      <c r="E291" s="7"/>
      <c r="F291" s="7"/>
      <c r="G291" s="7"/>
      <c r="H291" s="7"/>
      <c r="I291" s="7"/>
    </row>
    <row r="292" spans="1:9" ht="16" x14ac:dyDescent="0.2">
      <c r="A292" s="8" t="s">
        <v>378</v>
      </c>
      <c r="B292" s="7" t="s">
        <v>375</v>
      </c>
      <c r="C292" s="7"/>
      <c r="D292" s="7"/>
      <c r="E292" s="7"/>
      <c r="F292" s="7"/>
      <c r="G292" s="7"/>
      <c r="H292" s="7"/>
      <c r="I292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4409-065E-8C42-9F32-BEEF0774E61E}">
  <dimension ref="A1:I111"/>
  <sheetViews>
    <sheetView workbookViewId="0"/>
  </sheetViews>
  <sheetFormatPr baseColWidth="10" defaultRowHeight="15" x14ac:dyDescent="0.2"/>
  <cols>
    <col min="1" max="1" width="34.5" customWidth="1"/>
    <col min="2" max="2" width="21" customWidth="1"/>
    <col min="3" max="3" width="18.6640625" customWidth="1"/>
    <col min="4" max="4" width="18" customWidth="1"/>
    <col min="5" max="5" width="19" customWidth="1"/>
  </cols>
  <sheetData>
    <row r="1" spans="1:6" ht="16" x14ac:dyDescent="0.2">
      <c r="A1" s="8" t="s">
        <v>27</v>
      </c>
      <c r="B1" s="7" t="s">
        <v>57</v>
      </c>
      <c r="C1" s="7"/>
      <c r="D1" s="7"/>
      <c r="E1" s="7"/>
      <c r="F1" s="7"/>
    </row>
    <row r="2" spans="1:6" ht="16" x14ac:dyDescent="0.2">
      <c r="A2" s="8"/>
      <c r="B2" s="7"/>
      <c r="C2" s="7"/>
      <c r="D2" s="7"/>
      <c r="E2" s="7"/>
      <c r="F2" s="7"/>
    </row>
    <row r="3" spans="1:6" ht="16" x14ac:dyDescent="0.2">
      <c r="A3" s="8" t="s">
        <v>29</v>
      </c>
      <c r="B3" s="7" t="s">
        <v>30</v>
      </c>
      <c r="C3" s="7"/>
      <c r="D3" s="7"/>
      <c r="E3" s="7"/>
      <c r="F3" s="7"/>
    </row>
    <row r="4" spans="1:6" ht="16" x14ac:dyDescent="0.2">
      <c r="A4" s="8" t="s">
        <v>31</v>
      </c>
      <c r="B4" s="7">
        <v>0.05</v>
      </c>
      <c r="C4" s="7"/>
      <c r="D4" s="7"/>
      <c r="E4" s="7"/>
      <c r="F4" s="7"/>
    </row>
    <row r="5" spans="1:6" ht="16" x14ac:dyDescent="0.2">
      <c r="A5" s="8"/>
      <c r="B5" s="7"/>
      <c r="C5" s="7"/>
      <c r="D5" s="7"/>
      <c r="E5" s="7"/>
      <c r="F5" s="7"/>
    </row>
    <row r="6" spans="1:6" ht="16" x14ac:dyDescent="0.2">
      <c r="A6" s="8" t="s">
        <v>32</v>
      </c>
      <c r="B6" s="7" t="s">
        <v>33</v>
      </c>
      <c r="C6" s="7" t="s">
        <v>34</v>
      </c>
      <c r="D6" s="7" t="s">
        <v>35</v>
      </c>
      <c r="E6" s="7" t="s">
        <v>36</v>
      </c>
      <c r="F6" s="7"/>
    </row>
    <row r="7" spans="1:6" ht="16" x14ac:dyDescent="0.2">
      <c r="A7" s="8" t="s">
        <v>37</v>
      </c>
      <c r="B7" s="7">
        <v>5.4729999999999999</v>
      </c>
      <c r="C7" s="7" t="s">
        <v>38</v>
      </c>
      <c r="D7" s="7" t="s">
        <v>39</v>
      </c>
      <c r="E7" s="7" t="s">
        <v>40</v>
      </c>
      <c r="F7" s="7"/>
    </row>
    <row r="8" spans="1:6" ht="16" x14ac:dyDescent="0.2">
      <c r="A8" s="8" t="s">
        <v>41</v>
      </c>
      <c r="B8" s="7">
        <v>13.37</v>
      </c>
      <c r="C8" s="7" t="s">
        <v>38</v>
      </c>
      <c r="D8" s="7" t="s">
        <v>39</v>
      </c>
      <c r="E8" s="7" t="s">
        <v>40</v>
      </c>
      <c r="F8" s="7"/>
    </row>
    <row r="9" spans="1:6" ht="16" x14ac:dyDescent="0.2">
      <c r="A9" s="8" t="s">
        <v>42</v>
      </c>
      <c r="B9" s="7">
        <v>0.34470000000000001</v>
      </c>
      <c r="C9" s="7">
        <v>9.0899999999999995E-2</v>
      </c>
      <c r="D9" s="7" t="s">
        <v>58</v>
      </c>
      <c r="E9" s="7" t="s">
        <v>59</v>
      </c>
      <c r="F9" s="7"/>
    </row>
    <row r="10" spans="1:6" ht="16" x14ac:dyDescent="0.2">
      <c r="A10" s="8"/>
      <c r="B10" s="7"/>
      <c r="C10" s="7"/>
      <c r="D10" s="7"/>
      <c r="E10" s="7"/>
      <c r="F10" s="7"/>
    </row>
    <row r="11" spans="1:6" ht="16" x14ac:dyDescent="0.2">
      <c r="A11" s="8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34</v>
      </c>
    </row>
    <row r="12" spans="1:6" ht="16" x14ac:dyDescent="0.2">
      <c r="A12" s="8" t="s">
        <v>37</v>
      </c>
      <c r="B12" s="7">
        <v>89.77</v>
      </c>
      <c r="C12" s="7">
        <v>3</v>
      </c>
      <c r="D12" s="7">
        <v>29.92</v>
      </c>
      <c r="E12" s="7" t="s">
        <v>60</v>
      </c>
      <c r="F12" s="7" t="s">
        <v>49</v>
      </c>
    </row>
    <row r="13" spans="1:6" ht="16" x14ac:dyDescent="0.2">
      <c r="A13" s="8" t="s">
        <v>41</v>
      </c>
      <c r="B13" s="7">
        <v>219.3</v>
      </c>
      <c r="C13" s="7">
        <v>3</v>
      </c>
      <c r="D13" s="7">
        <v>73.099999999999994</v>
      </c>
      <c r="E13" s="7" t="s">
        <v>61</v>
      </c>
      <c r="F13" s="7" t="s">
        <v>49</v>
      </c>
    </row>
    <row r="14" spans="1:6" ht="16" x14ac:dyDescent="0.2">
      <c r="A14" s="8" t="s">
        <v>42</v>
      </c>
      <c r="B14" s="7">
        <v>5.6529999999999996</v>
      </c>
      <c r="C14" s="7">
        <v>1</v>
      </c>
      <c r="D14" s="7">
        <v>5.6529999999999996</v>
      </c>
      <c r="E14" s="7" t="s">
        <v>62</v>
      </c>
      <c r="F14" s="7" t="s">
        <v>63</v>
      </c>
    </row>
    <row r="15" spans="1:6" ht="16" x14ac:dyDescent="0.2">
      <c r="A15" s="8" t="s">
        <v>52</v>
      </c>
      <c r="B15" s="7">
        <v>1325</v>
      </c>
      <c r="C15" s="7">
        <v>672</v>
      </c>
      <c r="D15" s="7">
        <v>1.972</v>
      </c>
      <c r="E15" s="7"/>
      <c r="F15" s="7"/>
    </row>
    <row r="16" spans="1:6" ht="16" x14ac:dyDescent="0.2">
      <c r="A16" s="8"/>
      <c r="B16" s="7"/>
      <c r="C16" s="7"/>
      <c r="D16" s="7"/>
      <c r="E16" s="7"/>
      <c r="F16" s="7"/>
    </row>
    <row r="17" spans="1:9" ht="16" x14ac:dyDescent="0.2">
      <c r="A17" s="8" t="s">
        <v>64</v>
      </c>
      <c r="B17" s="7"/>
      <c r="C17" s="7"/>
      <c r="D17" s="7"/>
      <c r="E17" s="7"/>
      <c r="F17" s="7"/>
    </row>
    <row r="18" spans="1:9" ht="16" x14ac:dyDescent="0.2">
      <c r="A18" s="8" t="s">
        <v>65</v>
      </c>
      <c r="B18" s="7">
        <v>0.97060000000000002</v>
      </c>
      <c r="C18" s="7"/>
      <c r="D18" s="7"/>
      <c r="E18" s="7"/>
      <c r="F18" s="7"/>
    </row>
    <row r="19" spans="1:9" ht="16" x14ac:dyDescent="0.2">
      <c r="A19" s="8" t="s">
        <v>66</v>
      </c>
      <c r="B19" s="7">
        <v>0.78820000000000001</v>
      </c>
      <c r="C19" s="7"/>
      <c r="D19" s="7"/>
      <c r="E19" s="7"/>
      <c r="F19" s="7"/>
    </row>
    <row r="20" spans="1:9" ht="16" x14ac:dyDescent="0.2">
      <c r="A20" s="8" t="s">
        <v>67</v>
      </c>
      <c r="B20" s="7">
        <v>0.18240000000000001</v>
      </c>
      <c r="C20" s="7"/>
      <c r="D20" s="7"/>
      <c r="E20" s="7"/>
      <c r="F20" s="7"/>
    </row>
    <row r="21" spans="1:9" ht="16" x14ac:dyDescent="0.2">
      <c r="A21" s="8" t="s">
        <v>68</v>
      </c>
      <c r="B21" s="7">
        <v>0.1077</v>
      </c>
      <c r="C21" s="7"/>
      <c r="D21" s="7"/>
      <c r="E21" s="7"/>
      <c r="F21" s="7"/>
    </row>
    <row r="22" spans="1:9" ht="16" x14ac:dyDescent="0.2">
      <c r="A22" s="8" t="s">
        <v>69</v>
      </c>
      <c r="B22" s="7" t="s">
        <v>70</v>
      </c>
      <c r="C22" s="7"/>
      <c r="D22" s="7"/>
      <c r="E22" s="7"/>
      <c r="F22" s="7"/>
    </row>
    <row r="23" spans="1:9" ht="16" x14ac:dyDescent="0.2">
      <c r="A23" s="8"/>
      <c r="B23" s="7"/>
      <c r="C23" s="7"/>
      <c r="D23" s="7"/>
      <c r="E23" s="7"/>
      <c r="F23" s="7"/>
    </row>
    <row r="24" spans="1:9" ht="16" x14ac:dyDescent="0.2">
      <c r="A24" s="8" t="s">
        <v>53</v>
      </c>
      <c r="B24" s="7"/>
      <c r="C24" s="7"/>
      <c r="D24" s="7"/>
      <c r="E24" s="7"/>
      <c r="F24" s="7"/>
    </row>
    <row r="25" spans="1:9" ht="16" x14ac:dyDescent="0.2">
      <c r="A25" s="8" t="s">
        <v>54</v>
      </c>
      <c r="B25" s="7">
        <v>2</v>
      </c>
      <c r="C25" s="7"/>
      <c r="D25" s="7"/>
      <c r="E25" s="7"/>
      <c r="F25" s="7"/>
    </row>
    <row r="26" spans="1:9" ht="16" x14ac:dyDescent="0.2">
      <c r="A26" s="8" t="s">
        <v>55</v>
      </c>
      <c r="B26" s="7">
        <v>4</v>
      </c>
      <c r="C26" s="7"/>
      <c r="D26" s="7"/>
      <c r="E26" s="7"/>
      <c r="F26" s="7"/>
    </row>
    <row r="27" spans="1:9" ht="16" x14ac:dyDescent="0.2">
      <c r="A27" s="8" t="s">
        <v>56</v>
      </c>
      <c r="B27" s="7">
        <v>680</v>
      </c>
      <c r="C27" s="7"/>
      <c r="D27" s="7"/>
      <c r="E27" s="7"/>
      <c r="F27" s="7"/>
    </row>
    <row r="31" spans="1:9" ht="16" x14ac:dyDescent="0.2">
      <c r="A31" s="8" t="s">
        <v>142</v>
      </c>
      <c r="B31" s="7"/>
      <c r="C31" s="7"/>
      <c r="D31" s="7"/>
      <c r="E31" s="7"/>
      <c r="F31" s="7"/>
      <c r="G31" s="7"/>
      <c r="H31" s="7"/>
      <c r="I31" s="7"/>
    </row>
    <row r="32" spans="1:9" ht="16" x14ac:dyDescent="0.2">
      <c r="A32" s="8"/>
      <c r="B32" s="7"/>
      <c r="C32" s="7"/>
      <c r="D32" s="7"/>
      <c r="E32" s="7"/>
      <c r="F32" s="7"/>
      <c r="G32" s="7"/>
      <c r="H32" s="7"/>
      <c r="I32" s="7"/>
    </row>
    <row r="33" spans="1:9" ht="16" x14ac:dyDescent="0.2">
      <c r="A33" s="8" t="s">
        <v>143</v>
      </c>
      <c r="B33" s="7">
        <v>1</v>
      </c>
      <c r="C33" s="7"/>
      <c r="D33" s="7"/>
      <c r="E33" s="7"/>
      <c r="F33" s="7"/>
      <c r="G33" s="7"/>
      <c r="H33" s="7"/>
      <c r="I33" s="7"/>
    </row>
    <row r="34" spans="1:9" ht="16" x14ac:dyDescent="0.2">
      <c r="A34" s="8" t="s">
        <v>144</v>
      </c>
      <c r="B34" s="7">
        <v>28</v>
      </c>
      <c r="C34" s="7"/>
      <c r="D34" s="7"/>
      <c r="E34" s="7"/>
      <c r="F34" s="7"/>
      <c r="G34" s="7"/>
      <c r="H34" s="7"/>
      <c r="I34" s="7"/>
    </row>
    <row r="35" spans="1:9" ht="16" x14ac:dyDescent="0.2">
      <c r="A35" s="8" t="s">
        <v>145</v>
      </c>
      <c r="B35" s="7">
        <v>0.05</v>
      </c>
      <c r="C35" s="7"/>
      <c r="D35" s="7"/>
      <c r="E35" s="7"/>
      <c r="F35" s="7"/>
      <c r="G35" s="7"/>
      <c r="H35" s="7"/>
      <c r="I35" s="7"/>
    </row>
    <row r="36" spans="1:9" ht="16" x14ac:dyDescent="0.2">
      <c r="A36" s="8"/>
      <c r="B36" s="7"/>
      <c r="C36" s="7"/>
      <c r="D36" s="7"/>
      <c r="E36" s="7"/>
      <c r="F36" s="7"/>
      <c r="G36" s="7"/>
      <c r="H36" s="7"/>
      <c r="I36" s="7"/>
    </row>
    <row r="37" spans="1:9" ht="16" x14ac:dyDescent="0.2">
      <c r="A37" s="8" t="s">
        <v>146</v>
      </c>
      <c r="B37" s="7" t="s">
        <v>147</v>
      </c>
      <c r="C37" s="7" t="s">
        <v>148</v>
      </c>
      <c r="D37" s="7" t="s">
        <v>149</v>
      </c>
      <c r="E37" s="7" t="s">
        <v>150</v>
      </c>
      <c r="F37" s="7" t="s">
        <v>151</v>
      </c>
      <c r="G37" s="7"/>
      <c r="H37" s="7"/>
      <c r="I37" s="7"/>
    </row>
    <row r="38" spans="1:9" ht="16" x14ac:dyDescent="0.2">
      <c r="A38" s="8"/>
      <c r="B38" s="7"/>
      <c r="C38" s="7"/>
      <c r="D38" s="7"/>
      <c r="E38" s="7"/>
      <c r="F38" s="7"/>
      <c r="G38" s="7"/>
      <c r="H38" s="7"/>
      <c r="I38" s="7"/>
    </row>
    <row r="39" spans="1:9" ht="16" x14ac:dyDescent="0.2">
      <c r="A39" s="8" t="s">
        <v>379</v>
      </c>
      <c r="B39" s="7">
        <v>-0.91759999999999997</v>
      </c>
      <c r="C39" s="7" t="s">
        <v>380</v>
      </c>
      <c r="D39" s="7" t="s">
        <v>40</v>
      </c>
      <c r="E39" s="7" t="s">
        <v>171</v>
      </c>
      <c r="F39" s="7">
        <v>5.9999999999999995E-4</v>
      </c>
      <c r="G39" s="7"/>
      <c r="H39" s="7"/>
      <c r="I39" s="7"/>
    </row>
    <row r="40" spans="1:9" ht="16" x14ac:dyDescent="0.2">
      <c r="A40" s="8" t="s">
        <v>381</v>
      </c>
      <c r="B40" s="7">
        <v>-1.153</v>
      </c>
      <c r="C40" s="7" t="s">
        <v>382</v>
      </c>
      <c r="D40" s="7" t="s">
        <v>40</v>
      </c>
      <c r="E40" s="7" t="s">
        <v>39</v>
      </c>
      <c r="F40" s="7" t="s">
        <v>38</v>
      </c>
      <c r="G40" s="7"/>
      <c r="H40" s="7"/>
      <c r="I40" s="7"/>
    </row>
    <row r="41" spans="1:9" ht="16" x14ac:dyDescent="0.2">
      <c r="A41" s="8" t="s">
        <v>383</v>
      </c>
      <c r="B41" s="7">
        <v>-0.17649999999999999</v>
      </c>
      <c r="C41" s="7" t="s">
        <v>384</v>
      </c>
      <c r="D41" s="7" t="s">
        <v>59</v>
      </c>
      <c r="E41" s="7" t="s">
        <v>58</v>
      </c>
      <c r="F41" s="7">
        <v>0.99199999999999999</v>
      </c>
      <c r="G41" s="7"/>
      <c r="H41" s="7"/>
      <c r="I41" s="7"/>
    </row>
    <row r="42" spans="1:9" ht="16" x14ac:dyDescent="0.2">
      <c r="A42" s="8" t="s">
        <v>385</v>
      </c>
      <c r="B42" s="7">
        <v>-1.494</v>
      </c>
      <c r="C42" s="7" t="s">
        <v>386</v>
      </c>
      <c r="D42" s="7" t="s">
        <v>40</v>
      </c>
      <c r="E42" s="7" t="s">
        <v>39</v>
      </c>
      <c r="F42" s="7" t="s">
        <v>38</v>
      </c>
      <c r="G42" s="7"/>
      <c r="H42" s="7"/>
      <c r="I42" s="7"/>
    </row>
    <row r="43" spans="1:9" ht="16" x14ac:dyDescent="0.2">
      <c r="A43" s="8" t="s">
        <v>387</v>
      </c>
      <c r="B43" s="7">
        <v>-0.82350000000000001</v>
      </c>
      <c r="C43" s="7" t="s">
        <v>388</v>
      </c>
      <c r="D43" s="7" t="s">
        <v>40</v>
      </c>
      <c r="E43" s="7" t="s">
        <v>251</v>
      </c>
      <c r="F43" s="7">
        <v>3.5999999999999999E-3</v>
      </c>
      <c r="G43" s="7"/>
      <c r="H43" s="7"/>
      <c r="I43" s="7"/>
    </row>
    <row r="44" spans="1:9" ht="16" x14ac:dyDescent="0.2">
      <c r="A44" s="8" t="s">
        <v>389</v>
      </c>
      <c r="B44" s="7">
        <v>0.4118</v>
      </c>
      <c r="C44" s="7" t="s">
        <v>390</v>
      </c>
      <c r="D44" s="7" t="s">
        <v>59</v>
      </c>
      <c r="E44" s="7" t="s">
        <v>58</v>
      </c>
      <c r="F44" s="7">
        <v>0.54349999999999998</v>
      </c>
      <c r="G44" s="7"/>
      <c r="H44" s="7"/>
      <c r="I44" s="7"/>
    </row>
    <row r="45" spans="1:9" ht="16" x14ac:dyDescent="0.2">
      <c r="A45" s="8" t="s">
        <v>391</v>
      </c>
      <c r="B45" s="7">
        <v>0.4118</v>
      </c>
      <c r="C45" s="7" t="s">
        <v>390</v>
      </c>
      <c r="D45" s="7" t="s">
        <v>59</v>
      </c>
      <c r="E45" s="7" t="s">
        <v>58</v>
      </c>
      <c r="F45" s="7">
        <v>0.54349999999999998</v>
      </c>
      <c r="G45" s="7"/>
      <c r="H45" s="7"/>
      <c r="I45" s="7"/>
    </row>
    <row r="46" spans="1:9" ht="16" x14ac:dyDescent="0.2">
      <c r="A46" s="8" t="s">
        <v>392</v>
      </c>
      <c r="B46" s="7">
        <v>-0.23530000000000001</v>
      </c>
      <c r="C46" s="7" t="s">
        <v>393</v>
      </c>
      <c r="D46" s="7" t="s">
        <v>59</v>
      </c>
      <c r="E46" s="7" t="s">
        <v>58</v>
      </c>
      <c r="F46" s="7">
        <v>0.95840000000000003</v>
      </c>
      <c r="G46" s="7"/>
      <c r="H46" s="7"/>
      <c r="I46" s="7"/>
    </row>
    <row r="47" spans="1:9" ht="16" x14ac:dyDescent="0.2">
      <c r="A47" s="8" t="s">
        <v>394</v>
      </c>
      <c r="B47" s="7">
        <v>0.74119999999999997</v>
      </c>
      <c r="C47" s="7" t="s">
        <v>395</v>
      </c>
      <c r="D47" s="7" t="s">
        <v>40</v>
      </c>
      <c r="E47" s="7" t="s">
        <v>202</v>
      </c>
      <c r="F47" s="7">
        <v>1.4200000000000001E-2</v>
      </c>
      <c r="G47" s="7"/>
      <c r="H47" s="7"/>
      <c r="I47" s="7"/>
    </row>
    <row r="48" spans="1:9" ht="16" x14ac:dyDescent="0.2">
      <c r="A48" s="8" t="s">
        <v>396</v>
      </c>
      <c r="B48" s="7">
        <v>-0.57650000000000001</v>
      </c>
      <c r="C48" s="7" t="s">
        <v>397</v>
      </c>
      <c r="D48" s="7" t="s">
        <v>59</v>
      </c>
      <c r="E48" s="7" t="s">
        <v>58</v>
      </c>
      <c r="F48" s="7">
        <v>0.1318</v>
      </c>
      <c r="G48" s="7"/>
      <c r="H48" s="7"/>
      <c r="I48" s="7"/>
    </row>
    <row r="49" spans="1:9" ht="16" x14ac:dyDescent="0.2">
      <c r="A49" s="8" t="s">
        <v>398</v>
      </c>
      <c r="B49" s="7">
        <v>9.4119999999999995E-2</v>
      </c>
      <c r="C49" s="7" t="s">
        <v>399</v>
      </c>
      <c r="D49" s="7" t="s">
        <v>59</v>
      </c>
      <c r="E49" s="7" t="s">
        <v>58</v>
      </c>
      <c r="F49" s="7">
        <v>0.99990000000000001</v>
      </c>
      <c r="G49" s="7"/>
      <c r="H49" s="7"/>
      <c r="I49" s="7"/>
    </row>
    <row r="50" spans="1:9" ht="16" x14ac:dyDescent="0.2">
      <c r="A50" s="8" t="s">
        <v>400</v>
      </c>
      <c r="B50" s="7">
        <v>1.329</v>
      </c>
      <c r="C50" s="7" t="s">
        <v>401</v>
      </c>
      <c r="D50" s="7" t="s">
        <v>40</v>
      </c>
      <c r="E50" s="7" t="s">
        <v>39</v>
      </c>
      <c r="F50" s="7" t="s">
        <v>38</v>
      </c>
      <c r="G50" s="7"/>
      <c r="H50" s="7"/>
      <c r="I50" s="7"/>
    </row>
    <row r="51" spans="1:9" ht="16" x14ac:dyDescent="0.2">
      <c r="A51" s="8" t="s">
        <v>402</v>
      </c>
      <c r="B51" s="7">
        <v>1.329</v>
      </c>
      <c r="C51" s="7" t="s">
        <v>401</v>
      </c>
      <c r="D51" s="7" t="s">
        <v>40</v>
      </c>
      <c r="E51" s="7" t="s">
        <v>39</v>
      </c>
      <c r="F51" s="7" t="s">
        <v>38</v>
      </c>
      <c r="G51" s="7"/>
      <c r="H51" s="7"/>
      <c r="I51" s="7"/>
    </row>
    <row r="52" spans="1:9" ht="16" x14ac:dyDescent="0.2">
      <c r="A52" s="8" t="s">
        <v>403</v>
      </c>
      <c r="B52" s="7">
        <v>0.97650000000000003</v>
      </c>
      <c r="C52" s="7" t="s">
        <v>404</v>
      </c>
      <c r="D52" s="7" t="s">
        <v>40</v>
      </c>
      <c r="E52" s="7" t="s">
        <v>171</v>
      </c>
      <c r="F52" s="7">
        <v>2.0000000000000001E-4</v>
      </c>
      <c r="G52" s="7"/>
      <c r="H52" s="7"/>
      <c r="I52" s="7"/>
    </row>
    <row r="53" spans="1:9" ht="16" x14ac:dyDescent="0.2">
      <c r="A53" s="8" t="s">
        <v>405</v>
      </c>
      <c r="B53" s="7">
        <v>-0.3412</v>
      </c>
      <c r="C53" s="7" t="s">
        <v>406</v>
      </c>
      <c r="D53" s="7" t="s">
        <v>59</v>
      </c>
      <c r="E53" s="7" t="s">
        <v>58</v>
      </c>
      <c r="F53" s="7">
        <v>0.7601</v>
      </c>
      <c r="G53" s="7"/>
      <c r="H53" s="7"/>
      <c r="I53" s="7"/>
    </row>
    <row r="54" spans="1:9" ht="16" x14ac:dyDescent="0.2">
      <c r="A54" s="8" t="s">
        <v>407</v>
      </c>
      <c r="B54" s="7">
        <v>0.32940000000000003</v>
      </c>
      <c r="C54" s="7" t="s">
        <v>408</v>
      </c>
      <c r="D54" s="7" t="s">
        <v>59</v>
      </c>
      <c r="E54" s="7" t="s">
        <v>58</v>
      </c>
      <c r="F54" s="7">
        <v>0.79149999999999998</v>
      </c>
      <c r="G54" s="7"/>
      <c r="H54" s="7"/>
      <c r="I54" s="7"/>
    </row>
    <row r="55" spans="1:9" ht="16" x14ac:dyDescent="0.2">
      <c r="A55" s="8" t="s">
        <v>409</v>
      </c>
      <c r="B55" s="7">
        <v>1.5649999999999999</v>
      </c>
      <c r="C55" s="7" t="s">
        <v>410</v>
      </c>
      <c r="D55" s="7" t="s">
        <v>40</v>
      </c>
      <c r="E55" s="7" t="s">
        <v>39</v>
      </c>
      <c r="F55" s="7" t="s">
        <v>38</v>
      </c>
      <c r="G55" s="7"/>
      <c r="H55" s="7"/>
      <c r="I55" s="7"/>
    </row>
    <row r="56" spans="1:9" ht="16" x14ac:dyDescent="0.2">
      <c r="A56" s="8" t="s">
        <v>411</v>
      </c>
      <c r="B56" s="7">
        <v>1.5649999999999999</v>
      </c>
      <c r="C56" s="7" t="s">
        <v>410</v>
      </c>
      <c r="D56" s="7" t="s">
        <v>40</v>
      </c>
      <c r="E56" s="7" t="s">
        <v>39</v>
      </c>
      <c r="F56" s="7" t="s">
        <v>38</v>
      </c>
      <c r="G56" s="7"/>
      <c r="H56" s="7"/>
      <c r="I56" s="7"/>
    </row>
    <row r="57" spans="1:9" ht="16" x14ac:dyDescent="0.2">
      <c r="A57" s="8" t="s">
        <v>412</v>
      </c>
      <c r="B57" s="7">
        <v>-1.3180000000000001</v>
      </c>
      <c r="C57" s="7" t="s">
        <v>413</v>
      </c>
      <c r="D57" s="7" t="s">
        <v>40</v>
      </c>
      <c r="E57" s="7" t="s">
        <v>39</v>
      </c>
      <c r="F57" s="7" t="s">
        <v>38</v>
      </c>
      <c r="G57" s="7"/>
      <c r="H57" s="7"/>
      <c r="I57" s="7"/>
    </row>
    <row r="58" spans="1:9" ht="16" x14ac:dyDescent="0.2">
      <c r="A58" s="8" t="s">
        <v>414</v>
      </c>
      <c r="B58" s="7">
        <v>-0.64710000000000001</v>
      </c>
      <c r="C58" s="7" t="s">
        <v>415</v>
      </c>
      <c r="D58" s="7" t="s">
        <v>59</v>
      </c>
      <c r="E58" s="7" t="s">
        <v>58</v>
      </c>
      <c r="F58" s="7">
        <v>5.5599999999999997E-2</v>
      </c>
      <c r="G58" s="7"/>
      <c r="H58" s="7"/>
      <c r="I58" s="7"/>
    </row>
    <row r="59" spans="1:9" ht="16" x14ac:dyDescent="0.2">
      <c r="A59" s="8" t="s">
        <v>416</v>
      </c>
      <c r="B59" s="7">
        <v>0.58819999999999995</v>
      </c>
      <c r="C59" s="7" t="s">
        <v>417</v>
      </c>
      <c r="D59" s="7" t="s">
        <v>59</v>
      </c>
      <c r="E59" s="7" t="s">
        <v>58</v>
      </c>
      <c r="F59" s="7">
        <v>0.1153</v>
      </c>
      <c r="G59" s="7"/>
      <c r="H59" s="7"/>
      <c r="I59" s="7"/>
    </row>
    <row r="60" spans="1:9" ht="16" x14ac:dyDescent="0.2">
      <c r="A60" s="8" t="s">
        <v>418</v>
      </c>
      <c r="B60" s="7">
        <v>0.58819999999999995</v>
      </c>
      <c r="C60" s="7" t="s">
        <v>417</v>
      </c>
      <c r="D60" s="7" t="s">
        <v>59</v>
      </c>
      <c r="E60" s="7" t="s">
        <v>58</v>
      </c>
      <c r="F60" s="7">
        <v>0.1153</v>
      </c>
      <c r="G60" s="7"/>
      <c r="H60" s="7"/>
      <c r="I60" s="7"/>
    </row>
    <row r="61" spans="1:9" ht="16" x14ac:dyDescent="0.2">
      <c r="A61" s="8" t="s">
        <v>419</v>
      </c>
      <c r="B61" s="7">
        <v>0.67059999999999997</v>
      </c>
      <c r="C61" s="7" t="s">
        <v>420</v>
      </c>
      <c r="D61" s="7" t="s">
        <v>40</v>
      </c>
      <c r="E61" s="7" t="s">
        <v>202</v>
      </c>
      <c r="F61" s="7">
        <v>4.0399999999999998E-2</v>
      </c>
      <c r="G61" s="7"/>
      <c r="H61" s="7"/>
      <c r="I61" s="7"/>
    </row>
    <row r="62" spans="1:9" ht="16" x14ac:dyDescent="0.2">
      <c r="A62" s="8" t="s">
        <v>421</v>
      </c>
      <c r="B62" s="7">
        <v>1.9059999999999999</v>
      </c>
      <c r="C62" s="7" t="s">
        <v>422</v>
      </c>
      <c r="D62" s="7" t="s">
        <v>40</v>
      </c>
      <c r="E62" s="7" t="s">
        <v>39</v>
      </c>
      <c r="F62" s="7" t="s">
        <v>38</v>
      </c>
      <c r="G62" s="7"/>
      <c r="H62" s="7"/>
      <c r="I62" s="7"/>
    </row>
    <row r="63" spans="1:9" ht="16" x14ac:dyDescent="0.2">
      <c r="A63" s="8" t="s">
        <v>423</v>
      </c>
      <c r="B63" s="7">
        <v>1.9059999999999999</v>
      </c>
      <c r="C63" s="7" t="s">
        <v>422</v>
      </c>
      <c r="D63" s="7" t="s">
        <v>40</v>
      </c>
      <c r="E63" s="7" t="s">
        <v>39</v>
      </c>
      <c r="F63" s="7" t="s">
        <v>38</v>
      </c>
      <c r="G63" s="7"/>
      <c r="H63" s="7"/>
      <c r="I63" s="7"/>
    </row>
    <row r="64" spans="1:9" ht="16" x14ac:dyDescent="0.2">
      <c r="A64" s="8" t="s">
        <v>424</v>
      </c>
      <c r="B64" s="7">
        <v>1.2350000000000001</v>
      </c>
      <c r="C64" s="7" t="s">
        <v>425</v>
      </c>
      <c r="D64" s="7" t="s">
        <v>40</v>
      </c>
      <c r="E64" s="7" t="s">
        <v>39</v>
      </c>
      <c r="F64" s="7" t="s">
        <v>38</v>
      </c>
      <c r="G64" s="7"/>
      <c r="H64" s="7"/>
      <c r="I64" s="7"/>
    </row>
    <row r="65" spans="1:9" ht="16" x14ac:dyDescent="0.2">
      <c r="A65" s="8" t="s">
        <v>426</v>
      </c>
      <c r="B65" s="7">
        <v>1.2350000000000001</v>
      </c>
      <c r="C65" s="7" t="s">
        <v>425</v>
      </c>
      <c r="D65" s="7" t="s">
        <v>40</v>
      </c>
      <c r="E65" s="7" t="s">
        <v>39</v>
      </c>
      <c r="F65" s="7" t="s">
        <v>38</v>
      </c>
      <c r="G65" s="7"/>
      <c r="H65" s="7"/>
      <c r="I65" s="7"/>
    </row>
    <row r="66" spans="1:9" ht="16" x14ac:dyDescent="0.2">
      <c r="A66" s="8" t="s">
        <v>427</v>
      </c>
      <c r="B66" s="7">
        <v>0</v>
      </c>
      <c r="C66" s="7" t="s">
        <v>428</v>
      </c>
      <c r="D66" s="7" t="s">
        <v>59</v>
      </c>
      <c r="E66" s="7" t="s">
        <v>58</v>
      </c>
      <c r="F66" s="7" t="s">
        <v>164</v>
      </c>
      <c r="G66" s="7"/>
      <c r="H66" s="7"/>
      <c r="I66" s="7"/>
    </row>
    <row r="67" spans="1:9" ht="16" x14ac:dyDescent="0.2">
      <c r="A67" s="8"/>
      <c r="B67" s="7"/>
      <c r="C67" s="7"/>
      <c r="D67" s="7"/>
      <c r="E67" s="7"/>
      <c r="F67" s="7"/>
      <c r="G67" s="7"/>
      <c r="H67" s="7"/>
      <c r="I67" s="7"/>
    </row>
    <row r="68" spans="1:9" ht="16" x14ac:dyDescent="0.2">
      <c r="A68" s="8"/>
      <c r="B68" s="7"/>
      <c r="C68" s="7"/>
      <c r="D68" s="7"/>
      <c r="E68" s="7"/>
      <c r="F68" s="7"/>
      <c r="G68" s="7"/>
      <c r="H68" s="7"/>
      <c r="I68" s="7"/>
    </row>
    <row r="69" spans="1:9" ht="16" x14ac:dyDescent="0.2">
      <c r="A69" s="8" t="s">
        <v>349</v>
      </c>
      <c r="B69" s="7" t="s">
        <v>350</v>
      </c>
      <c r="C69" s="7" t="s">
        <v>351</v>
      </c>
      <c r="D69" s="7" t="s">
        <v>147</v>
      </c>
      <c r="E69" s="7" t="s">
        <v>352</v>
      </c>
      <c r="F69" s="7" t="s">
        <v>353</v>
      </c>
      <c r="G69" s="7" t="s">
        <v>354</v>
      </c>
      <c r="H69" s="7" t="s">
        <v>355</v>
      </c>
      <c r="I69" s="7" t="s">
        <v>45</v>
      </c>
    </row>
    <row r="70" spans="1:9" ht="16" x14ac:dyDescent="0.2">
      <c r="A70" s="8"/>
      <c r="B70" s="7"/>
      <c r="C70" s="7"/>
      <c r="D70" s="7"/>
      <c r="E70" s="7"/>
      <c r="F70" s="7"/>
      <c r="G70" s="7"/>
      <c r="H70" s="7"/>
      <c r="I70" s="7"/>
    </row>
    <row r="71" spans="1:9" ht="16" x14ac:dyDescent="0.2">
      <c r="A71" s="8" t="s">
        <v>379</v>
      </c>
      <c r="B71" s="7">
        <v>0.4118</v>
      </c>
      <c r="C71" s="7">
        <v>1.329</v>
      </c>
      <c r="D71" s="7">
        <v>-0.91759999999999997</v>
      </c>
      <c r="E71" s="7">
        <v>0.21540000000000001</v>
      </c>
      <c r="F71" s="7">
        <v>85</v>
      </c>
      <c r="G71" s="7">
        <v>85</v>
      </c>
      <c r="H71" s="7">
        <v>6.024</v>
      </c>
      <c r="I71" s="7">
        <v>672</v>
      </c>
    </row>
    <row r="72" spans="1:9" ht="16" x14ac:dyDescent="0.2">
      <c r="A72" s="8" t="s">
        <v>381</v>
      </c>
      <c r="B72" s="7">
        <v>0.4118</v>
      </c>
      <c r="C72" s="7">
        <v>1.5649999999999999</v>
      </c>
      <c r="D72" s="7">
        <v>-1.153</v>
      </c>
      <c r="E72" s="7">
        <v>0.21540000000000001</v>
      </c>
      <c r="F72" s="7">
        <v>85</v>
      </c>
      <c r="G72" s="7">
        <v>85</v>
      </c>
      <c r="H72" s="7">
        <v>7.569</v>
      </c>
      <c r="I72" s="7">
        <v>672</v>
      </c>
    </row>
    <row r="73" spans="1:9" ht="16" x14ac:dyDescent="0.2">
      <c r="A73" s="8" t="s">
        <v>383</v>
      </c>
      <c r="B73" s="7">
        <v>0.4118</v>
      </c>
      <c r="C73" s="7">
        <v>0.58819999999999995</v>
      </c>
      <c r="D73" s="7">
        <v>-0.17649999999999999</v>
      </c>
      <c r="E73" s="7">
        <v>0.21540000000000001</v>
      </c>
      <c r="F73" s="7">
        <v>85</v>
      </c>
      <c r="G73" s="7">
        <v>85</v>
      </c>
      <c r="H73" s="7">
        <v>1.1579999999999999</v>
      </c>
      <c r="I73" s="7">
        <v>672</v>
      </c>
    </row>
    <row r="74" spans="1:9" ht="16" x14ac:dyDescent="0.2">
      <c r="A74" s="8" t="s">
        <v>385</v>
      </c>
      <c r="B74" s="7">
        <v>0.4118</v>
      </c>
      <c r="C74" s="7">
        <v>1.9059999999999999</v>
      </c>
      <c r="D74" s="7">
        <v>-1.494</v>
      </c>
      <c r="E74" s="7">
        <v>0.21540000000000001</v>
      </c>
      <c r="F74" s="7">
        <v>85</v>
      </c>
      <c r="G74" s="7">
        <v>85</v>
      </c>
      <c r="H74" s="7">
        <v>9.8089999999999993</v>
      </c>
      <c r="I74" s="7">
        <v>672</v>
      </c>
    </row>
    <row r="75" spans="1:9" ht="16" x14ac:dyDescent="0.2">
      <c r="A75" s="8" t="s">
        <v>387</v>
      </c>
      <c r="B75" s="7">
        <v>0.4118</v>
      </c>
      <c r="C75" s="7">
        <v>1.2350000000000001</v>
      </c>
      <c r="D75" s="7">
        <v>-0.82350000000000001</v>
      </c>
      <c r="E75" s="7">
        <v>0.21540000000000001</v>
      </c>
      <c r="F75" s="7">
        <v>85</v>
      </c>
      <c r="G75" s="7">
        <v>85</v>
      </c>
      <c r="H75" s="7">
        <v>5.4059999999999997</v>
      </c>
      <c r="I75" s="7">
        <v>672</v>
      </c>
    </row>
    <row r="76" spans="1:9" ht="16" x14ac:dyDescent="0.2">
      <c r="A76" s="8" t="s">
        <v>389</v>
      </c>
      <c r="B76" s="7">
        <v>0.4118</v>
      </c>
      <c r="C76" s="7">
        <v>0</v>
      </c>
      <c r="D76" s="7">
        <v>0.4118</v>
      </c>
      <c r="E76" s="7">
        <v>0.21540000000000001</v>
      </c>
      <c r="F76" s="7">
        <v>85</v>
      </c>
      <c r="G76" s="7">
        <v>85</v>
      </c>
      <c r="H76" s="7">
        <v>2.7029999999999998</v>
      </c>
      <c r="I76" s="7">
        <v>672</v>
      </c>
    </row>
    <row r="77" spans="1:9" ht="16" x14ac:dyDescent="0.2">
      <c r="A77" s="8" t="s">
        <v>391</v>
      </c>
      <c r="B77" s="7">
        <v>0.4118</v>
      </c>
      <c r="C77" s="7">
        <v>0</v>
      </c>
      <c r="D77" s="7">
        <v>0.4118</v>
      </c>
      <c r="E77" s="7">
        <v>0.21540000000000001</v>
      </c>
      <c r="F77" s="7">
        <v>85</v>
      </c>
      <c r="G77" s="7">
        <v>85</v>
      </c>
      <c r="H77" s="7">
        <v>2.7029999999999998</v>
      </c>
      <c r="I77" s="7">
        <v>672</v>
      </c>
    </row>
    <row r="78" spans="1:9" ht="16" x14ac:dyDescent="0.2">
      <c r="A78" s="8" t="s">
        <v>392</v>
      </c>
      <c r="B78" s="7">
        <v>1.329</v>
      </c>
      <c r="C78" s="7">
        <v>1.5649999999999999</v>
      </c>
      <c r="D78" s="7">
        <v>-0.23530000000000001</v>
      </c>
      <c r="E78" s="7">
        <v>0.21540000000000001</v>
      </c>
      <c r="F78" s="7">
        <v>85</v>
      </c>
      <c r="G78" s="7">
        <v>85</v>
      </c>
      <c r="H78" s="7">
        <v>1.5449999999999999</v>
      </c>
      <c r="I78" s="7">
        <v>672</v>
      </c>
    </row>
    <row r="79" spans="1:9" ht="16" x14ac:dyDescent="0.2">
      <c r="A79" s="8" t="s">
        <v>394</v>
      </c>
      <c r="B79" s="7">
        <v>1.329</v>
      </c>
      <c r="C79" s="7">
        <v>0.58819999999999995</v>
      </c>
      <c r="D79" s="7">
        <v>0.74119999999999997</v>
      </c>
      <c r="E79" s="7">
        <v>0.21540000000000001</v>
      </c>
      <c r="F79" s="7">
        <v>85</v>
      </c>
      <c r="G79" s="7">
        <v>85</v>
      </c>
      <c r="H79" s="7">
        <v>4.8659999999999997</v>
      </c>
      <c r="I79" s="7">
        <v>672</v>
      </c>
    </row>
    <row r="80" spans="1:9" ht="16" x14ac:dyDescent="0.2">
      <c r="A80" s="8" t="s">
        <v>396</v>
      </c>
      <c r="B80" s="7">
        <v>1.329</v>
      </c>
      <c r="C80" s="7">
        <v>1.9059999999999999</v>
      </c>
      <c r="D80" s="7">
        <v>-0.57650000000000001</v>
      </c>
      <c r="E80" s="7">
        <v>0.21540000000000001</v>
      </c>
      <c r="F80" s="7">
        <v>85</v>
      </c>
      <c r="G80" s="7">
        <v>85</v>
      </c>
      <c r="H80" s="7">
        <v>3.7839999999999998</v>
      </c>
      <c r="I80" s="7">
        <v>672</v>
      </c>
    </row>
    <row r="81" spans="1:9" ht="16" x14ac:dyDescent="0.2">
      <c r="A81" s="8" t="s">
        <v>398</v>
      </c>
      <c r="B81" s="7">
        <v>1.329</v>
      </c>
      <c r="C81" s="7">
        <v>1.2350000000000001</v>
      </c>
      <c r="D81" s="7">
        <v>9.4119999999999995E-2</v>
      </c>
      <c r="E81" s="7">
        <v>0.21540000000000001</v>
      </c>
      <c r="F81" s="7">
        <v>85</v>
      </c>
      <c r="G81" s="7">
        <v>85</v>
      </c>
      <c r="H81" s="7">
        <v>0.6179</v>
      </c>
      <c r="I81" s="7">
        <v>672</v>
      </c>
    </row>
    <row r="82" spans="1:9" ht="16" x14ac:dyDescent="0.2">
      <c r="A82" s="8" t="s">
        <v>400</v>
      </c>
      <c r="B82" s="7">
        <v>1.329</v>
      </c>
      <c r="C82" s="7">
        <v>0</v>
      </c>
      <c r="D82" s="7">
        <v>1.329</v>
      </c>
      <c r="E82" s="7">
        <v>0.21540000000000001</v>
      </c>
      <c r="F82" s="7">
        <v>85</v>
      </c>
      <c r="G82" s="7">
        <v>85</v>
      </c>
      <c r="H82" s="7">
        <v>8.7270000000000003</v>
      </c>
      <c r="I82" s="7">
        <v>672</v>
      </c>
    </row>
    <row r="83" spans="1:9" ht="16" x14ac:dyDescent="0.2">
      <c r="A83" s="8" t="s">
        <v>402</v>
      </c>
      <c r="B83" s="7">
        <v>1.329</v>
      </c>
      <c r="C83" s="7">
        <v>0</v>
      </c>
      <c r="D83" s="7">
        <v>1.329</v>
      </c>
      <c r="E83" s="7">
        <v>0.21540000000000001</v>
      </c>
      <c r="F83" s="7">
        <v>85</v>
      </c>
      <c r="G83" s="7">
        <v>85</v>
      </c>
      <c r="H83" s="7">
        <v>8.7270000000000003</v>
      </c>
      <c r="I83" s="7">
        <v>672</v>
      </c>
    </row>
    <row r="84" spans="1:9" ht="16" x14ac:dyDescent="0.2">
      <c r="A84" s="8" t="s">
        <v>403</v>
      </c>
      <c r="B84" s="7">
        <v>1.5649999999999999</v>
      </c>
      <c r="C84" s="7">
        <v>0.58819999999999995</v>
      </c>
      <c r="D84" s="7">
        <v>0.97650000000000003</v>
      </c>
      <c r="E84" s="7">
        <v>0.21540000000000001</v>
      </c>
      <c r="F84" s="7">
        <v>85</v>
      </c>
      <c r="G84" s="7">
        <v>85</v>
      </c>
      <c r="H84" s="7">
        <v>6.41</v>
      </c>
      <c r="I84" s="7">
        <v>672</v>
      </c>
    </row>
    <row r="85" spans="1:9" ht="16" x14ac:dyDescent="0.2">
      <c r="A85" s="8" t="s">
        <v>405</v>
      </c>
      <c r="B85" s="7">
        <v>1.5649999999999999</v>
      </c>
      <c r="C85" s="7">
        <v>1.9059999999999999</v>
      </c>
      <c r="D85" s="7">
        <v>-0.3412</v>
      </c>
      <c r="E85" s="7">
        <v>0.21540000000000001</v>
      </c>
      <c r="F85" s="7">
        <v>85</v>
      </c>
      <c r="G85" s="7">
        <v>85</v>
      </c>
      <c r="H85" s="7">
        <v>2.2400000000000002</v>
      </c>
      <c r="I85" s="7">
        <v>672</v>
      </c>
    </row>
    <row r="86" spans="1:9" ht="16" x14ac:dyDescent="0.2">
      <c r="A86" s="8" t="s">
        <v>407</v>
      </c>
      <c r="B86" s="7">
        <v>1.5649999999999999</v>
      </c>
      <c r="C86" s="7">
        <v>1.2350000000000001</v>
      </c>
      <c r="D86" s="7">
        <v>0.32940000000000003</v>
      </c>
      <c r="E86" s="7">
        <v>0.21540000000000001</v>
      </c>
      <c r="F86" s="7">
        <v>85</v>
      </c>
      <c r="G86" s="7">
        <v>85</v>
      </c>
      <c r="H86" s="7">
        <v>2.1629999999999998</v>
      </c>
      <c r="I86" s="7">
        <v>672</v>
      </c>
    </row>
    <row r="87" spans="1:9" ht="16" x14ac:dyDescent="0.2">
      <c r="A87" s="8" t="s">
        <v>409</v>
      </c>
      <c r="B87" s="7">
        <v>1.5649999999999999</v>
      </c>
      <c r="C87" s="7">
        <v>0</v>
      </c>
      <c r="D87" s="7">
        <v>1.5649999999999999</v>
      </c>
      <c r="E87" s="7">
        <v>0.21540000000000001</v>
      </c>
      <c r="F87" s="7">
        <v>85</v>
      </c>
      <c r="G87" s="7">
        <v>85</v>
      </c>
      <c r="H87" s="7">
        <v>10.27</v>
      </c>
      <c r="I87" s="7">
        <v>672</v>
      </c>
    </row>
    <row r="88" spans="1:9" ht="16" x14ac:dyDescent="0.2">
      <c r="A88" s="8" t="s">
        <v>411</v>
      </c>
      <c r="B88" s="7">
        <v>1.5649999999999999</v>
      </c>
      <c r="C88" s="7">
        <v>0</v>
      </c>
      <c r="D88" s="7">
        <v>1.5649999999999999</v>
      </c>
      <c r="E88" s="7">
        <v>0.21540000000000001</v>
      </c>
      <c r="F88" s="7">
        <v>85</v>
      </c>
      <c r="G88" s="7">
        <v>85</v>
      </c>
      <c r="H88" s="7">
        <v>10.27</v>
      </c>
      <c r="I88" s="7">
        <v>672</v>
      </c>
    </row>
    <row r="89" spans="1:9" ht="16" x14ac:dyDescent="0.2">
      <c r="A89" s="8" t="s">
        <v>412</v>
      </c>
      <c r="B89" s="7">
        <v>0.58819999999999995</v>
      </c>
      <c r="C89" s="7">
        <v>1.9059999999999999</v>
      </c>
      <c r="D89" s="7">
        <v>-1.3180000000000001</v>
      </c>
      <c r="E89" s="7">
        <v>0.21540000000000001</v>
      </c>
      <c r="F89" s="7">
        <v>85</v>
      </c>
      <c r="G89" s="7">
        <v>85</v>
      </c>
      <c r="H89" s="7">
        <v>8.65</v>
      </c>
      <c r="I89" s="7">
        <v>672</v>
      </c>
    </row>
    <row r="90" spans="1:9" ht="16" x14ac:dyDescent="0.2">
      <c r="A90" s="8" t="s">
        <v>414</v>
      </c>
      <c r="B90" s="7">
        <v>0.58819999999999995</v>
      </c>
      <c r="C90" s="7">
        <v>1.2350000000000001</v>
      </c>
      <c r="D90" s="7">
        <v>-0.64710000000000001</v>
      </c>
      <c r="E90" s="7">
        <v>0.21540000000000001</v>
      </c>
      <c r="F90" s="7">
        <v>85</v>
      </c>
      <c r="G90" s="7">
        <v>85</v>
      </c>
      <c r="H90" s="7">
        <v>4.2480000000000002</v>
      </c>
      <c r="I90" s="7">
        <v>672</v>
      </c>
    </row>
    <row r="91" spans="1:9" ht="16" x14ac:dyDescent="0.2">
      <c r="A91" s="8" t="s">
        <v>416</v>
      </c>
      <c r="B91" s="7">
        <v>0.58819999999999995</v>
      </c>
      <c r="C91" s="7">
        <v>0</v>
      </c>
      <c r="D91" s="7">
        <v>0.58819999999999995</v>
      </c>
      <c r="E91" s="7">
        <v>0.21540000000000001</v>
      </c>
      <c r="F91" s="7">
        <v>85</v>
      </c>
      <c r="G91" s="7">
        <v>85</v>
      </c>
      <c r="H91" s="7">
        <v>3.8620000000000001</v>
      </c>
      <c r="I91" s="7">
        <v>672</v>
      </c>
    </row>
    <row r="92" spans="1:9" ht="16" x14ac:dyDescent="0.2">
      <c r="A92" s="8" t="s">
        <v>418</v>
      </c>
      <c r="B92" s="7">
        <v>0.58819999999999995</v>
      </c>
      <c r="C92" s="7">
        <v>0</v>
      </c>
      <c r="D92" s="7">
        <v>0.58819999999999995</v>
      </c>
      <c r="E92" s="7">
        <v>0.21540000000000001</v>
      </c>
      <c r="F92" s="7">
        <v>85</v>
      </c>
      <c r="G92" s="7">
        <v>85</v>
      </c>
      <c r="H92" s="7">
        <v>3.8620000000000001</v>
      </c>
      <c r="I92" s="7">
        <v>672</v>
      </c>
    </row>
    <row r="93" spans="1:9" ht="16" x14ac:dyDescent="0.2">
      <c r="A93" s="8" t="s">
        <v>419</v>
      </c>
      <c r="B93" s="7">
        <v>1.9059999999999999</v>
      </c>
      <c r="C93" s="7">
        <v>1.2350000000000001</v>
      </c>
      <c r="D93" s="7">
        <v>0.67059999999999997</v>
      </c>
      <c r="E93" s="7">
        <v>0.21540000000000001</v>
      </c>
      <c r="F93" s="7">
        <v>85</v>
      </c>
      <c r="G93" s="7">
        <v>85</v>
      </c>
      <c r="H93" s="7">
        <v>4.4020000000000001</v>
      </c>
      <c r="I93" s="7">
        <v>672</v>
      </c>
    </row>
    <row r="94" spans="1:9" ht="16" x14ac:dyDescent="0.2">
      <c r="A94" s="8" t="s">
        <v>421</v>
      </c>
      <c r="B94" s="7">
        <v>1.9059999999999999</v>
      </c>
      <c r="C94" s="7">
        <v>0</v>
      </c>
      <c r="D94" s="7">
        <v>1.9059999999999999</v>
      </c>
      <c r="E94" s="7">
        <v>0.21540000000000001</v>
      </c>
      <c r="F94" s="7">
        <v>85</v>
      </c>
      <c r="G94" s="7">
        <v>85</v>
      </c>
      <c r="H94" s="7">
        <v>12.51</v>
      </c>
      <c r="I94" s="7">
        <v>672</v>
      </c>
    </row>
    <row r="95" spans="1:9" ht="16" x14ac:dyDescent="0.2">
      <c r="A95" s="8" t="s">
        <v>423</v>
      </c>
      <c r="B95" s="7">
        <v>1.9059999999999999</v>
      </c>
      <c r="C95" s="7">
        <v>0</v>
      </c>
      <c r="D95" s="7">
        <v>1.9059999999999999</v>
      </c>
      <c r="E95" s="7">
        <v>0.21540000000000001</v>
      </c>
      <c r="F95" s="7">
        <v>85</v>
      </c>
      <c r="G95" s="7">
        <v>85</v>
      </c>
      <c r="H95" s="7">
        <v>12.51</v>
      </c>
      <c r="I95" s="7">
        <v>672</v>
      </c>
    </row>
    <row r="96" spans="1:9" ht="16" x14ac:dyDescent="0.2">
      <c r="A96" s="8" t="s">
        <v>424</v>
      </c>
      <c r="B96" s="7">
        <v>1.2350000000000001</v>
      </c>
      <c r="C96" s="7">
        <v>0</v>
      </c>
      <c r="D96" s="7">
        <v>1.2350000000000001</v>
      </c>
      <c r="E96" s="7">
        <v>0.21540000000000001</v>
      </c>
      <c r="F96" s="7">
        <v>85</v>
      </c>
      <c r="G96" s="7">
        <v>85</v>
      </c>
      <c r="H96" s="7">
        <v>8.109</v>
      </c>
      <c r="I96" s="7">
        <v>672</v>
      </c>
    </row>
    <row r="97" spans="1:9" ht="16" x14ac:dyDescent="0.2">
      <c r="A97" s="8" t="s">
        <v>426</v>
      </c>
      <c r="B97" s="7">
        <v>1.2350000000000001</v>
      </c>
      <c r="C97" s="7">
        <v>0</v>
      </c>
      <c r="D97" s="7">
        <v>1.2350000000000001</v>
      </c>
      <c r="E97" s="7">
        <v>0.21540000000000001</v>
      </c>
      <c r="F97" s="7">
        <v>85</v>
      </c>
      <c r="G97" s="7">
        <v>85</v>
      </c>
      <c r="H97" s="7">
        <v>8.109</v>
      </c>
      <c r="I97" s="7">
        <v>672</v>
      </c>
    </row>
    <row r="98" spans="1:9" ht="16" x14ac:dyDescent="0.2">
      <c r="A98" s="8" t="s">
        <v>427</v>
      </c>
      <c r="B98" s="7">
        <v>0</v>
      </c>
      <c r="C98" s="7">
        <v>0</v>
      </c>
      <c r="D98" s="7">
        <v>0</v>
      </c>
      <c r="E98" s="7">
        <v>0.21540000000000001</v>
      </c>
      <c r="F98" s="7">
        <v>85</v>
      </c>
      <c r="G98" s="7">
        <v>85</v>
      </c>
      <c r="H98" s="7">
        <v>0</v>
      </c>
      <c r="I98" s="7">
        <v>672</v>
      </c>
    </row>
    <row r="99" spans="1:9" ht="16" x14ac:dyDescent="0.2">
      <c r="A99" s="8"/>
      <c r="B99" s="7"/>
      <c r="C99" s="7"/>
      <c r="D99" s="7"/>
      <c r="E99" s="7"/>
      <c r="F99" s="7"/>
      <c r="G99" s="7"/>
      <c r="H99" s="7"/>
      <c r="I99" s="7"/>
    </row>
    <row r="100" spans="1:9" ht="16" x14ac:dyDescent="0.2">
      <c r="A100" s="8" t="s">
        <v>356</v>
      </c>
      <c r="B100" s="7"/>
      <c r="C100" s="7"/>
      <c r="D100" s="7"/>
      <c r="E100" s="7"/>
      <c r="F100" s="7"/>
      <c r="G100" s="7"/>
      <c r="H100" s="7"/>
      <c r="I100" s="7"/>
    </row>
    <row r="101" spans="1:9" ht="16" x14ac:dyDescent="0.2">
      <c r="A101" s="8" t="s">
        <v>429</v>
      </c>
      <c r="B101" s="7" t="s">
        <v>358</v>
      </c>
      <c r="C101" s="7"/>
      <c r="D101" s="7"/>
      <c r="E101" s="7"/>
      <c r="F101" s="7"/>
      <c r="G101" s="7"/>
      <c r="H101" s="7"/>
      <c r="I101" s="7"/>
    </row>
    <row r="102" spans="1:9" ht="16" x14ac:dyDescent="0.2">
      <c r="A102" s="8" t="s">
        <v>430</v>
      </c>
      <c r="B102" s="7" t="s">
        <v>361</v>
      </c>
      <c r="C102" s="7"/>
      <c r="D102" s="7"/>
      <c r="E102" s="7"/>
      <c r="F102" s="7"/>
      <c r="G102" s="7"/>
      <c r="H102" s="7"/>
      <c r="I102" s="7"/>
    </row>
    <row r="103" spans="1:9" ht="16" x14ac:dyDescent="0.2">
      <c r="A103" s="8" t="s">
        <v>431</v>
      </c>
      <c r="B103" s="7" t="s">
        <v>361</v>
      </c>
      <c r="C103" s="7"/>
      <c r="D103" s="7"/>
      <c r="E103" s="7"/>
      <c r="F103" s="7"/>
      <c r="G103" s="7"/>
      <c r="H103" s="7"/>
      <c r="I103" s="7"/>
    </row>
    <row r="104" spans="1:9" ht="16" x14ac:dyDescent="0.2">
      <c r="A104" s="8" t="s">
        <v>432</v>
      </c>
      <c r="B104" s="7" t="s">
        <v>366</v>
      </c>
      <c r="C104" s="7"/>
      <c r="D104" s="7"/>
      <c r="E104" s="7"/>
      <c r="F104" s="7"/>
      <c r="G104" s="7"/>
      <c r="H104" s="7"/>
      <c r="I104" s="7"/>
    </row>
    <row r="105" spans="1:9" ht="16" x14ac:dyDescent="0.2">
      <c r="A105" s="8" t="s">
        <v>433</v>
      </c>
      <c r="B105" s="7" t="s">
        <v>369</v>
      </c>
      <c r="C105" s="7"/>
      <c r="D105" s="7"/>
      <c r="E105" s="7"/>
      <c r="F105" s="7"/>
      <c r="G105" s="7"/>
      <c r="H105" s="7"/>
      <c r="I105" s="7"/>
    </row>
    <row r="106" spans="1:9" ht="16" x14ac:dyDescent="0.2">
      <c r="A106" s="8" t="s">
        <v>434</v>
      </c>
      <c r="B106" s="7" t="s">
        <v>375</v>
      </c>
      <c r="C106" s="7"/>
      <c r="D106" s="7"/>
      <c r="E106" s="7"/>
      <c r="F106" s="7"/>
      <c r="G106" s="7"/>
      <c r="H106" s="7"/>
      <c r="I106" s="7"/>
    </row>
    <row r="107" spans="1:9" ht="16" x14ac:dyDescent="0.2">
      <c r="A107" s="8" t="s">
        <v>435</v>
      </c>
      <c r="B107" s="7" t="s">
        <v>375</v>
      </c>
      <c r="C107" s="7"/>
      <c r="D107" s="7"/>
      <c r="E107" s="7"/>
      <c r="F107" s="7"/>
      <c r="G107" s="7"/>
      <c r="H107" s="7"/>
      <c r="I107" s="7"/>
    </row>
    <row r="108" spans="1:9" ht="16" x14ac:dyDescent="0.2">
      <c r="A108" s="8" t="s">
        <v>436</v>
      </c>
      <c r="B108" s="7" t="s">
        <v>375</v>
      </c>
      <c r="C108" s="7"/>
      <c r="D108" s="7"/>
      <c r="E108" s="7"/>
      <c r="F108" s="7"/>
      <c r="G108" s="7"/>
      <c r="H108" s="7"/>
      <c r="I108" s="7"/>
    </row>
    <row r="109" spans="1:9" ht="16" x14ac:dyDescent="0.2">
      <c r="A109" s="8"/>
      <c r="B109" s="7"/>
      <c r="C109" s="7"/>
      <c r="D109" s="7"/>
      <c r="E109" s="7"/>
      <c r="F109" s="7"/>
      <c r="G109" s="7"/>
      <c r="H109" s="7"/>
      <c r="I109" s="7"/>
    </row>
    <row r="110" spans="1:9" ht="16" x14ac:dyDescent="0.2">
      <c r="A110" s="8"/>
      <c r="B110" s="7"/>
      <c r="C110" s="7"/>
      <c r="D110" s="7"/>
      <c r="E110" s="7"/>
      <c r="F110" s="7"/>
      <c r="G110" s="7"/>
      <c r="H110" s="7"/>
      <c r="I110" s="7"/>
    </row>
    <row r="111" spans="1:9" ht="16" x14ac:dyDescent="0.2">
      <c r="A111" s="8"/>
      <c r="B111" s="7"/>
      <c r="C111" s="7"/>
      <c r="D111" s="7"/>
      <c r="E111" s="7"/>
      <c r="F111" s="7"/>
      <c r="G111" s="7"/>
      <c r="H111" s="7"/>
      <c r="I111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D58B-884D-AE47-83F5-C90A402661DF}">
  <dimension ref="A1:O31"/>
  <sheetViews>
    <sheetView tabSelected="1" workbookViewId="0">
      <selection activeCell="D13" sqref="D13"/>
    </sheetView>
  </sheetViews>
  <sheetFormatPr baseColWidth="10" defaultRowHeight="15" x14ac:dyDescent="0.2"/>
  <cols>
    <col min="1" max="1" width="21.33203125" customWidth="1"/>
    <col min="2" max="2" width="12" customWidth="1"/>
    <col min="3" max="3" width="14.5" customWidth="1"/>
  </cols>
  <sheetData>
    <row r="1" spans="1:15" ht="16" x14ac:dyDescent="0.2">
      <c r="A1" s="50" t="s">
        <v>526</v>
      </c>
      <c r="B1" s="50" t="s">
        <v>520</v>
      </c>
      <c r="C1" s="50" t="s">
        <v>521</v>
      </c>
      <c r="D1" s="50" t="s">
        <v>522</v>
      </c>
      <c r="E1" s="50" t="s">
        <v>523</v>
      </c>
      <c r="F1" s="50" t="s">
        <v>524</v>
      </c>
      <c r="G1" s="50" t="s">
        <v>525</v>
      </c>
    </row>
    <row r="2" spans="1:15" ht="16" x14ac:dyDescent="0.2">
      <c r="A2" s="48" t="s">
        <v>437</v>
      </c>
      <c r="B2" s="48">
        <v>5.86</v>
      </c>
      <c r="C2" s="48">
        <v>19.260000000000002</v>
      </c>
      <c r="D2" s="48">
        <v>13.4</v>
      </c>
      <c r="E2" s="48">
        <v>7.71</v>
      </c>
      <c r="F2" s="48">
        <v>2.17</v>
      </c>
      <c r="G2" s="48">
        <v>1.79</v>
      </c>
    </row>
    <row r="3" spans="1:15" ht="16" x14ac:dyDescent="0.2">
      <c r="A3" s="48" t="s">
        <v>3</v>
      </c>
      <c r="B3" s="48">
        <v>22.44</v>
      </c>
      <c r="C3" s="48">
        <v>11.2</v>
      </c>
      <c r="D3" s="48">
        <v>11.22</v>
      </c>
      <c r="E3" s="48">
        <v>13.9</v>
      </c>
      <c r="F3" s="48">
        <v>5.21</v>
      </c>
      <c r="G3" s="48">
        <v>1.8</v>
      </c>
    </row>
    <row r="4" spans="1:15" ht="16" x14ac:dyDescent="0.2">
      <c r="A4" s="48" t="s">
        <v>4</v>
      </c>
      <c r="B4" s="48">
        <v>26.8</v>
      </c>
      <c r="C4" s="48">
        <v>17.25</v>
      </c>
      <c r="D4" s="48">
        <v>20.100000000000001</v>
      </c>
      <c r="E4" s="48">
        <v>19.09</v>
      </c>
      <c r="F4" s="48">
        <v>2.5</v>
      </c>
      <c r="G4" s="48">
        <v>1.1000000000000001</v>
      </c>
    </row>
    <row r="5" spans="1:15" ht="16" x14ac:dyDescent="0.2">
      <c r="A5" s="48" t="s">
        <v>15</v>
      </c>
      <c r="B5" s="48">
        <v>0</v>
      </c>
      <c r="C5" s="48">
        <v>0</v>
      </c>
      <c r="D5" s="48">
        <v>0</v>
      </c>
      <c r="E5" s="48">
        <v>0</v>
      </c>
      <c r="F5" s="48">
        <v>0</v>
      </c>
      <c r="G5" s="48">
        <v>0</v>
      </c>
    </row>
    <row r="7" spans="1:15" ht="16" x14ac:dyDescent="0.2">
      <c r="I7" s="51" t="s">
        <v>539</v>
      </c>
      <c r="J7" s="49"/>
      <c r="K7" s="49"/>
      <c r="L7" s="49"/>
      <c r="M7" s="49"/>
      <c r="N7" s="49"/>
      <c r="O7" s="49"/>
    </row>
    <row r="8" spans="1:15" ht="16" x14ac:dyDescent="0.2">
      <c r="A8" s="50" t="s">
        <v>150</v>
      </c>
      <c r="B8" s="49"/>
      <c r="C8" s="49"/>
      <c r="D8" s="49"/>
      <c r="E8" s="49"/>
      <c r="F8" s="49"/>
      <c r="I8" s="49"/>
      <c r="J8" s="49"/>
      <c r="K8" s="49"/>
      <c r="L8" s="49"/>
      <c r="M8" s="49"/>
      <c r="N8" s="49"/>
      <c r="O8" s="49"/>
    </row>
    <row r="9" spans="1:15" ht="16" x14ac:dyDescent="0.2">
      <c r="A9" s="49" t="s">
        <v>527</v>
      </c>
      <c r="B9" s="49" t="s">
        <v>528</v>
      </c>
      <c r="C9" s="49" t="s">
        <v>529</v>
      </c>
      <c r="D9" s="49" t="s">
        <v>538</v>
      </c>
      <c r="E9" s="49"/>
      <c r="F9" s="49"/>
      <c r="I9" s="49"/>
      <c r="J9" s="49" t="s">
        <v>9</v>
      </c>
      <c r="K9" s="49" t="s">
        <v>10</v>
      </c>
      <c r="L9" s="49" t="s">
        <v>533</v>
      </c>
      <c r="M9" s="49" t="s">
        <v>7</v>
      </c>
      <c r="N9" s="49" t="s">
        <v>534</v>
      </c>
      <c r="O9" s="49" t="s">
        <v>535</v>
      </c>
    </row>
    <row r="10" spans="1:15" ht="16" x14ac:dyDescent="0.2">
      <c r="A10" s="49">
        <v>1</v>
      </c>
      <c r="B10" s="49">
        <v>4.5111299999999996</v>
      </c>
      <c r="C10" s="49">
        <v>75.2</v>
      </c>
      <c r="D10" s="49">
        <f>C10</f>
        <v>75.2</v>
      </c>
      <c r="E10" s="49"/>
      <c r="F10" s="49"/>
      <c r="I10" s="49" t="s">
        <v>9</v>
      </c>
      <c r="J10" s="49"/>
      <c r="K10" s="49">
        <v>0.49370999999999998</v>
      </c>
      <c r="L10" s="49">
        <v>0.21614</v>
      </c>
      <c r="M10" s="49">
        <v>3.0152000000000002E-2</v>
      </c>
      <c r="N10" s="49">
        <v>0.26651000000000002</v>
      </c>
      <c r="O10" s="49">
        <v>0.51861000000000002</v>
      </c>
    </row>
    <row r="11" spans="1:15" ht="16" x14ac:dyDescent="0.2">
      <c r="A11" s="49">
        <v>2</v>
      </c>
      <c r="B11" s="49">
        <v>0.77192000000000005</v>
      </c>
      <c r="C11" s="49">
        <v>12.9</v>
      </c>
      <c r="D11" s="49">
        <f>D10+C11</f>
        <v>88.100000000000009</v>
      </c>
      <c r="E11" s="49"/>
      <c r="F11" s="49"/>
      <c r="I11" s="49" t="s">
        <v>10</v>
      </c>
      <c r="J11" s="49">
        <v>0.50629000000000002</v>
      </c>
      <c r="K11" s="49"/>
      <c r="L11" s="49">
        <v>9.2038999999999996E-2</v>
      </c>
      <c r="M11" s="49">
        <v>0.30713000000000001</v>
      </c>
      <c r="N11" s="49">
        <v>0.54188999999999998</v>
      </c>
      <c r="O11" s="49">
        <v>0.19733999999999999</v>
      </c>
    </row>
    <row r="12" spans="1:15" ht="16" x14ac:dyDescent="0.2">
      <c r="A12" s="49">
        <v>3</v>
      </c>
      <c r="B12" s="49">
        <v>0.716951</v>
      </c>
      <c r="C12" s="49">
        <v>12</v>
      </c>
      <c r="D12" s="49">
        <v>100</v>
      </c>
      <c r="E12" s="49"/>
      <c r="F12" s="49"/>
      <c r="I12" s="49" t="s">
        <v>533</v>
      </c>
      <c r="J12" s="49">
        <v>0.78386</v>
      </c>
      <c r="K12" s="49">
        <v>0.90795999999999999</v>
      </c>
      <c r="L12" s="49"/>
      <c r="M12" s="49">
        <v>8.8474999999999998E-2</v>
      </c>
      <c r="N12" s="49">
        <v>0.48992000000000002</v>
      </c>
      <c r="O12" s="49">
        <v>0.3478</v>
      </c>
    </row>
    <row r="13" spans="1:15" ht="16" x14ac:dyDescent="0.2">
      <c r="A13" s="49"/>
      <c r="B13" s="49"/>
      <c r="C13" s="49"/>
      <c r="D13" s="49"/>
      <c r="E13" s="49"/>
      <c r="F13" s="49"/>
      <c r="I13" s="49" t="s">
        <v>7</v>
      </c>
      <c r="J13" s="49">
        <v>0.96984999999999999</v>
      </c>
      <c r="K13" s="49">
        <v>0.69286999999999999</v>
      </c>
      <c r="L13" s="49">
        <v>0.91152</v>
      </c>
      <c r="M13" s="49"/>
      <c r="N13" s="49">
        <v>0.31072</v>
      </c>
      <c r="O13" s="49">
        <v>0.42148000000000002</v>
      </c>
    </row>
    <row r="14" spans="1:15" ht="16" x14ac:dyDescent="0.2">
      <c r="A14" s="51" t="s">
        <v>536</v>
      </c>
      <c r="B14" s="49"/>
      <c r="C14" s="49"/>
      <c r="D14" s="49"/>
      <c r="E14" s="49"/>
      <c r="F14" s="49"/>
      <c r="I14" s="49" t="s">
        <v>534</v>
      </c>
      <c r="J14" s="49">
        <v>0.73348999999999998</v>
      </c>
      <c r="K14" s="49">
        <v>0.45811000000000002</v>
      </c>
      <c r="L14" s="49">
        <v>0.51007999999999998</v>
      </c>
      <c r="M14" s="49">
        <v>0.68928</v>
      </c>
      <c r="N14" s="49"/>
      <c r="O14" s="49">
        <v>0.18506</v>
      </c>
    </row>
    <row r="15" spans="1:15" ht="16" x14ac:dyDescent="0.2">
      <c r="A15" s="49"/>
      <c r="B15" s="49" t="s">
        <v>530</v>
      </c>
      <c r="C15" s="49" t="s">
        <v>531</v>
      </c>
      <c r="D15" s="49" t="s">
        <v>532</v>
      </c>
      <c r="E15" s="49"/>
      <c r="F15" s="49"/>
      <c r="I15" s="49" t="s">
        <v>535</v>
      </c>
      <c r="J15" s="49">
        <v>0.48138999999999998</v>
      </c>
      <c r="K15" s="49">
        <v>0.80266000000000004</v>
      </c>
      <c r="L15" s="49">
        <v>0.6522</v>
      </c>
      <c r="M15" s="49">
        <v>0.57852000000000003</v>
      </c>
      <c r="N15" s="49">
        <v>0.81494</v>
      </c>
      <c r="O15" s="49"/>
    </row>
    <row r="16" spans="1:15" ht="16" x14ac:dyDescent="0.2">
      <c r="A16" s="49" t="s">
        <v>437</v>
      </c>
      <c r="B16" s="49">
        <v>0.29731000000000002</v>
      </c>
      <c r="C16" s="49">
        <v>1.2910999999999999</v>
      </c>
      <c r="D16" s="49">
        <v>-0.22569</v>
      </c>
      <c r="E16" s="49"/>
      <c r="F16" s="49"/>
    </row>
    <row r="17" spans="1:6" ht="16" x14ac:dyDescent="0.2">
      <c r="A17" s="49" t="s">
        <v>3</v>
      </c>
      <c r="B17" s="49">
        <v>1.2136</v>
      </c>
      <c r="C17" s="49">
        <v>-0.28117999999999999</v>
      </c>
      <c r="D17" s="49">
        <v>1.1426000000000001</v>
      </c>
      <c r="E17" s="49"/>
      <c r="F17" s="49"/>
    </row>
    <row r="18" spans="1:6" ht="16" x14ac:dyDescent="0.2">
      <c r="A18" s="49" t="s">
        <v>4</v>
      </c>
      <c r="B18" s="49">
        <v>1.5717000000000001</v>
      </c>
      <c r="C18" s="49">
        <v>-0.67801999999999996</v>
      </c>
      <c r="D18" s="49">
        <v>-0.89083999999999997</v>
      </c>
      <c r="E18" s="49"/>
      <c r="F18" s="49"/>
    </row>
    <row r="19" spans="1:6" ht="16" x14ac:dyDescent="0.2">
      <c r="A19" s="49" t="s">
        <v>15</v>
      </c>
      <c r="B19" s="49">
        <v>-3.0825</v>
      </c>
      <c r="C19" s="49">
        <v>-0.33187</v>
      </c>
      <c r="D19" s="49">
        <v>-2.6114999999999999E-2</v>
      </c>
      <c r="E19" s="49"/>
      <c r="F19" s="49"/>
    </row>
    <row r="20" spans="1:6" ht="16" x14ac:dyDescent="0.2">
      <c r="A20" s="49"/>
      <c r="B20" s="49"/>
      <c r="C20" s="49"/>
      <c r="D20" s="49"/>
      <c r="E20" s="49"/>
      <c r="F20" s="49"/>
    </row>
    <row r="21" spans="1:6" ht="16" x14ac:dyDescent="0.2">
      <c r="A21" s="49"/>
      <c r="B21" s="49"/>
      <c r="C21" s="49"/>
      <c r="D21" s="49"/>
      <c r="E21" s="49"/>
      <c r="F21" s="49"/>
    </row>
    <row r="22" spans="1:6" ht="16" x14ac:dyDescent="0.2">
      <c r="A22" s="51" t="s">
        <v>537</v>
      </c>
      <c r="B22" s="49"/>
      <c r="C22" s="49"/>
      <c r="D22" s="49"/>
      <c r="E22" s="49"/>
      <c r="F22" s="49"/>
    </row>
    <row r="23" spans="1:6" ht="16" x14ac:dyDescent="0.2">
      <c r="A23" s="49"/>
      <c r="B23" s="49" t="s">
        <v>530</v>
      </c>
      <c r="C23" s="49" t="s">
        <v>531</v>
      </c>
      <c r="D23" s="49" t="s">
        <v>532</v>
      </c>
      <c r="E23" s="49"/>
      <c r="F23" s="49"/>
    </row>
    <row r="24" spans="1:6" ht="16" x14ac:dyDescent="0.2">
      <c r="A24" s="49" t="s">
        <v>9</v>
      </c>
      <c r="B24" s="49">
        <v>0.86677000000000004</v>
      </c>
      <c r="C24" s="49">
        <v>-0.49852999999999997</v>
      </c>
      <c r="D24" s="49">
        <v>1.3576E-2</v>
      </c>
      <c r="E24" s="49"/>
      <c r="F24" s="49"/>
    </row>
    <row r="25" spans="1:6" ht="16" x14ac:dyDescent="0.2">
      <c r="A25" s="49" t="s">
        <v>10</v>
      </c>
      <c r="B25" s="49">
        <v>0.84160000000000001</v>
      </c>
      <c r="C25" s="49">
        <v>0.43911</v>
      </c>
      <c r="D25" s="49">
        <v>-0.31447000000000003</v>
      </c>
      <c r="E25" s="49"/>
      <c r="F25" s="49"/>
    </row>
    <row r="26" spans="1:6" ht="16" x14ac:dyDescent="0.2">
      <c r="A26" s="49" t="s">
        <v>533</v>
      </c>
      <c r="B26" s="49">
        <v>0.92383999999999999</v>
      </c>
      <c r="C26" s="49">
        <v>2.3484999999999999E-2</v>
      </c>
      <c r="D26" s="49">
        <v>-0.38205</v>
      </c>
      <c r="E26" s="49"/>
      <c r="F26" s="49"/>
    </row>
    <row r="27" spans="1:6" ht="16" x14ac:dyDescent="0.2">
      <c r="A27" s="49" t="s">
        <v>7</v>
      </c>
      <c r="B27" s="49">
        <v>0.93808000000000002</v>
      </c>
      <c r="C27" s="49">
        <v>-0.31816</v>
      </c>
      <c r="D27" s="49">
        <v>-0.13705000000000001</v>
      </c>
      <c r="E27" s="49"/>
      <c r="F27" s="49"/>
    </row>
    <row r="28" spans="1:6" ht="16" x14ac:dyDescent="0.2">
      <c r="A28" s="49" t="s">
        <v>534</v>
      </c>
      <c r="B28" s="49">
        <v>0.80030999999999997</v>
      </c>
      <c r="C28" s="49">
        <v>-6.3627000000000003E-2</v>
      </c>
      <c r="D28" s="49">
        <v>0.59621000000000002</v>
      </c>
      <c r="E28" s="49"/>
      <c r="F28" s="49"/>
    </row>
    <row r="29" spans="1:6" ht="16" x14ac:dyDescent="0.2">
      <c r="A29" s="49" t="s">
        <v>535</v>
      </c>
      <c r="B29" s="49">
        <v>0.82316</v>
      </c>
      <c r="C29" s="49">
        <v>0.47406999999999999</v>
      </c>
      <c r="D29" s="49">
        <v>0.31252000000000002</v>
      </c>
      <c r="E29" s="49"/>
      <c r="F29" s="49"/>
    </row>
    <row r="30" spans="1:6" ht="16" x14ac:dyDescent="0.2">
      <c r="A30" s="49"/>
      <c r="B30" s="49"/>
      <c r="C30" s="49"/>
      <c r="D30" s="49"/>
      <c r="E30" s="49"/>
      <c r="F30" s="49"/>
    </row>
    <row r="31" spans="1:6" ht="16" x14ac:dyDescent="0.2">
      <c r="A31" s="49"/>
      <c r="B31" s="49"/>
      <c r="C31" s="49"/>
      <c r="D31" s="49"/>
      <c r="E31" s="49"/>
      <c r="F31" s="4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8BEC7-976D-034C-885D-9CC5FEDC0A8E}">
  <dimension ref="A1:K8"/>
  <sheetViews>
    <sheetView workbookViewId="0">
      <selection activeCell="K31" sqref="K31"/>
    </sheetView>
  </sheetViews>
  <sheetFormatPr baseColWidth="10" defaultRowHeight="15" x14ac:dyDescent="0.2"/>
  <cols>
    <col min="1" max="1" width="14" customWidth="1"/>
    <col min="2" max="2" width="15" customWidth="1"/>
    <col min="3" max="3" width="14.5" customWidth="1"/>
    <col min="5" max="5" width="14.1640625" customWidth="1"/>
    <col min="6" max="6" width="14.6640625" customWidth="1"/>
    <col min="7" max="7" width="14" customWidth="1"/>
    <col min="9" max="9" width="14.33203125" customWidth="1"/>
    <col min="10" max="10" width="14" customWidth="1"/>
    <col min="11" max="11" width="14.83203125" customWidth="1"/>
  </cols>
  <sheetData>
    <row r="1" spans="1:11" ht="19" x14ac:dyDescent="0.25">
      <c r="A1" s="56" t="s">
        <v>71</v>
      </c>
      <c r="B1" s="56"/>
      <c r="C1" s="56"/>
      <c r="D1" s="22"/>
      <c r="E1" s="56" t="s">
        <v>81</v>
      </c>
      <c r="F1" s="56"/>
      <c r="G1" s="56"/>
      <c r="H1" s="22"/>
      <c r="I1" s="56" t="s">
        <v>82</v>
      </c>
      <c r="J1" s="56"/>
      <c r="K1" s="56"/>
    </row>
    <row r="2" spans="1:11" ht="19" x14ac:dyDescent="0.25">
      <c r="A2" s="40" t="s">
        <v>72</v>
      </c>
      <c r="B2" s="40" t="s">
        <v>73</v>
      </c>
      <c r="C2" s="40" t="s">
        <v>74</v>
      </c>
      <c r="D2" s="22"/>
      <c r="E2" s="40" t="s">
        <v>72</v>
      </c>
      <c r="F2" s="40" t="s">
        <v>73</v>
      </c>
      <c r="G2" s="40" t="s">
        <v>74</v>
      </c>
      <c r="H2" s="22"/>
      <c r="I2" s="40" t="s">
        <v>72</v>
      </c>
      <c r="J2" s="40" t="s">
        <v>83</v>
      </c>
      <c r="K2" s="40" t="s">
        <v>84</v>
      </c>
    </row>
    <row r="3" spans="1:11" ht="19" x14ac:dyDescent="0.25">
      <c r="A3" s="41" t="s">
        <v>75</v>
      </c>
      <c r="B3" s="42" t="s">
        <v>93</v>
      </c>
      <c r="C3" s="42" t="s">
        <v>94</v>
      </c>
      <c r="D3" s="22"/>
      <c r="E3" s="41" t="s">
        <v>75</v>
      </c>
      <c r="F3" s="42" t="s">
        <v>95</v>
      </c>
      <c r="G3" s="42" t="s">
        <v>96</v>
      </c>
      <c r="H3" s="22"/>
      <c r="I3" s="41" t="s">
        <v>75</v>
      </c>
      <c r="J3" s="42" t="s">
        <v>97</v>
      </c>
      <c r="K3" s="42" t="s">
        <v>98</v>
      </c>
    </row>
    <row r="4" spans="1:11" ht="34" customHeight="1" x14ac:dyDescent="0.25">
      <c r="A4" s="41" t="s">
        <v>76</v>
      </c>
      <c r="B4" s="42" t="s">
        <v>99</v>
      </c>
      <c r="C4" s="42" t="s">
        <v>100</v>
      </c>
      <c r="D4" s="22"/>
      <c r="E4" s="41" t="s">
        <v>76</v>
      </c>
      <c r="F4" s="42" t="s">
        <v>101</v>
      </c>
      <c r="G4" s="42" t="s">
        <v>102</v>
      </c>
      <c r="H4" s="22"/>
      <c r="I4" s="41" t="s">
        <v>76</v>
      </c>
      <c r="J4" s="42" t="s">
        <v>103</v>
      </c>
      <c r="K4" s="42" t="s">
        <v>104</v>
      </c>
    </row>
    <row r="5" spans="1:11" ht="19" x14ac:dyDescent="0.25">
      <c r="A5" s="41" t="s">
        <v>77</v>
      </c>
      <c r="B5" s="42" t="s">
        <v>105</v>
      </c>
      <c r="C5" s="42" t="s">
        <v>106</v>
      </c>
      <c r="D5" s="22"/>
      <c r="E5" s="41" t="s">
        <v>77</v>
      </c>
      <c r="F5" s="42" t="s">
        <v>107</v>
      </c>
      <c r="G5" s="42" t="s">
        <v>108</v>
      </c>
      <c r="H5" s="22"/>
      <c r="I5" s="41" t="s">
        <v>77</v>
      </c>
      <c r="J5" s="42" t="s">
        <v>109</v>
      </c>
      <c r="K5" s="42" t="s">
        <v>110</v>
      </c>
    </row>
    <row r="6" spans="1:11" ht="19" x14ac:dyDescent="0.25">
      <c r="A6" s="41" t="s">
        <v>78</v>
      </c>
      <c r="B6" s="42" t="s">
        <v>111</v>
      </c>
      <c r="C6" s="42" t="s">
        <v>112</v>
      </c>
      <c r="D6" s="22"/>
      <c r="E6" s="41" t="s">
        <v>78</v>
      </c>
      <c r="F6" s="42" t="s">
        <v>113</v>
      </c>
      <c r="G6" s="42" t="s">
        <v>114</v>
      </c>
      <c r="H6" s="22"/>
      <c r="I6" s="41" t="s">
        <v>78</v>
      </c>
      <c r="J6" s="42" t="s">
        <v>115</v>
      </c>
      <c r="K6" s="42" t="s">
        <v>116</v>
      </c>
    </row>
    <row r="7" spans="1:11" ht="19" x14ac:dyDescent="0.25">
      <c r="A7" s="41" t="s">
        <v>79</v>
      </c>
      <c r="B7" s="42" t="s">
        <v>117</v>
      </c>
      <c r="C7" s="42" t="s">
        <v>118</v>
      </c>
      <c r="D7" s="22"/>
      <c r="E7" s="41" t="s">
        <v>79</v>
      </c>
      <c r="F7" s="42" t="s">
        <v>119</v>
      </c>
      <c r="G7" s="42" t="s">
        <v>120</v>
      </c>
      <c r="H7" s="22"/>
      <c r="I7" s="41" t="s">
        <v>79</v>
      </c>
      <c r="J7" s="42" t="s">
        <v>121</v>
      </c>
      <c r="K7" s="42" t="s">
        <v>122</v>
      </c>
    </row>
    <row r="8" spans="1:11" ht="34" customHeight="1" x14ac:dyDescent="0.25">
      <c r="A8" s="41" t="s">
        <v>80</v>
      </c>
      <c r="B8" s="42" t="s">
        <v>123</v>
      </c>
      <c r="C8" s="42" t="s">
        <v>124</v>
      </c>
      <c r="D8" s="22"/>
      <c r="E8" s="41" t="s">
        <v>80</v>
      </c>
      <c r="F8" s="42" t="s">
        <v>125</v>
      </c>
      <c r="G8" s="42" t="s">
        <v>126</v>
      </c>
      <c r="H8" s="22"/>
      <c r="I8" s="41" t="s">
        <v>80</v>
      </c>
      <c r="J8" s="42" t="s">
        <v>127</v>
      </c>
      <c r="K8" s="42" t="s">
        <v>128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BLANK SAMPLE_TABLE S1</vt:lpstr>
      <vt:lpstr>MORPHOLOGY_TABLE S2</vt:lpstr>
      <vt:lpstr>FTIR_TABLE S3</vt:lpstr>
      <vt:lpstr>SEX RATIO_TABLE S4</vt:lpstr>
      <vt:lpstr>TOTAL MPs_TABLE S5</vt:lpstr>
      <vt:lpstr>ORGAN_COLOR SPECIFIC TABLE S6</vt:lpstr>
      <vt:lpstr>ORGAN_SHAPE SPECIFIC TABLE S7</vt:lpstr>
      <vt:lpstr>COLOR-TISSUE_TABLE S8</vt:lpstr>
      <vt:lpstr>SHAPE-TISSUE_TABLE S9</vt:lpstr>
      <vt:lpstr>PCA &amp; PEARSON_TABLE S10</vt:lpstr>
      <vt:lpstr>EDX_TABLE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康馬克</cp:lastModifiedBy>
  <cp:lastPrinted>2025-04-15T07:48:51Z</cp:lastPrinted>
  <dcterms:created xsi:type="dcterms:W3CDTF">2022-09-15T07:55:27Z</dcterms:created>
  <dcterms:modified xsi:type="dcterms:W3CDTF">2026-06-12T11:25:04Z</dcterms:modified>
</cp:coreProperties>
</file>