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9d7ea430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285a7f6c22447bd"/>
    <x:sheet xmlns:r="http://schemas.openxmlformats.org/officeDocument/2006/relationships" name="Quercetin_Calibration" sheetId="2" r:id="R5a98cc19ef7a4102"/>
    <x:sheet xmlns:r="http://schemas.openxmlformats.org/officeDocument/2006/relationships" name="Rutin_Calibration" sheetId="3" r:id="R874c304a49264786"/>
    <x:sheet xmlns:r="http://schemas.openxmlformats.org/officeDocument/2006/relationships" name="Extract_Dilution" sheetId="4" r:id="R92818421d06e44d0"/>
    <x:sheet xmlns:r="http://schemas.openxmlformats.org/officeDocument/2006/relationships" name="Model_Sensitivity" sheetId="5" r:id="R798d5fbee17d4dff"/>
    <x:sheet xmlns:r="http://schemas.openxmlformats.org/officeDocument/2006/relationships" name="Supplementary_Observations" sheetId="6" r:id="Re2a724ab83bc4dcb"/>
    <x:sheet xmlns:r="http://schemas.openxmlformats.org/officeDocument/2006/relationships" name="Calculation Audit Trail" sheetId="7" r:id="Rf94ad96acce64143"/>
    <x:sheet xmlns:r="http://schemas.openxmlformats.org/officeDocument/2006/relationships" name="Final_Reference_Values" sheetId="8" r:id="R259ddd0502264e7b"/>
    <x:sheet xmlns:r="http://schemas.openxmlformats.org/officeDocument/2006/relationships" name="Step1_Audit" sheetId="9" r:id="Rd2912ed055144b23"/>
    <x:sheet xmlns:r="http://schemas.openxmlformats.org/officeDocument/2006/relationships" name="Step2_Lack_of_Fit" sheetId="10" r:id="R4c7cd660f7a04f31"/>
    <x:sheet xmlns:r="http://schemas.openxmlformats.org/officeDocument/2006/relationships" name="Step3_Inverse_Prediction" sheetId="11" r:id="R70673442776040f9"/>
    <x:sheet xmlns:r="http://schemas.openxmlformats.org/officeDocument/2006/relationships" name="Step4_Slope_Ratio" sheetId="12" r:id="R8cbee16ed0f546fe"/>
    <x:sheet xmlns:r="http://schemas.openxmlformats.org/officeDocument/2006/relationships" name="Step5_Terminology_Audit" sheetId="13" r:id="R5919285ebad44907"/>
    <x:sheet xmlns:r="http://schemas.openxmlformats.org/officeDocument/2006/relationships" name="Step6_Manuscript_Integration" sheetId="14" r:id="Re7b1fcaf40434bde"/>
    <x:sheet xmlns:r="http://schemas.openxmlformats.org/officeDocument/2006/relationships" name="Step7_Reviewer2_Closure" sheetId="15" r:id="Re40db5a1adbc4f44"/>
    <x:sheet xmlns:r="http://schemas.openxmlformats.org/officeDocument/2006/relationships" name="Step10_Final_Freeze" sheetId="16" r:id="R4934e90cc4db4dee"/>
    <x:sheet xmlns:r="http://schemas.openxmlformats.org/officeDocument/2006/relationships" name="Step12_PreResubmission_QA" sheetId="17" r:id="Rb70c1b783dfb4d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000"/>
    <x:numFmt numFmtId="201" formatCode="0.00000"/>
    <x:numFmt numFmtId="202" formatCode="0.0"/>
    <x:numFmt numFmtId="203" formatCode="0.000000"/>
    <x:numFmt numFmtId="204" formatCode="0.00"/>
    <x:numFmt numFmtId="205" formatCode="0.000"/>
    <x:numFmt numFmtId="206" formatCode="0.0000000000E+00"/>
    <x:numFmt numFmtId="207" formatCode="0.0000000000"/>
    <x:numFmt numFmtId="208" formatCode="0"/>
  </x:numFmts>
  <x:fonts count="12">
    <x:font>
      <x:sz val="11"/>
      <x:name val="Carlito"/>
    </x:font>
    <x:font>
      <x:b/>
      <x:sz val="16"/>
      <x:name val="Carlito"/>
    </x:font>
    <x:font>
      <x:b/>
      <x:sz val="11"/>
      <x:color rgb="FF000000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1"/>
      <x:color rgb="FF1F1F1F"/>
      <x:name val="Carlito"/>
    </x:font>
    <x:font>
      <x:b/>
      <x:sz val="11"/>
      <x:color rgb="FF17365D"/>
      <x:name val="Carlito"/>
    </x:font>
    <x:font>
      <x:i/>
      <x:sz val="11"/>
      <x:color rgb="FF595959"/>
      <x:name val="Carlito"/>
    </x:font>
    <x:font>
      <x:sz val="11"/>
      <x:color rgb="FF000000"/>
      <x:name val="Carlito"/>
    </x:font>
    <x:font>
      <x:b/>
      <x:i/>
      <x:sz val="11"/>
      <x:color rgb="FF1F1F1F"/>
      <x:name val="Carlito"/>
    </x:font>
    <x:font>
      <x:i/>
      <x:sz val="11"/>
      <x:name val="Carlito"/>
    </x:font>
  </x:fonts>
  <x:fills count="52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D9EAD3"/>
      </x:patternFill>
    </x:fill>
    <x:fill>
      <x:patternFill patternType="solid">
        <x:fgColor rgb="FFF2F2F2"/>
      </x:patternFill>
    </x:fill>
    <x:fill>
      <x:patternFill patternType="solid">
        <x:fgColor rgb="FF5B9BD5"/>
      </x:patternFill>
    </x:fill>
    <x:fill>
      <x:patternFill patternType="solid">
        <x:fgColor rgb="FFD9EAF7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5B9BD5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5B9BD5"/>
      </x:patternFill>
    </x:fill>
    <x:fill>
      <x:patternFill patternType="solid">
        <x:fgColor rgb="FFE2F0D9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5B9BD5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</x:fills>
  <x:borders count="26">
    <x:border/>
    <x:border/>
    <x:border>
      <x:left style="thin">
        <x:color rgb="FF8EA9C1"/>
      </x:left>
      <x:top style="thin">
        <x:color rgb="FF8EA9C1"/>
      </x:top>
      <x:bottom style="thin">
        <x:color rgb="FF8EA9C1"/>
      </x:bottom>
    </x:border>
    <x:border>
      <x:top style="thin">
        <x:color rgb="FF8EA9C1"/>
      </x:top>
      <x:bottom style="thin">
        <x:color rgb="FF8EA9C1"/>
      </x:bottom>
    </x:border>
    <x:border>
      <x:right style="thin">
        <x:color rgb="FF8EA9C1"/>
      </x:right>
      <x:top style="thin">
        <x:color rgb="FF8EA9C1"/>
      </x:top>
      <x:bottom style="thin">
        <x:color rgb="FF8EA9C1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A9D18E"/>
      </x:left>
      <x:top style="thin">
        <x:color rgb="FFA9D18E"/>
      </x:top>
    </x:border>
    <x:border>
      <x:top style="thin">
        <x:color rgb="FFA9D18E"/>
      </x:top>
    </x:border>
    <x:border>
      <x:right style="thin">
        <x:color rgb="FFA9D18E"/>
      </x:right>
      <x:top style="thin">
        <x:color rgb="FFA9D18E"/>
      </x:top>
    </x:border>
    <x:border>
      <x:left style="thin">
        <x:color rgb="FFA9D18E"/>
      </x:left>
    </x:border>
    <x:border>
      <x:right style="thin">
        <x:color rgb="FFA9D18E"/>
      </x:right>
    </x:border>
    <x:border>
      <x:left style="thin">
        <x:color rgb="FFA9D18E"/>
      </x:left>
      <x:bottom style="thin">
        <x:color rgb="FFA9D18E"/>
      </x:bottom>
    </x:border>
    <x:border>
      <x:bottom style="thin">
        <x:color rgb="FFA9D18E"/>
      </x:bottom>
    </x:border>
    <x:border>
      <x:right style="thin">
        <x:color rgb="FFA9D18E"/>
      </x:right>
      <x:bottom style="thin">
        <x:color rgb="FFA9D18E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</x:border>
    <x:border>
      <x:left style="thin">
        <x:color rgb="FFD6B656"/>
      </x:left>
      <x:right style="thin">
        <x:color rgb="FFD6B656"/>
      </x:right>
      <x:bottom style="thin">
        <x:color rgb="FFD6B656"/>
      </x:bottom>
    </x:border>
    <x:border>
      <x:left style="thin">
        <x:color rgb="FFA9D18E"/>
      </x:left>
      <x:right style="thin">
        <x:color rgb="FFA9D18E"/>
      </x:right>
      <x:top style="thin">
        <x:color rgb="FFA9D18E"/>
      </x:top>
    </x:border>
    <x:border>
      <x:left style="thin">
        <x:color rgb="FFA9D18E"/>
      </x:left>
      <x:right style="thin">
        <x:color rgb="FFA9D18E"/>
      </x:right>
    </x:border>
    <x:border>
      <x:left style="thin">
        <x:color rgb="FFA9D18E"/>
      </x:left>
      <x:right style="thin">
        <x:color rgb="FFA9D18E"/>
      </x:right>
      <x:bottom style="thin">
        <x:color rgb="FFA9D18E"/>
      </x:bottom>
    </x:border>
  </x:borders>
  <x:cellStyleXfs count="1">
    <x:xf numFmtId="0" fontId="0" fillId="0" borderId="0"/>
  </x:cellStyleXfs>
  <x:cellXfs count="57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horizont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horizontal="center" vertical="center" wrapText="1"/>
    </x:xf>
    <x:xf numFmtId="0" fontId="7" fillId="7" borderId="3" xfId="0" applyNumberFormat="1" applyFont="1" applyFill="1" applyBorder="1" applyAlignment="1">
      <x:alignment horizontal="center" vertical="center" wrapText="1"/>
    </x:xf>
    <x:xf numFmtId="0" fontId="7" fillId="7" borderId="4" xfId="0" applyNumberFormat="1" applyFont="1" applyFill="1" applyBorder="1" applyAlignment="1">
      <x:alignment horizontal="center" wrapText="1"/>
    </x:xf>
    <x:xf numFmtId="0" fontId="7" fillId="7" borderId="4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3" xfId="0" applyNumberFormat="1" applyFont="1" applyFill="1" applyBorder="1"/>
    <x:xf numFmtId="0" fontId="7" fillId="7" borderId="4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horizontal="center" wrapText="1"/>
    </x:xf>
    <x:xf numFmtId="0" fontId="7" fillId="7" borderId="3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200" fontId="0" fillId="8" borderId="0" xfId="0" applyNumberFormat="1" applyFont="1" applyFill="1" applyBorder="1" applyAlignment="1">
      <x:alignment vertical="center" wrapText="1"/>
    </x:xf>
    <x:xf numFmtId="201" fontId="0" fillId="8" borderId="0" xfId="0" applyNumberFormat="1" applyFont="1" applyFill="1" applyBorder="1" applyAlignment="1">
      <x:alignment vertical="center" wrapText="1"/>
    </x:xf>
    <x:xf numFmtId="200" fontId="0" fillId="8" borderId="5" xfId="0" applyNumberFormat="1" applyFont="1" applyFill="1" applyBorder="1" applyAlignment="1">
      <x:alignment vertical="center" wrapText="1"/>
    </x:xf>
    <x:xf numFmtId="201" fontId="0" fillId="8" borderId="6" xfId="0" applyNumberFormat="1" applyFont="1" applyFill="1" applyBorder="1" applyAlignment="1">
      <x:alignment vertical="center" wrapText="1"/>
    </x:xf>
    <x:xf numFmtId="201" fontId="0" fillId="8" borderId="7" xfId="0" applyNumberFormat="1" applyFont="1" applyFill="1" applyBorder="1" applyAlignment="1">
      <x:alignment vertical="center" wrapText="1"/>
    </x:xf>
    <x:xf numFmtId="200" fontId="0" fillId="8" borderId="8" xfId="0" applyNumberFormat="1" applyFont="1" applyFill="1" applyBorder="1" applyAlignment="1">
      <x:alignment vertical="center" wrapText="1"/>
    </x:xf>
    <x:xf numFmtId="201" fontId="0" fillId="8" xfId="0" applyNumberFormat="1" applyFont="1" applyFill="1" applyBorder="0" applyAlignment="1">
      <x:alignment vertical="center" wrapText="1"/>
    </x:xf>
    <x:xf numFmtId="201" fontId="0" fillId="8" borderId="9" xfId="0" applyNumberFormat="1" applyFont="1" applyFill="1" applyBorder="1" applyAlignment="1">
      <x:alignment vertical="center" wrapText="1"/>
    </x:xf>
    <x:xf numFmtId="200" fontId="0" fillId="8" borderId="10" xfId="0" applyNumberFormat="1" applyFont="1" applyFill="1" applyBorder="1" applyAlignment="1">
      <x:alignment vertical="center" wrapText="1"/>
    </x:xf>
    <x:xf numFmtId="201" fontId="0" fillId="8" borderId="11" xfId="0" applyNumberFormat="1" applyFont="1" applyFill="1" applyBorder="1" applyAlignment="1">
      <x:alignment vertical="center" wrapText="1"/>
    </x:xf>
    <x:xf numFmtId="201" fontId="0" fillId="8" borderId="12" xfId="0" applyNumberFormat="1" applyFont="1" applyFill="1" applyBorder="1" applyAlignment="1">
      <x:alignment vertical="center" wrapText="1"/>
    </x:xf>
    <x:xf numFmtId="201" fontId="0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201" fontId="0" fillId="9" borderId="13" xfId="0" applyNumberFormat="1" applyFont="1" applyFill="1" applyBorder="1" applyAlignment="1">
      <x:alignment vertical="center" wrapText="1"/>
    </x:xf>
    <x:xf numFmtId="201" fontId="0" fillId="9" borderId="14" xfId="0" applyNumberFormat="1" applyFont="1" applyFill="1" applyBorder="1" applyAlignment="1">
      <x:alignment vertical="center" wrapText="1"/>
    </x:xf>
    <x:xf numFmtId="0" fontId="0" fillId="9" borderId="14" xfId="0" applyNumberFormat="1" applyFont="1" applyFill="1" applyBorder="1" applyAlignment="1">
      <x:alignment vertical="center" wrapText="1"/>
    </x:xf>
    <x:xf numFmtId="0" fontId="0" fillId="9" borderId="14" xfId="0" applyNumberFormat="1" applyFont="1" applyFill="1" applyBorder="1"/>
    <x:xf numFmtId="0" fontId="0" fillId="9" borderId="15" xfId="0" applyNumberFormat="1" applyFont="1" applyFill="1" applyBorder="1"/>
    <x:xf numFmtId="201" fontId="0" fillId="9" borderId="16" xfId="0" applyNumberFormat="1" applyFont="1" applyFill="1" applyBorder="1" applyAlignment="1">
      <x:alignment vertical="center" wrapText="1"/>
    </x:xf>
    <x:xf numFmtId="201" fontId="0" fillId="9" xfId="0" applyNumberFormat="1" applyFont="1" applyFill="1" applyBorder="0" applyAlignment="1">
      <x:alignment vertical="center" wrapText="1"/>
    </x:xf>
    <x:xf numFmtId="0" fontId="0" fillId="9" xfId="0" applyNumberFormat="1" applyFont="1" applyFill="1" applyBorder="0" applyAlignment="1">
      <x:alignment vertical="center" wrapText="1"/>
    </x:xf>
    <x:xf numFmtId="0" fontId="0" fillId="9" xfId="0" applyNumberFormat="1" applyFont="1" applyFill="1" applyBorder="0"/>
    <x:xf numFmtId="0" fontId="0" fillId="9" borderId="17" xfId="0" applyNumberFormat="1" applyFont="1" applyFill="1" applyBorder="1"/>
    <x:xf numFmtId="0" fontId="0" fillId="9" borderId="16" xfId="0" applyNumberFormat="1" applyFont="1" applyFill="1" applyBorder="1" applyAlignment="1">
      <x:alignment wrapText="1"/>
    </x:xf>
    <x:xf numFmtId="0" fontId="0" fillId="9" xfId="0" applyNumberFormat="1" applyFont="1" applyFill="1" applyBorder="0" applyAlignment="1">
      <x:alignment wrapText="1"/>
    </x:xf>
    <x:xf numFmtId="0" fontId="0" fillId="9" borderId="16" xfId="0" applyNumberFormat="1" applyFont="1" applyFill="1" applyBorder="1"/>
    <x:xf numFmtId="0" fontId="0" fillId="9" borderId="18" xfId="0" applyNumberFormat="1" applyFont="1" applyFill="1" applyBorder="1"/>
    <x:xf numFmtId="0" fontId="0" fillId="9" borderId="19" xfId="0" applyNumberFormat="1" applyFont="1" applyFill="1" applyBorder="1"/>
    <x:xf numFmtId="0" fontId="0" fillId="9" borderId="20" xfId="0" applyNumberFormat="1" applyFont="1" applyFill="1" applyBorder="1"/>
    <x:xf numFmtId="0" fontId="0" fillId="10" borderId="14" xfId="0" applyNumberFormat="1" applyFont="1" applyFill="1" applyBorder="1" applyAlignment="1">
      <x:alignment vertical="center" wrapText="1"/>
    </x:xf>
    <x:xf numFmtId="0" fontId="0" fillId="10" xfId="0" applyNumberFormat="1" applyFont="1" applyFill="1" applyBorder="0" applyAlignment="1">
      <x:alignment vertical="center" wrapText="1"/>
    </x:xf>
    <x:xf numFmtId="0" fontId="0" fillId="10" xfId="0" applyNumberFormat="1" applyFont="1" applyFill="1" applyBorder="0" applyAlignment="1">
      <x:alignment wrapText="1"/>
    </x:xf>
    <x:xf numFmtId="0" fontId="0" fillId="10" xfId="0" applyNumberFormat="1" applyFont="1" applyFill="1" applyBorder="0"/>
    <x:xf numFmtId="0" fontId="0" fillId="10" borderId="19" xfId="0" applyNumberFormat="1" applyFont="1" applyFill="1" applyBorder="1"/>
    <x:xf numFmtId="203" fontId="0" fillId="8" borderId="6" xfId="0" applyNumberFormat="1" applyFont="1" applyFill="1" applyBorder="1" applyAlignment="1">
      <x:alignment vertical="center" wrapText="1"/>
    </x:xf>
    <x:xf numFmtId="203" fontId="0" fillId="8" borderId="7" xfId="0" applyNumberFormat="1" applyFont="1" applyFill="1" applyBorder="1" applyAlignment="1">
      <x:alignment vertical="center" wrapText="1"/>
    </x:xf>
    <x:xf numFmtId="203" fontId="0" fillId="9" borderId="13" xfId="0" applyNumberFormat="1" applyFont="1" applyFill="1" applyBorder="1" applyAlignment="1">
      <x:alignment vertical="center" wrapText="1"/>
    </x:xf>
    <x:xf numFmtId="203" fontId="0" fillId="9" borderId="14" xfId="0" applyNumberFormat="1" applyFont="1" applyFill="1" applyBorder="1" applyAlignment="1">
      <x:alignment vertical="center" wrapText="1"/>
    </x:xf>
    <x:xf numFmtId="203" fontId="0" fillId="8" xfId="0" applyNumberFormat="1" applyFont="1" applyFill="1" applyBorder="0" applyAlignment="1">
      <x:alignment vertical="center" wrapText="1"/>
    </x:xf>
    <x:xf numFmtId="203" fontId="0" fillId="8" borderId="9" xfId="0" applyNumberFormat="1" applyFont="1" applyFill="1" applyBorder="1" applyAlignment="1">
      <x:alignment vertical="center" wrapText="1"/>
    </x:xf>
    <x:xf numFmtId="203" fontId="0" fillId="9" borderId="16" xfId="0" applyNumberFormat="1" applyFont="1" applyFill="1" applyBorder="1" applyAlignment="1">
      <x:alignment vertical="center" wrapText="1"/>
    </x:xf>
    <x:xf numFmtId="203" fontId="0" fillId="9" xfId="0" applyNumberFormat="1" applyFont="1" applyFill="1" applyBorder="0" applyAlignment="1">
      <x:alignment vertical="center" wrapText="1"/>
    </x:xf>
    <x:xf numFmtId="203" fontId="0" fillId="8" borderId="11" xfId="0" applyNumberFormat="1" applyFont="1" applyFill="1" applyBorder="1" applyAlignment="1">
      <x:alignment vertical="center" wrapText="1"/>
    </x:xf>
    <x:xf numFmtId="203" fontId="0" fillId="8" borderId="12" xfId="0" applyNumberFormat="1" applyFont="1" applyFill="1" applyBorder="1" applyAlignment="1">
      <x:alignment vertical="center" wrapText="1"/>
    </x:xf>
    <x:xf numFmtId="204" fontId="0" fillId="9" borderId="14" xfId="0" applyNumberFormat="1" applyFont="1" applyFill="1" applyBorder="1" applyAlignment="1">
      <x:alignment vertical="center" wrapText="1"/>
    </x:xf>
    <x:xf numFmtId="204" fontId="0" fillId="9" xfId="0" applyNumberFormat="1" applyFont="1" applyFill="1" applyBorder="0" applyAlignment="1">
      <x:alignment vertical="center" wrapText="1"/>
    </x:xf>
    <x:xf numFmtId="203" fontId="0" fillId="9" xfId="0" applyNumberFormat="1" applyFont="1" applyFill="1" applyBorder="0" applyAlignment="1">
      <x:alignment wrapText="1"/>
    </x:xf>
    <x:xf numFmtId="203" fontId="0" fillId="9" xfId="0" applyNumberFormat="1" applyFont="1" applyFill="1" applyBorder="0"/>
    <x:xf numFmtId="203" fontId="0" fillId="9" borderId="19" xfId="0" applyNumberFormat="1" applyFont="1" applyFill="1" applyBorder="1"/>
    <x:xf numFmtId="203" fontId="0" fillId="9" borderId="14" xfId="0" applyNumberFormat="1" applyFont="1" applyFill="1" applyBorder="1"/>
    <x:xf numFmtId="203" fontId="0" fillId="9" borderId="15" xfId="0" applyNumberFormat="1" applyFont="1" applyFill="1" applyBorder="1"/>
    <x:xf numFmtId="203" fontId="0" fillId="9" borderId="17" xfId="0" applyNumberFormat="1" applyFont="1" applyFill="1" applyBorder="1"/>
    <x:xf numFmtId="203" fontId="0" fillId="9" borderId="14" xfId="0" applyNumberFormat="1" applyFont="1" applyFill="1" applyBorder="1" applyAlignment="1">
      <x:alignment wrapText="1"/>
    </x:xf>
    <x:xf numFmtId="203" fontId="0" fillId="9" borderId="15" xfId="0" applyNumberFormat="1" applyFont="1" applyFill="1" applyBorder="1" applyAlignment="1">
      <x:alignment wrapText="1"/>
    </x:xf>
    <x:xf numFmtId="203" fontId="0" fillId="9" borderId="17" xfId="0" applyNumberFormat="1" applyFont="1" applyFill="1" applyBorder="1" applyAlignment="1">
      <x:alignment wrapText="1"/>
    </x:xf>
    <x:xf numFmtId="0" fontId="0" fillId="9" borderId="17" xfId="0" applyNumberFormat="1" applyFont="1" applyFill="1" applyBorder="1" applyAlignment="1">
      <x:alignment wrapText="1"/>
    </x:xf>
    <x:xf numFmtId="0" fontId="0" fillId="9" borderId="18" xfId="0" applyNumberFormat="1" applyFont="1" applyFill="1" applyBorder="1" applyAlignment="1">
      <x:alignment wrapText="1"/>
    </x:xf>
    <x:xf numFmtId="0" fontId="0" fillId="9" borderId="19" xfId="0" applyNumberFormat="1" applyFont="1" applyFill="1" applyBorder="1" applyAlignment="1">
      <x:alignment wrapText="1"/>
    </x:xf>
    <x:xf numFmtId="0" fontId="0" fillId="10" borderId="19" xfId="0" applyNumberFormat="1" applyFont="1" applyFill="1" applyBorder="1" applyAlignment="1">
      <x:alignment wrapText="1"/>
    </x:xf>
    <x:xf numFmtId="203" fontId="0" fillId="9" borderId="19" xfId="0" applyNumberFormat="1" applyFont="1" applyFill="1" applyBorder="1" applyAlignment="1">
      <x:alignment wrapText="1"/>
    </x:xf>
    <x:xf numFmtId="0" fontId="0" fillId="9" borderId="20" xfId="0" applyNumberFormat="1" applyFont="1" applyFill="1" applyBorder="1" applyAlignment="1">
      <x:alignment wrapText="1"/>
    </x:xf>
    <x:xf numFmtId="203" fontId="0" fillId="10" borderId="14" xfId="0" applyNumberFormat="1" applyFont="1" applyFill="1" applyBorder="1" applyAlignment="1">
      <x:alignment vertical="center" wrapText="1"/>
    </x:xf>
    <x:xf numFmtId="203" fontId="0" fillId="10" xfId="0" applyNumberFormat="1" applyFont="1" applyFill="1" applyBorder="0" applyAlignment="1">
      <x:alignment vertical="center" wrapText="1"/>
    </x:xf>
    <x:xf numFmtId="203" fontId="0" fillId="10" borderId="19" xfId="0" applyNumberFormat="1" applyFont="1" applyFill="1" applyBorder="1" applyAlignment="1">
      <x:alignment wrapText="1"/>
    </x:xf>
    <x:xf numFmtId="203" fontId="0" fillId="9" borderId="20" xfId="0" applyNumberFormat="1" applyFont="1" applyFill="1" applyBorder="1"/>
    <x:xf numFmtId="203" fontId="0" fillId="9" borderId="20" xfId="0" applyNumberFormat="1" applyFont="1" applyFill="1" applyBorder="1" applyAlignment="1">
      <x:alignment wrapText="1"/>
    </x:xf>
    <x:xf numFmtId="201" fontId="0" fillId="9" borderId="18" xfId="0" applyNumberFormat="1" applyFont="1" applyFill="1" applyBorder="1" applyAlignment="1">
      <x:alignment vertical="center" wrapText="1"/>
    </x:xf>
    <x:xf numFmtId="201" fontId="0" fillId="9" borderId="19" xfId="0" applyNumberFormat="1" applyFont="1" applyFill="1" applyBorder="1" applyAlignment="1">
      <x:alignment vertical="center" wrapText="1"/>
    </x:xf>
    <x:xf numFmtId="0" fontId="0" fillId="9" borderId="19" xfId="0" applyNumberFormat="1" applyFont="1" applyFill="1" applyBorder="1" applyAlignment="1">
      <x:alignment vertical="center" wrapText="1"/>
    </x:xf>
    <x:xf numFmtId="0" fontId="0" fillId="9" borderId="13" xfId="0" applyNumberFormat="1" applyFont="1" applyFill="1" applyBorder="1"/>
    <x:xf numFmtId="0" fontId="0" fillId="10" borderId="13" xfId="0" applyNumberFormat="1" applyFont="1" applyFill="1" applyBorder="1"/>
    <x:xf numFmtId="0" fontId="0" fillId="10" borderId="16" xfId="0" applyNumberFormat="1" applyFont="1" applyFill="1" applyBorder="1"/>
    <x:xf numFmtId="0" fontId="0" fillId="10" borderId="18" xfId="0" applyNumberFormat="1" applyFont="1" applyFill="1" applyBorder="1"/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203" fontId="0" fillId="9" borderId="18" xfId="0" applyNumberFormat="1" applyFont="1" applyFill="1" applyBorder="1" applyAlignment="1">
      <x:alignment vertical="center" wrapText="1"/>
    </x:xf>
    <x:xf numFmtId="203" fontId="0" fillId="9" borderId="19" xfId="0" applyNumberFormat="1" applyFont="1" applyFill="1" applyBorder="1" applyAlignment="1">
      <x:alignment vertical="center" wrapText="1"/>
    </x:xf>
    <x:xf numFmtId="204" fontId="0" fillId="9" borderId="19" xfId="0" applyNumberFormat="1" applyFont="1" applyFill="1" applyBorder="1" applyAlignment="1">
      <x:alignment vertical="center" wrapText="1"/>
    </x:xf>
    <x:xf numFmtId="205" fontId="0" fillId="9" borderId="14" xfId="0" applyNumberFormat="1" applyFont="1" applyFill="1" applyBorder="1"/>
    <x:xf numFmtId="205" fontId="0" fillId="9" xfId="0" applyNumberFormat="1" applyFont="1" applyFill="1" applyBorder="0"/>
    <x:xf numFmtId="0" fontId="0" fillId="10" borderId="13" xfId="0" applyNumberFormat="1" applyFont="1" applyFill="1" applyBorder="1" applyAlignment="1">
      <x:alignment wrapText="1"/>
    </x:xf>
    <x:xf numFmtId="205" fontId="0" fillId="9" borderId="14" xfId="0" applyNumberFormat="1" applyFont="1" applyFill="1" applyBorder="1" applyAlignment="1">
      <x:alignment wrapText="1"/>
    </x:xf>
    <x:xf numFmtId="0" fontId="0" fillId="9" borderId="15" xfId="0" applyNumberFormat="1" applyFont="1" applyFill="1" applyBorder="1" applyAlignment="1">
      <x:alignment wrapText="1"/>
    </x:xf>
    <x:xf numFmtId="0" fontId="0" fillId="10" borderId="16" xfId="0" applyNumberFormat="1" applyFont="1" applyFill="1" applyBorder="1" applyAlignment="1">
      <x:alignment wrapText="1"/>
    </x:xf>
    <x:xf numFmtId="205" fontId="0" fillId="9" xfId="0" applyNumberFormat="1" applyFont="1" applyFill="1" applyBorder="0" applyAlignment="1">
      <x:alignment wrapText="1"/>
    </x:xf>
    <x:xf numFmtId="0" fontId="0" fillId="10" borderId="18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horizontal="center" vertical="center" wrapText="1"/>
    </x:xf>
    <x:xf numFmtId="0" fontId="0" fillId="9" borderId="13" xfId="0" applyNumberFormat="1" applyFont="1" applyFill="1" applyBorder="1" applyAlignment="1">
      <x:alignment vertical="center" wrapText="1"/>
    </x:xf>
    <x:xf numFmtId="0" fontId="0" fillId="9" borderId="16" xfId="0" applyNumberFormat="1" applyFont="1" applyFill="1" applyBorder="1" applyAlignment="1">
      <x:alignment vertical="center" wrapText="1"/>
    </x:xf>
    <x:xf numFmtId="0" fontId="0" fillId="9" borderId="18" xfId="0" applyNumberFormat="1" applyFont="1" applyFill="1" applyBorder="1" applyAlignment="1">
      <x:alignment vertical="center" wrapText="1"/>
    </x:xf>
    <x:xf numFmtId="202" fontId="0" fillId="9" borderId="0" xfId="0" applyNumberFormat="1" applyFont="1" applyFill="1" applyBorder="1" applyAlignment="1">
      <x:alignment vertical="center" wrapText="1"/>
    </x:xf>
    <x:xf numFmtId="202" fontId="0" fillId="9" borderId="13" xfId="0" applyNumberFormat="1" applyFont="1" applyFill="1" applyBorder="1" applyAlignment="1">
      <x:alignment vertical="center" wrapText="1"/>
    </x:xf>
    <x:xf numFmtId="202" fontId="0" fillId="9" borderId="15" xfId="0" applyNumberFormat="1" applyFont="1" applyFill="1" applyBorder="1" applyAlignment="1">
      <x:alignment vertical="center" wrapText="1"/>
    </x:xf>
    <x:xf numFmtId="202" fontId="0" fillId="9" borderId="16" xfId="0" applyNumberFormat="1" applyFont="1" applyFill="1" applyBorder="1" applyAlignment="1">
      <x:alignment vertical="center" wrapText="1"/>
    </x:xf>
    <x:xf numFmtId="202" fontId="0" fillId="9" borderId="17" xfId="0" applyNumberFormat="1" applyFont="1" applyFill="1" applyBorder="1" applyAlignment="1">
      <x:alignment vertical="center" wrapText="1"/>
    </x:xf>
    <x:xf numFmtId="202" fontId="0" fillId="9" borderId="18" xfId="0" applyNumberFormat="1" applyFont="1" applyFill="1" applyBorder="1" applyAlignment="1">
      <x:alignment vertical="center" wrapText="1"/>
    </x:xf>
    <x:xf numFmtId="202" fontId="0" fillId="9" borderId="2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205" fontId="0" fillId="9" borderId="13" xfId="0" applyNumberFormat="1" applyFont="1" applyFill="1" applyBorder="1" applyAlignment="1">
      <x:alignment vertical="center" wrapText="1"/>
    </x:xf>
    <x:xf numFmtId="205" fontId="0" fillId="9" borderId="15" xfId="0" applyNumberFormat="1" applyFont="1" applyFill="1" applyBorder="1" applyAlignment="1">
      <x:alignment vertical="center" wrapText="1"/>
    </x:xf>
    <x:xf numFmtId="205" fontId="0" fillId="9" borderId="16" xfId="0" applyNumberFormat="1" applyFont="1" applyFill="1" applyBorder="1" applyAlignment="1">
      <x:alignment vertical="center" wrapText="1"/>
    </x:xf>
    <x:xf numFmtId="205" fontId="0" fillId="9" borderId="17" xfId="0" applyNumberFormat="1" applyFont="1" applyFill="1" applyBorder="1" applyAlignment="1">
      <x:alignment vertical="center" wrapText="1"/>
    </x:xf>
    <x:xf numFmtId="205" fontId="0" fillId="9" borderId="18" xfId="0" applyNumberFormat="1" applyFont="1" applyFill="1" applyBorder="1" applyAlignment="1">
      <x:alignment vertical="center" wrapText="1"/>
    </x:xf>
    <x:xf numFmtId="205" fontId="0" fillId="9" borderId="20" xfId="0" applyNumberFormat="1" applyFont="1" applyFill="1" applyBorder="1" applyAlignment="1">
      <x:alignment vertical="center" wrapText="1"/>
    </x:xf>
    <x:xf numFmtId="0" fontId="0" fillId="9" borderId="14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5" xfId="0" applyNumberFormat="1" applyFont="1" applyFill="1" applyBorder="1" applyAlignment="1">
      <x:alignment vertical="center" wrapText="1"/>
    </x:xf>
    <x:xf numFmtId="0" fontId="0" fillId="8" borderId="6" xfId="0" applyNumberFormat="1" applyFont="1" applyFill="1" applyBorder="1" applyAlignment="1">
      <x:alignment vertical="center" wrapText="1"/>
    </x:xf>
    <x:xf numFmtId="0" fontId="0" fillId="8" borderId="7" xfId="0" applyNumberFormat="1" applyFont="1" applyFill="1" applyBorder="1" applyAlignment="1">
      <x:alignment vertical="center" wrapText="1"/>
    </x:xf>
    <x:xf numFmtId="0" fontId="0" fillId="8" borderId="8" xfId="0" applyNumberFormat="1" applyFont="1" applyFill="1" applyBorder="1" applyAlignment="1">
      <x:alignment vertical="center" wrapText="1"/>
    </x:xf>
    <x:xf numFmtId="0" fontId="0" fillId="8" xfId="0" applyNumberFormat="1" applyFont="1" applyFill="1" applyBorder="0" applyAlignment="1">
      <x:alignment vertical="center" wrapText="1"/>
    </x:xf>
    <x:xf numFmtId="0" fontId="0" fillId="8" borderId="9" xfId="0" applyNumberFormat="1" applyFont="1" applyFill="1" applyBorder="1" applyAlignment="1">
      <x:alignment vertical="center" wrapText="1"/>
    </x:xf>
    <x:xf numFmtId="0" fontId="0" fillId="8" borderId="10" xfId="0" applyNumberFormat="1" applyFont="1" applyFill="1" applyBorder="1" applyAlignment="1">
      <x:alignment vertical="center" wrapText="1"/>
    </x:xf>
    <x:xf numFmtId="0" fontId="0" fillId="8" borderId="11" xfId="0" applyNumberFormat="1" applyFont="1" applyFill="1" applyBorder="1" applyAlignment="1">
      <x:alignment vertical="center" wrapText="1"/>
    </x:xf>
    <x:xf numFmtId="0" fontId="0" fillId="8" borderId="12" xfId="0" applyNumberFormat="1" applyFont="1" applyFill="1" applyBorder="1" applyAlignment="1">
      <x:alignment vertical="center" wrapText="1"/>
    </x:xf>
    <x:xf numFmtId="0" fontId="0" fillId="8" borderId="21" xfId="0" applyNumberFormat="1" applyFont="1" applyFill="1" applyBorder="1" applyAlignment="1">
      <x:alignment vertical="center" wrapText="1"/>
    </x:xf>
    <x:xf numFmtId="0" fontId="0" fillId="8" borderId="22" xfId="0" applyNumberFormat="1" applyFont="1" applyFill="1" applyBorder="1" applyAlignment="1">
      <x:alignment vertical="center" wrapText="1"/>
    </x:xf>
    <x:xf numFmtId="0" fontId="0" fillId="9" borderId="15" xfId="0" applyNumberFormat="1" applyFont="1" applyFill="1" applyBorder="1" applyAlignment="1">
      <x:alignment vertical="center" wrapText="1"/>
    </x:xf>
    <x:xf numFmtId="0" fontId="0" fillId="9" borderId="17" xfId="0" applyNumberFormat="1" applyFont="1" applyFill="1" applyBorder="1" applyAlignment="1">
      <x:alignment vertical="center" wrapText="1"/>
    </x:xf>
    <x:xf numFmtId="0" fontId="0" fillId="9" borderId="20" xfId="0" applyNumberFormat="1" applyFont="1" applyFill="1" applyBorder="1" applyAlignment="1">
      <x:alignment vertical="center" wrapText="1"/>
    </x:xf>
    <x:xf numFmtId="0" fontId="0" fillId="9" borderId="23" xfId="0" applyNumberFormat="1" applyFont="1" applyFill="1" applyBorder="1" applyAlignment="1">
      <x:alignment vertical="center" wrapText="1"/>
    </x:xf>
    <x:xf numFmtId="0" fontId="0" fillId="9" borderId="24" xfId="0" applyNumberFormat="1" applyFont="1" applyFill="1" applyBorder="1" applyAlignment="1">
      <x:alignment vertical="center" wrapText="1"/>
    </x:xf>
    <x:xf numFmtId="0" fontId="0" fillId="9" borderId="25" xfId="0" applyNumberFormat="1" applyFont="1" applyFill="1" applyBorder="1" applyAlignment="1">
      <x:alignment vertical="center" wrapText="1"/>
    </x:xf>
    <x:xf numFmtId="0" fontId="2" fillId="12" borderId="0" xfId="0" applyNumberFormat="1" applyFont="1" applyFill="1" applyBorder="1" applyAlignment="1">
      <x:alignment horizontal="center" vertical="center" wrapText="1"/>
    </x:xf>
    <x:xf numFmtId="0" fontId="5" fillId="12" borderId="0" xfId="0" applyNumberFormat="1" applyFont="1" applyFill="1" applyBorder="1" applyAlignment="1">
      <x:alignment horizontal="center" vertical="center" wrapText="1"/>
    </x:xf>
    <x:xf numFmtId="0" fontId="5" fillId="12" borderId="0" xfId="0" applyNumberFormat="1" applyFont="1" applyFill="1" applyBorder="1" applyAlignment="1">
      <x:alignment horizontal="left" vertical="center" wrapText="1"/>
    </x:xf>
    <x:xf numFmtId="200" fontId="0" fillId="8" borderId="6" xfId="0" applyNumberFormat="1" applyFont="1" applyFill="1" applyBorder="1" applyAlignment="1">
      <x:alignment vertical="center" wrapText="1"/>
    </x:xf>
    <x:xf numFmtId="200" fontId="0" fillId="8" borderId="7" xfId="0" applyNumberFormat="1" applyFont="1" applyFill="1" applyBorder="1" applyAlignment="1">
      <x:alignment vertical="center" wrapText="1"/>
    </x:xf>
    <x:xf numFmtId="200" fontId="0" fillId="8" xfId="0" applyNumberFormat="1" applyFont="1" applyFill="1" applyBorder="0" applyAlignment="1">
      <x:alignment vertical="center" wrapText="1"/>
    </x:xf>
    <x:xf numFmtId="200" fontId="0" fillId="8" borderId="9" xfId="0" applyNumberFormat="1" applyFont="1" applyFill="1" applyBorder="1" applyAlignment="1">
      <x:alignment vertical="center" wrapText="1"/>
    </x:xf>
    <x:xf numFmtId="200" fontId="0" fillId="8" borderId="11" xfId="0" applyNumberFormat="1" applyFont="1" applyFill="1" applyBorder="1" applyAlignment="1">
      <x:alignment vertical="center" wrapText="1"/>
    </x:xf>
    <x:xf numFmtId="200" fontId="0" fillId="8" borderId="12" xfId="0" applyNumberFormat="1" applyFont="1" applyFill="1" applyBorder="1" applyAlignment="1">
      <x:alignment vertical="center" wrapText="1"/>
    </x:xf>
    <x:xf numFmtId="204" fontId="0" fillId="9" borderId="13" xfId="0" applyNumberFormat="1" applyFont="1" applyFill="1" applyBorder="1" applyAlignment="1">
      <x:alignment vertical="center" wrapText="1"/>
    </x:xf>
    <x:xf numFmtId="204" fontId="0" fillId="9" borderId="15" xfId="0" applyNumberFormat="1" applyFont="1" applyFill="1" applyBorder="1" applyAlignment="1">
      <x:alignment vertical="center" wrapText="1"/>
    </x:xf>
    <x:xf numFmtId="204" fontId="0" fillId="9" borderId="16" xfId="0" applyNumberFormat="1" applyFont="1" applyFill="1" applyBorder="1" applyAlignment="1">
      <x:alignment vertical="center" wrapText="1"/>
    </x:xf>
    <x:xf numFmtId="204" fontId="0" fillId="9" borderId="17" xfId="0" applyNumberFormat="1" applyFont="1" applyFill="1" applyBorder="1" applyAlignment="1">
      <x:alignment vertical="center" wrapText="1"/>
    </x:xf>
    <x:xf numFmtId="204" fontId="0" fillId="9" borderId="18" xfId="0" applyNumberFormat="1" applyFont="1" applyFill="1" applyBorder="1" applyAlignment="1">
      <x:alignment vertical="center" wrapText="1"/>
    </x:xf>
    <x:xf numFmtId="204" fontId="0" fillId="9" borderId="20" xfId="0" applyNumberFormat="1" applyFont="1" applyFill="1" applyBorder="1" applyAlignment="1">
      <x:alignment vertical="center" wrapText="1"/>
    </x:xf>
    <x:xf numFmtId="204" fontId="0" fillId="9" borderId="23" xfId="0" applyNumberFormat="1" applyFont="1" applyFill="1" applyBorder="1" applyAlignment="1">
      <x:alignment vertical="center" wrapText="1"/>
    </x:xf>
    <x:xf numFmtId="204" fontId="0" fillId="9" borderId="24" xfId="0" applyNumberFormat="1" applyFont="1" applyFill="1" applyBorder="1" applyAlignment="1">
      <x:alignment vertical="center" wrapText="1"/>
    </x:xf>
    <x:xf numFmtId="204" fontId="0" fillId="9" borderId="25" xfId="0" applyNumberFormat="1" applyFont="1" applyFill="1" applyBorder="1" applyAlignment="1">
      <x:alignment vertical="center" wrapText="1"/>
    </x:xf>
    <x:xf numFmtId="203" fontId="0" fillId="9" borderId="23" xfId="0" applyNumberFormat="1" applyFont="1" applyFill="1" applyBorder="1" applyAlignment="1">
      <x:alignment vertical="center" wrapText="1"/>
    </x:xf>
    <x:xf numFmtId="203" fontId="0" fillId="8" borderId="21" xfId="0" applyNumberFormat="1" applyFont="1" applyFill="1" applyBorder="1" applyAlignment="1">
      <x:alignment vertical="center" wrapText="1"/>
    </x:xf>
    <x:xf numFmtId="203" fontId="0" fillId="9" borderId="15" xfId="0" applyNumberFormat="1" applyFont="1" applyFill="1" applyBorder="1" applyAlignment="1">
      <x:alignment vertical="center" wrapText="1"/>
    </x:xf>
    <x:xf numFmtId="203" fontId="0" fillId="9" borderId="25" xfId="0" applyNumberFormat="1" applyFont="1" applyFill="1" applyBorder="1" applyAlignment="1">
      <x:alignment vertical="center" wrapText="1"/>
    </x:xf>
    <x:xf numFmtId="203" fontId="0" fillId="8" borderId="22" xfId="0" applyNumberFormat="1" applyFont="1" applyFill="1" applyBorder="1" applyAlignment="1">
      <x:alignment vertical="center" wrapText="1"/>
    </x:xf>
    <x:xf numFmtId="203" fontId="0" fillId="9" borderId="2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/>
    <x:xf numFmtId="0" fontId="5" fillId="12" borderId="0" xfId="0" applyNumberFormat="1" applyFont="1" applyFill="1" applyBorder="1"/>
    <x:xf numFmtId="0" fontId="5" fillId="12" borderId="0" xfId="0" applyNumberFormat="1" applyFont="1" applyFill="1" applyBorder="1" applyAlignment="1">
      <x:alignment horizontal="left"/>
    </x:xf>
    <x:xf numFmtId="0" fontId="5" fillId="12" borderId="0" xfId="0" applyNumberFormat="1" applyFont="1" applyFill="1" applyBorder="1" applyAlignment="1">
      <x:alignment horizontal="left" vertical="center"/>
    </x:xf>
    <x:xf numFmtId="203" fontId="0" fillId="9" borderId="13" xfId="0" applyNumberFormat="1" applyFont="1" applyFill="1" applyBorder="1"/>
    <x:xf numFmtId="203" fontId="0" fillId="9" borderId="16" xfId="0" applyNumberFormat="1" applyFont="1" applyFill="1" applyBorder="1"/>
    <x:xf numFmtId="203" fontId="0" fillId="9" borderId="18" xfId="0" applyNumberFormat="1" applyFont="1" applyFill="1" applyBorder="1"/>
    <x:xf numFmtId="205" fontId="0" fillId="9" borderId="15" xfId="0" applyNumberFormat="1" applyFont="1" applyFill="1" applyBorder="1"/>
    <x:xf numFmtId="205" fontId="0" fillId="9" borderId="17" xfId="0" applyNumberFormat="1" applyFont="1" applyFill="1" applyBorder="1"/>
    <x:xf numFmtId="205" fontId="0" fillId="9" borderId="19" xfId="0" applyNumberFormat="1" applyFont="1" applyFill="1" applyBorder="1"/>
    <x:xf numFmtId="205" fontId="0" fillId="9" borderId="20" xfId="0" applyNumberFormat="1" applyFont="1" applyFill="1" applyBorder="1"/>
    <x:xf numFmtId="204" fontId="0" fillId="9" borderId="13" xfId="0" applyNumberFormat="1" applyFont="1" applyFill="1" applyBorder="1"/>
    <x:xf numFmtId="204" fontId="0" fillId="9" borderId="14" xfId="0" applyNumberFormat="1" applyFont="1" applyFill="1" applyBorder="1"/>
    <x:xf numFmtId="204" fontId="0" fillId="9" borderId="15" xfId="0" applyNumberFormat="1" applyFont="1" applyFill="1" applyBorder="1"/>
    <x:xf numFmtId="204" fontId="0" fillId="9" borderId="16" xfId="0" applyNumberFormat="1" applyFont="1" applyFill="1" applyBorder="1"/>
    <x:xf numFmtId="204" fontId="0" fillId="9" xfId="0" applyNumberFormat="1" applyFont="1" applyFill="1" applyBorder="0"/>
    <x:xf numFmtId="204" fontId="0" fillId="9" borderId="17" xfId="0" applyNumberFormat="1" applyFont="1" applyFill="1" applyBorder="1"/>
    <x:xf numFmtId="204" fontId="0" fillId="9" borderId="18" xfId="0" applyNumberFormat="1" applyFont="1" applyFill="1" applyBorder="1"/>
    <x:xf numFmtId="204" fontId="0" fillId="9" borderId="19" xfId="0" applyNumberFormat="1" applyFont="1" applyFill="1" applyBorder="1"/>
    <x:xf numFmtId="204" fontId="0" fillId="9" borderId="20" xfId="0" applyNumberFormat="1" applyFont="1" applyFill="1" applyBorder="1"/>
    <x:xf numFmtId="203" fontId="0" fillId="9" borderId="13" xfId="0" applyNumberFormat="1" applyFont="1" applyFill="1" applyBorder="1" applyAlignment="1">
      <x:alignment wrapText="1"/>
    </x:xf>
    <x:xf numFmtId="203" fontId="0" fillId="9" borderId="16" xfId="0" applyNumberFormat="1" applyFont="1" applyFill="1" applyBorder="1" applyAlignment="1">
      <x:alignment wrapText="1"/>
    </x:xf>
    <x:xf numFmtId="203" fontId="0" fillId="9" borderId="18" xfId="0" applyNumberFormat="1" applyFont="1" applyFill="1" applyBorder="1" applyAlignment="1">
      <x:alignment wrapText="1"/>
    </x:xf>
    <x:xf numFmtId="205" fontId="0" fillId="9" borderId="15" xfId="0" applyNumberFormat="1" applyFont="1" applyFill="1" applyBorder="1" applyAlignment="1">
      <x:alignment wrapText="1"/>
    </x:xf>
    <x:xf numFmtId="205" fontId="0" fillId="9" borderId="17" xfId="0" applyNumberFormat="1" applyFont="1" applyFill="1" applyBorder="1" applyAlignment="1">
      <x:alignment wrapText="1"/>
    </x:xf>
    <x:xf numFmtId="205" fontId="0" fillId="9" borderId="19" xfId="0" applyNumberFormat="1" applyFont="1" applyFill="1" applyBorder="1" applyAlignment="1">
      <x:alignment wrapText="1"/>
    </x:xf>
    <x:xf numFmtId="205" fontId="0" fillId="9" borderId="20" xfId="0" applyNumberFormat="1" applyFont="1" applyFill="1" applyBorder="1" applyAlignment="1">
      <x:alignment wrapText="1"/>
    </x:xf>
    <x:xf numFmtId="204" fontId="0" fillId="9" borderId="13" xfId="0" applyNumberFormat="1" applyFont="1" applyFill="1" applyBorder="1" applyAlignment="1">
      <x:alignment wrapText="1"/>
    </x:xf>
    <x:xf numFmtId="204" fontId="0" fillId="9" borderId="14" xfId="0" applyNumberFormat="1" applyFont="1" applyFill="1" applyBorder="1" applyAlignment="1">
      <x:alignment wrapText="1"/>
    </x:xf>
    <x:xf numFmtId="204" fontId="0" fillId="9" borderId="15" xfId="0" applyNumberFormat="1" applyFont="1" applyFill="1" applyBorder="1" applyAlignment="1">
      <x:alignment wrapText="1"/>
    </x:xf>
    <x:xf numFmtId="0" fontId="0" fillId="9" borderId="13" xfId="0" applyNumberFormat="1" applyFont="1" applyFill="1" applyBorder="1" applyAlignment="1">
      <x:alignment wrapText="1"/>
    </x:xf>
    <x:xf numFmtId="204" fontId="0" fillId="9" borderId="16" xfId="0" applyNumberFormat="1" applyFont="1" applyFill="1" applyBorder="1" applyAlignment="1">
      <x:alignment wrapText="1"/>
    </x:xf>
    <x:xf numFmtId="204" fontId="0" fillId="9" xfId="0" applyNumberFormat="1" applyFont="1" applyFill="1" applyBorder="0" applyAlignment="1">
      <x:alignment wrapText="1"/>
    </x:xf>
    <x:xf numFmtId="204" fontId="0" fillId="9" borderId="17" xfId="0" applyNumberFormat="1" applyFont="1" applyFill="1" applyBorder="1" applyAlignment="1">
      <x:alignment wrapText="1"/>
    </x:xf>
    <x:xf numFmtId="204" fontId="0" fillId="9" borderId="18" xfId="0" applyNumberFormat="1" applyFont="1" applyFill="1" applyBorder="1" applyAlignment="1">
      <x:alignment wrapText="1"/>
    </x:xf>
    <x:xf numFmtId="204" fontId="0" fillId="9" borderId="19" xfId="0" applyNumberFormat="1" applyFont="1" applyFill="1" applyBorder="1" applyAlignment="1">
      <x:alignment wrapText="1"/>
    </x:xf>
    <x:xf numFmtId="204" fontId="0" fillId="9" borderId="2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 wrapText="1"/>
    </x:xf>
    <x:xf numFmtId="0" fontId="7" fillId="2" borderId="4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/>
    <x:xf numFmtId="0" fontId="7" fillId="2" borderId="2" xfId="0" applyNumberFormat="1" applyFont="1" applyFill="1" applyBorder="1"/>
    <x:xf numFmtId="0" fontId="7" fillId="2" borderId="3" xfId="0" applyNumberFormat="1" applyFont="1" applyFill="1" applyBorder="1"/>
    <x:xf numFmtId="0" fontId="7" fillId="2" borderId="4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7" fillId="2" borderId="3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horizontal="center" wrapText="1"/>
    </x:xf>
    <x:xf numFmtId="0" fontId="7" fillId="2" borderId="3" xfId="0" applyNumberFormat="1" applyFont="1" applyFill="1" applyBorder="1" applyAlignment="1">
      <x:alignment horizont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left"/>
    </x:xf>
    <x:xf numFmtId="0" fontId="5" fillId="5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7" fillId="13" borderId="2" xfId="0" applyNumberFormat="1" applyFont="1" applyFill="1" applyBorder="1" applyAlignment="1">
      <x:alignment horizontal="center" vertical="center" wrapText="1"/>
    </x:xf>
    <x:xf numFmtId="0" fontId="7" fillId="13" borderId="3" xfId="0" applyNumberFormat="1" applyFont="1" applyFill="1" applyBorder="1" applyAlignment="1">
      <x:alignment horizontal="center" vertical="center" wrapText="1"/>
    </x:xf>
    <x:xf numFmtId="0" fontId="7" fillId="13" borderId="4" xfId="0" applyNumberFormat="1" applyFont="1" applyFill="1" applyBorder="1" applyAlignment="1">
      <x:alignment horizontal="center" vertical="center" wrapText="1"/>
    </x:xf>
    <x:xf numFmtId="0" fontId="7" fillId="14" borderId="2" xfId="0" applyNumberFormat="1" applyFont="1" applyFill="1" applyBorder="1" applyAlignment="1">
      <x:alignment horizontal="center" vertical="center" wrapText="1"/>
    </x:xf>
    <x:xf numFmtId="0" fontId="7" fillId="14" borderId="3" xfId="0" applyNumberFormat="1" applyFont="1" applyFill="1" applyBorder="1" applyAlignment="1">
      <x:alignment horizontal="center" vertical="center" wrapText="1"/>
    </x:xf>
    <x:xf numFmtId="0" fontId="7" fillId="14" borderId="4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9" fillId="15" borderId="0" xfId="0" applyNumberFormat="1" applyFont="1" applyFill="1" applyBorder="1" applyAlignment="1">
      <x:alignment vertical="center" wrapText="1"/>
    </x:xf>
    <x:xf numFmtId="0" fontId="9" fillId="15" borderId="0" xfId="0" applyNumberFormat="1" applyFont="1" applyFill="1" applyBorder="1" applyAlignment="1">
      <x:alignment wrapText="1"/>
    </x:xf>
    <x:xf numFmtId="0" fontId="2" fillId="15" borderId="0" xfId="0" applyNumberFormat="1" applyFont="1" applyFill="1" applyBorder="1" applyAlignment="1">
      <x:alignment horizontal="center" vertical="center" wrapText="1"/>
    </x:xf>
    <x:xf numFmtId="0" fontId="2" fillId="14" borderId="0" xfId="0" applyNumberFormat="1" applyFont="1" applyFill="1" applyBorder="1" applyAlignment="1">
      <x:alignment vertical="center" wrapText="1"/>
    </x:xf>
    <x:xf numFmtId="0" fontId="2" fillId="14" borderId="0" xfId="0" applyNumberFormat="1" applyFont="1" applyFill="1" applyBorder="1" applyAlignment="1">
      <x:alignment horizontal="center" vertical="center" wrapText="1"/>
    </x:xf>
    <x:xf numFmtId="0" fontId="0" fillId="16" borderId="0" xfId="0" applyNumberFormat="1" applyFont="1" applyFill="1" applyBorder="1"/>
    <x:xf numFmtId="0" fontId="5" fillId="16" borderId="0" xfId="0" applyNumberFormat="1" applyFont="1" applyFill="1" applyBorder="1"/>
    <x:xf numFmtId="0" fontId="5" fillId="16" borderId="0" xfId="0" applyNumberFormat="1" applyFont="1" applyFill="1" applyBorder="1" applyAlignment="1">
      <x:alignment wrapText="1"/>
    </x:xf>
    <x:xf numFmtId="0" fontId="5" fillId="16" borderId="0" xfId="0" applyNumberFormat="1" applyFont="1" applyFill="1" applyBorder="1" applyAlignment="1">
      <x:alignment horizontal="center" wrapText="1"/>
    </x:xf>
    <x:xf numFmtId="0" fontId="5" fillId="16" borderId="0" xfId="0" applyNumberFormat="1" applyFont="1" applyFill="1" applyBorder="1" applyAlignment="1">
      <x:alignment horizontal="center" vertical="center" wrapText="1"/>
    </x:xf>
    <x:xf numFmtId="0" fontId="0" fillId="17" borderId="0" xfId="0" applyNumberFormat="1" applyFont="1" applyFill="1" applyBorder="1"/>
    <x:xf numFmtId="0" fontId="6" fillId="17" borderId="0" xfId="0" applyNumberFormat="1" applyFont="1" applyFill="1" applyBorder="1"/>
    <x:xf numFmtId="0" fontId="6" fillId="17" borderId="0" xfId="0" applyNumberFormat="1" applyFont="1" applyFill="1" applyBorder="1" applyAlignment="1">
      <x:alignment wrapText="1"/>
    </x:xf>
    <x:xf numFmtId="0" fontId="5" fillId="16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6" fillId="17" borderId="0" xfId="0" applyNumberFormat="1" applyFont="1" applyFill="1" applyBorder="1" applyAlignment="1">
      <x:alignment vertical="top" wrapText="1"/>
    </x:xf>
    <x:xf numFmtId="0" fontId="8" fillId="17" borderId="0" xfId="0" applyNumberFormat="1" applyFont="1" applyFill="1" applyBorder="1" applyAlignment="1">
      <x:alignment wrapText="1"/>
    </x:xf>
    <x:xf numFmtId="0" fontId="10" fillId="17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0" fillId="18" borderId="0" xfId="0" applyNumberFormat="1" applyFont="1" applyFill="1" applyBorder="1"/>
    <x:xf numFmtId="0" fontId="3" fillId="18" borderId="0" xfId="0" applyNumberFormat="1" applyFont="1" applyFill="1" applyBorder="1"/>
    <x:xf numFmtId="0" fontId="3" fillId="18" borderId="0" xfId="0" applyNumberFormat="1" applyFont="1" applyFill="1" applyBorder="1" applyAlignment="1">
      <x:alignment horizontal="center"/>
    </x:xf>
    <x:xf numFmtId="0" fontId="3" fillId="18" borderId="0" xfId="0" applyNumberFormat="1" applyFont="1" applyFill="1" applyBorder="1" applyAlignment="1">
      <x:alignment horizontal="center" vertical="center"/>
    </x:xf>
    <x:xf numFmtId="0" fontId="0" fillId="19" borderId="0" xfId="0" applyNumberFormat="1" applyFont="1" applyFill="1" applyBorder="1"/>
    <x:xf numFmtId="0" fontId="11" fillId="19" borderId="0" xfId="0" applyNumberFormat="1" applyFont="1" applyFill="1" applyBorder="1"/>
    <x:xf numFmtId="0" fontId="11" fillId="19" borderId="0" xfId="0" applyNumberFormat="1" applyFont="1" applyFill="1" applyBorder="1" applyAlignment="1">
      <x:alignment wrapText="1"/>
    </x:xf>
    <x:xf numFmtId="0" fontId="0" fillId="20" borderId="0" xfId="0" applyNumberFormat="1" applyFont="1" applyFill="1" applyBorder="1"/>
    <x:xf numFmtId="0" fontId="5" fillId="20" borderId="0" xfId="0" applyNumberFormat="1" applyFont="1" applyFill="1" applyBorder="1"/>
    <x:xf numFmtId="0" fontId="5" fillId="18" borderId="0" xfId="0" applyNumberFormat="1" applyFont="1" applyFill="1" applyBorder="1"/>
    <x:xf numFmtId="0" fontId="5" fillId="18" borderId="0" xfId="0" applyNumberFormat="1" applyFont="1" applyFill="1" applyBorder="1" applyAlignment="1">
      <x:alignment wrapText="1"/>
    </x:xf>
    <x:xf numFmtId="0" fontId="5" fillId="18" borderId="0" xfId="0" applyNumberFormat="1" applyFont="1" applyFill="1" applyBorder="1" applyAlignment="1">
      <x:alignment horizontal="center" wrapText="1"/>
    </x:xf>
    <x:xf numFmtId="0" fontId="5" fillId="18" borderId="0" xfId="0" applyNumberFormat="1" applyFont="1" applyFill="1" applyBorder="1" applyAlignment="1">
      <x:alignment horizontal="center" vertical="center" wrapText="1"/>
    </x:xf>
    <x:xf numFmtId="0" fontId="0" fillId="21" borderId="0" xfId="0" applyNumberFormat="1" applyFont="1" applyFill="1" applyBorder="1"/>
    <x:xf numFmtId="0" fontId="4" fillId="21" borderId="0" xfId="0" applyNumberFormat="1" applyFont="1" applyFill="1" applyBorder="1"/>
    <x:xf numFmtId="0" fontId="0" fillId="22" borderId="0" xfId="0" applyNumberFormat="1" applyFont="1" applyFill="1" applyBorder="1"/>
    <x:xf numFmtId="0" fontId="0" fillId="22" xfId="0" applyNumberFormat="1" applyFont="1" applyFill="1" applyBorder="0"/>
    <x:xf numFmtId="0" fontId="0" fillId="22" xfId="0" applyNumberFormat="1" applyFont="1" applyFill="1" applyBorder="0" applyAlignment="1">
      <x:alignment wrapText="1"/>
    </x:xf>
    <x:xf numFmtId="206" fontId="0" fillId="22" xfId="0" applyNumberFormat="1" applyFont="1" applyFill="1" applyBorder="0" applyAlignment="1">
      <x:alignment wrapText="1"/>
    </x:xf>
    <x:xf numFmtId="203" fontId="0" fillId="22" xfId="0" applyNumberFormat="1" applyFont="1" applyFill="1" applyBorder="0" applyAlignment="1">
      <x:alignment wrapText="1"/>
    </x:xf>
    <x:xf numFmtId="200" fontId="0" fillId="22" xfId="0" applyNumberFormat="1" applyFont="1" applyFill="1" applyBorder="0" applyAlignment="1">
      <x:alignment wrapText="1"/>
    </x:xf>
    <x:xf numFmtId="203" fontId="0" fillId="22" xfId="0" applyNumberFormat="1" applyFont="1" applyFill="1" applyBorder="0"/>
    <x:xf numFmtId="0" fontId="3" fillId="18" borderId="0" xfId="0" applyNumberFormat="1" applyFont="1" applyFill="1" applyBorder="1" applyAlignment="1">
      <x:alignment horizontal="center" vertical="top"/>
    </x:xf>
    <x:xf numFmtId="0" fontId="11" fillId="19" borderId="0" xfId="0" applyNumberFormat="1" applyFont="1" applyFill="1" applyBorder="1" applyAlignment="1">
      <x:alignment vertical="top" wrapText="1"/>
    </x:xf>
    <x:xf numFmtId="0" fontId="5" fillId="20" borderId="0" xfId="0" applyNumberFormat="1" applyFont="1" applyFill="1" applyBorder="1" applyAlignment="1">
      <x:alignment vertical="top"/>
    </x:xf>
    <x:xf numFmtId="0" fontId="5" fillId="18" borderId="0" xfId="0" applyNumberFormat="1" applyFont="1" applyFill="1" applyBorder="1" applyAlignment="1">
      <x:alignment horizontal="center" vertical="top" wrapText="1"/>
    </x:xf>
    <x:xf numFmtId="0" fontId="0" fillId="22" xfId="0" applyNumberFormat="1" applyFont="1" applyFill="1" applyBorder="0" applyAlignment="1">
      <x:alignment vertical="top" wrapText="1"/>
    </x:xf>
    <x:xf numFmtId="206" fontId="0" fillId="22" xfId="0" applyNumberFormat="1" applyFont="1" applyFill="1" applyBorder="0" applyAlignment="1">
      <x:alignment vertical="top" wrapText="1"/>
    </x:xf>
    <x:xf numFmtId="203" fontId="0" fillId="22" xfId="0" applyNumberFormat="1" applyFont="1" applyFill="1" applyBorder="0" applyAlignment="1">
      <x:alignment vertical="top" wrapText="1"/>
    </x:xf>
    <x:xf numFmtId="200" fontId="0" fillId="22" xfId="0" applyNumberFormat="1" applyFont="1" applyFill="1" applyBorder="0" applyAlignment="1">
      <x:alignment vertical="top" wrapText="1"/>
    </x:xf>
    <x:xf numFmtId="0" fontId="4" fillId="21" borderId="0" xfId="0" applyNumberFormat="1" applyFont="1" applyFill="1" applyBorder="1" applyAlignment="1">
      <x:alignment vertical="top"/>
    </x:xf>
    <x:xf numFmtId="203" fontId="0" fillId="22" xfId="0" applyNumberFormat="1" applyFont="1" applyFill="1" applyBorder="0" applyAlignment="1">
      <x:alignment vertical="top"/>
    </x:xf>
    <x:xf numFmtId="0" fontId="5" fillId="18" borderId="0" xfId="0" applyNumberFormat="1" applyFont="1" applyFill="1" applyBorder="1" applyAlignment="1">
      <x:alignment vertical="top"/>
    </x:xf>
    <x:xf numFmtId="0" fontId="0" fillId="22" borderId="0" xfId="0" applyNumberFormat="1" applyFont="1" applyFill="1" applyBorder="1" applyAlignment="1">
      <x:alignment vertical="top"/>
    </x:xf>
    <x:xf numFmtId="0" fontId="5" fillId="18" borderId="0" xfId="0" applyNumberFormat="1" applyFont="1" applyFill="1" applyBorder="1" applyAlignment="1">
      <x:alignment vertical="top" wrapText="1"/>
    </x:xf>
    <x:xf numFmtId="0" fontId="3" fillId="18" borderId="0" xfId="0" applyNumberFormat="1" applyFont="1" applyFill="1" applyBorder="1" applyAlignment="1">
      <x:alignment horizontal="center" vertical="top" wrapText="1"/>
    </x:xf>
    <x:xf numFmtId="0" fontId="5" fillId="20" borderId="0" xfId="0" applyNumberFormat="1" applyFont="1" applyFill="1" applyBorder="1" applyAlignment="1">
      <x:alignment vertical="top" wrapText="1"/>
    </x:xf>
    <x:xf numFmtId="0" fontId="4" fillId="21" borderId="0" xfId="0" applyNumberFormat="1" applyFont="1" applyFill="1" applyBorder="1" applyAlignment="1">
      <x:alignment vertical="top" wrapText="1"/>
    </x:xf>
    <x:xf numFmtId="0" fontId="0" fillId="22" borderId="0" xfId="0" applyNumberFormat="1" applyFont="1" applyFill="1" applyBorder="1" applyAlignment="1">
      <x:alignment vertical="top" wrapText="1"/>
    </x:xf>
    <x:xf numFmtId="0" fontId="0" fillId="22" borderId="0" xfId="0" applyNumberFormat="1" applyFont="1" applyFill="1" applyBorder="1" applyAlignment="1">
      <x:alignment wrapText="1"/>
    </x:xf>
    <x:xf numFmtId="0" fontId="0" fillId="18" borderId="0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206" fontId="0" fillId="9" xfId="0" applyNumberFormat="1" applyFont="1" applyFill="1" applyBorder="0" applyAlignment="1">
      <x:alignment wrapText="1"/>
    </x:xf>
    <x:xf numFmtId="200" fontId="0" fillId="9" xfId="0" applyNumberFormat="1" applyFont="1" applyFill="1" applyBorder="0" applyAlignment="1">
      <x:alignment wrapText="1"/>
    </x:xf>
    <x:xf numFmtId="0" fontId="3" fillId="3" borderId="0" xfId="0" applyNumberFormat="1" applyFont="1" applyFill="1" applyBorder="1" applyAlignment="1">
      <x:alignment horizontal="center" vertical="top"/>
    </x:xf>
    <x:xf numFmtId="0" fontId="11" fillId="8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/>
    </x:xf>
    <x:xf numFmtId="0" fontId="0" fillId="9" xfId="0" applyNumberFormat="1" applyFont="1" applyFill="1" applyBorder="0" applyAlignment="1">
      <x:alignment vertical="top" wrapText="1"/>
    </x:xf>
    <x:xf numFmtId="206" fontId="0" fillId="9" xfId="0" applyNumberFormat="1" applyFont="1" applyFill="1" applyBorder="0" applyAlignment="1">
      <x:alignment vertical="top" wrapText="1"/>
    </x:xf>
    <x:xf numFmtId="203" fontId="0" fillId="9" xfId="0" applyNumberFormat="1" applyFont="1" applyFill="1" applyBorder="0" applyAlignment="1">
      <x:alignment vertical="top" wrapText="1"/>
    </x:xf>
    <x:xf numFmtId="200" fontId="0" fillId="9" xfId="0" applyNumberFormat="1" applyFont="1" applyFill="1" applyBorder="0" applyAlignment="1">
      <x:alignment vertical="top" wrapText="1"/>
    </x:xf>
    <x:xf numFmtId="0" fontId="4" fillId="2" borderId="0" xfId="0" applyNumberFormat="1" applyFont="1" applyFill="1" applyBorder="1" applyAlignment="1">
      <x:alignment vertical="top"/>
    </x:xf>
    <x:xf numFmtId="203" fontId="0" fillId="9" xfId="0" applyNumberFormat="1" applyFont="1" applyFill="1" applyBorder="0" applyAlignment="1">
      <x:alignment vertical="top"/>
    </x:xf>
    <x:xf numFmtId="0" fontId="5" fillId="3" borderId="0" xfId="0" applyNumberFormat="1" applyFont="1" applyFill="1" applyBorder="1" applyAlignment="1">
      <x:alignment vertical="top"/>
    </x:xf>
    <x:xf numFmtId="0" fontId="0" fillId="9" borderId="0" xfId="0" applyNumberFormat="1" applyFont="1" applyFill="1" applyBorder="1" applyAlignment="1">
      <x:alignment vertical="top"/>
    </x:xf>
    <x:xf numFmtId="0" fontId="5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23" borderId="0" xfId="0" applyNumberFormat="1" applyFont="1" applyFill="1" applyBorder="1"/>
    <x:xf numFmtId="0" fontId="3" fillId="23" borderId="0" xfId="0" applyNumberFormat="1" applyFont="1" applyFill="1" applyBorder="1"/>
    <x:xf numFmtId="0" fontId="3" fillId="23" borderId="0" xfId="0" applyNumberFormat="1" applyFont="1" applyFill="1" applyBorder="1" applyAlignment="1">
      <x:alignment horizontal="center"/>
    </x:xf>
    <x:xf numFmtId="0" fontId="3" fillId="23" borderId="0" xfId="0" applyNumberFormat="1" applyFont="1" applyFill="1" applyBorder="1" applyAlignment="1">
      <x:alignment horizontal="center" vertical="center"/>
    </x:xf>
    <x:xf numFmtId="0" fontId="5" fillId="23" borderId="0" xfId="0" applyNumberFormat="1" applyFont="1" applyFill="1" applyBorder="1"/>
    <x:xf numFmtId="204" fontId="0" fillId="0" borderId="0" xfId="0" applyNumberFormat="1" applyFont="1" applyFill="1" applyBorder="1"/>
    <x:xf numFmtId="0" fontId="0" fillId="24" borderId="0" xfId="0" applyNumberFormat="1" applyFont="1" applyFill="1" applyBorder="1"/>
    <x:xf numFmtId="0" fontId="11" fillId="24" borderId="0" xfId="0" applyNumberFormat="1" applyFont="1" applyFill="1" applyBorder="1"/>
    <x:xf numFmtId="0" fontId="11" fillId="24" borderId="0" xfId="0" applyNumberFormat="1" applyFont="1" applyFill="1" applyBorder="1" applyAlignment="1">
      <x:alignment wrapText="1"/>
    </x:xf>
    <x:xf numFmtId="0" fontId="11" fillId="24" borderId="0" xfId="0" applyNumberFormat="1" applyFont="1" applyFill="1" applyBorder="1" applyAlignment="1">
      <x:alignment vertical="center" wrapText="1"/>
    </x:xf>
    <x:xf numFmtId="0" fontId="0" fillId="25" borderId="0" xfId="0" applyNumberFormat="1" applyFont="1" applyFill="1" applyBorder="1"/>
    <x:xf numFmtId="0" fontId="5" fillId="25" borderId="0" xfId="0" applyNumberFormat="1" applyFont="1" applyFill="1" applyBorder="1"/>
    <x:xf numFmtId="0" fontId="5" fillId="23" borderId="0" xfId="0" applyNumberFormat="1" applyFont="1" applyFill="1" applyBorder="1" applyAlignment="1">
      <x:alignment wrapText="1"/>
    </x:xf>
    <x:xf numFmtId="0" fontId="5" fillId="23" borderId="0" xfId="0" applyNumberFormat="1" applyFont="1" applyFill="1" applyBorder="1" applyAlignment="1">
      <x:alignment horizontal="center" wrapText="1"/>
    </x:xf>
    <x:xf numFmtId="0" fontId="5" fillId="23" borderId="0" xfId="0" applyNumberFormat="1" applyFont="1" applyFill="1" applyBorder="1" applyAlignment="1">
      <x:alignment horizontal="center" vertical="center" wrapText="1"/>
    </x:xf>
    <x:xf numFmtId="0" fontId="0" fillId="26" borderId="0" xfId="0" applyNumberFormat="1" applyFont="1" applyFill="1" applyBorder="1"/>
    <x:xf numFmtId="0" fontId="0" fillId="26" xfId="0" applyNumberFormat="1" applyFont="1" applyFill="1" applyBorder="0"/>
    <x:xf numFmtId="0" fontId="0" fillId="26" xfId="0" applyNumberFormat="1" applyFont="1" applyFill="1" applyBorder="0" applyAlignment="1">
      <x:alignment wrapText="1"/>
    </x:xf>
    <x:xf numFmtId="0" fontId="0" fillId="26" xfId="0" applyNumberFormat="1" applyFont="1" applyFill="1" applyBorder="0" applyAlignment="1">
      <x:alignment vertical="top" wrapText="1"/>
    </x:xf>
    <x:xf numFmtId="0" fontId="0" fillId="26" borderId="0" xfId="0" applyNumberFormat="1" applyFont="1" applyFill="1" applyBorder="1" applyAlignment="1">
      <x:alignment wrapText="1"/>
    </x:xf>
    <x:xf numFmtId="207" fontId="0" fillId="26" xfId="0" applyNumberFormat="1" applyFont="1" applyFill="1" applyBorder="0" applyAlignment="1">
      <x:alignment vertical="top" wrapText="1"/>
    </x:xf>
    <x:xf numFmtId="207" fontId="0" fillId="26" xfId="0" applyNumberFormat="1" applyFont="1" applyFill="1" applyBorder="0" applyAlignment="1">
      <x:alignment wrapText="1"/>
    </x:xf>
    <x:xf numFmtId="207" fontId="0" fillId="26" borderId="0" xfId="0" applyNumberFormat="1" applyFont="1" applyFill="1" applyBorder="1" applyAlignment="1">
      <x:alignment wrapText="1"/>
    </x:xf>
    <x:xf numFmtId="202" fontId="0" fillId="26" xfId="0" applyNumberFormat="1" applyFont="1" applyFill="1" applyBorder="0" applyAlignment="1">
      <x:alignment vertical="top" wrapText="1"/>
    </x:xf>
    <x:xf numFmtId="208" fontId="0" fillId="26" xfId="0" applyNumberFormat="1" applyFont="1" applyFill="1" applyBorder="0" applyAlignment="1">
      <x:alignment vertical="top" wrapText="1"/>
    </x:xf>
    <x:xf numFmtId="0" fontId="3" fillId="23" borderId="0" xfId="0" applyNumberFormat="1" applyFont="1" applyFill="1" applyBorder="1" applyAlignment="1">
      <x:alignment horizontal="center" vertical="center" wrapText="1"/>
    </x:xf>
    <x:xf numFmtId="204" fontId="0" fillId="0" borderId="0" xfId="0" applyNumberFormat="1" applyFont="1" applyFill="1" applyBorder="1" applyAlignment="1">
      <x:alignment wrapText="1"/>
    </x:xf>
    <x:xf numFmtId="0" fontId="5" fillId="25" borderId="0" xfId="0" applyNumberFormat="1" applyFont="1" applyFill="1" applyBorder="1" applyAlignment="1">
      <x:alignment wrapText="1"/>
    </x:xf>
    <x:xf numFmtId="0" fontId="3" fillId="23" borderId="0" xfId="0" applyNumberFormat="1" applyFont="1" applyFill="1" applyBorder="1" applyAlignment="1">
      <x:alignment horizontal="center" vertical="top" wrapText="1"/>
    </x:xf>
    <x:xf numFmtId="0" fontId="5" fillId="23" borderId="0" xfId="0" applyNumberFormat="1" applyFont="1" applyFill="1" applyBorder="1" applyAlignment="1">
      <x:alignment vertical="top" wrapText="1"/>
    </x:xf>
    <x:xf numFmtId="0" fontId="11" fillId="24" borderId="0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vertical="top" wrapText="1"/>
    </x:xf>
    <x:xf numFmtId="0" fontId="5" fillId="25" borderId="0" xfId="0" applyNumberFormat="1" applyFont="1" applyFill="1" applyBorder="1" applyAlignment="1">
      <x:alignment vertical="top" wrapText="1"/>
    </x:xf>
    <x:xf numFmtId="0" fontId="5" fillId="23" borderId="0" xfId="0" applyNumberFormat="1" applyFont="1" applyFill="1" applyBorder="1" applyAlignment="1">
      <x:alignment horizontal="center" vertical="top" wrapText="1"/>
    </x:xf>
    <x:xf numFmtId="0" fontId="0" fillId="26" borderId="0" xfId="0" applyNumberFormat="1" applyFont="1" applyFill="1" applyBorder="1" applyAlignment="1">
      <x:alignment vertical="top" wrapText="1"/>
    </x:xf>
    <x:xf numFmtId="207" fontId="0" fillId="26" borderId="0" xfId="0" applyNumberFormat="1" applyFont="1" applyFill="1" applyBorder="1" applyAlignment="1">
      <x:alignment vertical="top" wrapText="1"/>
    </x:xf>
    <x:xf numFmtId="0" fontId="11" fillId="8" borderId="0" xfId="0" applyNumberFormat="1" applyFont="1" applyFill="1" applyBorder="1" applyAlignment="1">
      <x:alignment vertical="center" wrapText="1"/>
    </x:xf>
    <x:xf numFmtId="207" fontId="0" fillId="9" xfId="0" applyNumberFormat="1" applyFont="1" applyFill="1" applyBorder="0" applyAlignment="1">
      <x:alignment vertical="top" wrapText="1"/>
    </x:xf>
    <x:xf numFmtId="207" fontId="0" fillId="9" xfId="0" applyNumberFormat="1" applyFont="1" applyFill="1" applyBorder="0" applyAlignment="1">
      <x:alignment wrapText="1"/>
    </x:xf>
    <x:xf numFmtId="207" fontId="0" fillId="9" borderId="0" xfId="0" applyNumberFormat="1" applyFont="1" applyFill="1" applyBorder="1" applyAlignment="1">
      <x:alignment wrapText="1"/>
    </x:xf>
    <x:xf numFmtId="202" fontId="0" fillId="9" xfId="0" applyNumberFormat="1" applyFont="1" applyFill="1" applyBorder="0" applyAlignment="1">
      <x:alignment vertical="top" wrapText="1"/>
    </x:xf>
    <x:xf numFmtId="208" fontId="0" fillId="9" xfId="0" applyNumberFormat="1" applyFont="1" applyFill="1" applyBorder="0" applyAlignment="1">
      <x:alignment vertical="top" wrapText="1"/>
    </x:xf>
    <x:xf numFmtId="207" fontId="0" fillId="9" borderId="0" xfId="0" applyNumberFormat="1" applyFont="1" applyFill="1" applyBorder="1" applyAlignment="1">
      <x:alignment vertical="top" wrapText="1"/>
    </x:xf>
    <x:xf numFmtId="0" fontId="0" fillId="27" borderId="0" xfId="0" applyNumberFormat="1" applyFont="1" applyFill="1" applyBorder="1"/>
    <x:xf numFmtId="0" fontId="3" fillId="27" borderId="0" xfId="0" applyNumberFormat="1" applyFont="1" applyFill="1" applyBorder="1"/>
    <x:xf numFmtId="0" fontId="3" fillId="27" borderId="0" xfId="0" applyNumberFormat="1" applyFont="1" applyFill="1" applyBorder="1" applyAlignment="1">
      <x:alignment horizontal="center"/>
    </x:xf>
    <x:xf numFmtId="0" fontId="3" fillId="27" borderId="0" xfId="0" applyNumberFormat="1" applyFont="1" applyFill="1" applyBorder="1" applyAlignment="1">
      <x:alignment horizontal="center" vertical="center"/>
    </x:xf>
    <x:xf numFmtId="0" fontId="0" fillId="28" borderId="0" xfId="0" applyNumberFormat="1" applyFont="1" applyFill="1" applyBorder="1"/>
    <x:xf numFmtId="0" fontId="11" fillId="28" borderId="0" xfId="0" applyNumberFormat="1" applyFont="1" applyFill="1" applyBorder="1"/>
    <x:xf numFmtId="0" fontId="11" fillId="28" borderId="0" xfId="0" applyNumberFormat="1" applyFont="1" applyFill="1" applyBorder="1" applyAlignment="1">
      <x:alignment wrapText="1"/>
    </x:xf>
    <x:xf numFmtId="0" fontId="11" fillId="28" borderId="0" xfId="0" applyNumberFormat="1" applyFont="1" applyFill="1" applyBorder="1" applyAlignment="1">
      <x:alignment vertical="center" wrapText="1"/>
    </x:xf>
    <x:xf numFmtId="0" fontId="0" fillId="29" borderId="0" xfId="0" applyNumberFormat="1" applyFont="1" applyFill="1" applyBorder="1"/>
    <x:xf numFmtId="0" fontId="5" fillId="29" borderId="0" xfId="0" applyNumberFormat="1" applyFont="1" applyFill="1" applyBorder="1"/>
    <x:xf numFmtId="0" fontId="5" fillId="27" borderId="0" xfId="0" applyNumberFormat="1" applyFont="1" applyFill="1" applyBorder="1"/>
    <x:xf numFmtId="0" fontId="5" fillId="27" borderId="0" xfId="0" applyNumberFormat="1" applyFont="1" applyFill="1" applyBorder="1" applyAlignment="1">
      <x:alignment wrapText="1"/>
    </x:xf>
    <x:xf numFmtId="0" fontId="5" fillId="27" borderId="0" xfId="0" applyNumberFormat="1" applyFont="1" applyFill="1" applyBorder="1" applyAlignment="1">
      <x:alignment horizontal="center" wrapText="1"/>
    </x:xf>
    <x:xf numFmtId="0" fontId="0" fillId="30" borderId="0" xfId="0" applyNumberFormat="1" applyFont="1" applyFill="1" applyBorder="1"/>
    <x:xf numFmtId="0" fontId="0" fillId="30" xfId="0" applyNumberFormat="1" applyFont="1" applyFill="1" applyBorder="0"/>
    <x:xf numFmtId="0" fontId="0" fillId="30" xfId="0" applyNumberFormat="1" applyFont="1" applyFill="1" applyBorder="0" applyAlignment="1">
      <x:alignment wrapText="1"/>
    </x:xf>
    <x:xf numFmtId="0" fontId="0" fillId="30" xfId="0" applyNumberFormat="1" applyFont="1" applyFill="1" applyBorder="0" applyAlignment="1">
      <x:alignment vertical="top" wrapText="1"/>
    </x:xf>
    <x:xf numFmtId="0" fontId="0" fillId="30" borderId="0" xfId="0" applyNumberFormat="1" applyFont="1" applyFill="1" applyBorder="1" applyAlignment="1">
      <x:alignment wrapText="1"/>
    </x:xf>
    <x:xf numFmtId="0" fontId="0" fillId="31" borderId="0" xfId="0" applyNumberFormat="1" applyFont="1" applyFill="1" applyBorder="1"/>
    <x:xf numFmtId="0" fontId="0" fillId="31" borderId="0" xfId="0" applyNumberFormat="1" applyFont="1" applyFill="1" applyBorder="1" applyAlignment="1">
      <x:alignment wrapText="1"/>
    </x:xf>
    <x:xf numFmtId="203" fontId="0" fillId="30" xfId="0" applyNumberFormat="1" applyFont="1" applyFill="1" applyBorder="0" applyAlignment="1">
      <x:alignment wrapText="1"/>
    </x:xf>
    <x:xf numFmtId="207" fontId="0" fillId="30" xfId="0" applyNumberFormat="1" applyFont="1" applyFill="1" applyBorder="0" applyAlignment="1">
      <x:alignment wrapText="1"/>
    </x:xf>
    <x:xf numFmtId="200" fontId="0" fillId="30" xfId="0" applyNumberFormat="1" applyFont="1" applyFill="1" applyBorder="0" applyAlignment="1">
      <x:alignment vertical="top" wrapText="1"/>
    </x:xf>
    <x:xf numFmtId="207" fontId="0" fillId="30" borderId="0" xfId="0" applyNumberFormat="1" applyFont="1" applyFill="1" applyBorder="1" applyAlignment="1">
      <x:alignment wrapText="1"/>
    </x:xf>
    <x:xf numFmtId="0" fontId="3" fillId="27" borderId="0" xfId="0" applyNumberFormat="1" applyFont="1" applyFill="1" applyBorder="1" applyAlignment="1">
      <x:alignment horizontal="center" vertical="center" wrapText="1"/>
    </x:xf>
    <x:xf numFmtId="0" fontId="5" fillId="29" borderId="0" xfId="0" applyNumberFormat="1" applyFont="1" applyFill="1" applyBorder="1" applyAlignment="1">
      <x:alignment wrapText="1"/>
    </x:xf>
    <x:xf numFmtId="0" fontId="3" fillId="27" borderId="0" xfId="0" applyNumberFormat="1" applyFont="1" applyFill="1" applyBorder="1" applyAlignment="1">
      <x:alignment horizontal="center" vertical="top" wrapText="1"/>
    </x:xf>
    <x:xf numFmtId="0" fontId="11" fillId="28" borderId="0" xfId="0" applyNumberFormat="1" applyFont="1" applyFill="1" applyBorder="1" applyAlignment="1">
      <x:alignment vertical="top" wrapText="1"/>
    </x:xf>
    <x:xf numFmtId="0" fontId="5" fillId="29" borderId="0" xfId="0" applyNumberFormat="1" applyFont="1" applyFill="1" applyBorder="1" applyAlignment="1">
      <x:alignment vertical="top" wrapText="1"/>
    </x:xf>
    <x:xf numFmtId="0" fontId="5" fillId="27" borderId="0" xfId="0" applyNumberFormat="1" applyFont="1" applyFill="1" applyBorder="1" applyAlignment="1">
      <x:alignment horizontal="center" vertical="top" wrapText="1"/>
    </x:xf>
    <x:xf numFmtId="203" fontId="0" fillId="30" xfId="0" applyNumberFormat="1" applyFont="1" applyFill="1" applyBorder="0" applyAlignment="1">
      <x:alignment vertical="top" wrapText="1"/>
    </x:xf>
    <x:xf numFmtId="207" fontId="0" fillId="30" xfId="0" applyNumberFormat="1" applyFont="1" applyFill="1" applyBorder="0" applyAlignment="1">
      <x:alignment vertical="top" wrapText="1"/>
    </x:xf>
    <x:xf numFmtId="0" fontId="5" fillId="27" borderId="0" xfId="0" applyNumberFormat="1" applyFont="1" applyFill="1" applyBorder="1" applyAlignment="1">
      <x:alignment vertical="top" wrapText="1"/>
    </x:xf>
    <x:xf numFmtId="0" fontId="0" fillId="30" borderId="0" xfId="0" applyNumberFormat="1" applyFont="1" applyFill="1" applyBorder="1" applyAlignment="1">
      <x:alignment vertical="top" wrapText="1"/>
    </x:xf>
    <x:xf numFmtId="207" fontId="0" fillId="30" borderId="0" xfId="0" applyNumberFormat="1" applyFont="1" applyFill="1" applyBorder="1" applyAlignment="1">
      <x:alignment vertical="top" wrapText="1"/>
    </x:xf>
    <x:xf numFmtId="0" fontId="0" fillId="31" borderId="0" xfId="0" applyNumberFormat="1" applyFont="1" applyFill="1" applyBorder="1" applyAlignment="1">
      <x:alignment vertical="top" wrapText="1"/>
    </x:xf>
    <x:xf numFmtId="0" fontId="0" fillId="32" borderId="0" xfId="0" applyNumberFormat="1" applyFont="1" applyFill="1" applyBorder="1"/>
    <x:xf numFmtId="0" fontId="3" fillId="32" borderId="0" xfId="0" applyNumberFormat="1" applyFont="1" applyFill="1" applyBorder="1"/>
    <x:xf numFmtId="0" fontId="3" fillId="32" borderId="0" xfId="0" applyNumberFormat="1" applyFont="1" applyFill="1" applyBorder="1" applyAlignment="1">
      <x:alignment horizontal="center"/>
    </x:xf>
    <x:xf numFmtId="0" fontId="3" fillId="32" borderId="0" xfId="0" applyNumberFormat="1" applyFont="1" applyFill="1" applyBorder="1" applyAlignment="1">
      <x:alignment horizontal="center" vertical="center"/>
    </x:xf>
    <x:xf numFmtId="0" fontId="0" fillId="33" borderId="0" xfId="0" applyNumberFormat="1" applyFont="1" applyFill="1" applyBorder="1"/>
    <x:xf numFmtId="0" fontId="11" fillId="33" borderId="0" xfId="0" applyNumberFormat="1" applyFont="1" applyFill="1" applyBorder="1"/>
    <x:xf numFmtId="0" fontId="11" fillId="33" borderId="0" xfId="0" applyNumberFormat="1" applyFont="1" applyFill="1" applyBorder="1" applyAlignment="1">
      <x:alignment wrapText="1"/>
    </x:xf>
    <x:xf numFmtId="0" fontId="5" fillId="32" borderId="0" xfId="0" applyNumberFormat="1" applyFont="1" applyFill="1" applyBorder="1"/>
    <x:xf numFmtId="0" fontId="5" fillId="32" borderId="0" xfId="0" applyNumberFormat="1" applyFont="1" applyFill="1" applyBorder="1" applyAlignment="1">
      <x:alignment wrapText="1"/>
    </x:xf>
    <x:xf numFmtId="0" fontId="5" fillId="32" borderId="0" xfId="0" applyNumberFormat="1" applyFont="1" applyFill="1" applyBorder="1" applyAlignment="1">
      <x:alignment horizontal="center" wrapText="1"/>
    </x:xf>
    <x:xf numFmtId="0" fontId="0" fillId="34" borderId="0" xfId="0" applyNumberFormat="1" applyFont="1" applyFill="1" applyBorder="1"/>
    <x:xf numFmtId="0" fontId="0" fillId="34" xfId="0" applyNumberFormat="1" applyFont="1" applyFill="1" applyBorder="0"/>
    <x:xf numFmtId="0" fontId="0" fillId="34" xfId="0" applyNumberFormat="1" applyFont="1" applyFill="1" applyBorder="0" applyAlignment="1">
      <x:alignment wrapText="1"/>
    </x:xf>
    <x:xf numFmtId="0" fontId="0" fillId="34" xfId="0" applyNumberFormat="1" applyFont="1" applyFill="1" applyBorder="0" applyAlignment="1">
      <x:alignment vertical="top" wrapText="1"/>
    </x:xf>
    <x:xf numFmtId="0" fontId="0" fillId="35" borderId="0" xfId="0" applyNumberFormat="1" applyFont="1" applyFill="1" applyBorder="1"/>
    <x:xf numFmtId="0" fontId="5" fillId="35" borderId="0" xfId="0" applyNumberFormat="1" applyFont="1" applyFill="1" applyBorder="1"/>
    <x:xf numFmtId="0" fontId="3" fillId="32" borderId="0" xfId="0" applyNumberFormat="1" applyFont="1" applyFill="1" applyBorder="1" applyAlignment="1">
      <x:alignment horizontal="center" vertical="center" wrapText="1"/>
    </x:xf>
    <x:xf numFmtId="0" fontId="5" fillId="35" borderId="0" xfId="0" applyNumberFormat="1" applyFont="1" applyFill="1" applyBorder="1" applyAlignment="1">
      <x:alignment wrapText="1"/>
    </x:xf>
    <x:xf numFmtId="0" fontId="0" fillId="36" borderId="0" xfId="0" applyNumberFormat="1" applyFont="1" applyFill="1" applyBorder="1"/>
    <x:xf numFmtId="0" fontId="3" fillId="36" borderId="0" xfId="0" applyNumberFormat="1" applyFont="1" applyFill="1" applyBorder="1"/>
    <x:xf numFmtId="0" fontId="3" fillId="36" borderId="0" xfId="0" applyNumberFormat="1" applyFont="1" applyFill="1" applyBorder="1" applyAlignment="1">
      <x:alignment horizontal="center"/>
    </x:xf>
    <x:xf numFmtId="0" fontId="0" fillId="37" borderId="0" xfId="0" applyNumberFormat="1" applyFont="1" applyFill="1" applyBorder="1"/>
    <x:xf numFmtId="0" fontId="11" fillId="37" borderId="0" xfId="0" applyNumberFormat="1" applyFont="1" applyFill="1" applyBorder="1"/>
    <x:xf numFmtId="0" fontId="11" fillId="37" borderId="0" xfId="0" applyNumberFormat="1" applyFont="1" applyFill="1" applyBorder="1" applyAlignment="1">
      <x:alignment wrapText="1"/>
    </x:xf>
    <x:xf numFmtId="0" fontId="5" fillId="36" borderId="0" xfId="0" applyNumberFormat="1" applyFont="1" applyFill="1" applyBorder="1"/>
    <x:xf numFmtId="0" fontId="5" fillId="36" borderId="0" xfId="0" applyNumberFormat="1" applyFont="1" applyFill="1" applyBorder="1" applyAlignment="1">
      <x:alignment wrapText="1"/>
    </x:xf>
    <x:xf numFmtId="0" fontId="5" fillId="36" borderId="0" xfId="0" applyNumberFormat="1" applyFont="1" applyFill="1" applyBorder="1" applyAlignment="1">
      <x:alignment horizontal="center" wrapText="1"/>
    </x:xf>
    <x:xf numFmtId="0" fontId="0" fillId="38" borderId="0" xfId="0" applyNumberFormat="1" applyFont="1" applyFill="1" applyBorder="1"/>
    <x:xf numFmtId="0" fontId="0" fillId="38" xfId="0" applyNumberFormat="1" applyFont="1" applyFill="1" applyBorder="0"/>
    <x:xf numFmtId="0" fontId="0" fillId="38" xfId="0" applyNumberFormat="1" applyFont="1" applyFill="1" applyBorder="0" applyAlignment="1">
      <x:alignment wrapText="1"/>
    </x:xf>
    <x:xf numFmtId="0" fontId="0" fillId="38" xfId="0" applyNumberFormat="1" applyFont="1" applyFill="1" applyBorder="0" applyAlignment="1">
      <x:alignment vertical="top" wrapText="1"/>
    </x:xf>
    <x:xf numFmtId="0" fontId="0" fillId="39" borderId="0" xfId="0" applyNumberFormat="1" applyFont="1" applyFill="1" applyBorder="1"/>
    <x:xf numFmtId="0" fontId="5" fillId="39" borderId="0" xfId="0" applyNumberFormat="1" applyFont="1" applyFill="1" applyBorder="1"/>
    <x:xf numFmtId="0" fontId="3" fillId="36" borderId="0" xfId="0" applyNumberFormat="1" applyFont="1" applyFill="1" applyBorder="1" applyAlignment="1">
      <x:alignment horizontal="center" wrapText="1"/>
    </x:xf>
    <x:xf numFmtId="0" fontId="5" fillId="39" borderId="0" xfId="0" applyNumberFormat="1" applyFont="1" applyFill="1" applyBorder="1" applyAlignment="1">
      <x:alignment wrapText="1"/>
    </x:xf>
    <x:xf numFmtId="0" fontId="0" fillId="40" borderId="0" xfId="0" applyNumberFormat="1" applyFont="1" applyFill="1" applyBorder="1"/>
    <x:xf numFmtId="0" fontId="3" fillId="40" borderId="0" xfId="0" applyNumberFormat="1" applyFont="1" applyFill="1" applyBorder="1"/>
    <x:xf numFmtId="0" fontId="3" fillId="40" borderId="0" xfId="0" applyNumberFormat="1" applyFont="1" applyFill="1" applyBorder="1" applyAlignment="1">
      <x:alignment horizontal="center"/>
    </x:xf>
    <x:xf numFmtId="0" fontId="0" fillId="41" borderId="0" xfId="0" applyNumberFormat="1" applyFont="1" applyFill="1" applyBorder="1"/>
    <x:xf numFmtId="0" fontId="11" fillId="41" borderId="0" xfId="0" applyNumberFormat="1" applyFont="1" applyFill="1" applyBorder="1"/>
    <x:xf numFmtId="0" fontId="11" fillId="41" borderId="0" xfId="0" applyNumberFormat="1" applyFont="1" applyFill="1" applyBorder="1" applyAlignment="1">
      <x:alignment wrapText="1"/>
    </x:xf>
    <x:xf numFmtId="0" fontId="5" fillId="40" borderId="0" xfId="0" applyNumberFormat="1" applyFont="1" applyFill="1" applyBorder="1"/>
    <x:xf numFmtId="0" fontId="5" fillId="40" borderId="0" xfId="0" applyNumberFormat="1" applyFont="1" applyFill="1" applyBorder="1" applyAlignment="1">
      <x:alignment wrapText="1"/>
    </x:xf>
    <x:xf numFmtId="0" fontId="5" fillId="40" borderId="0" xfId="0" applyNumberFormat="1" applyFont="1" applyFill="1" applyBorder="1" applyAlignment="1">
      <x:alignment horizontal="center" wrapText="1"/>
    </x:xf>
    <x:xf numFmtId="0" fontId="0" fillId="42" borderId="0" xfId="0" applyNumberFormat="1" applyFont="1" applyFill="1" applyBorder="1"/>
    <x:xf numFmtId="0" fontId="0" fillId="42" xfId="0" applyNumberFormat="1" applyFont="1" applyFill="1" applyBorder="0"/>
    <x:xf numFmtId="0" fontId="0" fillId="42" xfId="0" applyNumberFormat="1" applyFont="1" applyFill="1" applyBorder="0" applyAlignment="1">
      <x:alignment wrapText="1"/>
    </x:xf>
    <x:xf numFmtId="0" fontId="0" fillId="42" xfId="0" applyNumberFormat="1" applyFont="1" applyFill="1" applyBorder="0" applyAlignment="1">
      <x:alignment vertical="top" wrapText="1"/>
    </x:xf>
    <x:xf numFmtId="0" fontId="0" fillId="43" borderId="0" xfId="0" applyNumberFormat="1" applyFont="1" applyFill="1" applyBorder="1"/>
    <x:xf numFmtId="0" fontId="5" fillId="43" borderId="0" xfId="0" applyNumberFormat="1" applyFont="1" applyFill="1" applyBorder="1"/>
    <x:xf numFmtId="0" fontId="4" fillId="41" borderId="0" xfId="0" applyNumberFormat="1" applyFont="1" applyFill="1" applyBorder="1"/>
    <x:xf numFmtId="0" fontId="4" fillId="41" borderId="0" xfId="0" applyNumberFormat="1" applyFont="1" applyFill="1" applyBorder="1" applyAlignment="1">
      <x:alignment wrapText="1"/>
    </x:xf>
    <x:xf numFmtId="0" fontId="4" fillId="41" borderId="0" xfId="0" applyNumberFormat="1" applyFont="1" applyFill="1" applyBorder="1" applyAlignment="1">
      <x:alignment vertical="center" wrapText="1"/>
    </x:xf>
    <x:xf numFmtId="0" fontId="3" fillId="40" borderId="0" xfId="0" applyNumberFormat="1" applyFont="1" applyFill="1" applyBorder="1" applyAlignment="1">
      <x:alignment horizontal="center" wrapText="1"/>
    </x:xf>
    <x:xf numFmtId="0" fontId="5" fillId="43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44" borderId="0" xfId="0" applyNumberFormat="1" applyFont="1" applyFill="1" applyBorder="1"/>
    <x:xf numFmtId="0" fontId="3" fillId="44" borderId="0" xfId="0" applyNumberFormat="1" applyFont="1" applyFill="1" applyBorder="1"/>
    <x:xf numFmtId="0" fontId="3" fillId="44" borderId="0" xfId="0" applyNumberFormat="1" applyFont="1" applyFill="1" applyBorder="1" applyAlignment="1">
      <x:alignment horizontal="center"/>
    </x:xf>
    <x:xf numFmtId="0" fontId="3" fillId="44" borderId="0" xfId="0" applyNumberFormat="1" applyFont="1" applyFill="1" applyBorder="1" applyAlignment="1">
      <x:alignment horizontal="center" vertical="center"/>
    </x:xf>
    <x:xf numFmtId="0" fontId="0" fillId="45" borderId="0" xfId="0" applyNumberFormat="1" applyFont="1" applyFill="1" applyBorder="1"/>
    <x:xf numFmtId="0" fontId="11" fillId="45" borderId="0" xfId="0" applyNumberFormat="1" applyFont="1" applyFill="1" applyBorder="1"/>
    <x:xf numFmtId="0" fontId="11" fillId="45" borderId="0" xfId="0" applyNumberFormat="1" applyFont="1" applyFill="1" applyBorder="1" applyAlignment="1">
      <x:alignment wrapText="1"/>
    </x:xf>
    <x:xf numFmtId="0" fontId="5" fillId="44" borderId="0" xfId="0" applyNumberFormat="1" applyFont="1" applyFill="1" applyBorder="1"/>
    <x:xf numFmtId="0" fontId="5" fillId="44" borderId="0" xfId="0" applyNumberFormat="1" applyFont="1" applyFill="1" applyBorder="1" applyAlignment="1">
      <x:alignment wrapText="1"/>
    </x:xf>
    <x:xf numFmtId="0" fontId="0" fillId="46" borderId="0" xfId="0" applyNumberFormat="1" applyFont="1" applyFill="1" applyBorder="1"/>
    <x:xf numFmtId="0" fontId="0" fillId="46" xfId="0" applyNumberFormat="1" applyFont="1" applyFill="1" applyBorder="0"/>
    <x:xf numFmtId="0" fontId="0" fillId="46" xfId="0" applyNumberFormat="1" applyFont="1" applyFill="1" applyBorder="0" applyAlignment="1">
      <x:alignment wrapText="1"/>
    </x:xf>
    <x:xf numFmtId="0" fontId="0" fillId="46" xfId="0" applyNumberFormat="1" applyFont="1" applyFill="1" applyBorder="0" applyAlignment="1">
      <x:alignment vertical="top" wrapText="1"/>
    </x:xf>
    <x:xf numFmtId="0" fontId="0" fillId="47" borderId="0" xfId="0" applyNumberFormat="1" applyFont="1" applyFill="1" applyBorder="1"/>
    <x:xf numFmtId="0" fontId="5" fillId="47" borderId="0" xfId="0" applyNumberFormat="1" applyFont="1" applyFill="1" applyBorder="1"/>
    <x:xf numFmtId="0" fontId="0" fillId="46" borderId="0" xfId="0" applyNumberFormat="1" applyFont="1" applyFill="1" applyBorder="1" applyAlignment="1">
      <x:alignment wrapText="1"/>
    </x:xf>
    <x:xf numFmtId="200" fontId="0" fillId="46" borderId="0" xfId="0" applyNumberFormat="1" applyFont="1" applyFill="1" applyBorder="1" applyAlignment="1">
      <x:alignment wrapText="1"/>
    </x:xf>
    <x:xf numFmtId="0" fontId="4" fillId="45" borderId="0" xfId="0" applyNumberFormat="1" applyFont="1" applyFill="1" applyBorder="1"/>
    <x:xf numFmtId="0" fontId="4" fillId="45" borderId="0" xfId="0" applyNumberFormat="1" applyFont="1" applyFill="1" applyBorder="1" applyAlignment="1">
      <x:alignment wrapText="1"/>
    </x:xf>
    <x:xf numFmtId="0" fontId="4" fillId="45" borderId="0" xfId="0" applyNumberFormat="1" applyFont="1" applyFill="1" applyBorder="1" applyAlignment="1">
      <x:alignment vertical="center" wrapText="1"/>
    </x:xf>
    <x:xf numFmtId="0" fontId="3" fillId="44" borderId="0" xfId="0" applyNumberFormat="1" applyFont="1" applyFill="1" applyBorder="1" applyAlignment="1">
      <x:alignment horizontal="center" vertical="center" wrapText="1"/>
    </x:xf>
    <x:xf numFmtId="0" fontId="5" fillId="47" borderId="0" xfId="0" applyNumberFormat="1" applyFont="1" applyFill="1" applyBorder="1" applyAlignment="1">
      <x:alignment wrapText="1"/>
    </x:xf>
    <x:xf numFmtId="200" fontId="0" fillId="9" borderId="0" xfId="0" applyNumberFormat="1" applyFont="1" applyFill="1" applyBorder="1" applyAlignment="1">
      <x:alignment wrapText="1"/>
    </x:xf>
    <x:xf numFmtId="0" fontId="0" fillId="48" borderId="0" xfId="0" applyNumberFormat="1" applyFont="1" applyFill="1" applyBorder="1"/>
    <x:xf numFmtId="0" fontId="3" fillId="48" borderId="0" xfId="0" applyNumberFormat="1" applyFont="1" applyFill="1" applyBorder="1"/>
    <x:xf numFmtId="0" fontId="3" fillId="48" borderId="0" xfId="0" applyNumberFormat="1" applyFont="1" applyFill="1" applyBorder="1" applyAlignment="1">
      <x:alignment horizontal="center"/>
    </x:xf>
    <x:xf numFmtId="0" fontId="0" fillId="49" borderId="0" xfId="0" applyNumberFormat="1" applyFont="1" applyFill="1" applyBorder="1"/>
    <x:xf numFmtId="0" fontId="11" fillId="49" borderId="0" xfId="0" applyNumberFormat="1" applyFont="1" applyFill="1" applyBorder="1"/>
    <x:xf numFmtId="0" fontId="11" fillId="49" borderId="0" xfId="0" applyNumberFormat="1" applyFont="1" applyFill="1" applyBorder="1" applyAlignment="1">
      <x:alignment wrapText="1"/>
    </x:xf>
    <x:xf numFmtId="0" fontId="5" fillId="48" borderId="0" xfId="0" applyNumberFormat="1" applyFont="1" applyFill="1" applyBorder="1"/>
    <x:xf numFmtId="0" fontId="5" fillId="48" borderId="0" xfId="0" applyNumberFormat="1" applyFont="1" applyFill="1" applyBorder="1" applyAlignment="1">
      <x:alignment wrapText="1"/>
    </x:xf>
    <x:xf numFmtId="0" fontId="0" fillId="50" borderId="0" xfId="0" applyNumberFormat="1" applyFont="1" applyFill="1" applyBorder="1"/>
    <x:xf numFmtId="0" fontId="0" fillId="50" xfId="0" applyNumberFormat="1" applyFont="1" applyFill="1" applyBorder="0"/>
    <x:xf numFmtId="0" fontId="0" fillId="50" xfId="0" applyNumberFormat="1" applyFont="1" applyFill="1" applyBorder="0" applyAlignment="1">
      <x:alignment wrapText="1"/>
    </x:xf>
    <x:xf numFmtId="0" fontId="0" fillId="50" xfId="0" applyNumberFormat="1" applyFont="1" applyFill="1" applyBorder="0" applyAlignment="1">
      <x:alignment vertical="top" wrapText="1"/>
    </x:xf>
    <x:xf numFmtId="0" fontId="0" fillId="51" borderId="0" xfId="0" applyNumberFormat="1" applyFont="1" applyFill="1" applyBorder="1"/>
    <x:xf numFmtId="0" fontId="5" fillId="51" borderId="0" xfId="0" applyNumberFormat="1" applyFont="1" applyFill="1" applyBorder="1"/>
    <x:xf numFmtId="0" fontId="4" fillId="49" borderId="0" xfId="0" applyNumberFormat="1" applyFont="1" applyFill="1" applyBorder="1"/>
    <x:xf numFmtId="0" fontId="4" fillId="49" borderId="0" xfId="0" applyNumberFormat="1" applyFont="1" applyFill="1" applyBorder="1" applyAlignment="1">
      <x:alignment wrapText="1"/>
    </x:xf>
    <x:xf numFmtId="0" fontId="3" fillId="48" borderId="0" xfId="0" applyNumberFormat="1" applyFont="1" applyFill="1" applyBorder="1" applyAlignment="1">
      <x:alignment horizontal="center" wrapText="1"/>
    </x:xf>
    <x:xf numFmtId="0" fontId="5" fillId="5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7b8391712440c" /><Relationship Type="http://schemas.openxmlformats.org/officeDocument/2006/relationships/theme" Target="/xl/theme/theme1.xml" Id="R57d2c4312d124ff4" /><Relationship Type="http://schemas.openxmlformats.org/officeDocument/2006/relationships/sharedStrings" Target="/xl/sharedStrings.xml" Id="R4a3dfbea586d4627" /><Relationship Type="http://schemas.openxmlformats.org/officeDocument/2006/relationships/worksheet" Target="/xl/worksheets/sheet1.xml" Id="Rf285a7f6c22447bd" /><Relationship Type="http://schemas.openxmlformats.org/officeDocument/2006/relationships/worksheet" Target="/xl/worksheets/sheet2.xml" Id="R5a98cc19ef7a4102" /><Relationship Type="http://schemas.openxmlformats.org/officeDocument/2006/relationships/worksheet" Target="/xl/worksheets/sheet3.xml" Id="R874c304a49264786" /><Relationship Type="http://schemas.openxmlformats.org/officeDocument/2006/relationships/worksheet" Target="/xl/worksheets/sheet4.xml" Id="R92818421d06e44d0" /><Relationship Type="http://schemas.openxmlformats.org/officeDocument/2006/relationships/worksheet" Target="/xl/worksheets/sheet5.xml" Id="R798d5fbee17d4dff" /><Relationship Type="http://schemas.openxmlformats.org/officeDocument/2006/relationships/worksheet" Target="/xl/worksheets/sheet6.xml" Id="Re2a724ab83bc4dcb" /><Relationship Type="http://schemas.openxmlformats.org/officeDocument/2006/relationships/worksheet" Target="/xl/worksheets/sheet7.xml" Id="Rf94ad96acce64143" /><Relationship Type="http://schemas.openxmlformats.org/officeDocument/2006/relationships/worksheet" Target="/xl/worksheets/sheet8.xml" Id="R259ddd0502264e7b" /><Relationship Type="http://schemas.openxmlformats.org/officeDocument/2006/relationships/worksheet" Target="/xl/worksheets/sheet9.xml" Id="Rd2912ed055144b23" /><Relationship Type="http://schemas.openxmlformats.org/officeDocument/2006/relationships/worksheet" Target="/xl/worksheets/sheet10.xml" Id="R4c7cd660f7a04f31" /><Relationship Type="http://schemas.openxmlformats.org/officeDocument/2006/relationships/worksheet" Target="/xl/worksheets/sheet11.xml" Id="R70673442776040f9" /><Relationship Type="http://schemas.openxmlformats.org/officeDocument/2006/relationships/worksheet" Target="/xl/worksheets/sheet12.xml" Id="R8cbee16ed0f546fe" /><Relationship Type="http://schemas.openxmlformats.org/officeDocument/2006/relationships/worksheet" Target="/xl/worksheets/sheet13.xml" Id="R5919285ebad44907" /><Relationship Type="http://schemas.openxmlformats.org/officeDocument/2006/relationships/worksheet" Target="/xl/worksheets/sheet14.xml" Id="Re7b1fcaf40434bde" /><Relationship Type="http://schemas.openxmlformats.org/officeDocument/2006/relationships/worksheet" Target="/xl/worksheets/sheet15.xml" Id="Re40db5a1adbc4f44" /><Relationship Type="http://schemas.openxmlformats.org/officeDocument/2006/relationships/worksheet" Target="/xl/worksheets/sheet16.xml" Id="R4934e90cc4db4dee" /><Relationship Type="http://schemas.openxmlformats.org/officeDocument/2006/relationships/worksheet" Target="/xl/worksheets/sheet17.xml" Id="Rb70c1b783dfb4d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72" hidden="0" customWidth="1"/>
    <x:col min="3" max="3" width="34" hidden="0" customWidth="1"/>
    <x:col min="4" max="4" width="25" hidden="0" customWidth="1"/>
  </x:cols>
  <x:sheetData>
    <x:row r="1" ht="58" hidden="0" customHeight="1">
      <x:c r="A1" s="25" t="str">
        <x:v>Supplementary Data 1 — Formula-driven analytical workbook
Reference-Standard and Calibration-Model Dependence of AlCl₃-Reactive Flavonoid Estimates in Yemeni Malva verticillata L. Leaf Extract</x:v>
      </x:c>
      <x:c r="B1" s="25"/>
      <x:c r="C1" s="25"/>
      <x:c r="D1" s="25"/>
      <x:c r="E1" s="15"/>
      <x:c r="F1" s="15"/>
    </x:row>
    <x:row r="2" ht="15" hidden="0" customHeight="1">
      <x:c r="A2" s="302" t="str">
        <x:v>Field</x:v>
      </x:c>
      <x:c r="B2" s="303" t="str">
        <x:v>Description</x:v>
      </x:c>
      <x:c r="C2" s="303" t="str">
        <x:v>Verification / status</x:v>
      </x:c>
      <x:c r="D2" s="304" t="str">
        <x:v>Notes</x:v>
      </x:c>
      <x:c r="E2" s="15"/>
      <x:c r="F2" s="15"/>
    </x:row>
    <x:row r="3" ht="64" hidden="0" customHeight="1">
      <x:c r="A3" s="312" t="str">
        <x:v>Study title</x:v>
      </x:c>
      <x:c r="B3" s="309" t="str">
        <x:v>Reference-Standard and Calibration-Model Dependence of AlCl₃-Reactive Flavonoid Estimates in Yemeni Malva verticillata L. Leaf Extract</x:v>
      </x:c>
      <x:c r="C3" s="309" t="str">
        <x:v>Final analytical revision verified after Reviewer 2 closure</x:v>
      </x:c>
      <x:c r="D3" s="309" t="str"/>
      <x:c r="E3" s="15"/>
      <x:c r="F3" s="15"/>
    </x:row>
    <x:row r="4" ht="56" hidden="0" customHeight="1">
      <x:c r="A4" s="312" t="str">
        <x:v>Core scientific message</x:v>
      </x:c>
      <x:c r="B4" s="309" t="str">
        <x:v>The dataset demonstrates reference-standard and calibration-model dependence. Potential sample-specific matrix interference remains unresolved because no sample-matched blank was measured.</x:v>
      </x:c>
      <x:c r="C4" s="309" t="str">
        <x:v>Potential matrix interference was not experimentally quantified</x:v>
      </x:c>
      <x:c r="D4" s="309" t="str"/>
      <x:c r="E4" s="15"/>
      <x:c r="F4" s="15"/>
    </x:row>
    <x:row r="5" ht="26.399999618530273" hidden="0" customHeight="1">
      <x:c r="A5" s="313" t="str">
        <x:v>Interpretive scope</x:v>
      </x:c>
      <x:c r="B5" s="311" t="str">
        <x:v>Values are exploratory apparent AlCl₃-reactive standard-equivalent estimates under reagent-blank conditions.</x:v>
      </x:c>
      <x:c r="C5" s="311" t="str">
        <x:v>Not analytically validated concentrations</x:v>
      </x:c>
      <x:c r="D5" s="309" t="str"/>
      <x:c r="E5" s="15"/>
      <x:c r="F5" s="15"/>
    </x:row>
    <x:row r="6" ht="46" hidden="0" customHeight="1">
      <x:c r="A6" s="312" t="str">
        <x:v>Key limitations</x:v>
      </x:c>
      <x:c r="B6" s="309" t="str">
        <x:v>No sample-matched blank, independent calibration runs, chromatographic confirmation, intermediate precision, empirical LOQ verification, or replicated robustness was available.</x:v>
      </x:c>
      <x:c r="C6" s="309" t="str">
        <x:v>Experimentally unresolved</x:v>
      </x:c>
      <x:c r="D6" s="309" t="str"/>
      <x:c r="E6" s="15"/>
      <x:c r="F6" s="15"/>
    </x:row>
    <x:row r="7" ht="46" hidden="0" customHeight="1">
      <x:c r="A7" s="312" t="str">
        <x:v>Data provenance</x:v>
      </x:c>
      <x:c r="B7" s="309" t="str">
        <x:v>Raw replicate readings are retained in the calibration, extract-dilution, extract-addition, and procedural-variation sheets.</x:v>
      </x:c>
      <x:c r="C7" s="309" t="str">
        <x:v>Archived source records</x:v>
      </x:c>
      <x:c r="D7" s="309" t="str"/>
      <x:c r="E7" s="15"/>
      <x:c r="F7" s="15"/>
    </x:row>
    <x:row r="8" ht="46" hidden="0" customHeight="1">
      <x:c r="A8" s="313" t="str">
        <x:v>Calculation policy</x:v>
      </x:c>
      <x:c r="B8" s="311" t="str">
        <x:v>Means, sample SDs, RSDs, slopes, intercepts, R² values, fitted responses, residuals, back-calculations, biases, origin-constrained models, equivalent estimates, and leaf-powder normalization are calculated by Excel formulas.</x:v>
      </x:c>
      <x:c r="C8" s="311" t="str">
        <x:v>No regression coefficient or R² is hard-coded</x:v>
      </x:c>
      <x:c r="D8" s="309" t="str"/>
      <x:c r="E8" s="15"/>
      <x:c r="F8" s="15"/>
    </x:row>
    <x:row r="9" ht="46" hidden="0" customHeight="1">
      <x:c r="A9" s="312" t="str">
        <x:v>Replicate definition</x:v>
      </x:c>
      <x:c r="B9" s="309" t="str">
        <x:v>The triplicate readings represent separately pipetted within-run technical replicates from the same extract preparation. They do not represent independent plant collections, extraction batches, analytical days, analysts, instruments, or reagent lots.</x:v>
      </x:c>
      <x:c r="C9" s="309" t="str">
        <x:v>Required interpretive qualification</x:v>
      </x:c>
      <x:c r="D9" s="309" t="str"/>
      <x:c r="E9" s="15"/>
      <x:c r="F9" s="15"/>
    </x:row>
    <x:row r="10" ht="26.399999618530273" hidden="0" customHeight="1">
      <x:c r="A10" s="312" t="str">
        <x:v>Rounding policy</x:v>
      </x:c>
      <x:c r="B10" s="309" t="str">
        <x:v>All calculations use unrounded cell values. Rounding is applied only through display number formats after calculation.</x:v>
      </x:c>
      <x:c r="C10" s="309" t="str">
        <x:v>Display only</x:v>
      </x:c>
      <x:c r="D10" s="309" t="str"/>
      <x:c r="E10" s="15"/>
      <x:c r="F10" s="15"/>
    </x:row>
    <x:row r="11" ht="15" hidden="0" customHeight="1">
      <x:c r="A11" s="312" t="str">
        <x:v>Statistical SD convention</x:v>
      </x:c>
      <x:c r="B11" s="309" t="str">
        <x:v>STDEV.S is used for triplicate within-run technical replicates.</x:v>
      </x:c>
      <x:c r="C11" s="309" t="str">
        <x:v>Applied throughout</x:v>
      </x:c>
      <x:c r="D11" s="309" t="str"/>
    </x:row>
    <x:row r="12" ht="26.399999618530273" hidden="0" customHeight="1">
      <x:c r="A12" s="33" t="str">
        <x:v>Researcher responsible for verification</x:v>
      </x:c>
      <x:c r="B12" s="33" t="str">
        <x:v>Maged Al-Najar</x:v>
      </x:c>
      <x:c r="C12" s="33" t="str">
        <x:v>Corresponding author / analytical re-analysis lead</x:v>
      </x:c>
      <x:c r="D12" s="15" t="str"/>
    </x:row>
    <x:row r="13" ht="15" hidden="0" customHeight="1">
      <x:c r="A13" s="33" t="str"/>
      <x:c r="B13" s="33" t="str"/>
      <x:c r="C13" s="33" t="str"/>
      <x:c r="D13" t="str"/>
    </x:row>
    <x:row r="14" ht="15" hidden="0" customHeight="1">
      <x:c r="A14" s="63" t="str">
        <x:v>Sheet</x:v>
      </x:c>
      <x:c r="B14" s="64" t="str">
        <x:v>Contents</x:v>
      </x:c>
      <x:c r="C14" s="64" t="str">
        <x:v>Primary use</x:v>
      </x:c>
      <x:c r="D14" s="66" t="str">
        <x:v>Formula status</x:v>
      </x:c>
    </x:row>
    <x:row r="15" ht="26.399999618530273" hidden="0" customHeight="1">
      <x:c r="A15" s="15" t="str">
        <x:v>Quercetin_Calibration</x:v>
      </x:c>
      <x:c r="B15" s="15" t="str">
        <x:v>Raw replicates; post hoc lower-range and complete-range diagnostics; free-intercept and origin-constrained models</x:v>
      </x:c>
      <x:c r="C15" s="15" t="str">
        <x:v>Calibration-model assessment</x:v>
      </x:c>
      <x:c r="D15" s="15" t="str">
        <x:v>Formula-driven</x:v>
      </x:c>
    </x:row>
    <x:row r="16" ht="15" hidden="0" customHeight="1">
      <x:c r="A16" s="15" t="str">
        <x:v>Rutin_Calibration</x:v>
      </x:c>
      <x:c r="B16" s="15" t="str">
        <x:v>Raw replicates; complete-range diagnostics; free-intercept and origin-constrained models</x:v>
      </x:c>
      <x:c r="C16" s="15" t="str">
        <x:v>Reference-standard comparison</x:v>
      </x:c>
      <x:c r="D16" s="15" t="str">
        <x:v>Formula-driven</x:v>
      </x:c>
    </x:row>
    <x:row r="17" ht="26.399999618530273" hidden="0" customHeight="1">
      <x:c r="A17" s="15" t="str">
        <x:v>Extract_Dilution</x:v>
      </x:c>
      <x:c r="B17" s="15" t="str">
        <x:v>Raw extract readings; post hoc lower-range quercetin, complete-range quercetin, and rutin exploratory apparent AlCl₃-reactive standard-equivalent calculations under reagent-blank conditions.</x:v>
      </x:c>
      <x:c r="C17" s="15" t="str">
        <x:v>Diagnostic dilution assessment</x:v>
      </x:c>
      <x:c r="D17" s="15" t="str">
        <x:v>Formula-driven</x:v>
      </x:c>
    </x:row>
    <x:row r="18" ht="15" hidden="0" customHeight="1">
      <x:c r="A18" s="15" t="str">
        <x:v>Model_Sensitivity</x:v>
      </x:c>
      <x:c r="B18" s="15" t="str">
        <x:v>Free-intercept versus origin-constrained models and exploratory apparent AlCl₃-reactive standard-equivalent estimates under reagent-blank conditions.</x:v>
      </x:c>
      <x:c r="C18" s="15" t="str">
        <x:v>Reviewer calibration concerns</x:v>
      </x:c>
      <x:c r="D18" s="15" t="str">
        <x:v>Formula-driven</x:v>
      </x:c>
    </x:row>
    <x:row r="19" ht="15" hidden="0" customHeight="1">
      <x:c r="A19" s="15" t="str">
        <x:v>Supplementary_Observations</x:v>
      </x:c>
      <x:c r="B19" s="15" t="str">
        <x:v>Extract-addition, theoretical sensitivity, and procedural-variation observations</x:v>
      </x:c>
      <x:c r="C19" s="15" t="str">
        <x:v>Transparent limitation reporting</x:v>
      </x:c>
      <x:c r="D19" s="15" t="str">
        <x:v>Formula-driven where derivable</x:v>
      </x:c>
    </x:row>
    <x:row r="20" ht="15" hidden="0" customHeight="1">
      <x:c r="A20" s="15" t="str">
        <x:v>Calculation Audit Trail</x:v>
      </x:c>
      <x:c r="B20" s="15" t="str">
        <x:v>Dataset sources, raw ranges, formulas, rounding, and verification record</x:v>
      </x:c>
      <x:c r="C20" s="15" t="str">
        <x:v>Auditability</x:v>
      </x:c>
      <x:c r="D20" s="15" t="str">
        <x:v>Documentation</x:v>
      </x:c>
    </x:row>
    <x:row r="21" ht="15" hidden="0" customHeight="1">
      <x:c r="A21" s="15" t="str">
        <x:v>Final_Reference_Values</x:v>
      </x:c>
      <x:c r="B21" s="15" t="str">
        <x:v>Single reference sheet for manuscript, supplement, figures, and response letter updates</x:v>
      </x:c>
      <x:c r="C21" s="15" t="str">
        <x:v>Sole reporting source</x:v>
      </x:c>
      <x:c r="D21" s="15" t="str">
        <x:v>Formula-linked</x:v>
      </x:c>
    </x:row>
    <x:row r="22">
      <x:c r="A22" s="15" t="str">
        <x:v>Step2_Lack_of_Fit</x:v>
      </x:c>
      <x:c r="B22" s="15" t="str">
        <x:v>Formal pure-error lack-of-fit decomposition for complete-range and post hoc calibration models</x:v>
      </x:c>
      <x:c r="C22" s="15" t="str">
        <x:v>Reviewer 2 lack-of-fit clarification</x:v>
      </x:c>
      <x:c r="D22" s="15" t="str">
        <x:v>Formula-driven; independently verified</x:v>
      </x:c>
    </x:row>
    <x:row r="23">
      <x:c r="A23" s="15" t="str">
        <x:v>Step3_Inverse_Prediction</x:v>
      </x:c>
      <x:c r="B23" s="15" t="str">
        <x:v>95% conditional calibration-only inverse-prediction intervals for the 0.1000 mg/mL extract response</x:v>
      </x:c>
      <x:c r="C23" s="15" t="str">
        <x:v>Reviewer 2 interval-scope clarification</x:v>
      </x:c>
      <x:c r="D23" s="15" t="str">
        <x:v>Formula-driven; independently verified</x:v>
      </x:c>
    </x:row>
    <x:row r="24">
      <x:c r="A24" s="15" t="str">
        <x:v>Interval terminology</x:v>
      </x:c>
      <x:c r="B24" s="15" t="str">
        <x:v>All inverse-prediction intervals in this workbook are conditional calibration-only intervals and do not represent total analytical uncertainty.</x:v>
      </x:c>
      <x:c r="C24" s="15" t="str">
        <x:v>Required reviewer qualification</x:v>
      </x:c>
      <x:c r="D24" s="15" t="str">
        <x:v>Excludes matrix effects, recovery, sample preparation, volumetric uncertainty, between-run variation, and post hoc model-selection uncertainty.</x:v>
      </x:c>
    </x:row>
    <x:row r="25">
      <x:c r="A25" s="15" t="str">
        <x:v>Step4_Slope_Ratio</x:v>
      </x:c>
      <x:c r="B25" s="15" t="str">
        <x:v>Extract dilution-response regression and slope-ratio diagnostics; numerical values explicitly classified as supplementary-only diagnostics</x:v>
      </x:c>
      <x:c r="C25" s="15" t="str">
        <x:v>Reviewer 2 slope-ratio de-emphasis</x:v>
      </x:c>
      <x:c r="D25" s="15" t="str">
        <x:v>Formula-driven; independently verified</x:v>
      </x:c>
    </x:row>
    <x:row r="26">
      <x:c r="A26" s="15" t="str">
        <x:v>Slope-ratio reporting rule</x:v>
      </x:c>
      <x:c r="B26" s="15" t="str">
        <x:v>Slope-ratio outputs are diagnostic calculations, not alternative quantitative estimates.</x:v>
      </x:c>
      <x:c r="C26" s="15" t="str">
        <x:v>Required interpretive qualification</x:v>
      </x:c>
      <x:c r="D26" s="15" t="str">
        <x:v>Keep detailed numerical slope-ratio results in Supplementary Information; do not use them to claim validated parallelism or matrix-free content.</x:v>
      </x:c>
    </x:row>
    <x:row r="27">
      <x:c r="A27" s="15" t="str">
        <x:v>Step5_Terminology_Audit</x:v>
      </x:c>
      <x:c r="B27" s="15" t="str">
        <x:v>Canonical terminology rules and cross-file harmonization record</x:v>
      </x:c>
      <x:c r="C27" s="15" t="str">
        <x:v>Reviewer 2 analytical-terminology consistency</x:v>
      </x:c>
      <x:c r="D27" s="15" t="str">
        <x:v>Completed</x:v>
      </x:c>
    </x:row>
    <x:row r="28">
      <x:c r="A28" s="15" t="str">
        <x:v>Step6_Manuscript_Integration</x:v>
      </x:c>
      <x:c r="B28" s="15" t="str">
        <x:v>Cross-file integration record for lack-of-fit, conditional inverse-prediction intervals, and diagnostic slope-ratio analysis</x:v>
      </x:c>
      <x:c r="C28" s="15" t="str">
        <x:v>Reviewer 2 analytical revision integration</x:v>
      </x:c>
      <x:c r="D28" s="15" t="str">
        <x:v>Completed</x:v>
      </x:c>
    </x:row>
    <x:row r="29">
      <x:c r="A29" s="15" t="str">
        <x:v>Step7_Reviewer2_Closure</x:v>
      </x:c>
      <x:c r="B29" s="15" t="str">
        <x:v>Comment-by-comment closure audit for Reviewer 2 minor-revision points</x:v>
      </x:c>
      <x:c r="C29" s="15" t="str">
        <x:v>Final pre-response quality control</x:v>
      </x:c>
      <x:c r="D29" s="15" t="str">
        <x:v>PASS — all five points closed</x:v>
      </x:c>
    </x:row>
    <x:row r="30">
      <x:c r="A30" s="15" t="str">
        <x:v>Step10_Final_Freeze</x:v>
      </x:c>
      <x:c r="B30" s="15" t="str">
        <x:v>Submission remediation/pre-freeze gate: undergraduate-thesis provenance, code-disclosure pathway, abstract compliance, cover-letter status, and repository publication gate</x:v>
      </x:c>
      <x:c r="C30" s="15" t="str">
        <x:v>Final pre-submission control</x:v>
      </x:c>
      <x:c r="D30" s="15" t="str">
        <x:v>Zenodo v1 was published on 20 August 2026, but its workbook is an earlier analytical version. This corrected workbook must be deposited as Zenodo v2 before journal resubmission.</x:v>
      </x:c>
    </x:row>
    <x:row r="31">
      <x:c r="A31" s="15" t="str">
        <x:v>Step12_PreResubmission_QA</x:v>
      </x:c>
      <x:c r="B31" s="15" t="str">
        <x:v>Final independent-review corrections and Zenodo v2 synchronization record</x:v>
      </x:c>
      <x:c r="C31" s="15" t="str">
        <x:v>Pre-resubmission QA</x:v>
      </x:c>
      <x:c r="D31" s="15" t="str">
        <x:v>Corrected locally; Zenodo v2 publication required before journal submission</x:v>
      </x:c>
    </x:row>
  </x:sheetData>
  <x:mergeCells>
    <x:mergeCell ref="B2:F2"/>
    <x:mergeCell ref="B3:F3"/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5" hidden="0" customWidth="1"/>
    <x:col min="6" max="6" width="15" hidden="0" customWidth="1"/>
    <x:col min="7" max="7" width="10" hidden="0" customWidth="1"/>
    <x:col min="8" max="8" width="19" hidden="0" customWidth="1"/>
    <x:col min="9" max="9" width="19" hidden="0" customWidth="1"/>
    <x:col min="10" max="10" width="19" hidden="0" customWidth="1"/>
    <x:col min="12" max="12" width="37" hidden="0" customWidth="1"/>
    <x:col min="13" max="13" width="18" hidden="0" customWidth="1"/>
    <x:col min="11" max="11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</x:cols>
  <x:sheetData>
    <x:row r="1" ht="39.599998474121094" hidden="0" customHeight="1">
      <x:c r="A1" s="63" t="str">
        <x:v>Nominal concentration (mg/mL)</x:v>
      </x:c>
      <x:c r="B1" s="64" t="str">
        <x:v>Replicate 1</x:v>
      </x:c>
      <x:c r="C1" s="64" t="str">
        <x:v>Replicate 2</x:v>
      </x:c>
      <x:c r="D1" s="64" t="str">
        <x:v>Replicate 3</x:v>
      </x:c>
      <x:c r="E1" s="64" t="str">
        <x:v>Mean absorbance</x:v>
      </x:c>
      <x:c r="F1" s="64" t="str">
        <x:v>Sample SD</x:v>
      </x:c>
      <x:c r="G1" s="64" t="str">
        <x:v>%RSD</x:v>
      </x:c>
      <x:c r="H1" s="64" t="str">
        <x:v>Fitted A (post hoc lower range)</x:v>
      </x:c>
      <x:c r="I1" s="64" t="str">
        <x:v>Back-calculated C (lower range)</x:v>
      </x:c>
      <x:c r="J1" s="64" t="str">
        <x:v>Bias (%) (lower range)</x:v>
      </x:c>
      <x:c r="K1" s="64" t="str">
        <x:v>Residual (lower range)</x:v>
      </x:c>
      <x:c r="L1" s="64" t="str">
        <x:v>Parameter</x:v>
      </x:c>
      <x:c r="M1" s="64" t="str">
        <x:v>Formula-derived value</x:v>
      </x:c>
      <x:c r="N1" s="64" t="str">
        <x:v>Fitted A (complete range)</x:v>
      </x:c>
      <x:c r="O1" s="64" t="str">
        <x:v>Residual (complete range)</x:v>
      </x:c>
      <x:c r="P1" s="64" t="str">
        <x:v>Back-calculated C (complete range)</x:v>
      </x:c>
      <x:c r="Q1" s="64" t="str">
        <x:v>Bias (%) (complete range)</x:v>
      </x:c>
      <x:c r="R1" s="64" t="str">
        <x:v>Fitted A (lower origin)</x:v>
      </x:c>
      <x:c r="S1" s="64" t="str">
        <x:v>Residual (lower origin)</x:v>
      </x:c>
      <x:c r="T1" s="64" t="str">
        <x:v>Fitted A (complete origin)</x:v>
      </x:c>
      <x:c r="U1" s="66" t="str">
        <x:v>Residual (complete origin)</x:v>
      </x:c>
    </x:row>
    <x:row r="2" ht="26.399999618530273" hidden="0" customHeight="1">
      <x:c r="A2" s="80" t="n">
        <x:v>0.0125</x:v>
      </x:c>
      <x:c r="B2" s="114" t="n">
        <x:v>0.1427</x:v>
      </x:c>
      <x:c r="C2" s="114" t="n">
        <x:v>0.1466</x:v>
      </x:c>
      <x:c r="D2" s="115" t="n">
        <x:v>0.1502</x:v>
      </x:c>
      <x:c r="E2" s="116" t="n">
        <x:f>AVERAGE(B2:D2)</x:f>
        <x:v>0.1465</x:v>
      </x:c>
      <x:c r="F2" s="117" t="n">
        <x:f>STDEV.S(B2:D2)</x:f>
        <x:v>0.003750999866702214</x:v>
      </x:c>
      <x:c r="G2" s="124" t="n">
        <x:f>F2/E2*100</x:f>
        <x:v>2.5604094653257436</x:v>
      </x:c>
      <x:c r="H2" s="117" t="n">
        <x:f>$M$2*A2+$M$3</x:f>
        <x:v>0.14794285714285713</x:v>
      </x:c>
      <x:c r="I2" s="117" t="n">
        <x:f>(E2-$M$3)/$M$2</x:f>
        <x:v>0.012280211809081678</x:v>
      </x:c>
      <x:c r="J2" s="117" t="n">
        <x:f>(I2-A2)/A2*100</x:f>
        <x:v>-1.7583055273465846</x:v>
      </x:c>
      <x:c r="K2" s="117" t="n">
        <x:f>E2-H2</x:f>
        <x:v>-0.0014428571428571346</x:v>
      </x:c>
      <x:c r="L2" s="109" t="str">
        <x:v>Post hoc lower-range slope</x:v>
      </x:c>
      <x:c r="M2" s="117" t="n">
        <x:f>SLOPE(E2:E4,A2:A4)</x:f>
        <x:v>6.564761904761904</x:v>
      </x:c>
      <x:c r="N2" s="132" t="n">
        <x:f>$M$5*A2+$M$6</x:f>
        <x:v>0.17012452173913045</x:v>
      </x:c>
      <x:c r="O2" s="132" t="n">
        <x:f>E2-N2</x:f>
        <x:v>-0.02362452173913046</x:v>
      </x:c>
      <x:c r="P2" s="132" t="n">
        <x:f>(E2-$M$6)/$M$5</x:f>
        <x:v>0.007667637353489846</x:v>
      </x:c>
      <x:c r="Q2" s="132" t="n">
        <x:f>(P2-A2)/A2*100</x:f>
        <x:v>-38.65890117208124</x:v>
      </x:c>
      <x:c r="R2" s="132" t="n">
        <x:f>$M$8*A2</x:f>
        <x:v>0.10402063492063492</x:v>
      </x:c>
      <x:c r="S2" s="132" t="n">
        <x:f>E2-R2</x:f>
        <x:v>0.042479365079365075</x:v>
      </x:c>
      <x:c r="T2" s="132" t="n">
        <x:f>$M$10*A2</x:f>
        <x:v>0.08034799999999997</x:v>
      </x:c>
      <x:c r="U2" s="133" t="n">
        <x:f>E2-T2</x:f>
        <x:v>0.06615200000000002</x:v>
      </x:c>
    </x:row>
    <x:row r="3" ht="26.399999618530273" hidden="0" customHeight="1">
      <x:c r="A3" s="83" t="n">
        <x:v>0.025</x:v>
      </x:c>
      <x:c r="B3" s="118" t="n">
        <x:v>0.2324</x:v>
      </x:c>
      <x:c r="C3" s="118" t="n">
        <x:v>0.2322</x:v>
      </x:c>
      <x:c r="D3" s="119" t="n">
        <x:v>0.2319</x:v>
      </x:c>
      <x:c r="E3" s="120" t="n">
        <x:f>AVERAGE(B3:D3)</x:f>
        <x:v>0.23216666666666666</x:v>
      </x:c>
      <x:c r="F3" s="121" t="n">
        <x:f>STDEV.S(B3:D3)</x:f>
        <x:v>0.0002516611478423582</x:v>
      </x:c>
      <x:c r="G3" s="125" t="n">
        <x:f>F3/E3*100</x:f>
        <x:v>0.1083967614539949</x:v>
      </x:c>
      <x:c r="H3" s="121" t="n">
        <x:f>$M$2*A3+$M$3</x:f>
        <x:v>0.23000238095238093</x:v>
      </x:c>
      <x:c r="I3" s="121" t="n">
        <x:f>(E3-$M$3)/$M$2</x:f>
        <x:v>0.025329682286377487</x:v>
      </x:c>
      <x:c r="J3" s="121" t="n">
        <x:f>(I3-A3)/A3*100</x:f>
        <x:v>1.3187291455099421</x:v>
      </x:c>
      <x:c r="K3" s="121" t="n">
        <x:f>E3-H3</x:f>
        <x:v>0.0021642857142857297</x:v>
      </x:c>
      <x:c r="L3" s="110" t="str">
        <x:v>Post hoc lower-range intercept</x:v>
      </x:c>
      <x:c r="M3" s="121" t="n">
        <x:f>INTERCEPT(E2:E4,A2:A4)</x:f>
        <x:v>0.06588333333333332</x:v>
      </x:c>
      <x:c r="N3" s="126" t="n">
        <x:f>$M$5*A3+$M$6</x:f>
        <x:v>0.23123469565217392</x:v>
      </x:c>
      <x:c r="O3" s="126" t="n">
        <x:f>E3-N3</x:f>
        <x:v>0.000931971014492744</x:v>
      </x:c>
      <x:c r="P3" s="126" t="n">
        <x:f>(E3-$M$6)/$M$5</x:f>
        <x:v>0.025190633358329762</x:v>
      </x:c>
      <x:c r="Q3" s="126" t="n">
        <x:f>(P3-A3)/A3*100</x:f>
        <x:v>0.7625334333190431</x:v>
      </x:c>
      <x:c r="R3" s="126" t="n">
        <x:f>$M$8*A3</x:f>
        <x:v>0.20804126984126983</x:v>
      </x:c>
      <x:c r="S3" s="126" t="n">
        <x:f>E3-R3</x:f>
        <x:v>0.024125396825396828</x:v>
      </x:c>
      <x:c r="T3" s="126" t="n">
        <x:f>$M$10*A3</x:f>
        <x:v>0.16069599999999995</x:v>
      </x:c>
      <x:c r="U3" s="134" t="n">
        <x:f>E3-T3</x:f>
        <x:v>0.07147066666666671</x:v>
      </x:c>
    </x:row>
    <x:row r="4" ht="26.399999618530273" hidden="0" customHeight="1">
      <x:c r="A4" s="83" t="n">
        <x:v>0.05</x:v>
      </x:c>
      <x:c r="B4" s="118" t="n">
        <x:v>0.3953</x:v>
      </x:c>
      <x:c r="C4" s="118" t="n">
        <x:v>0.3945</x:v>
      </x:c>
      <x:c r="D4" s="119" t="n">
        <x:v>0.3904</x:v>
      </x:c>
      <x:c r="E4" s="120" t="n">
        <x:f>AVERAGE(B4:D4)</x:f>
        <x:v>0.3934</x:v>
      </x:c>
      <x:c r="F4" s="121" t="n">
        <x:f>STDEV.S(B4:D4)</x:f>
        <x:v>0.002628687885618967</x:v>
      </x:c>
      <x:c r="G4" s="125" t="n">
        <x:f>F4/E4*100</x:f>
        <x:v>0.6681972256275971</x:v>
      </x:c>
      <x:c r="H4" s="121" t="n">
        <x:f>$M$2*A4+$M$3</x:f>
        <x:v>0.3941214285714285</x:v>
      </x:c>
      <x:c r="I4" s="121" t="n">
        <x:f>(E4-$M$3)/$M$2</x:f>
        <x:v>0.04989010590454084</x:v>
      </x:c>
      <x:c r="J4" s="121" t="n">
        <x:f>(I4-A4)/A4*100</x:f>
        <x:v>-0.21978819091832136</x:v>
      </x:c>
      <x:c r="K4" s="121" t="n">
        <x:f>E4-H4</x:f>
        <x:v>-0.000721428571428484</x:v>
      </x:c>
      <x:c r="L4" s="110" t="str">
        <x:v>Post hoc lower-range R²</x:v>
      </x:c>
      <x:c r="M4" s="121" t="n">
        <x:f>RSQ(E2:E4,A2:A4)</x:f>
        <x:v>0.9997681808780037</x:v>
      </x:c>
      <x:c r="N4" s="126" t="n">
        <x:f>$M$5*A4+$M$6</x:f>
        <x:v>0.35345504347826084</x:v>
      </x:c>
      <x:c r="O4" s="126" t="n">
        <x:f>E4-N4</x:f>
        <x:v>0.03994495652173918</x:v>
      </x:c>
      <x:c r="P4" s="126" t="n">
        <x:f>(E4-$M$6)/$M$5</x:f>
        <x:v>0.05817068459389813</x:v>
      </x:c>
      <x:c r="Q4" s="126" t="n">
        <x:f>(P4-A4)/A4*100</x:f>
        <x:v>16.34136918779626</x:v>
      </x:c>
      <x:c r="R4" s="126" t="n">
        <x:f>$M$8*A4</x:f>
        <x:v>0.41608253968253966</x:v>
      </x:c>
      <x:c r="S4" s="126" t="n">
        <x:f>E4-R4</x:f>
        <x:v>-0.022682539682539637</x:v>
      </x:c>
      <x:c r="T4" s="126" t="n">
        <x:f>$M$10*A4</x:f>
        <x:v>0.3213919999999999</x:v>
      </x:c>
      <x:c r="U4" s="134" t="n">
        <x:f>E4-T4</x:f>
        <x:v>0.07200800000000013</x:v>
      </x:c>
    </x:row>
    <x:row r="5" ht="66" hidden="0" customHeight="1">
      <x:c r="A5" s="86" t="n">
        <x:v>0.1</x:v>
      </x:c>
      <x:c r="B5" s="122" t="n">
        <x:v>0.5809</x:v>
      </x:c>
      <x:c r="C5" s="122" t="n">
        <x:v>0.5808</x:v>
      </x:c>
      <x:c r="D5" s="123" t="n">
        <x:v>0.58023</x:v>
      </x:c>
      <x:c r="E5" s="120" t="n">
        <x:f>AVERAGE(B5:D5)</x:f>
        <x:v>0.5806433333333333</x:v>
      </x:c>
      <x:c r="F5" s="121" t="n">
        <x:f>STDEV.S(B5:D5)</x:f>
        <x:v>0.0003614323357605317</x:v>
      </x:c>
      <x:c r="G5" s="125" t="n">
        <x:f>F5/E5*100</x:f>
        <x:v>0.06224687601003456</x:v>
      </x:c>
      <x:c r="H5" s="121" t="n">
        <x:f>$M$2*A5+$M$3</x:f>
        <x:v>0.7223595238095237</x:v>
      </x:c>
      <x:c r="I5" s="121" t="n">
        <x:f>(E5-$M$3)/$M$2</x:f>
        <x:v>0.07841259248512984</x:v>
      </x:c>
      <x:c r="J5" s="121" t="n">
        <x:f>(I5-A5)/A5*100</x:f>
        <x:v>-21.587407514870165</x:v>
      </x:c>
      <x:c r="K5" s="121" t="n">
        <x:f>E5-H5</x:f>
        <x:v>-0.14171619047619044</x:v>
      </x:c>
      <x:c r="L5" s="110" t="str">
        <x:v>Complete-range slope</x:v>
      </x:c>
      <x:c r="M5" s="121" t="n">
        <x:f>SLOPE(E2:E5,A2:A5)</x:f>
        <x:v>4.888813913043478</x:v>
      </x:c>
      <x:c r="N5" s="126" t="n">
        <x:f>$M$5*A5+$M$6</x:f>
        <x:v>0.5978957391304348</x:v>
      </x:c>
      <x:c r="O5" s="126" t="n">
        <x:f>E5-N5</x:f>
        <x:v>-0.017252405797101522</x:v>
      </x:c>
      <x:c r="P5" s="126" t="n">
        <x:f>(E5-$M$6)/$M$5</x:f>
        <x:v>0.09647104469428226</x:v>
      </x:c>
      <x:c r="Q5" s="126" t="n">
        <x:f>(P5-A5)/A5*100</x:f>
        <x:v>-3.528955305717743</x:v>
      </x:c>
      <x:c r="R5" s="126"/>
      <x:c r="S5" s="126"/>
      <x:c r="T5" s="126" t="n">
        <x:f>$M$10*A5</x:f>
        <x:v>0.6427839999999998</x:v>
      </x:c>
      <x:c r="U5" s="134" t="n">
        <x:f>E5-T5</x:f>
        <x:v>-0.06214066666666651</x:v>
      </x:c>
    </x:row>
    <x:row r="6" ht="15" hidden="0" customHeight="1">
      <x:c r="A6" s="15"/>
      <x:c r="B6" s="15"/>
      <x:c r="C6" s="15"/>
      <x:c r="D6" s="15"/>
      <x:c r="E6" s="103"/>
      <x:c r="F6" s="104"/>
      <x:c r="G6" s="104"/>
      <x:c r="H6" s="104"/>
      <x:c r="I6" s="104"/>
      <x:c r="J6" s="104"/>
      <x:c r="K6" s="104"/>
      <x:c r="L6" s="111" t="str">
        <x:v>Complete-range intercept</x:v>
      </x:c>
      <x:c r="M6" s="126" t="n">
        <x:f>INTERCEPT(E2:E5,A2:A5)</x:f>
        <x:v>0.10901434782608696</x:v>
      </x:c>
      <x:c r="N6" s="104"/>
      <x:c r="O6" s="104"/>
      <x:c r="P6" s="104"/>
      <x:c r="Q6" s="104"/>
      <x:c r="R6" s="104"/>
      <x:c r="S6" s="104"/>
      <x:c r="T6" s="104"/>
      <x:c r="U6" s="135"/>
    </x:row>
    <x:row r="7" ht="15" hidden="0" customHeight="1">
      <x:c r="A7" s="15"/>
      <x:c r="B7" s="15"/>
      <x:c r="C7" s="15"/>
      <x:c r="D7" s="15"/>
      <x:c r="E7" s="103"/>
      <x:c r="F7" s="104"/>
      <x:c r="G7" s="104"/>
      <x:c r="H7" s="104"/>
      <x:c r="I7" s="104"/>
      <x:c r="J7" s="104"/>
      <x:c r="K7" s="104"/>
      <x:c r="L7" s="111" t="str">
        <x:v>Complete-range R²</x:v>
      </x:c>
      <x:c r="M7" s="126" t="n">
        <x:f>RSQ(E2:E5,A2:A5)</x:f>
        <x:v>0.9776699913660993</x:v>
      </x:c>
      <x:c r="N7" s="104"/>
      <x:c r="O7" s="104"/>
      <x:c r="P7" s="104"/>
      <x:c r="Q7" s="104"/>
      <x:c r="R7" s="104"/>
      <x:c r="S7" s="104"/>
      <x:c r="T7" s="104"/>
      <x:c r="U7" s="135"/>
    </x:row>
    <x:row r="8" ht="15" hidden="0" customHeight="1">
      <x:c r="A8" s="15"/>
      <x:c r="B8" s="15"/>
      <x:c r="C8" s="15"/>
      <x:c r="D8" s="15"/>
      <x:c r="E8" s="103"/>
      <x:c r="F8" s="104"/>
      <x:c r="G8" s="104"/>
      <x:c r="H8" s="104"/>
      <x:c r="I8" s="104"/>
      <x:c r="J8" s="104"/>
      <x:c r="K8" s="104"/>
      <x:c r="L8" s="111" t="str">
        <x:v>Lower-range origin-constrained slope</x:v>
      </x:c>
      <x:c r="M8" s="126" t="n">
        <x:f>SUMPRODUCT(A2:A4,E2:E4)/SUMSQ(A2:A4)</x:f>
        <x:v>8.321650793650793</x:v>
      </x:c>
      <x:c r="N8" s="104"/>
      <x:c r="O8" s="104"/>
      <x:c r="P8" s="104"/>
      <x:c r="Q8" s="104"/>
      <x:c r="R8" s="104"/>
      <x:c r="S8" s="104"/>
      <x:c r="T8" s="104"/>
      <x:c r="U8" s="135"/>
    </x:row>
    <x:row r="9">
      <x:c r="A9" s="15"/>
      <x:c r="B9" s="15"/>
      <x:c r="C9" s="15"/>
      <x:c r="D9" s="15"/>
      <x:c r="E9" s="103"/>
      <x:c r="F9" s="104"/>
      <x:c r="G9" s="104"/>
      <x:c r="H9" s="104"/>
      <x:c r="I9" s="104"/>
      <x:c r="J9" s="104"/>
      <x:c r="K9" s="104"/>
      <x:c r="L9" s="111" t="str">
        <x:v>Lower-range origin-constrained R² (centered)</x:v>
      </x:c>
      <x:c r="M9" s="126" t="n">
        <x:f>1-SUMXMY2(E2:E4,R2:R4)/DEVSQ(E2:E4)</x:f>
        <x:v>0.9077032113813494</x:v>
      </x:c>
      <x:c r="N9" s="104"/>
      <x:c r="O9" s="104"/>
      <x:c r="P9" s="104"/>
      <x:c r="Q9" s="104"/>
      <x:c r="R9" s="104"/>
      <x:c r="S9" s="104"/>
      <x:c r="T9" s="104"/>
      <x:c r="U9" s="135"/>
    </x:row>
    <x:row r="10">
      <x:c r="A10" s="15"/>
      <x:c r="B10" s="15"/>
      <x:c r="C10" s="15"/>
      <x:c r="D10" s="15"/>
      <x:c r="E10" s="103"/>
      <x:c r="F10" s="104"/>
      <x:c r="G10" s="104"/>
      <x:c r="H10" s="104"/>
      <x:c r="I10" s="104"/>
      <x:c r="J10" s="104"/>
      <x:c r="K10" s="104"/>
      <x:c r="L10" s="111" t="str">
        <x:v>Complete-range origin-constrained slope</x:v>
      </x:c>
      <x:c r="M10" s="126" t="n">
        <x:f>SUMPRODUCT(A2:A5,E2:E5)/SUMSQ(A2:A5)</x:f>
        <x:v>6.427839999999998</x:v>
      </x:c>
      <x:c r="N10" s="104"/>
      <x:c r="O10" s="104"/>
      <x:c r="P10" s="104"/>
      <x:c r="Q10" s="104"/>
      <x:c r="R10" s="104"/>
      <x:c r="S10" s="104"/>
      <x:c r="T10" s="104"/>
      <x:c r="U10" s="135"/>
    </x:row>
    <x:row r="11">
      <x:c r="A11" s="15"/>
      <x:c r="B11" s="15"/>
      <x:c r="C11" s="15"/>
      <x:c r="D11" s="15"/>
      <x:c r="E11" s="136"/>
      <x:c r="F11" s="137"/>
      <x:c r="G11" s="137"/>
      <x:c r="H11" s="137"/>
      <x:c r="I11" s="137"/>
      <x:c r="J11" s="137"/>
      <x:c r="K11" s="137"/>
      <x:c r="L11" s="138" t="str">
        <x:v>Complete-range origin-constrained R² (centered)</x:v>
      </x:c>
      <x:c r="M11" s="139" t="n">
        <x:f>1-SUMXMY2(E2:E5,T2:T5)/DEVSQ(E2:E5)</x:f>
        <x:v>0.8312590161605</x:v>
      </x:c>
      <x:c r="N11" s="137"/>
      <x:c r="O11" s="137"/>
      <x:c r="P11" s="137"/>
      <x:c r="Q11" s="137"/>
      <x:c r="R11" s="137"/>
      <x:c r="S11" s="137"/>
      <x:c r="T11" s="137"/>
      <x:c r="U11" s="140"/>
    </x:row>
    <x:row r="12">
      <x:c r="L12" s="15" t="str">
        <x:v>0.1000 mg/mL observed absorbance below post hoc lower-range prediction (%)</x:v>
      </x:c>
      <x:c r="M12" s="15" t="n">
        <x:f>(H5-E5)/H5*100</x:f>
        <x:v>19.61851208506514</x:v>
      </x:c>
    </x:row>
    <x:row r="13">
      <x:c r="M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5" hidden="0" customWidth="1"/>
    <x:col min="6" max="6" width="15" hidden="0" customWidth="1"/>
    <x:col min="7" max="7" width="10" hidden="0" customWidth="1"/>
    <x:col min="8" max="8" width="18" hidden="0" customWidth="1"/>
    <x:col min="9" max="9" width="18" hidden="0" customWidth="1"/>
    <x:col min="10" max="10" width="18" hidden="0" customWidth="1"/>
    <x:col min="12" max="12" width="35" hidden="0" customWidth="1"/>
    <x:col min="13" max="13" width="18" hidden="0" customWidth="1"/>
    <x:col min="11" max="11" width="18" hidden="0" customWidth="1"/>
    <x:col min="14" max="14" width="20" hidden="0" customWidth="1"/>
    <x:col min="15" max="15" width="20" hidden="0" customWidth="1"/>
  </x:cols>
  <x:sheetData>
    <x:row r="1" ht="39.599998474121094" hidden="0" customHeight="1">
      <x:c r="A1" s="63" t="str">
        <x:v>Nominal concentration (mg/mL)</x:v>
      </x:c>
      <x:c r="B1" s="64" t="str">
        <x:v>Replicate 1</x:v>
      </x:c>
      <x:c r="C1" s="64" t="str">
        <x:v>Replicate 2</x:v>
      </x:c>
      <x:c r="D1" s="64" t="str">
        <x:v>Replicate 3</x:v>
      </x:c>
      <x:c r="E1" s="64" t="str">
        <x:v>Mean absorbance</x:v>
      </x:c>
      <x:c r="F1" s="64" t="str">
        <x:v>Sample SD</x:v>
      </x:c>
      <x:c r="G1" s="64" t="str">
        <x:v>%RSD</x:v>
      </x:c>
      <x:c r="H1" s="64" t="str">
        <x:v>Fitted A</x:v>
      </x:c>
      <x:c r="I1" s="64" t="str">
        <x:v>Back-calculated C</x:v>
      </x:c>
      <x:c r="J1" s="64" t="str">
        <x:v>Bias (%)</x:v>
      </x:c>
      <x:c r="K1" s="64" t="str">
        <x:v>Residual</x:v>
      </x:c>
      <x:c r="L1" s="64" t="str">
        <x:v>Parameter</x:v>
      </x:c>
      <x:c r="M1" s="64" t="str">
        <x:v>Formula-derived value</x:v>
      </x:c>
      <x:c r="N1" s="64" t="str">
        <x:v>Fitted A (origin constrained)</x:v>
      </x:c>
      <x:c r="O1" s="66" t="str">
        <x:v>Residual (origin constrained)</x:v>
      </x:c>
    </x:row>
    <x:row r="2" ht="26.399999618530273" hidden="0" customHeight="1">
      <x:c r="A2" s="80" t="n">
        <x:v>0.0125</x:v>
      </x:c>
      <x:c r="B2" s="114" t="n">
        <x:v>0.1468</x:v>
      </x:c>
      <x:c r="C2" s="114" t="n">
        <x:v>0.1459</x:v>
      </x:c>
      <x:c r="D2" s="115" t="n">
        <x:v>0.1461</x:v>
      </x:c>
      <x:c r="E2" s="116" t="n">
        <x:f>AVERAGE(B2:D2)</x:f>
        <x:v>0.14626666666666668</x:v>
      </x:c>
      <x:c r="F2" s="117" t="n">
        <x:f>STDEV.S(B2:D2)</x:f>
        <x:v>0.00047258156262526655</x:v>
      </x:c>
      <x:c r="G2" s="124" t="n">
        <x:f>F2/E2*100</x:f>
        <x:v>0.3230958723509115</x:v>
      </x:c>
      <x:c r="H2" s="117" t="n">
        <x:f>$M$2*A2+$M$3</x:f>
        <x:v>0.1476330434782608</x:v>
      </x:c>
      <x:c r="I2" s="117" t="n">
        <x:f>(E2-$M$3)/$M$2</x:f>
        <x:v>0.0123833281523179</x:v>
      </x:c>
      <x:c r="J2" s="117" t="n">
        <x:f>(I2-A2)/A2*100</x:f>
        <x:v>-0.9333747814568027</x:v>
      </x:c>
      <x:c r="K2" s="117" t="n">
        <x:f>E2-H2</x:f>
        <x:v>-0.0013663768115941277</x:v>
      </x:c>
      <x:c r="L2" s="141" t="str">
        <x:v>Complete-range slope</x:v>
      </x:c>
      <x:c r="M2" s="117" t="n">
        <x:f>SLOPE(E2:E5,A2:A5)</x:f>
        <x:v>11.71128115942029</x:v>
      </x:c>
      <x:c r="N2" s="132" t="n">
        <x:f>$M$5*A2</x:f>
        <x:v>0.14661019607843134</x:v>
      </x:c>
      <x:c r="O2" s="133" t="n">
        <x:f>E2-N2</x:f>
        <x:v>-0.00034352941176465923</x:v>
      </x:c>
    </x:row>
    <x:row r="3" ht="26.399999618530273" hidden="0" customHeight="1">
      <x:c r="A3" s="83" t="n">
        <x:v>0.025</x:v>
      </x:c>
      <x:c r="B3" s="118" t="n">
        <x:v>0.2958</x:v>
      </x:c>
      <x:c r="C3" s="118" t="n">
        <x:v>0.2953</x:v>
      </x:c>
      <x:c r="D3" s="119" t="n">
        <x:v>0.2961</x:v>
      </x:c>
      <x:c r="E3" s="120" t="n">
        <x:f>AVERAGE(B3:D3)</x:f>
        <x:v>0.29573333333333335</x:v>
      </x:c>
      <x:c r="F3" s="121" t="n">
        <x:f>STDEV.S(B3:D3)</x:f>
        <x:v>0.00040414518843272327</x:v>
      </x:c>
      <x:c r="G3" s="125" t="n">
        <x:f>F3/E3*100</x:f>
        <x:v>0.13665865253586224</x:v>
      </x:c>
      <x:c r="H3" s="121" t="n">
        <x:f>$M$2*A3+$M$3</x:f>
        <x:v>0.29402405797101444</x:v>
      </x:c>
      <x:c r="I3" s="121" t="n">
        <x:f>(E3-$M$3)/$M$2</x:f>
        <x:v>0.025145951184934536</x:v>
      </x:c>
      <x:c r="J3" s="121" t="n">
        <x:f>(I3-A3)/A3*100</x:f>
        <x:v>0.5838047397381391</x:v>
      </x:c>
      <x:c r="K3" s="121" t="n">
        <x:f>E3-H3</x:f>
        <x:v>0.0017092753623189072</x:v>
      </x:c>
      <x:c r="L3" s="142" t="str">
        <x:v>Complete-range intercept</x:v>
      </x:c>
      <x:c r="M3" s="121" t="n">
        <x:f>INTERCEPT(E2:E5,A2:A5)</x:f>
        <x:v>0.001242028985507182</x:v>
      </x:c>
      <x:c r="N3" s="126" t="n">
        <x:f>$M$5*A3</x:f>
        <x:v>0.2932203921568627</x:v>
      </x:c>
      <x:c r="O3" s="134" t="n">
        <x:f>E3-N3</x:f>
        <x:v>0.002512941176470662</x:v>
      </x:c>
    </x:row>
    <x:row r="4" ht="26.399999618530273" hidden="0" customHeight="1">
      <x:c r="A4" s="83" t="n">
        <x:v>0.05</x:v>
      </x:c>
      <x:c r="B4" s="118" t="n">
        <x:v>0.5875</x:v>
      </x:c>
      <x:c r="C4" s="118" t="n">
        <x:v>0.5871</x:v>
      </x:c>
      <x:c r="D4" s="119" t="n">
        <x:v>0.5853</x:v>
      </x:c>
      <x:c r="E4" s="120" t="n">
        <x:f>AVERAGE(B4:D4)</x:f>
        <x:v>0.5866333333333333</x:v>
      </x:c>
      <x:c r="F4" s="121" t="n">
        <x:f>STDEV.S(B4:D4)</x:f>
        <x:v>0.0011718930554164382</x:v>
      </x:c>
      <x:c r="G4" s="125" t="n">
        <x:f>F4/E4*100</x:f>
        <x:v>0.1997658484146437</x:v>
      </x:c>
      <x:c r="H4" s="121" t="n">
        <x:f>$M$2*A4+$M$3</x:f>
        <x:v>0.5868060869565217</x:v>
      </x:c>
      <x:c r="I4" s="121" t="n">
        <x:f>(E4-$M$3)/$M$2</x:f>
        <x:v>0.049985248956041894</x:v>
      </x:c>
      <x:c r="J4" s="121" t="n">
        <x:f>(I4-A4)/A4*100</x:f>
        <x:v>-0.029502087916216668</x:v>
      </x:c>
      <x:c r="K4" s="121" t="n">
        <x:f>E4-H4</x:f>
        <x:v>-0.00017275362318835974</x:v>
      </x:c>
      <x:c r="L4" s="142" t="str">
        <x:v>Complete-range R²</x:v>
      </x:c>
      <x:c r="M4" s="121" t="n">
        <x:f>RSQ(E2:E5,A2:A5)</x:f>
        <x:v>0.9999921324621984</x:v>
      </x:c>
      <x:c r="N4" s="126" t="n">
        <x:f>$M$5*A4</x:f>
        <x:v>0.5864407843137254</x:v>
      </x:c>
      <x:c r="O4" s="134" t="n">
        <x:f>E4-N4</x:f>
        <x:v>0.00019254901960796822</x:v>
      </x:c>
    </x:row>
    <x:row r="5" ht="26.399999618530273" hidden="0" customHeight="1">
      <x:c r="A5" s="86" t="n">
        <x:v>0.1</x:v>
      </x:c>
      <x:c r="B5" s="122" t="n">
        <x:v>1.1716</x:v>
      </x:c>
      <x:c r="C5" s="122" t="n">
        <x:v>1.173</x:v>
      </x:c>
      <x:c r="D5" s="123" t="n">
        <x:v>1.172</x:v>
      </x:c>
      <x:c r="E5" s="120" t="n">
        <x:f>AVERAGE(B5:D5)</x:f>
        <x:v>1.1722</x:v>
      </x:c>
      <x:c r="F5" s="121" t="n">
        <x:f>STDEV.S(B5:D5)</x:f>
        <x:v>0.0007211102550928417</x:v>
      </x:c>
      <x:c r="G5" s="125" t="n">
        <x:f>F5/E5*100</x:f>
        <x:v>0.06151768086442943</x:v>
      </x:c>
      <x:c r="H5" s="121" t="n">
        <x:f>$M$2*A5+$M$3</x:f>
        <x:v>1.172370144927536</x:v>
      </x:c>
      <x:c r="I5" s="121" t="n">
        <x:f>(E5-$M$3)/$M$2</x:f>
        <x:v>0.09998547170670569</x:v>
      </x:c>
      <x:c r="J5" s="121" t="n">
        <x:f>(I5-A5)/A5*100</x:f>
        <x:v>-0.01452829329431915</x:v>
      </x:c>
      <x:c r="K5" s="121" t="n">
        <x:f>E5-H5</x:f>
        <x:v>-0.0001701449275361977</x:v>
      </x:c>
      <x:c r="L5" s="142" t="str">
        <x:v>Origin-constrained slope</x:v>
      </x:c>
      <x:c r="M5" s="121" t="n">
        <x:f>SUMPRODUCT(A2:A5,E2:E5)/SUMSQ(A2:A5)</x:f>
        <x:v>11.728815686274507</x:v>
      </x:c>
      <x:c r="N5" s="126" t="n">
        <x:f>$M$5*A5</x:f>
        <x:v>1.1728815686274507</x:v>
      </x:c>
      <x:c r="O5" s="134" t="n">
        <x:f>E5-N5</x:f>
        <x:v>-0.0006815686274508348</x:v>
      </x:c>
    </x:row>
    <x:row r="6" ht="15" hidden="0" customHeight="1">
      <x:c r="A6" s="15"/>
      <x:c r="B6" s="15"/>
      <x:c r="C6" s="15"/>
      <x:c r="D6" s="15"/>
      <x:c r="E6" s="136"/>
      <x:c r="F6" s="137"/>
      <x:c r="G6" s="137"/>
      <x:c r="H6" s="139"/>
      <x:c r="I6" s="139"/>
      <x:c r="J6" s="139"/>
      <x:c r="K6" s="139"/>
      <x:c r="L6" s="143" t="str">
        <x:v>Origin-constrained R² (centered)</x:v>
      </x:c>
      <x:c r="M6" s="139" t="n">
        <x:f>1-SUMXMY2(E2:E5,N2:N5)/DEVSQ(E2:E5)</x:f>
        <x:v>0.9999887450170605</x:v>
      </x:c>
      <x:c r="N6" s="139"/>
      <x:c r="O6" s="145"/>
    </x:row>
    <x:row r="7" ht="15" hidden="0" customHeight="1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4" hidden="0" customWidth="1"/>
    <x:col min="6" max="6" width="14" hidden="0" customWidth="1"/>
    <x:col min="7" max="7" width="1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4" max="14" width="20" hidden="0" customWidth="1"/>
    <x:col min="15" max="15" width="20" hidden="0" customWidth="1"/>
    <x:col min="13" max="13" width="20" hidden="0" customWidth="1"/>
    <x:col min="16" max="16" width="20" hidden="0" customWidth="1"/>
    <x:col min="17" max="17" width="43" hidden="0" customWidth="1"/>
    <x:col min="18" max="18" width="31" hidden="0" customWidth="1"/>
    <x:col min="19" max="19" width="18" hidden="0" customWidth="1"/>
    <x:col min="20" max="20" width="30" hidden="0" customWidth="1"/>
  </x:cols>
  <x:sheetData>
    <x:row r="1" ht="15" hidden="0" customHeight="1">
      <x:c r="A1" s="63" t="str">
        <x:v>Extract concentration (mg/mL)</x:v>
      </x:c>
      <x:c r="B1" s="64" t="str">
        <x:v>Replicate 1</x:v>
      </x:c>
      <x:c r="C1" s="64" t="str">
        <x:v>Replicate 2</x:v>
      </x:c>
      <x:c r="D1" s="64" t="str">
        <x:v>Replicate 3</x:v>
      </x:c>
      <x:c r="E1" s="64" t="str">
        <x:v>Mean A</x:v>
      </x:c>
      <x:c r="F1" s="64" t="str">
        <x:v>Sample SD</x:v>
      </x:c>
      <x:c r="G1" s="64" t="str">
        <x:v>%RSD</x:v>
      </x:c>
      <x:c r="H1" s="64" t="str">
        <x:v>Quercetin post hoc lower-range C</x:v>
      </x:c>
      <x:c r="I1" s="64" t="str">
        <x:v>Quercetin post hoc lower-range mg QE/g</x:v>
      </x:c>
      <x:c r="J1" s="64" t="str">
        <x:v>Rutin C</x:v>
      </x:c>
      <x:c r="K1" s="64" t="str">
        <x:v>Rutin mg RE/g</x:v>
      </x:c>
      <x:c r="L1" s="64" t="str">
        <x:v>Quercetin complete-range C</x:v>
      </x:c>
      <x:c r="M1" s="64" t="str">
        <x:v>Quercetin complete-range mg QE/g</x:v>
      </x:c>
      <x:c r="N1" s="64" t="str">
        <x:v>Rutin mg RE/g dried leaf</x:v>
      </x:c>
      <x:c r="O1" s="64" t="str">
        <x:v>Quercetin post hoc lower-range mg QE/g dried leaf</x:v>
      </x:c>
      <x:c r="P1" s="64" t="str">
        <x:v>Quercetin complete mg QE/g dried leaf</x:v>
      </x:c>
      <x:c r="Q1" s="64" t="str">
        <x:v>Interpretation</x:v>
      </x:c>
      <x:c r="R1" s="64" t="str">
        <x:v>Parameter</x:v>
      </x:c>
      <x:c r="S1" s="64" t="str">
        <x:v>Formula-derived value</x:v>
      </x:c>
      <x:c r="T1" s="66" t="str">
        <x:v>Source</x:v>
      </x:c>
    </x:row>
    <x:row r="2" ht="15" hidden="0" customHeight="1">
      <x:c r="A2" s="80" t="n">
        <x:v>0.1</x:v>
      </x:c>
      <x:c r="B2" s="114" t="n">
        <x:v>0.1802</x:v>
      </x:c>
      <x:c r="C2" s="114" t="n">
        <x:v>0.1801</x:v>
      </x:c>
      <x:c r="D2" s="115" t="n">
        <x:v>0.1803</x:v>
      </x:c>
      <x:c r="E2" s="116" t="n">
        <x:f>AVERAGE(B2:D2)</x:f>
        <x:v>0.1802</x:v>
      </x:c>
      <x:c r="F2" s="117" t="n">
        <x:f>STDEV.S(B2:D2)</x:f>
        <x:v>0.00009999999999998899</x:v>
      </x:c>
      <x:c r="G2" s="124" t="n">
        <x:f>F2/E2*100</x:f>
        <x:v>0.05549389567147003</x:v>
      </x:c>
      <x:c r="H2" s="117" t="n">
        <x:f>(E2-$S$6)/$S$5</x:f>
        <x:v>0.017413680545480925</x:v>
      </x:c>
      <x:c r="I2" s="117" t="n">
        <x:f>IF(H2&lt;0,"",H2/A2*1000)</x:f>
        <x:v>174.13680545480926</x:v>
      </x:c>
      <x:c r="J2" s="117" t="n">
        <x:f>(E2-$S$10)/$S$9</x:f>
        <x:v>0.01528081928684148</x:v>
      </x:c>
      <x:c r="K2" s="117" t="n">
        <x:f>J2/A2*1000</x:f>
        <x:v>152.8081928684148</x:v>
      </x:c>
      <x:c r="L2" s="117" t="n">
        <x:f>(E2-$S$8)/$S$7</x:f>
        <x:v>0.01456092488691131</x:v>
      </x:c>
      <x:c r="M2" s="117" t="n">
        <x:f>IF(L2&lt;0,"",L2/A2*1000)</x:f>
        <x:v>145.6092488691131</x:v>
      </x:c>
      <x:c r="N2" s="117" t="n">
        <x:f>K2*$S$4</x:f>
        <x:v>23.53246170173588</x:v>
      </x:c>
      <x:c r="O2" s="117" t="n">
        <x:f>IF(I2="","",I2*$S$4)</x:f>
        <x:v>26.817068040040628</x:v>
      </x:c>
      <x:c r="P2" s="133" t="n">
        <x:f>IF(M2="","",M2*$S$4)</x:f>
        <x:v>22.423824325843416</x:v>
      </x:c>
      <x:c r="Q2" s="155" t="str">
        <x:v>Only response above the lowest absorbance of both calibration series</x:v>
      </x:c>
      <x:c r="R2" s="161" t="str">
        <x:v>Dry extract mass (g)</x:v>
      </x:c>
      <x:c r="S2" s="162" t="n">
        <x:v>77</x:v>
      </x:c>
      <x:c r="T2" s="163" t="str">
        <x:v>Archived extraction record</x:v>
      </x:c>
    </x:row>
    <x:row r="3" ht="15" hidden="0" customHeight="1">
      <x:c r="A3" s="83" t="n">
        <x:v>0.05</x:v>
      </x:c>
      <x:c r="B3" s="118" t="n">
        <x:v>0.0978</x:v>
      </x:c>
      <x:c r="C3" s="118" t="n">
        <x:v>0.0905</x:v>
      </x:c>
      <x:c r="D3" s="119" t="n">
        <x:v>0.0921</x:v>
      </x:c>
      <x:c r="E3" s="120" t="n">
        <x:f>AVERAGE(B3:D3)</x:f>
        <x:v>0.09346666666666666</x:v>
      </x:c>
      <x:c r="F3" s="121" t="n">
        <x:f>STDEV.S(B3:D3)</x:f>
        <x:v>0.0038370995990895693</x:v>
      </x:c>
      <x:c r="G3" s="125" t="n">
        <x:f>F3/E3*100</x:f>
        <x:v>4.105313408441051</x:v>
      </x:c>
      <x:c r="H3" s="121" t="n">
        <x:f>(E3-$S$6)/$S$5</x:f>
        <x:v>0.004201726389090382</x:v>
      </x:c>
      <x:c r="I3" s="121" t="n">
        <x:f>IF(H3&lt;0,"",H3/A3*1000)</x:f>
        <x:v>84.03452778180763</x:v>
      </x:c>
      <x:c r="J3" s="121" t="n">
        <x:f>(E3-$S$10)/$S$9</x:f>
        <x:v>0.00787485471706706</x:v>
      </x:c>
      <x:c r="K3" s="121" t="n">
        <x:f>J3/A3*1000</x:f>
        <x:v>157.4970943413412</x:v>
      </x:c>
      <x:c r="L3" s="121" t="n">
        <x:f>(E3-$S$8)/$S$7</x:f>
        <x:v>-0.003180256282191208</x:v>
      </x:c>
      <x:c r="M3" s="121" t="str">
        <x:f>IF(L3&lt;0,"",L3/A3*1000)</x:f>
      </x:c>
      <x:c r="N3" s="121" t="n">
        <x:f>K3*$S$4</x:f>
        <x:v>24.254552528566546</x:v>
      </x:c>
      <x:c r="O3" s="121" t="n">
        <x:f>IF(I3="","",I3*$S$4)</x:f>
        <x:v>12.941317278398374</x:v>
      </x:c>
      <x:c r="P3" s="134" t="str">
        <x:f>IF(M3="","",M3*$S$4)</x:f>
      </x:c>
      <x:c r="Q3" s="155" t="str">
        <x:v>Below observed standard-response range; diagnostic only</x:v>
      </x:c>
      <x:c r="R3" s="164" t="str">
        <x:v>Initial dried powder mass (g)</x:v>
      </x:c>
      <x:c r="S3" s="165" t="n">
        <x:v>500</x:v>
      </x:c>
      <x:c r="T3" s="135" t="str">
        <x:v>Archived extraction record</x:v>
      </x:c>
    </x:row>
    <x:row r="4" ht="15" hidden="0" customHeight="1">
      <x:c r="A4" s="83" t="n">
        <x:v>0.025</x:v>
      </x:c>
      <x:c r="B4" s="118" t="n">
        <x:v>0.0447</x:v>
      </x:c>
      <x:c r="C4" s="118" t="n">
        <x:v>0.0451</x:v>
      </x:c>
      <x:c r="D4" s="119" t="n">
        <x:v>0.047</x:v>
      </x:c>
      <x:c r="E4" s="120" t="n">
        <x:f>AVERAGE(B4:D4)</x:f>
        <x:v>0.045599999999999995</x:v>
      </x:c>
      <x:c r="F4" s="121" t="n">
        <x:f>STDEV.S(B4:D4)</x:f>
        <x:v>0.0012288205727444517</x:v>
      </x:c>
      <x:c r="G4" s="125" t="n">
        <x:f>F4/E4*100</x:f>
        <x:v>2.694781957772921</x:v>
      </x:c>
      <x:c r="H4" s="121" t="n">
        <x:f>(E4-$S$6)/$S$5</x:f>
        <x:v>-0.0030897287102857962</x:v>
      </x:c>
      <x:c r="I4" s="121" t="str">
        <x:f>IF(H4&lt;0,"",H4/A4*1000)</x:f>
      </x:c>
      <x:c r="J4" s="121" t="n">
        <x:f>(E4-$S$10)/$S$9</x:f>
        <x:v>0.0037876275371300657</x:v>
      </x:c>
      <x:c r="K4" s="121" t="n">
        <x:f>J4/A4*1000</x:f>
        <x:v>151.50510148520263</x:v>
      </x:c>
      <x:c r="L4" s="121" t="n">
        <x:f>(E4-$S$8)/$S$7</x:f>
        <x:v>-0.012971315528475299</x:v>
      </x:c>
      <x:c r="M4" s="121" t="str">
        <x:f>IF(L4&lt;0,"",L4/A4*1000)</x:f>
      </x:c>
      <x:c r="N4" s="121" t="n">
        <x:f>K4*$S$4</x:f>
        <x:v>23.331785628721203</x:v>
      </x:c>
      <x:c r="O4" s="121" t="str">
        <x:f>IF(I4="","",I4*$S$4)</x:f>
      </x:c>
      <x:c r="P4" s="134" t="str">
        <x:f>IF(M4="","",M4*$S$4)</x:f>
      </x:c>
      <x:c r="Q4" s="155" t="str">
        <x:v>Below observed standard-response range; diagnostic only</x:v>
      </x:c>
      <x:c r="R4" s="164" t="str">
        <x:v>Extraction-yield fraction</x:v>
      </x:c>
      <x:c r="S4" s="126" t="n">
        <x:f>S2/S3</x:f>
        <x:v>0.154</x:v>
      </x:c>
      <x:c r="T4" s="135" t="str">
        <x:v>Calculated</x:v>
      </x:c>
    </x:row>
    <x:row r="5" ht="15" hidden="0" customHeight="1">
      <x:c r="A5" s="86" t="n">
        <x:v>0.0125</x:v>
      </x:c>
      <x:c r="B5" s="122" t="n">
        <x:v>0.0351</x:v>
      </x:c>
      <x:c r="C5" s="122" t="n">
        <x:v>0.0328</x:v>
      </x:c>
      <x:c r="D5" s="123" t="n">
        <x:v>0.022</x:v>
      </x:c>
      <x:c r="E5" s="156" t="n">
        <x:f>AVERAGE(B5:D5)</x:f>
        <x:v>0.02996666666666667</x:v>
      </x:c>
      <x:c r="F5" s="157" t="n">
        <x:f>STDEV.S(B5:D5)</x:f>
        <x:v>0.006994521665799124</x:v>
      </x:c>
      <x:c r="G5" s="158" t="n">
        <x:f>F5/E5*100</x:f>
        <x:v>23.341006671187287</x:v>
      </x:c>
      <x:c r="H5" s="157" t="n">
        <x:f>(E5-$S$6)/$S$5</x:f>
        <x:v>-0.005471130132017987</x:v>
      </x:c>
      <x:c r="I5" s="157" t="str">
        <x:f>IF(H5&lt;0,"",H5/A5*1000)</x:f>
      </x:c>
      <x:c r="J5" s="157" t="n">
        <x:f>(E5-$S$10)/$S$9</x:f>
        <x:v>0.002452732309142287</x:v>
      </x:c>
      <x:c r="K5" s="157" t="n">
        <x:f>J5/A5*1000</x:f>
        <x:v>196.21858473138292</x:v>
      </x:c>
      <x:c r="L5" s="157" t="n">
        <x:f>(E5-$S$8)/$S$7</x:f>
        <x:v>-0.016169091842199005</x:v>
      </x:c>
      <x:c r="M5" s="157" t="str">
        <x:f>IF(L5&lt;0,"",L5/A5*1000)</x:f>
      </x:c>
      <x:c r="N5" s="157" t="n">
        <x:f>K5*$S$4</x:f>
        <x:v>30.21766204863297</x:v>
      </x:c>
      <x:c r="O5" s="157" t="str">
        <x:f>IF(I5="","",I5*$S$4)</x:f>
      </x:c>
      <x:c r="P5" s="145" t="str">
        <x:f>IF(M5="","",M5*$S$4)</x:f>
      </x:c>
      <x:c r="Q5" s="155" t="str">
        <x:v>Below observed standard-response range and high within-run imprecision</x:v>
      </x:c>
      <x:c r="R5" s="164" t="str">
        <x:v>Quercetin post hoc lower-range slope</x:v>
      </x:c>
      <x:c r="S5" s="126" t="n">
        <x:f>Quercetin_Calibration!M2</x:f>
        <x:v>6.564761904761904</x:v>
      </x:c>
      <x:c r="T5" s="135" t="str">
        <x:v>Linked from Quercetin_Calibration</x:v>
      </x:c>
    </x:row>
    <x:row r="6" ht="15" hidden="0" customHeight="1">
      <x:c r="A6" s="15"/>
      <x:c r="B6" s="15"/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64" t="str">
        <x:v>Quercetin post hoc lower-range intercept</x:v>
      </x:c>
      <x:c r="S6" s="126" t="n">
        <x:f>Quercetin_Calibration!M3</x:f>
        <x:v>0.06588333333333332</x:v>
      </x:c>
      <x:c r="T6" s="135" t="str">
        <x:v>Linked from Quercetin_Calibration</x:v>
      </x:c>
    </x:row>
    <x:row r="7" ht="15" hidden="0" customHeight="1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64" t="str">
        <x:v>Quercetin complete slope</x:v>
      </x:c>
      <x:c r="S7" s="126" t="n">
        <x:f>Quercetin_Calibration!M5</x:f>
        <x:v>4.888813913043478</x:v>
      </x:c>
      <x:c r="T7" s="135" t="str">
        <x:v>Linked from Quercetin_Calibration</x:v>
      </x:c>
    </x:row>
    <x:row r="8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64" t="str">
        <x:v>Quercetin complete intercept</x:v>
      </x:c>
      <x:c r="S8" s="126" t="n">
        <x:f>Quercetin_Calibration!M6</x:f>
        <x:v>0.10901434782608696</x:v>
      </x:c>
      <x:c r="T8" s="135" t="str">
        <x:v>Linked from Quercetin_Calibration</x:v>
      </x:c>
    </x:row>
    <x:row r="9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64" t="str">
        <x:v>Rutin slope</x:v>
      </x:c>
      <x:c r="S9" s="126" t="n">
        <x:f>Rutin_Calibration!M2</x:f>
        <x:v>11.71128115942029</x:v>
      </x:c>
      <x:c r="T9" s="135" t="str">
        <x:v>Linked from Rutin_Calibration</x:v>
      </x:c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66" t="str">
        <x:v>Rutin intercept</x:v>
      </x:c>
      <x:c r="S10" s="139" t="n">
        <x:f>Rutin_Calibration!M3</x:f>
        <x:v>0.001242028985507182</x:v>
      </x:c>
      <x:c r="T10" s="140" t="str">
        <x:v>Linked from Rutin_Calibration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1" hidden="0" customWidth="1"/>
    <x:col min="8" max="8" width="31" hidden="0" customWidth="1"/>
    <x:col min="9" max="9" width="48" hidden="0" customWidth="1"/>
  </x:cols>
  <x:sheetData>
    <x:row r="1" ht="15" hidden="0" customHeight="1">
      <x:c r="A1" s="63" t="str">
        <x:v>Dataset</x:v>
      </x:c>
      <x:c r="B1" s="64" t="str">
        <x:v>Free slope</x:v>
      </x:c>
      <x:c r="C1" s="64" t="str">
        <x:v>Free intercept</x:v>
      </x:c>
      <x:c r="D1" s="64" t="str">
        <x:v>Free-intercept R²</x:v>
      </x:c>
      <x:c r="E1" s="64" t="str">
        <x:v>Origin-constrained slope</x:v>
      </x:c>
      <x:c r="F1" s="64" t="str">
        <x:v>Origin-constrained R² (centered)</x:v>
      </x:c>
      <x:c r="G1" s="64" t="str">
        <x:v>Free-intercept equation</x:v>
      </x:c>
      <x:c r="H1" s="64" t="str">
        <x:v>Origin-constrained equation</x:v>
      </x:c>
      <x:c r="I1" s="66" t="str">
        <x:v>Interpretation</x:v>
      </x:c>
    </x:row>
    <x:row r="2" ht="15" hidden="0" customHeight="1">
      <x:c r="A2" s="33" t="str">
        <x:v>Quercetin complete range</x:v>
      </x:c>
      <x:c r="B2" s="116" t="n">
        <x:f>Quercetin_Calibration!M5</x:f>
        <x:v>4.888813913043478</x:v>
      </x:c>
      <x:c r="C2" s="117" t="n">
        <x:f>Quercetin_Calibration!M6</x:f>
        <x:v>0.10901434782608696</x:v>
      </x:c>
      <x:c r="D2" s="117" t="n">
        <x:f>Quercetin_Calibration!M7</x:f>
        <x:v>0.9776699913660993</x:v>
      </x:c>
      <x:c r="E2" s="117" t="n">
        <x:f>Quercetin_Calibration!M10</x:f>
        <x:v>6.427839999999998</x:v>
      </x:c>
      <x:c r="F2" s="117" t="n">
        <x:f>Quercetin_Calibration!M11</x:f>
        <x:v>0.8312590161605</x:v>
      </x:c>
      <x:c r="G2" s="186" t="str">
        <x:f>"A = "&amp;TEXT(B2,"0.0000")&amp;"C "&amp;IF(C2&gt;=0,"+ ","- ")&amp;TEXT(ABS(C2),"0.0000")</x:f>
        <x:v>A = 4.8888C + 0.1090</x:v>
      </x:c>
      <x:c r="H2" s="163" t="str">
        <x:f>"A = "&amp;TEXT(E2,"0.0000")&amp;"C"</x:f>
        <x:v>A = 6.4278C</x:v>
      </x:c>
      <x:c r="I2" s="155" t="str">
        <x:v>Origin constraint worsened the centered fit</x:v>
      </x:c>
    </x:row>
    <x:row r="3" ht="15" hidden="0" customHeight="1">
      <x:c r="A3" s="33" t="str">
        <x:v>Quercetin post hoc lower range</x:v>
      </x:c>
      <x:c r="B3" s="120" t="n">
        <x:f>Quercetin_Calibration!M2</x:f>
        <x:v>6.564761904761904</x:v>
      </x:c>
      <x:c r="C3" s="121" t="n">
        <x:f>Quercetin_Calibration!M3</x:f>
        <x:v>0.06588333333333332</x:v>
      </x:c>
      <x:c r="D3" s="121" t="n">
        <x:f>Quercetin_Calibration!M4</x:f>
        <x:v>0.9997681808780037</x:v>
      </x:c>
      <x:c r="E3" s="121" t="n">
        <x:f>Quercetin_Calibration!M8</x:f>
        <x:v>8.321650793650793</x:v>
      </x:c>
      <x:c r="F3" s="121" t="n">
        <x:f>Quercetin_Calibration!M9</x:f>
        <x:v>0.9077032113813494</x:v>
      </x:c>
      <x:c r="G3" s="104" t="str">
        <x:f>"A = "&amp;TEXT(B3,"0.0000")&amp;"C "&amp;IF(C3&gt;=0,"+ ","- ")&amp;TEXT(ABS(C3),"0.0000")</x:f>
        <x:v>A = 6.5648C + 0.0659</x:v>
      </x:c>
      <x:c r="H3" s="135" t="str">
        <x:f>"A = "&amp;TEXT(E3,"0.0000")&amp;"C"</x:f>
        <x:v>A = 8.3217C</x:v>
      </x:c>
      <x:c r="I3" s="155" t="str">
        <x:v>Post hoc sensitivity model; origin constraint worsened the centered fit</x:v>
      </x:c>
    </x:row>
    <x:row r="4" ht="15" hidden="0" customHeight="1">
      <x:c r="A4" s="33" t="str">
        <x:v>Rutin complete range</x:v>
      </x:c>
      <x:c r="B4" s="156" t="n">
        <x:f>Rutin_Calibration!M2</x:f>
        <x:v>11.71128115942029</x:v>
      </x:c>
      <x:c r="C4" s="157" t="n">
        <x:f>Rutin_Calibration!M3</x:f>
        <x:v>0.001242028985507182</x:v>
      </x:c>
      <x:c r="D4" s="157" t="n">
        <x:f>Rutin_Calibration!M4</x:f>
        <x:v>0.9999921324621984</x:v>
      </x:c>
      <x:c r="E4" s="157" t="n">
        <x:f>Rutin_Calibration!M5</x:f>
        <x:v>11.728815686274507</x:v>
      </x:c>
      <x:c r="F4" s="157" t="n">
        <x:f>Rutin_Calibration!M6</x:f>
        <x:v>0.9999887450170605</x:v>
      </x:c>
      <x:c r="G4" s="137" t="str">
        <x:f>"A = "&amp;TEXT(B4,"0.0000")&amp;"C "&amp;IF(C4&gt;=0,"+ ","- ")&amp;TEXT(ABS(C4),"0.0000")</x:f>
        <x:v>A = 11.7113C + 0.0012</x:v>
      </x:c>
      <x:c r="H4" s="140" t="str">
        <x:f>"A = "&amp;TEXT(E4,"0.0000")&amp;"C"</x:f>
        <x:v>A = 11.7288C</x:v>
      </x:c>
      <x:c r="I4" s="155" t="str">
        <x:v>Comparable numerical response in one run; no temporal stability inference</x:v>
      </x:c>
    </x:row>
    <x:row r="5" ht="15" hidden="0" customHeight="1">
      <x:c r="A5" s="33"/>
      <x:c r="B5" s="33"/>
      <x:c r="C5" s="33"/>
      <x:c r="D5" s="33"/>
      <x:c r="E5" s="33"/>
      <x:c r="F5" s="33"/>
      <x:c r="G5" s="15"/>
      <x:c r="H5" s="15"/>
      <x:c r="I5" s="15"/>
    </x:row>
    <x:row r="6" ht="39.599998474121094" hidden="0" customHeight="1">
      <x:c r="A6" s="63" t="str">
        <x:v>Exploratory apparent AlCl₃-reactive standard-equivalent estimate under reagent-blank conditions</x:v>
      </x:c>
      <x:c r="B6" s="64" t="str">
        <x:v>mg standard equivalents/g dry extract</x:v>
      </x:c>
      <x:c r="C6" s="64" t="str">
        <x:v>mg standard equivalents/g dried leaf powder</x:v>
      </x:c>
      <x:c r="D6" s="66" t="str">
        <x:v>Basis</x:v>
      </x:c>
      <x:c r="E6" s="50"/>
      <x:c r="F6" s="50"/>
      <x:c r="G6" s="15"/>
      <x:c r="H6" s="15"/>
      <x:c r="I6" s="15"/>
    </x:row>
    <x:row r="7" ht="15" hidden="0" customHeight="1">
      <x:c r="A7" s="33" t="str">
        <x:v>Rutin complete-range model</x:v>
      </x:c>
      <x:c r="B7" s="180" t="n">
        <x:f>Extract_Dilution!K2</x:f>
        <x:v>152.8081928684148</x:v>
      </x:c>
      <x:c r="C7" s="181" t="n">
        <x:f>Extract_Dilution!N2</x:f>
        <x:v>23.53246170173588</x:v>
      </x:c>
      <x:c r="D7" s="179" t="str">
        <x:v>0.1000 mg/mL extract; reagent-blank conditions</x:v>
      </x:c>
      <x:c r="E7" s="33"/>
      <x:c r="F7" s="33"/>
      <x:c r="G7" s="15"/>
      <x:c r="H7" s="15"/>
      <x:c r="I7" s="15"/>
    </x:row>
    <x:row r="8" ht="15" hidden="0" customHeight="1">
      <x:c r="A8" s="33" t="str">
        <x:v>Quercetin complete-range model</x:v>
      </x:c>
      <x:c r="B8" s="182" t="n">
        <x:f>Extract_Dilution!M2</x:f>
        <x:v>145.6092488691131</x:v>
      </x:c>
      <x:c r="C8" s="183" t="n">
        <x:f>Extract_Dilution!P2</x:f>
        <x:v>22.423824325843416</x:v>
      </x:c>
      <x:c r="D8" s="179" t="str">
        <x:v>0.1000 mg/mL extract; reagent-blank conditions</x:v>
      </x:c>
      <x:c r="E8" s="33"/>
      <x:c r="F8" s="33"/>
      <x:c r="G8" s="15"/>
      <x:c r="H8" s="15"/>
      <x:c r="I8" s="15"/>
    </x:row>
    <x:row r="9" ht="15" hidden="0" customHeight="1">
      <x:c r="A9" s="33" t="str">
        <x:v>Quercetin post hoc lower-range model</x:v>
      </x:c>
      <x:c r="B9" s="184" t="n">
        <x:f>Extract_Dilution!I2</x:f>
        <x:v>174.13680545480926</x:v>
      </x:c>
      <x:c r="C9" s="185" t="n">
        <x:f>Extract_Dilution!O2</x:f>
        <x:v>26.817068040040628</x:v>
      </x:c>
      <x:c r="D9" s="179" t="str">
        <x:v>0.1000 mg/mL extract; reagent-blank conditions</x:v>
      </x:c>
      <x:c r="E9" s="33"/>
      <x:c r="F9" s="33"/>
      <x:c r="G9" s="15"/>
      <x:c r="H9" s="15"/>
      <x:c r="I9" s="15"/>
    </x:row>
    <x:row r="10" ht="15" hidden="0" customHeight="1">
      <x:c r="A10" s="15"/>
      <x:c r="B10" s="15"/>
      <x:c r="C10" s="15"/>
      <x:c r="D10" s="15"/>
      <x:c r="E10" s="15"/>
      <x:c r="F10" s="15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9" max="9" width="34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8" max="8" width="3" hidden="0" customWidth="1"/>
  </x:cols>
  <x:sheetData>
    <x:row r="1" ht="26.399999618530273" hidden="0" customHeight="1">
      <x:c r="A1" s="63" t="str">
        <x:v>Nominal level (%)</x:v>
      </x:c>
      <x:c r="B1" s="64" t="str">
        <x:v>Added extract-equivalent amount (mg/mL)</x:v>
      </x:c>
      <x:c r="C1" s="64" t="str">
        <x:v>Recorded amount found (mg/mL)</x:v>
      </x:c>
      <x:c r="D1" s="64" t="str">
        <x:v>Response (%)</x:v>
      </x:c>
      <x:c r="E1" s="64" t="str">
        <x:v>Group mean (%)</x:v>
      </x:c>
      <x:c r="F1" s="64" t="str">
        <x:v>Sample SD</x:v>
      </x:c>
      <x:c r="G1" s="64" t="str">
        <x:v>RSD (%)</x:v>
      </x:c>
      <x:c r="H1" s="64" t="str"/>
      <x:c r="I1" s="64" t="str">
        <x:v>Condition / model</x:v>
      </x:c>
      <x:c r="J1" s="64" t="str">
        <x:v>Absorbance / slope</x:v>
      </x:c>
      <x:c r="K1" s="64" t="str">
        <x:v>Change from nominal (%) / assumed response SD</x:v>
      </x:c>
      <x:c r="L1" s="64" t="str">
        <x:v>Theoretical LOD (mg/mL)</x:v>
      </x:c>
      <x:c r="M1" s="66" t="str">
        <x:v>Theoretical LOQ (mg/mL)</x:v>
      </x:c>
    </x:row>
    <x:row r="2" ht="15" hidden="0" customHeight="1">
      <x:c r="A2" s="188" t="n">
        <x:v>80</x:v>
      </x:c>
      <x:c r="B2" s="208" t="n">
        <x:v>0.02</x:v>
      </x:c>
      <x:c r="C2" s="209" t="n">
        <x:v>0.0198</x:v>
      </x:c>
      <x:c r="D2" s="214" t="n">
        <x:f>C2/B2*100</x:f>
        <x:v>99.00000000000001</x:v>
      </x:c>
      <x:c r="E2" s="124"/>
      <x:c r="F2" s="124"/>
      <x:c r="G2" s="215"/>
      <x:c r="H2" s="33"/>
      <x:c r="I2" s="188" t="str">
        <x:v>Nominal condition</x:v>
      </x:c>
      <x:c r="J2" s="209" t="n">
        <x:v>0.1802</x:v>
      </x:c>
      <x:c r="K2" s="220" t="n">
        <x:f>0</x:f>
        <x:v>0</x:v>
      </x:c>
      <x:c r="L2" s="33"/>
      <x:c r="M2" s="33"/>
    </x:row>
    <x:row r="3" ht="15" hidden="0" customHeight="1">
      <x:c r="A3" s="191" t="n">
        <x:v>80</x:v>
      </x:c>
      <x:c r="B3" s="210" t="n">
        <x:v>0.02</x:v>
      </x:c>
      <x:c r="C3" s="211" t="n">
        <x:v>0.0201</x:v>
      </x:c>
      <x:c r="D3" s="216" t="n">
        <x:f>C3/B3*100</x:f>
        <x:v>100.49999999999999</x:v>
      </x:c>
      <x:c r="E3" s="125" t="n">
        <x:f>AVERAGE(D2:D4)</x:f>
        <x:v>99.66666666666667</x:v>
      </x:c>
      <x:c r="F3" s="125" t="n">
        <x:f>STDEV.S(D2:D4)</x:f>
        <x:v>0.7637626158259594</x:v>
      </x:c>
      <x:c r="G3" s="217" t="n">
        <x:f>F3/E3*100</x:f>
        <x:v>0.7663170058454442</x:v>
      </x:c>
      <x:c r="H3" s="33"/>
      <x:c r="I3" s="191" t="str">
        <x:v>+1 min incubation</x:v>
      </x:c>
      <x:c r="J3" s="211" t="n">
        <x:v>0.181</x:v>
      </x:c>
      <x:c r="K3" s="221" t="n">
        <x:f>(J3-$J$2)/$J$2*100</x:f>
        <x:v>0.4439511653718064</x:v>
      </x:c>
      <x:c r="L3" s="33"/>
      <x:c r="M3" s="33"/>
    </x:row>
    <x:row r="4" ht="15" hidden="0" customHeight="1">
      <x:c r="A4" s="191" t="n">
        <x:v>80</x:v>
      </x:c>
      <x:c r="B4" s="210" t="n">
        <x:v>0.02</x:v>
      </x:c>
      <x:c r="C4" s="211" t="n">
        <x:v>0.0199</x:v>
      </x:c>
      <x:c r="D4" s="216" t="n">
        <x:f>C4/B4*100</x:f>
        <x:v>99.5</x:v>
      </x:c>
      <x:c r="E4" s="125"/>
      <x:c r="F4" s="125"/>
      <x:c r="G4" s="217"/>
      <x:c r="H4" s="33"/>
      <x:c r="I4" s="191" t="str">
        <x:v>-1 min incubation</x:v>
      </x:c>
      <x:c r="J4" s="211" t="n">
        <x:v>0.1795</x:v>
      </x:c>
      <x:c r="K4" s="221" t="n">
        <x:f>(J4-$J$2)/$J$2*100</x:f>
        <x:v>-0.3884572697003364</x:v>
      </x:c>
      <x:c r="L4" s="33"/>
      <x:c r="M4" s="33"/>
    </x:row>
    <x:row r="5" ht="15" hidden="0" customHeight="1">
      <x:c r="A5" s="191" t="n">
        <x:v>100</x:v>
      </x:c>
      <x:c r="B5" s="210" t="n">
        <x:v>0.025</x:v>
      </x:c>
      <x:c r="C5" s="211" t="n">
        <x:v>0.0251</x:v>
      </x:c>
      <x:c r="D5" s="216" t="n">
        <x:f>C5/B5*100</x:f>
        <x:v>100.4</x:v>
      </x:c>
      <x:c r="E5" s="125"/>
      <x:c r="F5" s="125"/>
      <x:c r="G5" s="217"/>
      <x:c r="H5" s="33"/>
      <x:c r="I5" s="194" t="str">
        <x:v>Recorded NaOH-volume variation</x:v>
      </x:c>
      <x:c r="J5" s="213" t="n">
        <x:v>0.1821</x:v>
      </x:c>
      <x:c r="K5" s="222" t="n">
        <x:f>(J5-$J$2)/$J$2*100</x:f>
        <x:v>1.0543840177580537</x:v>
      </x:c>
      <x:c r="L5" s="33"/>
      <x:c r="M5" s="33"/>
    </x:row>
    <x:row r="6" ht="15" hidden="0" customHeight="1">
      <x:c r="A6" s="191" t="n">
        <x:v>100</x:v>
      </x:c>
      <x:c r="B6" s="210" t="n">
        <x:v>0.025</x:v>
      </x:c>
      <x:c r="C6" s="211" t="n">
        <x:v>0.0248</x:v>
      </x:c>
      <x:c r="D6" s="216" t="n">
        <x:f>C6/B6*100</x:f>
        <x:v>99.19999999999999</x:v>
      </x:c>
      <x:c r="E6" s="125" t="n">
        <x:f>AVERAGE(D5:D7)</x:f>
        <x:v>99.86666666666667</x:v>
      </x:c>
      <x:c r="F6" s="125" t="n">
        <x:f>STDEV.S(D5:D7)</x:f>
        <x:v>0.6110100926607874</x:v>
      </x:c>
      <x:c r="G6" s="217" t="n">
        <x:f>F6/E6*100</x:f>
        <x:v>0.6118258604747537</x:v>
      </x:c>
      <x:c r="H6" s="33"/>
      <x:c r="I6" s="33"/>
      <x:c r="J6" s="33"/>
      <x:c r="K6" s="33"/>
      <x:c r="L6" s="33"/>
      <x:c r="M6" s="33"/>
    </x:row>
    <x:row r="7" ht="26.399999618530273" hidden="0" customHeight="1">
      <x:c r="A7" s="191" t="n">
        <x:v>100</x:v>
      </x:c>
      <x:c r="B7" s="210" t="n">
        <x:v>0.025</x:v>
      </x:c>
      <x:c r="C7" s="211" t="n">
        <x:v>0.025</x:v>
      </x:c>
      <x:c r="D7" s="216" t="n">
        <x:f>C7/B7*100</x:f>
        <x:v>100</x:v>
      </x:c>
      <x:c r="E7" s="125"/>
      <x:c r="F7" s="125"/>
      <x:c r="G7" s="217"/>
      <x:c r="H7" s="33"/>
      <x:c r="I7" s="63" t="str">
        <x:v>Model</x:v>
      </x:c>
      <x:c r="J7" s="64" t="str">
        <x:v>Slope</x:v>
      </x:c>
      <x:c r="K7" s="64" t="str">
        <x:v>Assumed response SD</x:v>
      </x:c>
      <x:c r="L7" s="64" t="str">
        <x:v>Theoretical LOD (mg/mL)</x:v>
      </x:c>
      <x:c r="M7" s="66" t="str">
        <x:v>Theoretical LOQ (mg/mL)</x:v>
      </x:c>
    </x:row>
    <x:row r="8" ht="15" hidden="0" customHeight="1">
      <x:c r="A8" s="191" t="n">
        <x:v>120</x:v>
      </x:c>
      <x:c r="B8" s="210" t="n">
        <x:v>0.03</x:v>
      </x:c>
      <x:c r="C8" s="211" t="n">
        <x:v>0.0302</x:v>
      </x:c>
      <x:c r="D8" s="216" t="n">
        <x:f>C8/B8*100</x:f>
        <x:v>100.66666666666669</x:v>
      </x:c>
      <x:c r="E8" s="125"/>
      <x:c r="F8" s="125"/>
      <x:c r="G8" s="217"/>
      <x:c r="H8" s="33"/>
      <x:c r="I8" s="33" t="str">
        <x:v>Quercetin post hoc lower range</x:v>
      </x:c>
      <x:c r="J8" s="223" t="n">
        <x:f>Quercetin_Calibration!M2</x:f>
        <x:v>6.564761904761904</x:v>
      </x:c>
      <x:c r="K8" s="224" t="n">
        <x:v>0.0005</x:v>
      </x:c>
      <x:c r="L8" s="116" t="n">
        <x:f>3.3*K8/J8</x:f>
        <x:v>0.0002513419410996663</x:v>
      </x:c>
      <x:c r="M8" s="225" t="n">
        <x:f>10*K8/J8</x:f>
        <x:v>0.0007616422457565647</x:v>
      </x:c>
    </x:row>
    <x:row r="9" ht="15" hidden="0" customHeight="1">
      <x:c r="A9" s="191" t="n">
        <x:v>120</x:v>
      </x:c>
      <x:c r="B9" s="210" t="n">
        <x:v>0.03</x:v>
      </x:c>
      <x:c r="C9" s="211" t="n">
        <x:v>0.0298</x:v>
      </x:c>
      <x:c r="D9" s="216" t="n">
        <x:f>C9/B9*100</x:f>
        <x:v>99.33333333333334</x:v>
      </x:c>
      <x:c r="E9" s="125" t="n">
        <x:f>AVERAGE(D8:D10)</x:f>
        <x:v>100.11111111111113</x:v>
      </x:c>
      <x:c r="F9" s="125" t="n">
        <x:f>STDEV.S(D8:D10)</x:f>
        <x:v>0.6938886664887147</x:v>
      </x:c>
      <x:c r="G9" s="217" t="n">
        <x:f>F9/E9*100</x:f>
        <x:v>0.6931185347833997</x:v>
      </x:c>
      <x:c r="H9" s="33"/>
      <x:c r="I9" s="33" t="str">
        <x:v>Rutin complete range</x:v>
      </x:c>
      <x:c r="J9" s="226" t="n">
        <x:f>Rutin_Calibration!M2</x:f>
        <x:v>11.71128115942029</x:v>
      </x:c>
      <x:c r="K9" s="227" t="n">
        <x:v>0.0005</x:v>
      </x:c>
      <x:c r="L9" s="156" t="n">
        <x:f>3.3*K9/J9</x:f>
        <x:v>0.00014088979485158865</x:v>
      </x:c>
      <x:c r="M9" s="228" t="n">
        <x:f>10*K9/J9</x:f>
        <x:v>0.0004269387722775414</x:v>
      </x:c>
    </x:row>
    <x:row r="10" ht="15" hidden="0" customHeight="1">
      <x:c r="A10" s="194" t="n">
        <x:v>120</x:v>
      </x:c>
      <x:c r="B10" s="212" t="n">
        <x:v>0.03</x:v>
      </x:c>
      <x:c r="C10" s="213" t="n">
        <x:v>0.0301</x:v>
      </x:c>
      <x:c r="D10" s="218" t="n">
        <x:f>C10/B10*100</x:f>
        <x:v>100.33333333333334</x:v>
      </x:c>
      <x:c r="E10" s="158"/>
      <x:c r="F10" s="158"/>
      <x:c r="G10" s="219"/>
      <x:c r="H10" s="33"/>
      <x:c r="I10" s="33"/>
      <x:c r="J10" s="33"/>
      <x:c r="K10" s="33"/>
      <x:c r="L10" s="33"/>
      <x:c r="M10" s="33"/>
    </x:row>
    <x:row r="11" ht="15" hidden="0" customHeight="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</x:row>
    <x:row r="12" ht="15" hidden="0" customHeight="1">
      <x:c r="A12" s="207" t="str">
        <x:v>Interpretive notes</x:v>
      </x:c>
      <x:c r="B12" s="207"/>
      <x:c r="C12" s="207"/>
      <x:c r="D12" s="207"/>
      <x:c r="E12" s="207"/>
      <x:c r="F12" s="207"/>
      <x:c r="G12" s="207"/>
      <x:c r="H12" s="207"/>
      <x:c r="I12" s="207"/>
      <x:c r="J12" s="207"/>
      <x:c r="K12" s="207"/>
      <x:c r="L12" s="207"/>
      <x:c r="M12" s="207"/>
    </x:row>
    <x:row r="13" ht="26.399999618530273" hidden="0" customHeight="1">
      <x:c r="A13" s="179" t="str">
        <x:v>Extract-addition observations: the source worksheet described the added material as M. verticillata extract. These data are descriptive only and do not establish compound-specific recovery, analytical accuracy, specificity, selectivity, or absence of matrix interference.</x:v>
      </x:c>
      <x:c r="B13" s="179"/>
      <x:c r="C13" s="179"/>
      <x:c r="D13" s="179"/>
      <x:c r="E13" s="179"/>
      <x:c r="F13" s="179"/>
      <x:c r="G13" s="179"/>
      <x:c r="H13" s="179"/>
      <x:c r="I13" s="179"/>
      <x:c r="J13" s="179"/>
      <x:c r="K13" s="179"/>
      <x:c r="L13" s="179"/>
      <x:c r="M13" s="179"/>
    </x:row>
    <x:row r="14" ht="26.399999618530273" hidden="0" customHeight="1">
      <x:c r="A14" s="179" t="str">
        <x:v>Sensitivity and procedural variation: LOD/LOQ were not empirically verified; procedural variations were single-point observations without replication and do not establish robustness.</x:v>
      </x:c>
      <x:c r="B14" s="179"/>
      <x:c r="C14" s="179"/>
      <x:c r="D14" s="179"/>
      <x:c r="E14" s="179"/>
      <x:c r="F14" s="179"/>
      <x:c r="G14" s="179"/>
      <x:c r="H14" s="179"/>
      <x:c r="I14" s="179"/>
      <x:c r="J14" s="179"/>
      <x:c r="K14" s="179"/>
      <x:c r="L14" s="179"/>
      <x:c r="M14" s="179"/>
    </x:row>
    <x:row r="15" ht="15" hidden="0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</x:row>
  </x:sheetData>
  <x:mergeCells>
    <x:mergeCell ref="A12:M12"/>
    <x:mergeCell ref="A13:M13"/>
    <x:mergeCell ref="A14:M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48" hidden="0" customWidth="1"/>
    <x:col min="3" max="3" width="34" hidden="0" customWidth="1"/>
    <x:col min="4" max="4" width="34" hidden="0" customWidth="1"/>
    <x:col min="5" max="5" width="66" hidden="0" customWidth="1"/>
    <x:col min="6" max="6" width="37" hidden="0" customWidth="1"/>
    <x:col min="7" max="7" width="37" hidden="0" customWidth="1"/>
    <x:col min="8" max="8" width="28" hidden="0" customWidth="1"/>
  </x:cols>
  <x:sheetData>
    <x:row r="1" ht="16.799999237060547" hidden="0" customHeight="1">
      <x:c r="A1" s="232" t="str">
        <x:v>Calculation Audit Trail</x:v>
      </x:c>
      <x:c r="B1" s="232"/>
      <x:c r="C1" s="232"/>
      <x:c r="D1" s="232"/>
      <x:c r="E1" s="232"/>
      <x:c r="F1" s="232"/>
      <x:c r="G1" s="232"/>
      <x:c r="H1" s="232"/>
    </x:row>
    <x:row r="2" ht="15" hidden="0" customHeight="1">
      <x:c r="A2" s="63" t="str">
        <x:v>Dataset</x:v>
      </x:c>
      <x:c r="B2" s="64" t="str">
        <x:v>Archived source</x:v>
      </x:c>
      <x:c r="C2" s="64" t="str">
        <x:v>Raw input range</x:v>
      </x:c>
      <x:c r="D2" s="64" t="str">
        <x:v>Derived output range</x:v>
      </x:c>
      <x:c r="E2" s="64" t="str">
        <x:v>Primary Excel formulas</x:v>
      </x:c>
      <x:c r="F2" s="64" t="str">
        <x:v>Rounding policy</x:v>
      </x:c>
      <x:c r="G2" s="64" t="str">
        <x:v>Verification status</x:v>
      </x:c>
      <x:c r="H2" s="66" t="str">
        <x:v>Verifier / date</x:v>
      </x:c>
    </x:row>
    <x:row r="3" ht="26.399999618530273" hidden="0" customHeight="1">
      <x:c r="A3" s="15" t="str">
        <x:v>Quercetin calibration</x:v>
      </x:c>
      <x:c r="B3" s="15" t="str">
        <x:v>Quercetin Calibration Curve.docx / archived study record</x:v>
      </x:c>
      <x:c r="C3" s="15" t="str">
        <x:v>Quercetin_Calibration!A2:D5</x:v>
      </x:c>
      <x:c r="D3" s="15" t="str">
        <x:v>Quercetin_Calibration!E2:U11</x:v>
      </x:c>
      <x:c r="E3" s="15" t="str">
        <x:v>=AVERAGE; =STDEV.S; =SLOPE; =INTERCEPT; =RSQ; fitted A; residuals; back-calculated C; bias; origin-constrained slope and centered R²</x:v>
      </x:c>
      <x:c r="F3" s="15" t="str">
        <x:v>Unrounded values used; display rounding only</x:v>
      </x:c>
      <x:c r="G3" s="15" t="str">
        <x:v>Formula-driven; no hard-coded regression outputs</x:v>
      </x:c>
      <x:c r="H3" s="15" t="str">
        <x:v>Maged Al-Najar / 2026-07-27</x:v>
      </x:c>
    </x:row>
    <x:row r="4" ht="26.399999618530273" hidden="0" customHeight="1">
      <x:c r="A4" s="15" t="str">
        <x:v>Rutin calibration</x:v>
      </x:c>
      <x:c r="B4" s="15" t="str">
        <x:v>Rutin Calibration curve.docx / archived study record</x:v>
      </x:c>
      <x:c r="C4" s="15" t="str">
        <x:v>Rutin_Calibration!A2:D5</x:v>
      </x:c>
      <x:c r="D4" s="15" t="str">
        <x:v>Rutin_Calibration!E2:O6</x:v>
      </x:c>
      <x:c r="E4" s="15" t="str">
        <x:v>=AVERAGE; =STDEV.S; =SLOPE; =INTERCEPT; =RSQ; fitted A; residuals; back-calculated C; bias; origin-constrained slope and centered R²</x:v>
      </x:c>
      <x:c r="F4" s="15" t="str">
        <x:v>Unrounded values used; display rounding only</x:v>
      </x:c>
      <x:c r="G4" s="15" t="str">
        <x:v>Formula-driven; no hard-coded regression outputs</x:v>
      </x:c>
      <x:c r="H4" s="15" t="str">
        <x:v>Maged Al-Najar / 2026-07-27</x:v>
      </x:c>
    </x:row>
    <x:row r="5" ht="26.399999618530273" hidden="0" customHeight="1">
      <x:c r="A5" s="15" t="str">
        <x:v>Extract dilution readings</x:v>
      </x:c>
      <x:c r="B5" s="15" t="str">
        <x:v>Malva extract Calibration Curve.docx / archived study record</x:v>
      </x:c>
      <x:c r="C5" s="15" t="str">
        <x:v>Extract_Dilution!A2:D5</x:v>
      </x:c>
      <x:c r="D5" s="15" t="str">
        <x:v>Extract_Dilution!E2:P5</x:v>
      </x:c>
      <x:c r="E5" s="15" t="str">
        <x:v>=AVERAGE; =STDEV.S; RSD; model back-calculation; exploratory apparent AlCl₃-reactive standard-equivalent calculations under reagent-blank conditions; yield normalization to dried leaf powder</x:v>
      </x:c>
      <x:c r="F5" s="15" t="str">
        <x:v>Unrounded values used; display rounding only</x:v>
      </x:c>
      <x:c r="G5" s="15" t="str">
        <x:v>Formula-driven; parameters linked to calibration sheets</x:v>
      </x:c>
      <x:c r="H5" s="15" t="str">
        <x:v>Maged Al-Najar / 2026-07-27</x:v>
      </x:c>
    </x:row>
    <x:row r="6" ht="26.399999618530273" hidden="0" customHeight="1">
      <x:c r="A6" s="15" t="str">
        <x:v>Recorded extract-addition observations</x:v>
      </x:c>
      <x:c r="B6" s="15" t="str">
        <x:v>Archived extract-addition worksheet retained from undergraduate study</x:v>
      </x:c>
      <x:c r="C6" s="15" t="str">
        <x:v>Supplementary_Observations!A2:C10</x:v>
      </x:c>
      <x:c r="D6" s="15" t="str">
        <x:v>Supplementary_Observations!D2:G10</x:v>
      </x:c>
      <x:c r="E6" s="15" t="str">
        <x:v>=Recorded/Added*100; =AVERAGE; =STDEV.S; RSD</x:v>
      </x:c>
      <x:c r="F6" s="15" t="str">
        <x:v>Unrounded values used; display rounding only</x:v>
      </x:c>
      <x:c r="G6" s="15" t="str">
        <x:v>Formula-driven descriptive calculations</x:v>
      </x:c>
      <x:c r="H6" s="15" t="str">
        <x:v>Maged Al-Najar / 2026-07-27</x:v>
      </x:c>
    </x:row>
    <x:row r="7" ht="26.399999618530273" hidden="0" customHeight="1">
      <x:c r="A7" s="15" t="str">
        <x:v>Procedural variation observations</x:v>
      </x:c>
      <x:c r="B7" s="15" t="str">
        <x:v>Archived single-point procedural notes</x:v>
      </x:c>
      <x:c r="C7" s="15" t="str">
        <x:v>Supplementary_Observations!I2:J5</x:v>
      </x:c>
      <x:c r="D7" s="15" t="str">
        <x:v>Supplementary_Observations!K2:K5</x:v>
      </x:c>
      <x:c r="E7" s="15" t="str">
        <x:v>=(Observed-Nominal)/Nominal*100</x:v>
      </x:c>
      <x:c r="F7" s="15" t="str">
        <x:v>Unrounded values used; display rounding only</x:v>
      </x:c>
      <x:c r="G7" s="15" t="str">
        <x:v>Formula-driven; unreplicated and not a robustness study</x:v>
      </x:c>
      <x:c r="H7" s="15" t="str">
        <x:v>Maged Al-Najar / 2026-07-27</x:v>
      </x:c>
    </x:row>
    <x:row r="8" ht="26.399999618530273" hidden="0" customHeight="1">
      <x:c r="A8" s="15" t="str">
        <x:v>Theoretical sensitivity estimates</x:v>
      </x:c>
      <x:c r="B8" s="15" t="str">
        <x:v>Archived assumption: response SD = 0.0005</x:v>
      </x:c>
      <x:c r="C8" s="15" t="str">
        <x:v>Supplementary_Observations!K8:K9</x:v>
      </x:c>
      <x:c r="D8" s="15" t="str">
        <x:v>Supplementary_Observations!J8:M9</x:v>
      </x:c>
      <x:c r="E8" s="15" t="str">
        <x:v>=3.3*SD/Slope; =10*SD/Slope; slopes linked to calibration sheets</x:v>
      </x:c>
      <x:c r="F8" s="15" t="str">
        <x:v>Unrounded values used; display rounding only</x:v>
      </x:c>
      <x:c r="G8" s="15" t="str">
        <x:v>Formula-driven; theoretical and not empirically verified</x:v>
      </x:c>
      <x:c r="H8" s="15" t="str">
        <x:v>Maged Al-Najar / 2026-07-27</x:v>
      </x:c>
    </x:row>
    <x:row r="9" ht="26.399999618530273" hidden="0" customHeight="1">
      <x:c r="A9" s="15" t="str">
        <x:v>Model sensitivity</x:v>
      </x:c>
      <x:c r="B9" s="15" t="str">
        <x:v>Derived from archived calibration readings</x:v>
      </x:c>
      <x:c r="C9" s="15" t="str">
        <x:v>Calibration sheets</x:v>
      </x:c>
      <x:c r="D9" s="15" t="str">
        <x:v>Model_Sensitivity!A1:I9</x:v>
      </x:c>
      <x:c r="E9" s="15" t="str">
        <x:v>Free-intercept parameters linked from calibration sheets; origin-constrained parameters linked; equation labels built using TEXT formulas</x:v>
      </x:c>
      <x:c r="F9" s="15" t="str">
        <x:v>Unrounded values used; display rounding only</x:v>
      </x:c>
      <x:c r="G9" s="15" t="str">
        <x:v>Formula-linked summary</x:v>
      </x:c>
      <x:c r="H9" s="15" t="str">
        <x:v>Maged Al-Najar / 2026-07-27</x:v>
      </x:c>
    </x:row>
    <x:row r="10" ht="15" hidden="0" customHeight="1">
      <x:c r="A10" s="15" t="str">
        <x:v>Final reference values</x:v>
      </x:c>
      <x:c r="B10" s="15" t="str">
        <x:v>All analytical sheets in this workbook</x:v>
      </x:c>
      <x:c r="C10" s="15" t="str">
        <x:v>Formula links only</x:v>
      </x:c>
      <x:c r="D10" s="15" t="str">
        <x:v>Final_Reference_Values</x:v>
      </x:c>
      <x:c r="E10" s="15" t="str">
        <x:v>Direct links to source-sheet formula outputs; no analytical value manually entered</x:v>
      </x:c>
      <x:c r="F10" s="15" t="str">
        <x:v>Publication rounding shown separately</x:v>
      </x:c>
      <x:c r="G10" s="15" t="str">
        <x:v>Sole reference for downstream file updates</x:v>
      </x:c>
      <x:c r="H10" s="15" t="str">
        <x:v>Maged Al-Najar / 2026-07-27</x:v>
      </x:c>
    </x:row>
    <x:row r="11">
      <x:c r="A11" t="str">
        <x:v>Step 1 final formula-integrity audit</x:v>
      </x:c>
      <x:c r="B11" t="str">
        <x:v>All analytical sheets + current manuscript cross-check</x:v>
      </x:c>
      <x:c r="C11" t="str">
        <x:v>Raw source ranges retained in calibration/extract/supplementary sheets</x:v>
      </x:c>
      <x:c r="D11" t="str">
        <x:v>All derived outputs + Final_Reference_Values</x:v>
      </x:c>
      <x:c r="E11" t="str">
        <x:v>Formula lineage inspected; independent recalculation of core OLS models and exploratory apparent AlCl₃-reactive standard-equivalent estimates under reagent-blank conditions; explicit formula added for manuscript-reported 19.6% highest-level deviation</x:v>
      </x:c>
      <x:c r="F11" t="str">
        <x:v>Unrounded values used; display rounding only</x:v>
      </x:c>
      <x:c r="G11" t="str">
        <x:v>PASS — no hard-coded regression/equivalent outputs; one traceability gap corrected</x:v>
      </x:c>
      <x:c r="H11" t="str">
        <x:v>AI-assisted audit / 2026-08-19; author review recommended</x:v>
      </x:c>
    </x:row>
    <x:row r="12">
      <x:c r="A12" s="15" t="str">
        <x:v>Step 2 formal pure-error lack-of-fit analysis</x:v>
      </x:c>
      <x:c r="B12" s="15" t="str">
        <x:v>Archived triplicate calibration data; NIST pure-error lack-of-fit framework; ICH Q2(R2) residual/linearity principles</x:v>
      </x:c>
      <x:c r="C12" s="15" t="str">
        <x:v>Quercetin_Calibration!A2:D5; Rutin_Calibration!A2:D5</x:v>
      </x:c>
      <x:c r="D12" s="15" t="str">
        <x:v>Step2_Lack_of_Fit + Final_Reference_Values!A53:Q59</x:v>
      </x:c>
      <x:c r="E12" s="15" t="str">
        <x:v>DEVSQ for pure error; n(mean−fit)^2 for lack-of-fit; F=MSLOF/MSPE; F.DIST.RT for upper-tail p-value; max absolute/relative mean residual diagnostics</x:v>
      </x:c>
      <x:c r="F12" s="15" t="str">
        <x:v>Unrounded values used; display rounding only</x:v>
      </x:c>
      <x:c r="G12" s="15" t="str">
        <x:v>Formula-driven; independently verified with SciPy and Wolfram F-distribution survival probabilities</x:v>
      </x:c>
      <x:c r="H12" s="15" t="str">
        <x:v>AI-assisted audit / 2026-08-19; author review recommended</x:v>
      </x:c>
    </x:row>
    <x:row r="13">
      <x:c r="A13" s="15" t="str">
        <x:v>Step 3 conditional calibration-only inverse-prediction intervals</x:v>
      </x:c>
      <x:c r="B13" s="15" t="str">
        <x:v>Archived within-run calibration replicates + 0.1000 mg/mL extract triplicates; NIST inverse-calibration framework; independent Wolfram/Python verification</x:v>
      </x:c>
      <x:c r="C13" s="15" t="str">
        <x:v>Calibration raw ranges + Extract_Dilution!A2:E2 + Step2 lack-of-fit residual SSE</x:v>
      </x:c>
      <x:c r="D13" s="15" t="str">
        <x:v>Step3_Inverse_Prediction + Final_Reference_Values!A61:V67</x:v>
      </x:c>
      <x:c r="E13" s="15" t="str">
        <x:v>Inverse prediction by algebraic inversion of the 95% linear-regression prediction band; s=sqrt(SSE/df); variance term s²[1/m+1/N+(C−Cbar)²/Sxx]; quadratic endpoint roots; dry-extract and leaf-normalized interval propagation</x:v>
      </x:c>
      <x:c r="F13" s="15" t="str">
        <x:v>Unrounded values used; display rounding only</x:v>
      </x:c>
      <x:c r="G13" s="15" t="str">
        <x:v>Formula-driven; all three interval endpoint pairs independently verified with Wolfram NSolve and Python/SciPy</x:v>
      </x:c>
      <x:c r="H13" s="15" t="str">
        <x:v>AI-assisted audit / 2026-08-19; author review recommended</x:v>
      </x:c>
    </x:row>
    <x:row r="14">
      <x:c r="A14" s="15" t="str">
        <x:v>Step 4 diagnostic slope-ratio analysis</x:v>
      </x:c>
      <x:c r="B14" s="15" t="str">
        <x:v>Current extract dilution means + reference-standard calibration slopes; prior formula-driven workbook used as independent cross-check</x:v>
      </x:c>
      <x:c r="C14" s="15" t="str">
        <x:v>Extract_Dilution!A2:E5; Quercetin_Calibration slopes; Rutin_Calibration slope</x:v>
      </x:c>
      <x:c r="D14" s="15" t="str">
        <x:v>Step4_Slope_Ratio + Final_Reference_Values!A69:N75</x:v>
      </x:c>
      <x:c r="E14" s="15" t="str">
        <x:v>Extract slope=SLOPE(mean absorbance, nominal extract C); diagnostic slope ratio=(extract slope/reference-standard slope)*1000; differences versus 0.1000 mg/mL inverse-calibration point estimates</x:v>
      </x:c>
      <x:c r="F14" s="15" t="str">
        <x:v>Unrounded values used; display rounding only</x:v>
      </x:c>
      <x:c r="G14" s="15" t="str">
        <x:v>PASS — formula-driven; historical workbook and independent Python calculations agree; designated supplementary diagnostic only</x:v>
      </x:c>
      <x:c r="H14" s="15" t="str">
        <x:v>AI-assisted audit / 2026-08-19; author review recommended</x:v>
      </x:c>
    </x:row>
    <x:row r="15">
      <x:c r="A15" s="15" t="str">
        <x:v>Step 5 analytical terminology harmonization</x:v>
      </x:c>
      <x:c r="B15" s="15" t="str">
        <x:v>Reviewer 2 terminology requirement + current manuscript/Supplementary Information/workbook</x:v>
      </x:c>
      <x:c r="C15" s="15" t="str">
        <x:v>Text labels and reporting notes only; numerical formulas unchanged</x:v>
      </x:c>
      <x:c r="D15" s="15" t="str">
        <x:v>Step5_Terminology_Audit + harmonized workbook labels</x:v>
      </x:c>
      <x:c r="E15" s="15" t="str">
        <x:v>Canonical phrase standardized to exploratory apparent AlCl₃-reactive standard-equivalent estimates under reagent-blank conditions; total-flavonoid terminology restricted to negative statements or literature titles</x:v>
      </x:c>
      <x:c r="F15" s="15" t="str">
        <x:v>No numerical changes</x:v>
      </x:c>
      <x:c r="G15" s="15" t="str">
        <x:v>PASS — reporting terminology harmonized without altering calculations</x:v>
      </x:c>
      <x:c r="H15" s="15" t="str">
        <x:v>AI-assisted audit / 2026-08-19; author review recommended</x:v>
      </x:c>
    </x:row>
    <x:row r="16">
      <x:c r="A16" s="15" t="str">
        <x:v>Step 6 manuscript/Supplement integration</x:v>
      </x:c>
      <x:c r="B16" s="15" t="str">
        <x:v>Step2 lack-of-fit + Step3 inverse-prediction + Step4 slope-ratio + Step5 terminology outputs</x:v>
      </x:c>
      <x:c r="C16" s="15" t="str">
        <x:v>No raw-data changes; integration of verified outputs only</x:v>
      </x:c>
      <x:c r="D16" s="15" t="str">
        <x:v>Step6_Manuscript_Integration</x:v>
      </x:c>
      <x:c r="E16" s="15" t="str">
        <x:v>Verified results transferred to Abstract, Results, Discussion, Study limitations, Conclusion, Methods, Data availability, Figure 3 legend, Table 3, Supplementary Tables S13–S15</x:v>
      </x:c>
      <x:c r="F16" s="15" t="str">
        <x:v>No numerical recalculation</x:v>
      </x:c>
      <x:c r="G16" s="15" t="str">
        <x:v>PASS — cross-file analytical integration completed; data and formulas unchanged</x:v>
      </x:c>
      <x:c r="H16" s="15" t="str">
        <x:v>AI-assisted integration / 2026-08-19; author review recommended</x:v>
      </x:c>
    </x:row>
    <x:row r="17">
      <x:c r="A17" s="15" t="str">
        <x:v>Step 7 Reviewer 2 closure audit</x:v>
      </x:c>
      <x:c r="B17" s="15" t="str">
        <x:v>Step6 integrated manuscript/SI/figure/workbook + Reviewer 2 five-point minor revision</x:v>
      </x:c>
      <x:c r="C17" s="15" t="str">
        <x:v>No analytical input changes</x:v>
      </x:c>
      <x:c r="D17" s="15" t="str">
        <x:v>Step7_Reviewer2_Closure</x:v>
      </x:c>
      <x:c r="E17" s="15" t="str">
        <x:v>Cross-file verification of lack-of-fit wording, post hoc status, interval scope, slope-ratio de-emphasis, and canonical terminology; presentation defects in S14/S15 flagged and corrected outside the calculation workbook</x:v>
      </x:c>
      <x:c r="F17" s="15" t="str">
        <x:v>No numerical changes</x:v>
      </x:c>
      <x:c r="G17" s="15" t="str">
        <x:v>PASS — all five Reviewer 2 points closed; ready for formal point-by-point response</x:v>
      </x:c>
      <x:c r="H17" s="15" t="str">
        <x:v>AI-assisted audit / 2026-08-19; author review recommended</x:v>
      </x:c>
    </x:row>
    <x:row r="18">
      <x:c r="A18" s="15" t="str">
        <x:v>Step 10 pre-freeze remediation</x:v>
      </x:c>
      <x:c r="B18" s="15" t="str">
        <x:v>Step 9 package audit + current Step 7 workbook + current figure-generation script</x:v>
      </x:c>
      <x:c r="C18" s="15" t="str">
        <x:v>No raw-data or analytical-formula changes</x:v>
      </x:c>
      <x:c r="D18" s="15" t="str">
        <x:v>Step10_Final_Freeze</x:v>
      </x:c>
      <x:c r="E18" s="15" t="str">
        <x:v>Documented undergraduate thesis provenance; current code pathway; exact figure-source values; repository synchronization issue identified after Zenodo v1 publication</x:v>
      </x:c>
      <x:c r="F18" s="15" t="str">
        <x:v>No numerical changes</x:v>
      </x:c>
      <x:c r="G18" s="15" t="str">
        <x:v>PASS internally — Zenodo v2 synchronization required because v1 contains an earlier workbook</x:v>
      </x:c>
      <x:c r="H18" s="15" t="str">
        <x:v>AI-assisted package QA / 2026-08-20; independently reviewed by authors; Zenodo v2 synchronization pending</x:v>
      </x:c>
    </x:row>
    <x:row r="19">
      <x:c r="A19" s="15" t="str">
        <x:v>Step 12 independent-review correction</x:v>
      </x:c>
      <x:c r="B19" s="15" t="str">
        <x:v>Independent review of manuscript/workbook/repository alignment</x:v>
      </x:c>
      <x:c r="C19" s="15" t="str">
        <x:v>Text labels and repository metadata only; no analytical inputs/formulas changed</x:v>
      </x:c>
      <x:c r="D19" s="15" t="str">
        <x:v>Step12_PreResubmission_QA</x:v>
      </x:c>
      <x:c r="E19" s="15" t="str">
        <x:v>Removed stale reviewer/repository text; standardized post hoc labels; documented v1/v2 synchronization requirement</x:v>
      </x:c>
      <x:c r="F19" s="15" t="str">
        <x:v>No numerical changes</x:v>
      </x:c>
      <x:c r="G19" s="15" t="str">
        <x:v>PASS locally — publish corrected workbook as Zenodo v2 before resubmission</x:v>
      </x:c>
      <x:c r="H19" s="15" t="str">
        <x:v>Final pre-resubmission QA / 2026-08-20</x:v>
      </x:c>
    </x:row>
  </x:sheetData>
  <x:mergeCells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0" hidden="0" customWidth="1"/>
    <x:col min="3" max="3" width="14" hidden="0" customWidth="1"/>
    <x:col min="4" max="4" width="15" hidden="0" customWidth="1"/>
    <x:col min="5" max="5" width="13" hidden="0" customWidth="1"/>
    <x:col min="6" max="6" width="13" hidden="0" customWidth="1"/>
    <x:col min="7" max="7" width="15" hidden="0" customWidth="1"/>
    <x:col min="8" max="8" width="10" hidden="0" customWidth="1"/>
    <x:col min="9" max="9" width="12" hidden="0" customWidth="1"/>
    <x:col min="10" max="10" width="14" hidden="0" customWidth="1"/>
    <x:col min="11" max="11" width="16" hidden="0" customWidth="1"/>
    <x:col min="12" max="12" width="16" hidden="0" customWidth="1"/>
    <x:col min="13" max="13" width="16" hidden="0" customWidth="1"/>
    <x:col min="14" max="14" width="19" hidden="0" customWidth="1"/>
    <x:col min="15" max="15" width="17" hidden="0" customWidth="1"/>
    <x:col min="16" max="16" width="17" hidden="0" customWidth="1"/>
    <x:col min="17" max="17" width="20" hidden="0" customWidth="1"/>
    <x:col min="18" max="18" width="17" hidden="0" customWidth="1"/>
    <x:col min="19" max="19" width="17" hidden="0" customWidth="1"/>
    <x:col min="20" max="20" width="29" hidden="0" customWidth="1"/>
    <x:col min="21" max="21" width="30" hidden="0" customWidth="1"/>
    <x:col min="22" max="22" width="52" hidden="0" customWidth="1"/>
  </x:cols>
  <x:sheetData>
    <x:row r="1" ht="67.19999694824219" hidden="0" customHeight="1">
      <x:c r="A1" s="51" t="str">
        <x:v>Final Reference Values — sole source for manuscript, supplement, figures, and response letter</x:v>
      </x:c>
      <x:c r="B1" s="51"/>
      <x:c r="C1" s="51"/>
      <x:c r="D1" s="51"/>
      <x:c r="E1" s="51"/>
      <x:c r="F1" s="51"/>
      <x:c r="G1" s="51"/>
      <x:c r="H1" s="51"/>
      <x:c r="I1" s="51"/>
      <x:c r="J1" s="51"/>
      <x:c r="K1" s="51"/>
    </x:row>
    <x:row r="2" ht="15" hidden="0" customHeight="1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</x:row>
    <x:row r="3" ht="15" hidden="0" customHeight="1">
      <x:c r="A3" s="207" t="str">
        <x:v>A. Calibration-model summary</x:v>
      </x:c>
      <x:c r="B3" s="207"/>
      <x:c r="C3" s="207"/>
      <x:c r="D3" s="207"/>
      <x:c r="E3" s="207"/>
      <x:c r="F3" s="207"/>
      <x:c r="G3" s="207"/>
      <x:c r="H3" s="207"/>
      <x:c r="I3" s="207"/>
      <x:c r="J3" s="207"/>
      <x:c r="K3" s="207"/>
    </x:row>
    <x:row r="4" ht="15" hidden="0" customHeight="1">
      <x:c r="A4" s="63" t="str">
        <x:v>Dataset</x:v>
      </x:c>
      <x:c r="B4" s="64" t="str">
        <x:v>Slope</x:v>
      </x:c>
      <x:c r="C4" s="64" t="str">
        <x:v>Intercept</x:v>
      </x:c>
      <x:c r="D4" s="64" t="str">
        <x:v>R²</x:v>
      </x:c>
      <x:c r="E4" s="64" t="str">
        <x:v>Origin slope</x:v>
      </x:c>
      <x:c r="F4" s="64" t="str">
        <x:v>Origin R² (centered)</x:v>
      </x:c>
      <x:c r="G4" s="64" t="str">
        <x:v>Range (mg/mL)</x:v>
      </x:c>
      <x:c r="H4" s="64" t="str">
        <x:v>Levels</x:v>
      </x:c>
      <x:c r="I4" s="66" t="str">
        <x:v>Reporting interpretation</x:v>
      </x:c>
      <x:c r="J4" s="15"/>
      <x:c r="K4" s="15"/>
    </x:row>
    <x:row r="5" ht="52.79999923706055" hidden="0" customHeight="1">
      <x:c r="A5" s="15" t="str">
        <x:v>Quercetin complete range</x:v>
      </x:c>
      <x:c r="B5" s="253" t="n">
        <x:f>Quercetin_Calibration!M5</x:f>
        <x:v>4.888813913043478</x:v>
      </x:c>
      <x:c r="C5" s="132" t="n">
        <x:f>Quercetin_Calibration!M6</x:f>
        <x:v>0.10901434782608696</x:v>
      </x:c>
      <x:c r="D5" s="132" t="n">
        <x:f>Quercetin_Calibration!M7</x:f>
        <x:v>0.9776699913660993</x:v>
      </x:c>
      <x:c r="E5" s="132" t="n">
        <x:f>Quercetin_Calibration!M10</x:f>
        <x:v>6.427839999999998</x:v>
      </x:c>
      <x:c r="F5" s="133" t="n">
        <x:f>Quercetin_Calibration!M11</x:f>
        <x:v>0.8312590161605</x:v>
      </x:c>
      <x:c r="G5" s="15" t="str">
        <x:v>0.0125–0.1000</x:v>
      </x:c>
      <x:c r="H5" s="15" t="n">
        <x:v>4</x:v>
      </x:c>
      <x:c r="I5" s="155" t="str">
        <x:v>Complete-range exploratory model; strong statistically detectable lack of fit across the evaluated range.</x:v>
      </x:c>
      <x:c r="J5" s="15"/>
      <x:c r="K5" s="15"/>
    </x:row>
    <x:row r="6" ht="39.599998474121094" hidden="0" customHeight="1">
      <x:c r="A6" s="15" t="str">
        <x:v>Quercetin post hoc lower range</x:v>
      </x:c>
      <x:c r="B6" s="254" t="n">
        <x:f>Quercetin_Calibration!M2</x:f>
        <x:v>6.564761904761904</x:v>
      </x:c>
      <x:c r="C6" s="126" t="n">
        <x:f>Quercetin_Calibration!M3</x:f>
        <x:v>0.06588333333333332</x:v>
      </x:c>
      <x:c r="D6" s="126" t="n">
        <x:f>Quercetin_Calibration!M4</x:f>
        <x:v>0.9997681808780037</x:v>
      </x:c>
      <x:c r="E6" s="126" t="n">
        <x:f>Quercetin_Calibration!M8</x:f>
        <x:v>8.321650793650793</x:v>
      </x:c>
      <x:c r="F6" s="134" t="n">
        <x:f>Quercetin_Calibration!M9</x:f>
        <x:v>0.9077032113813494</x:v>
      </x:c>
      <x:c r="G6" s="15" t="str">
        <x:v>0.0125–0.0500</x:v>
      </x:c>
      <x:c r="H6" s="15" t="n">
        <x:v>3</x:v>
      </x:c>
      <x:c r="I6" s="155" t="str">
        <x:v>Post hoc sensitivity model; no statistically detectable lack of fit within the selected three lower levels, but not independently established.</x:v>
      </x:c>
      <x:c r="J6" s="15"/>
      <x:c r="K6" s="15"/>
    </x:row>
    <x:row r="7" ht="66" hidden="0" customHeight="1">
      <x:c r="A7" s="15" t="str">
        <x:v>Rutin complete range</x:v>
      </x:c>
      <x:c r="B7" s="255" t="n">
        <x:f>Rutin_Calibration!M2</x:f>
        <x:v>11.71128115942029</x:v>
      </x:c>
      <x:c r="C7" s="139" t="n">
        <x:f>Rutin_Calibration!M3</x:f>
        <x:v>0.001242028985507182</x:v>
      </x:c>
      <x:c r="D7" s="139" t="n">
        <x:f>Rutin_Calibration!M4</x:f>
        <x:v>0.9999921324621984</x:v>
      </x:c>
      <x:c r="E7" s="139" t="n">
        <x:f>Rutin_Calibration!M5</x:f>
        <x:v>11.728815686274507</x:v>
      </x:c>
      <x:c r="F7" s="145" t="n">
        <x:f>Rutin_Calibration!M6</x:f>
        <x:v>0.9999887450170605</x:v>
      </x:c>
      <x:c r="G7" s="15" t="str">
        <x:v>0.0125–0.1000</x:v>
      </x:c>
      <x:c r="H7" s="15" t="n">
        <x:v>4</x:v>
      </x:c>
      <x:c r="I7" s="155" t="str">
        <x:v>Statistically detectable lack of fit despite a small maximum mean residual; statistical detectability should not be equated with practically important model inadequacy.</x:v>
      </x:c>
      <x:c r="J7" s="15"/>
      <x:c r="K7" s="15"/>
    </x:row>
    <x:row r="8" ht="15" hidden="0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</x:row>
    <x:row r="9" ht="26.399999618530273" hidden="0" customHeight="1">
      <x:c r="A9" s="207" t="str">
        <x:v>B. Quercetin post hoc lower-range diagnostics</x:v>
      </x:c>
      <x:c r="B9" s="207"/>
      <x:c r="C9" s="207"/>
      <x:c r="D9" s="207"/>
      <x:c r="E9" s="207"/>
      <x:c r="F9" s="207"/>
      <x:c r="G9" s="207"/>
      <x:c r="H9" s="207"/>
      <x:c r="I9" s="207"/>
      <x:c r="J9" s="207"/>
      <x:c r="K9" s="207"/>
    </x:row>
    <x:row r="10" ht="15" hidden="0" customHeight="1">
      <x:c r="A10" s="63" t="str">
        <x:v>Nominal C</x:v>
      </x:c>
      <x:c r="B10" s="64" t="str">
        <x:v>Mean A</x:v>
      </x:c>
      <x:c r="C10" s="64" t="str">
        <x:v>Sample SD</x:v>
      </x:c>
      <x:c r="D10" s="64" t="str">
        <x:v>%RSD</x:v>
      </x:c>
      <x:c r="E10" s="64" t="str">
        <x:v>Fitted A</x:v>
      </x:c>
      <x:c r="F10" s="64" t="str">
        <x:v>Residual</x:v>
      </x:c>
      <x:c r="G10" s="64" t="str">
        <x:v>Back-calculated C</x:v>
      </x:c>
      <x:c r="H10" s="64" t="str">
        <x:v>Bias (%)</x:v>
      </x:c>
      <x:c r="I10" s="66" t="str">
        <x:v>Status</x:v>
      </x:c>
      <x:c r="J10" s="15"/>
      <x:c r="K10" s="15"/>
    </x:row>
    <x:row r="11" ht="26.399999618530273" hidden="0" customHeight="1">
      <x:c r="A11" s="253" t="n">
        <x:f>Quercetin_Calibration!A2</x:f>
        <x:v>0.0125</x:v>
      </x:c>
      <x:c r="B11" s="132" t="n">
        <x:f>Quercetin_Calibration!E2</x:f>
        <x:v>0.1465</x:v>
      </x:c>
      <x:c r="C11" s="132" t="n">
        <x:f>Quercetin_Calibration!F2</x:f>
        <x:v>0.003750999866702214</x:v>
      </x:c>
      <x:c r="D11" s="132" t="n">
        <x:f>Quercetin_Calibration!G2</x:f>
        <x:v>2.5604094653257436</x:v>
      </x:c>
      <x:c r="E11" s="132" t="n">
        <x:f>Quercetin_Calibration!H2</x:f>
        <x:v>0.14794285714285713</x:v>
      </x:c>
      <x:c r="F11" s="132" t="n">
        <x:f>Quercetin_Calibration!K2</x:f>
        <x:v>-0.0014428571428571346</x:v>
      </x:c>
      <x:c r="G11" s="132" t="n">
        <x:f>Quercetin_Calibration!I2</x:f>
        <x:v>0.012280211809081678</x:v>
      </x:c>
      <x:c r="H11" s="133" t="n">
        <x:f>Quercetin_Calibration!J2</x:f>
        <x:v>-1.7583055273465846</x:v>
      </x:c>
      <x:c r="I11" s="155" t="str">
        <x:v>Retained lower-range level</x:v>
      </x:c>
      <x:c r="J11" s="15"/>
      <x:c r="K11" s="15"/>
    </x:row>
    <x:row r="12" ht="26.399999618530273" hidden="0" customHeight="1">
      <x:c r="A12" s="254" t="n">
        <x:f>Quercetin_Calibration!A3</x:f>
        <x:v>0.025</x:v>
      </x:c>
      <x:c r="B12" s="126" t="n">
        <x:f>Quercetin_Calibration!E3</x:f>
        <x:v>0.23216666666666666</x:v>
      </x:c>
      <x:c r="C12" s="126" t="n">
        <x:f>Quercetin_Calibration!F3</x:f>
        <x:v>0.0002516611478423582</x:v>
      </x:c>
      <x:c r="D12" s="126" t="n">
        <x:f>Quercetin_Calibration!G3</x:f>
        <x:v>0.1083967614539949</x:v>
      </x:c>
      <x:c r="E12" s="126" t="n">
        <x:f>Quercetin_Calibration!H3</x:f>
        <x:v>0.23000238095238093</x:v>
      </x:c>
      <x:c r="F12" s="126" t="n">
        <x:f>Quercetin_Calibration!K3</x:f>
        <x:v>0.0021642857142857297</x:v>
      </x:c>
      <x:c r="G12" s="126" t="n">
        <x:f>Quercetin_Calibration!I3</x:f>
        <x:v>0.025329682286377487</x:v>
      </x:c>
      <x:c r="H12" s="134" t="n">
        <x:f>Quercetin_Calibration!J3</x:f>
        <x:v>1.3187291455099421</x:v>
      </x:c>
      <x:c r="I12" s="155" t="str">
        <x:v>Retained lower-range level</x:v>
      </x:c>
      <x:c r="J12" s="15"/>
      <x:c r="K12" s="15"/>
    </x:row>
    <x:row r="13" ht="26.399999618530273" hidden="0" customHeight="1">
      <x:c r="A13" s="254" t="n">
        <x:f>Quercetin_Calibration!A4</x:f>
        <x:v>0.05</x:v>
      </x:c>
      <x:c r="B13" s="126" t="n">
        <x:f>Quercetin_Calibration!E4</x:f>
        <x:v>0.3934</x:v>
      </x:c>
      <x:c r="C13" s="126" t="n">
        <x:f>Quercetin_Calibration!F4</x:f>
        <x:v>0.002628687885618967</x:v>
      </x:c>
      <x:c r="D13" s="126" t="n">
        <x:f>Quercetin_Calibration!G4</x:f>
        <x:v>0.6681972256275971</x:v>
      </x:c>
      <x:c r="E13" s="126" t="n">
        <x:f>Quercetin_Calibration!H4</x:f>
        <x:v>0.3941214285714285</x:v>
      </x:c>
      <x:c r="F13" s="126" t="n">
        <x:f>Quercetin_Calibration!K4</x:f>
        <x:v>-0.000721428571428484</x:v>
      </x:c>
      <x:c r="G13" s="126" t="n">
        <x:f>Quercetin_Calibration!I4</x:f>
        <x:v>0.04989010590454084</x:v>
      </x:c>
      <x:c r="H13" s="134" t="n">
        <x:f>Quercetin_Calibration!J4</x:f>
        <x:v>-0.21978819091832136</x:v>
      </x:c>
      <x:c r="I13" s="155" t="str">
        <x:v>Retained lower-range level</x:v>
      </x:c>
      <x:c r="J13" s="15"/>
      <x:c r="K13" s="15"/>
    </x:row>
    <x:row r="14" ht="52.79999923706055" hidden="0" customHeight="1">
      <x:c r="A14" s="255" t="n">
        <x:f>Quercetin_Calibration!A5</x:f>
        <x:v>0.1</x:v>
      </x:c>
      <x:c r="B14" s="139" t="n">
        <x:f>Quercetin_Calibration!E5</x:f>
        <x:v>0.5806433333333333</x:v>
      </x:c>
      <x:c r="C14" s="139" t="n">
        <x:f>Quercetin_Calibration!F5</x:f>
        <x:v>0.0003614323357605317</x:v>
      </x:c>
      <x:c r="D14" s="139" t="n">
        <x:f>Quercetin_Calibration!G5</x:f>
        <x:v>0.06224687601003456</x:v>
      </x:c>
      <x:c r="E14" s="139" t="n">
        <x:f>Quercetin_Calibration!H5</x:f>
        <x:v>0.7223595238095237</x:v>
      </x:c>
      <x:c r="F14" s="139" t="n">
        <x:f>Quercetin_Calibration!K5</x:f>
        <x:v>-0.14171619047619044</x:v>
      </x:c>
      <x:c r="G14" s="139" t="n">
        <x:f>Quercetin_Calibration!I5</x:f>
        <x:v>0.07841259248512984</x:v>
      </x:c>
      <x:c r="H14" s="145" t="n">
        <x:f>Quercetin_Calibration!J5</x:f>
        <x:v>-21.587407514870165</x:v>
      </x:c>
      <x:c r="I14" s="155" t="str">
        <x:v>Diagnostic highest-level deviation; excluded only from post hoc lower-range fit</x:v>
      </x:c>
      <x:c r="J14" s="15"/>
      <x:c r="K14" s="15"/>
    </x:row>
    <x:row r="15" ht="15" hidden="0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</x:row>
    <x:row r="16" ht="26.399999618530273" hidden="0" customHeight="1">
      <x:c r="A16" s="207" t="str">
        <x:v>C. Quercetin complete-range diagnostics</x:v>
      </x:c>
      <x:c r="B16" s="207"/>
      <x:c r="C16" s="207"/>
      <x:c r="D16" s="207"/>
      <x:c r="E16" s="207"/>
      <x:c r="F16" s="207"/>
      <x:c r="G16" s="207"/>
      <x:c r="H16" s="207"/>
      <x:c r="I16" s="207"/>
      <x:c r="J16" s="207"/>
      <x:c r="K16" s="207"/>
    </x:row>
    <x:row r="17" ht="15" hidden="0" customHeight="1">
      <x:c r="A17" s="63" t="str">
        <x:v>Nominal C</x:v>
      </x:c>
      <x:c r="B17" s="64" t="str">
        <x:v>Mean A</x:v>
      </x:c>
      <x:c r="C17" s="64" t="str">
        <x:v>Sample SD</x:v>
      </x:c>
      <x:c r="D17" s="64" t="str">
        <x:v>%RSD</x:v>
      </x:c>
      <x:c r="E17" s="64" t="str">
        <x:v>Fitted A</x:v>
      </x:c>
      <x:c r="F17" s="64" t="str">
        <x:v>Residual</x:v>
      </x:c>
      <x:c r="G17" s="64" t="str">
        <x:v>Back-calculated C</x:v>
      </x:c>
      <x:c r="H17" s="66" t="str">
        <x:v>Bias (%)</x:v>
      </x:c>
      <x:c r="I17" s="15"/>
      <x:c r="J17" s="15"/>
      <x:c r="K17" s="15"/>
    </x:row>
    <x:row r="18" ht="15" hidden="0" customHeight="1">
      <x:c r="A18" s="253" t="n">
        <x:f>Quercetin_Calibration!A2</x:f>
        <x:v>0.0125</x:v>
      </x:c>
      <x:c r="B18" s="132" t="n">
        <x:f>Quercetin_Calibration!E2</x:f>
        <x:v>0.1465</x:v>
      </x:c>
      <x:c r="C18" s="132" t="n">
        <x:f>Quercetin_Calibration!F2</x:f>
        <x:v>0.003750999866702214</x:v>
      </x:c>
      <x:c r="D18" s="132" t="n">
        <x:f>Quercetin_Calibration!G2</x:f>
        <x:v>2.5604094653257436</x:v>
      </x:c>
      <x:c r="E18" s="132" t="n">
        <x:f>Quercetin_Calibration!N2</x:f>
        <x:v>0.17012452173913045</x:v>
      </x:c>
      <x:c r="F18" s="132" t="n">
        <x:f>Quercetin_Calibration!O2</x:f>
        <x:v>-0.02362452173913046</x:v>
      </x:c>
      <x:c r="G18" s="132" t="n">
        <x:f>Quercetin_Calibration!P2</x:f>
        <x:v>0.007667637353489846</x:v>
      </x:c>
      <x:c r="H18" s="133" t="n">
        <x:f>Quercetin_Calibration!Q2</x:f>
        <x:v>-38.65890117208124</x:v>
      </x:c>
      <x:c r="I18" s="15"/>
      <x:c r="J18" s="15"/>
      <x:c r="K18" s="15"/>
    </x:row>
    <x:row r="19" ht="15" hidden="0" customHeight="1">
      <x:c r="A19" s="254" t="n">
        <x:f>Quercetin_Calibration!A3</x:f>
        <x:v>0.025</x:v>
      </x:c>
      <x:c r="B19" s="126" t="n">
        <x:f>Quercetin_Calibration!E3</x:f>
        <x:v>0.23216666666666666</x:v>
      </x:c>
      <x:c r="C19" s="126" t="n">
        <x:f>Quercetin_Calibration!F3</x:f>
        <x:v>0.0002516611478423582</x:v>
      </x:c>
      <x:c r="D19" s="126" t="n">
        <x:f>Quercetin_Calibration!G3</x:f>
        <x:v>0.1083967614539949</x:v>
      </x:c>
      <x:c r="E19" s="126" t="n">
        <x:f>Quercetin_Calibration!N3</x:f>
        <x:v>0.23123469565217392</x:v>
      </x:c>
      <x:c r="F19" s="126" t="n">
        <x:f>Quercetin_Calibration!O3</x:f>
        <x:v>0.000931971014492744</x:v>
      </x:c>
      <x:c r="G19" s="126" t="n">
        <x:f>Quercetin_Calibration!P3</x:f>
        <x:v>0.025190633358329762</x:v>
      </x:c>
      <x:c r="H19" s="134" t="n">
        <x:f>Quercetin_Calibration!Q3</x:f>
        <x:v>0.7625334333190431</x:v>
      </x:c>
      <x:c r="I19" s="15"/>
      <x:c r="J19" s="15"/>
      <x:c r="K19" s="15"/>
    </x:row>
    <x:row r="20" ht="15" hidden="0" customHeight="1">
      <x:c r="A20" s="254" t="n">
        <x:f>Quercetin_Calibration!A4</x:f>
        <x:v>0.05</x:v>
      </x:c>
      <x:c r="B20" s="126" t="n">
        <x:f>Quercetin_Calibration!E4</x:f>
        <x:v>0.3934</x:v>
      </x:c>
      <x:c r="C20" s="126" t="n">
        <x:f>Quercetin_Calibration!F4</x:f>
        <x:v>0.002628687885618967</x:v>
      </x:c>
      <x:c r="D20" s="126" t="n">
        <x:f>Quercetin_Calibration!G4</x:f>
        <x:v>0.6681972256275971</x:v>
      </x:c>
      <x:c r="E20" s="126" t="n">
        <x:f>Quercetin_Calibration!N4</x:f>
        <x:v>0.35345504347826084</x:v>
      </x:c>
      <x:c r="F20" s="126" t="n">
        <x:f>Quercetin_Calibration!O4</x:f>
        <x:v>0.03994495652173918</x:v>
      </x:c>
      <x:c r="G20" s="126" t="n">
        <x:f>Quercetin_Calibration!P4</x:f>
        <x:v>0.05817068459389813</x:v>
      </x:c>
      <x:c r="H20" s="134" t="n">
        <x:f>Quercetin_Calibration!Q4</x:f>
        <x:v>16.34136918779626</x:v>
      </x:c>
      <x:c r="I20" s="15"/>
      <x:c r="J20" s="15"/>
      <x:c r="K20" s="15"/>
    </x:row>
    <x:row r="21" ht="15" hidden="0" customHeight="1">
      <x:c r="A21" s="255" t="n">
        <x:f>Quercetin_Calibration!A5</x:f>
        <x:v>0.1</x:v>
      </x:c>
      <x:c r="B21" s="139" t="n">
        <x:f>Quercetin_Calibration!E5</x:f>
        <x:v>0.5806433333333333</x:v>
      </x:c>
      <x:c r="C21" s="139" t="n">
        <x:f>Quercetin_Calibration!F5</x:f>
        <x:v>0.0003614323357605317</x:v>
      </x:c>
      <x:c r="D21" s="139" t="n">
        <x:f>Quercetin_Calibration!G5</x:f>
        <x:v>0.06224687601003456</x:v>
      </x:c>
      <x:c r="E21" s="139" t="n">
        <x:f>Quercetin_Calibration!N5</x:f>
        <x:v>0.5978957391304348</x:v>
      </x:c>
      <x:c r="F21" s="139" t="n">
        <x:f>Quercetin_Calibration!O5</x:f>
        <x:v>-0.017252405797101522</x:v>
      </x:c>
      <x:c r="G21" s="139" t="n">
        <x:f>Quercetin_Calibration!P5</x:f>
        <x:v>0.09647104469428226</x:v>
      </x:c>
      <x:c r="H21" s="145" t="n">
        <x:f>Quercetin_Calibration!Q5</x:f>
        <x:v>-3.528955305717743</x:v>
      </x:c>
      <x:c r="I21" s="15"/>
      <x:c r="J21" s="15"/>
      <x:c r="K21" s="15"/>
    </x:row>
    <x:row r="22" ht="15" hidden="0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</x:row>
    <x:row r="23" ht="15" hidden="0" customHeight="1">
      <x:c r="A23" s="207" t="str">
        <x:v>D. Rutin complete-range diagnostics</x:v>
      </x:c>
      <x:c r="B23" s="207"/>
      <x:c r="C23" s="207"/>
      <x:c r="D23" s="207"/>
      <x:c r="E23" s="207"/>
      <x:c r="F23" s="207"/>
      <x:c r="G23" s="207"/>
      <x:c r="H23" s="207"/>
      <x:c r="I23" s="207"/>
      <x:c r="J23" s="207"/>
      <x:c r="K23" s="207"/>
    </x:row>
    <x:row r="24" ht="15" hidden="0" customHeight="1">
      <x:c r="A24" s="63" t="str">
        <x:v>Nominal C</x:v>
      </x:c>
      <x:c r="B24" s="64" t="str">
        <x:v>Mean A</x:v>
      </x:c>
      <x:c r="C24" s="64" t="str">
        <x:v>Sample SD</x:v>
      </x:c>
      <x:c r="D24" s="64" t="str">
        <x:v>%RSD</x:v>
      </x:c>
      <x:c r="E24" s="64" t="str">
        <x:v>Fitted A</x:v>
      </x:c>
      <x:c r="F24" s="64" t="str">
        <x:v>Residual</x:v>
      </x:c>
      <x:c r="G24" s="64" t="str">
        <x:v>Back-calculated C</x:v>
      </x:c>
      <x:c r="H24" s="66" t="str">
        <x:v>Bias (%)</x:v>
      </x:c>
      <x:c r="I24" s="15"/>
      <x:c r="J24" s="15"/>
      <x:c r="K24" s="15"/>
    </x:row>
    <x:row r="25" ht="15" hidden="0" customHeight="1">
      <x:c r="A25" s="253" t="n">
        <x:f>Rutin_Calibration!A2</x:f>
        <x:v>0.0125</x:v>
      </x:c>
      <x:c r="B25" s="132" t="n">
        <x:f>Rutin_Calibration!E2</x:f>
        <x:v>0.14626666666666668</x:v>
      </x:c>
      <x:c r="C25" s="132" t="n">
        <x:f>Rutin_Calibration!F2</x:f>
        <x:v>0.00047258156262526655</x:v>
      </x:c>
      <x:c r="D25" s="132" t="n">
        <x:f>Rutin_Calibration!G2</x:f>
        <x:v>0.3230958723509115</x:v>
      </x:c>
      <x:c r="E25" s="132" t="n">
        <x:f>Rutin_Calibration!H2</x:f>
        <x:v>0.1476330434782608</x:v>
      </x:c>
      <x:c r="F25" s="132" t="n">
        <x:f>Rutin_Calibration!K2</x:f>
        <x:v>-0.0013663768115941277</x:v>
      </x:c>
      <x:c r="G25" s="132" t="n">
        <x:f>Rutin_Calibration!I2</x:f>
        <x:v>0.0123833281523179</x:v>
      </x:c>
      <x:c r="H25" s="133" t="n">
        <x:f>Rutin_Calibration!J2</x:f>
        <x:v>-0.9333747814568027</x:v>
      </x:c>
      <x:c r="I25" s="15"/>
      <x:c r="J25" s="15"/>
      <x:c r="K25" s="15"/>
    </x:row>
    <x:row r="26" ht="15" hidden="0" customHeight="1">
      <x:c r="A26" s="254" t="n">
        <x:f>Rutin_Calibration!A3</x:f>
        <x:v>0.025</x:v>
      </x:c>
      <x:c r="B26" s="126" t="n">
        <x:f>Rutin_Calibration!E3</x:f>
        <x:v>0.29573333333333335</x:v>
      </x:c>
      <x:c r="C26" s="126" t="n">
        <x:f>Rutin_Calibration!F3</x:f>
        <x:v>0.00040414518843272327</x:v>
      </x:c>
      <x:c r="D26" s="126" t="n">
        <x:f>Rutin_Calibration!G3</x:f>
        <x:v>0.13665865253586224</x:v>
      </x:c>
      <x:c r="E26" s="126" t="n">
        <x:f>Rutin_Calibration!H3</x:f>
        <x:v>0.29402405797101444</x:v>
      </x:c>
      <x:c r="F26" s="126" t="n">
        <x:f>Rutin_Calibration!K3</x:f>
        <x:v>0.0017092753623189072</x:v>
      </x:c>
      <x:c r="G26" s="126" t="n">
        <x:f>Rutin_Calibration!I3</x:f>
        <x:v>0.025145951184934536</x:v>
      </x:c>
      <x:c r="H26" s="134" t="n">
        <x:f>Rutin_Calibration!J3</x:f>
        <x:v>0.5838047397381391</x:v>
      </x:c>
      <x:c r="I26" s="15"/>
      <x:c r="J26" s="15"/>
      <x:c r="K26" s="15"/>
    </x:row>
    <x:row r="27" ht="15" hidden="0" customHeight="1">
      <x:c r="A27" s="254" t="n">
        <x:f>Rutin_Calibration!A4</x:f>
        <x:v>0.05</x:v>
      </x:c>
      <x:c r="B27" s="126" t="n">
        <x:f>Rutin_Calibration!E4</x:f>
        <x:v>0.5866333333333333</x:v>
      </x:c>
      <x:c r="C27" s="126" t="n">
        <x:f>Rutin_Calibration!F4</x:f>
        <x:v>0.0011718930554164382</x:v>
      </x:c>
      <x:c r="D27" s="126" t="n">
        <x:f>Rutin_Calibration!G4</x:f>
        <x:v>0.1997658484146437</x:v>
      </x:c>
      <x:c r="E27" s="126" t="n">
        <x:f>Rutin_Calibration!H4</x:f>
        <x:v>0.5868060869565217</x:v>
      </x:c>
      <x:c r="F27" s="126" t="n">
        <x:f>Rutin_Calibration!K4</x:f>
        <x:v>-0.00017275362318835974</x:v>
      </x:c>
      <x:c r="G27" s="126" t="n">
        <x:f>Rutin_Calibration!I4</x:f>
        <x:v>0.049985248956041894</x:v>
      </x:c>
      <x:c r="H27" s="134" t="n">
        <x:f>Rutin_Calibration!J4</x:f>
        <x:v>-0.029502087916216668</x:v>
      </x:c>
      <x:c r="I27" s="15"/>
      <x:c r="J27" s="15"/>
      <x:c r="K27" s="15"/>
    </x:row>
    <x:row r="28" ht="15" hidden="0" customHeight="1">
      <x:c r="A28" s="255" t="n">
        <x:f>Rutin_Calibration!A5</x:f>
        <x:v>0.1</x:v>
      </x:c>
      <x:c r="B28" s="139" t="n">
        <x:f>Rutin_Calibration!E5</x:f>
        <x:v>1.1722</x:v>
      </x:c>
      <x:c r="C28" s="139" t="n">
        <x:f>Rutin_Calibration!F5</x:f>
        <x:v>0.0007211102550928417</x:v>
      </x:c>
      <x:c r="D28" s="139" t="n">
        <x:f>Rutin_Calibration!G5</x:f>
        <x:v>0.06151768086442943</x:v>
      </x:c>
      <x:c r="E28" s="139" t="n">
        <x:f>Rutin_Calibration!H5</x:f>
        <x:v>1.172370144927536</x:v>
      </x:c>
      <x:c r="F28" s="139" t="n">
        <x:f>Rutin_Calibration!K5</x:f>
        <x:v>-0.0001701449275361977</x:v>
      </x:c>
      <x:c r="G28" s="139" t="n">
        <x:f>Rutin_Calibration!I5</x:f>
        <x:v>0.09998547170670569</x:v>
      </x:c>
      <x:c r="H28" s="145" t="n">
        <x:f>Rutin_Calibration!J5</x:f>
        <x:v>-0.01452829329431915</x:v>
      </x:c>
      <x:c r="I28" s="15"/>
      <x:c r="J28" s="15"/>
      <x:c r="K28" s="15"/>
    </x:row>
    <x:row r="29" ht="15" hidden="0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</x:row>
    <x:row r="30" ht="26.399999618530273" hidden="0" customHeight="1">
      <x:c r="A30" s="207" t="str">
        <x:v>E. Extract-dilution and exploratory apparent AlCl₃-reactive standard-equivalent summary under reagent-blank conditions</x:v>
      </x:c>
      <x:c r="B30" s="207"/>
      <x:c r="C30" s="207"/>
      <x:c r="D30" s="207"/>
      <x:c r="E30" s="207"/>
      <x:c r="F30" s="207"/>
      <x:c r="G30" s="207"/>
      <x:c r="H30" s="207"/>
      <x:c r="I30" s="207"/>
      <x:c r="J30" s="207"/>
      <x:c r="K30" s="207"/>
    </x:row>
    <x:row r="31" ht="26.399999618530273" hidden="0" customHeight="1">
      <x:c r="A31" s="63" t="str">
        <x:v>Extract C</x:v>
      </x:c>
      <x:c r="B31" s="64" t="str">
        <x:v>Mean A</x:v>
      </x:c>
      <x:c r="C31" s="64" t="str">
        <x:v>Sample SD</x:v>
      </x:c>
      <x:c r="D31" s="64" t="str">
        <x:v>%RSD</x:v>
      </x:c>
      <x:c r="E31" s="64" t="str">
        <x:v>Quercetin post hoc lower-range mg QE/g</x:v>
      </x:c>
      <x:c r="F31" s="64" t="str">
        <x:v>Quercetin complete mg QE/g</x:v>
      </x:c>
      <x:c r="G31" s="64" t="str">
        <x:v>Rutin mg RE/g</x:v>
      </x:c>
      <x:c r="H31" s="64" t="str">
        <x:v>Q lower leaf-normalized</x:v>
      </x:c>
      <x:c r="I31" s="64" t="str">
        <x:v>Q complete leaf-normalized</x:v>
      </x:c>
      <x:c r="J31" s="64" t="str">
        <x:v>Rutin leaf-normalized</x:v>
      </x:c>
      <x:c r="K31" s="66" t="str">
        <x:v>Interpretation</x:v>
      </x:c>
    </x:row>
    <x:row r="32" ht="26.399999618530273" hidden="0" customHeight="1">
      <x:c r="A32" s="253" t="n">
        <x:f>Extract_Dilution!A2</x:f>
        <x:v>0.1</x:v>
      </x:c>
      <x:c r="B32" s="132" t="n">
        <x:f>Extract_Dilution!E2</x:f>
        <x:v>0.1802</x:v>
      </x:c>
      <x:c r="C32" s="132" t="n">
        <x:f>Extract_Dilution!F2</x:f>
        <x:v>0.00009999999999998899</x:v>
      </x:c>
      <x:c r="D32" s="132" t="n">
        <x:f>Extract_Dilution!G2</x:f>
        <x:v>0.05549389567147003</x:v>
      </x:c>
      <x:c r="E32" s="162" t="n">
        <x:f>IF(Extract_Dilution!I2="","",Extract_Dilution!I2)</x:f>
        <x:v>174.13680545480926</x:v>
      </x:c>
      <x:c r="F32" s="162" t="n">
        <x:f>IF(Extract_Dilution!M2="","",Extract_Dilution!M2)</x:f>
        <x:v>145.6092488691131</x:v>
      </x:c>
      <x:c r="G32" s="162" t="n">
        <x:f>Extract_Dilution!K2</x:f>
        <x:v>152.8081928684148</x:v>
      </x:c>
      <x:c r="H32" s="162" t="n">
        <x:f>IF(Extract_Dilution!O2="","",Extract_Dilution!O2)</x:f>
        <x:v>26.817068040040628</x:v>
      </x:c>
      <x:c r="I32" s="162" t="n">
        <x:f>IF(Extract_Dilution!P2="","",Extract_Dilution!P2)</x:f>
        <x:v>22.423824325843416</x:v>
      </x:c>
      <x:c r="J32" s="256" t="n">
        <x:f>Extract_Dilution!N2</x:f>
        <x:v>23.53246170173588</x:v>
      </x:c>
      <x:c r="K32" s="155" t="str">
        <x:f>Extract_Dilution!Q2</x:f>
        <x:v>Only response above the lowest absorbance of both calibration series</x:v>
      </x:c>
    </x:row>
    <x:row r="33" ht="15" hidden="0" customHeight="1">
      <x:c r="A33" s="254" t="n">
        <x:f>Extract_Dilution!A3</x:f>
        <x:v>0.05</x:v>
      </x:c>
      <x:c r="B33" s="126" t="n">
        <x:f>Extract_Dilution!E3</x:f>
        <x:v>0.09346666666666666</x:v>
      </x:c>
      <x:c r="C33" s="126" t="n">
        <x:f>Extract_Dilution!F3</x:f>
        <x:v>0.0038370995990895693</x:v>
      </x:c>
      <x:c r="D33" s="126" t="n">
        <x:f>Extract_Dilution!G3</x:f>
        <x:v>4.105313408441051</x:v>
      </x:c>
      <x:c r="E33" s="165" t="n">
        <x:f>IF(Extract_Dilution!I3="","",Extract_Dilution!I3)</x:f>
        <x:v>84.03452778180763</x:v>
      </x:c>
      <x:c r="F33" s="165" t="str">
        <x:f>IF(Extract_Dilution!M3="","",Extract_Dilution!M3)</x:f>
      </x:c>
      <x:c r="G33" s="165" t="n">
        <x:f>Extract_Dilution!K3</x:f>
        <x:v>157.4970943413412</x:v>
      </x:c>
      <x:c r="H33" s="165" t="n">
        <x:f>IF(Extract_Dilution!O3="","",Extract_Dilution!O3)</x:f>
        <x:v>12.941317278398374</x:v>
      </x:c>
      <x:c r="I33" s="165" t="str">
        <x:f>IF(Extract_Dilution!P3="","",Extract_Dilution!P3)</x:f>
      </x:c>
      <x:c r="J33" s="257" t="n">
        <x:f>Extract_Dilution!N3</x:f>
        <x:v>24.254552528566546</x:v>
      </x:c>
      <x:c r="K33" s="155" t="str">
        <x:f>Extract_Dilution!Q3</x:f>
        <x:v>Below observed standard-response range; diagnostic only</x:v>
      </x:c>
    </x:row>
    <x:row r="34" ht="15" hidden="0" customHeight="1">
      <x:c r="A34" s="254" t="n">
        <x:f>Extract_Dilution!A4</x:f>
        <x:v>0.025</x:v>
      </x:c>
      <x:c r="B34" s="126" t="n">
        <x:f>Extract_Dilution!E4</x:f>
        <x:v>0.045599999999999995</x:v>
      </x:c>
      <x:c r="C34" s="126" t="n">
        <x:f>Extract_Dilution!F4</x:f>
        <x:v>0.0012288205727444517</x:v>
      </x:c>
      <x:c r="D34" s="126" t="n">
        <x:f>Extract_Dilution!G4</x:f>
        <x:v>2.694781957772921</x:v>
      </x:c>
      <x:c r="E34" s="165" t="str">
        <x:f>IF(Extract_Dilution!I4="","",Extract_Dilution!I4)</x:f>
      </x:c>
      <x:c r="F34" s="165" t="str">
        <x:f>IF(Extract_Dilution!M4="","",Extract_Dilution!M4)</x:f>
      </x:c>
      <x:c r="G34" s="165" t="n">
        <x:f>Extract_Dilution!K4</x:f>
        <x:v>151.50510148520263</x:v>
      </x:c>
      <x:c r="H34" s="165" t="str">
        <x:f>IF(Extract_Dilution!O4="","",Extract_Dilution!O4)</x:f>
      </x:c>
      <x:c r="I34" s="165" t="str">
        <x:f>IF(Extract_Dilution!P4="","",Extract_Dilution!P4)</x:f>
      </x:c>
      <x:c r="J34" s="257" t="n">
        <x:f>Extract_Dilution!N4</x:f>
        <x:v>23.331785628721203</x:v>
      </x:c>
      <x:c r="K34" s="155" t="str">
        <x:f>Extract_Dilution!Q4</x:f>
        <x:v>Below observed standard-response range; diagnostic only</x:v>
      </x:c>
    </x:row>
    <x:row r="35" ht="26.399999618530273" hidden="0" customHeight="1">
      <x:c r="A35" s="255" t="n">
        <x:f>Extract_Dilution!A5</x:f>
        <x:v>0.0125</x:v>
      </x:c>
      <x:c r="B35" s="139" t="n">
        <x:f>Extract_Dilution!E5</x:f>
        <x:v>0.02996666666666667</x:v>
      </x:c>
      <x:c r="C35" s="139" t="n">
        <x:f>Extract_Dilution!F5</x:f>
        <x:v>0.006994521665799124</x:v>
      </x:c>
      <x:c r="D35" s="139" t="n">
        <x:f>Extract_Dilution!G5</x:f>
        <x:v>23.341006671187287</x:v>
      </x:c>
      <x:c r="E35" s="258" t="str">
        <x:f>IF(Extract_Dilution!I5="","",Extract_Dilution!I5)</x:f>
      </x:c>
      <x:c r="F35" s="258" t="str">
        <x:f>IF(Extract_Dilution!M5="","",Extract_Dilution!M5)</x:f>
      </x:c>
      <x:c r="G35" s="258" t="n">
        <x:f>Extract_Dilution!K5</x:f>
        <x:v>196.21858473138292</x:v>
      </x:c>
      <x:c r="H35" s="258" t="str">
        <x:f>IF(Extract_Dilution!O5="","",Extract_Dilution!O5)</x:f>
      </x:c>
      <x:c r="I35" s="258" t="str">
        <x:f>IF(Extract_Dilution!P5="","",Extract_Dilution!P5)</x:f>
      </x:c>
      <x:c r="J35" s="259" t="n">
        <x:f>Extract_Dilution!N5</x:f>
        <x:v>30.21766204863297</x:v>
      </x:c>
      <x:c r="K35" s="155" t="str">
        <x:f>Extract_Dilution!Q5</x:f>
        <x:v>Below observed standard-response range and high within-run imprecision</x:v>
      </x:c>
    </x:row>
    <x:row r="36" ht="15" hidden="0" customHeight="1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</x:row>
    <x:row r="37" ht="26.399999618530273" hidden="0" customHeight="1">
      <x:c r="A37" s="207" t="str">
        <x:v>F. Recorded extract-addition and theoretical-sensitivity summary</x:v>
      </x:c>
      <x:c r="B37" s="207"/>
      <x:c r="C37" s="207"/>
      <x:c r="D37" s="207"/>
      <x:c r="E37" s="207"/>
      <x:c r="F37" s="207"/>
      <x:c r="G37" s="207"/>
      <x:c r="H37" s="207"/>
      <x:c r="I37" s="207"/>
      <x:c r="J37" s="207"/>
      <x:c r="K37" s="207"/>
    </x:row>
    <x:row r="38" ht="26.399999618530273" hidden="0" customHeight="1">
      <x:c r="A38" s="63" t="str">
        <x:v>Nominal level (%)</x:v>
      </x:c>
      <x:c r="B38" s="64" t="str">
        <x:v>Mean response (%)</x:v>
      </x:c>
      <x:c r="C38" s="64" t="str">
        <x:v>Sample SD</x:v>
      </x:c>
      <x:c r="D38" s="66" t="str">
        <x:v>RSD (%)</x:v>
      </x:c>
      <x:c r="E38" s="15"/>
      <x:c r="F38" s="63" t="str">
        <x:v>Model</x:v>
      </x:c>
      <x:c r="G38" s="64" t="str">
        <x:v>Slope</x:v>
      </x:c>
      <x:c r="H38" s="64" t="str">
        <x:v>Assumed response SD</x:v>
      </x:c>
      <x:c r="I38" s="66" t="str">
        <x:v>Theoretical LOD / LOQ (mg/mL)</x:v>
      </x:c>
      <x:c r="J38" s="15"/>
      <x:c r="K38" s="15"/>
    </x:row>
    <x:row r="39" ht="26.399999618530273" hidden="0" customHeight="1">
      <x:c r="A39" s="260" t="n">
        <x:f>Supplementary_Observations!A3</x:f>
        <x:v>80</x:v>
      </x:c>
      <x:c r="B39" s="261" t="n">
        <x:f>Supplementary_Observations!E3</x:f>
        <x:v>99.66666666666667</x:v>
      </x:c>
      <x:c r="C39" s="261" t="n">
        <x:f>Supplementary_Observations!F3</x:f>
        <x:v>0.7637626158259594</x:v>
      </x:c>
      <x:c r="D39" s="262" t="n">
        <x:f>Supplementary_Observations!G3</x:f>
        <x:v>0.7663170058454442</x:v>
      </x:c>
      <x:c r="E39" s="15"/>
      <x:c r="F39" s="263" t="str">
        <x:f>Supplementary_Observations!I8</x:f>
        <x:v>Quercetin post hoc lower range</x:v>
      </x:c>
      <x:c r="G39" s="132" t="n">
        <x:f>Supplementary_Observations!J8</x:f>
        <x:v>6.564761904761904</x:v>
      </x:c>
      <x:c r="H39" s="132" t="n">
        <x:f>Supplementary_Observations!K8</x:f>
        <x:v>0.0005</x:v>
      </x:c>
      <x:c r="I39" s="163" t="str">
        <x:f>TEXT(Supplementary_Observations!L8,"0.000000")&amp;" / "&amp;TEXT(Supplementary_Observations!M8,"0.000000")</x:f>
        <x:v>0.000251 / 0.000762</x:v>
      </x:c>
      <x:c r="J39" s="15"/>
      <x:c r="K39" s="15"/>
    </x:row>
    <x:row r="40" ht="15" hidden="0" customHeight="1">
      <x:c r="A40" s="264" t="n">
        <x:f>Supplementary_Observations!A6</x:f>
        <x:v>100</x:v>
      </x:c>
      <x:c r="B40" s="265" t="n">
        <x:f>Supplementary_Observations!E6</x:f>
        <x:v>99.86666666666667</x:v>
      </x:c>
      <x:c r="C40" s="265" t="n">
        <x:f>Supplementary_Observations!F6</x:f>
        <x:v>0.6110100926607874</x:v>
      </x:c>
      <x:c r="D40" s="266" t="n">
        <x:f>Supplementary_Observations!G6</x:f>
        <x:v>0.6118258604747537</x:v>
      </x:c>
      <x:c r="E40" s="15"/>
      <x:c r="F40" s="136" t="str">
        <x:f>Supplementary_Observations!I9</x:f>
        <x:v>Rutin complete range</x:v>
      </x:c>
      <x:c r="G40" s="139" t="n">
        <x:f>Supplementary_Observations!J9</x:f>
        <x:v>11.71128115942029</x:v>
      </x:c>
      <x:c r="H40" s="139" t="n">
        <x:f>Supplementary_Observations!K9</x:f>
        <x:v>0.0005</x:v>
      </x:c>
      <x:c r="I40" s="140" t="str">
        <x:f>TEXT(Supplementary_Observations!L9,"0.000000")&amp;" / "&amp;TEXT(Supplementary_Observations!M9,"0.000000")</x:f>
        <x:v>0.000141 / 0.000427</x:v>
      </x:c>
      <x:c r="J40" s="15"/>
      <x:c r="K40" s="15"/>
    </x:row>
    <x:row r="41" ht="15" hidden="0" customHeight="1">
      <x:c r="A41" s="267" t="n">
        <x:f>Supplementary_Observations!A9</x:f>
        <x:v>120</x:v>
      </x:c>
      <x:c r="B41" s="268" t="n">
        <x:f>Supplementary_Observations!E9</x:f>
        <x:v>100.11111111111113</x:v>
      </x:c>
      <x:c r="C41" s="268" t="n">
        <x:f>Supplementary_Observations!F9</x:f>
        <x:v>0.6938886664887147</x:v>
      </x:c>
      <x:c r="D41" s="269" t="n">
        <x:f>Supplementary_Observations!G9</x:f>
        <x:v>0.6931185347833997</x:v>
      </x:c>
      <x:c r="E41" s="15"/>
      <x:c r="F41" s="15"/>
      <x:c r="G41" s="15"/>
      <x:c r="H41" s="15"/>
      <x:c r="I41" s="15"/>
      <x:c r="J41" s="15"/>
      <x:c r="K41" s="15"/>
    </x:row>
    <x:row r="42" ht="15" hidden="0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</x:row>
    <x:row r="43" ht="15" hidden="0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</x:row>
    <x:row r="44" ht="145.1999969482422" hidden="0" customHeight="1">
      <x:c r="A44" s="155" t="str">
        <x:v>Reporting rule: use this sheet as the sole numerical source for subsequent manuscript, Supplementary Information, figure, and response-letter updates. The dataset demonstrates reference-standard and calibration-model dependence. Potential sample-specific matrix interference remains unresolved because no sample-matched blank was measured. All triplicate SDs use STDEV.S, and the calculations describe within-run technical repeatability only. The reported values are exploratory apparent AlCl₃-reactive standard-equivalent estimates under reagent-blank conditions rather than analytically validated total-flavonoid or compound-specific concentrations.</x:v>
      </x:c>
      <x:c r="B44" s="155"/>
      <x:c r="C44" s="155"/>
      <x:c r="D44" s="155"/>
      <x:c r="E44" s="155"/>
      <x:c r="F44" s="155"/>
      <x:c r="G44" s="155"/>
      <x:c r="H44" s="155"/>
      <x:c r="I44" s="155"/>
      <x:c r="J44" s="155"/>
      <x:c r="K44" s="155"/>
    </x:row>
    <x:row r="45" ht="15" hidden="0" customHeight="1">
      <x:c r="A45" s="155"/>
      <x:c r="B45" s="155"/>
      <x:c r="C45" s="155"/>
      <x:c r="D45" s="155"/>
      <x:c r="E45" s="155"/>
      <x:c r="F45" s="155"/>
      <x:c r="G45" s="155"/>
      <x:c r="H45" s="155"/>
      <x:c r="I45" s="155"/>
      <x:c r="J45" s="155"/>
      <x:c r="K45" s="155"/>
    </x:row>
    <x:row r="46" ht="15" hidden="0" customHeight="1">
      <x:c r="A46" s="327" t="str">
        <x:v>G. Additional manuscript-reported derived values</x:v>
      </x:c>
      <x:c r="B46" s="327"/>
      <x:c r="C46" s="327"/>
      <x:c r="D46" s="327"/>
      <x:c r="E46" s="327"/>
      <x:c r="F46" s="327"/>
      <x:c r="G46" s="327"/>
      <x:c r="H46" s="327"/>
      <x:c r="I46" s="327"/>
      <x:c r="J46" s="327"/>
      <x:c r="K46" s="327"/>
    </x:row>
    <x:row r="47">
      <x:c r="A47" s="318" t="str">
        <x:v>Metric</x:v>
      </x:c>
      <x:c r="B47" s="318" t="str">
        <x:v>Formula-linked value</x:v>
      </x:c>
      <x:c r="C47" s="318" t="str">
        <x:v>Unit</x:v>
      </x:c>
      <x:c r="D47" s="318" t="str">
        <x:v>Reporting value</x:v>
      </x:c>
      <x:c r="E47" s="318" t="str">
        <x:v>Source / lineage</x:v>
      </x:c>
    </x:row>
    <x:row r="48">
      <x:c r="A48" s="15" t="str">
        <x:v>Extraction yield</x:v>
      </x:c>
      <x:c r="B48" s="15" t="n">
        <x:f>Extract_Dilution!S4</x:f>
        <x:v>0.154</x:v>
      </x:c>
      <x:c r="C48" s="15" t="str">
        <x:v>fraction</x:v>
      </x:c>
      <x:c r="D48" s="15" t="str">
        <x:f>TEXT(B48*100,"0.0")&amp;"%"</x:f>
        <x:v>15.4%</x:v>
      </x:c>
      <x:c r="E48" s="15" t="str">
        <x:v>Extract_Dilution!S4 = 77/500</x:v>
      </x:c>
    </x:row>
    <x:row r="49">
      <x:c r="A49" s="15" t="str">
        <x:v>Quercetin 0.1000 mg/mL observed absorbance</x:v>
      </x:c>
      <x:c r="B49" s="15" t="n">
        <x:f>Quercetin_Calibration!E5</x:f>
        <x:v>0.5806433333333333</x:v>
      </x:c>
      <x:c r="C49" s="15" t="str">
        <x:v>absorbance</x:v>
      </x:c>
      <x:c r="D49" s="15" t="str">
        <x:f>TEXT(B49,"0.0000")</x:f>
        <x:v>0.5806</x:v>
      </x:c>
      <x:c r="E49" s="15" t="str">
        <x:v>Quercetin_Calibration!E5</x:v>
      </x:c>
    </x:row>
    <x:row r="50">
      <x:c r="A50" s="15" t="str">
        <x:v>Quercetin 0.1000 mg/mL post hoc lower-range predicted absorbance</x:v>
      </x:c>
      <x:c r="B50" s="15" t="n">
        <x:f>Quercetin_Calibration!H5</x:f>
        <x:v>0.7223595238095237</x:v>
      </x:c>
      <x:c r="C50" s="15" t="str">
        <x:v>absorbance</x:v>
      </x:c>
      <x:c r="D50" s="15" t="str">
        <x:f>TEXT(B50,"0.0000")</x:f>
        <x:v>0.7224</x:v>
      </x:c>
      <x:c r="E50" s="15" t="str">
        <x:v>Quercetin_Calibration!H5</x:v>
      </x:c>
    </x:row>
    <x:row r="51">
      <x:c r="A51" s="15" t="str">
        <x:v>Observed absorbance below post hoc lower-range prediction</x:v>
      </x:c>
      <x:c r="B51" s="15" t="n">
        <x:f>Quercetin_Calibration!M12</x:f>
        <x:v>19.61851208506514</x:v>
      </x:c>
      <x:c r="C51" s="15" t="str">
        <x:v>%</x:v>
      </x:c>
      <x:c r="D51" s="15" t="str">
        <x:f>TEXT(B51,"0.0")&amp;"%"</x:f>
        <x:v>19.6%</x:v>
      </x:c>
      <x:c r="E51" s="15" t="str">
        <x:v>Quercetin_Calibration!M12 = (predicted − observed)/predicted × 100</x:v>
      </x:c>
    </x:row>
    <x:row r="53">
      <x:c r="A53" s="345" t="str">
        <x:v>H. Formal pure-error lack-of-fit diagnostics</x:v>
      </x:c>
      <x:c r="B53" s="345"/>
      <x:c r="C53" s="345"/>
      <x:c r="D53" s="345"/>
      <x:c r="E53" s="345"/>
      <x:c r="F53" s="345"/>
      <x:c r="G53" s="345"/>
      <x:c r="H53" s="345"/>
      <x:c r="I53" s="345"/>
      <x:c r="J53" s="345"/>
      <x:c r="K53" s="345"/>
      <x:c r="L53" s="345"/>
      <x:c r="M53" s="345"/>
      <x:c r="N53" s="345"/>
      <x:c r="O53" s="345"/>
      <x:c r="P53" s="345"/>
      <x:c r="Q53" s="345"/>
    </x:row>
    <x:row r="54">
      <x:c r="A54" s="348" t="str">
        <x:v>Model</x:v>
      </x:c>
      <x:c r="B54" s="348" t="str">
        <x:v>N</x:v>
      </x:c>
      <x:c r="C54" s="348" t="str">
        <x:v>Unique levels (g)</x:v>
      </x:c>
      <x:c r="D54" s="348" t="str">
        <x:v>Model parameters (p)</x:v>
      </x:c>
      <x:c r="E54" s="348" t="str">
        <x:v>SS residual</x:v>
      </x:c>
      <x:c r="F54" s="348" t="str">
        <x:v>df residual</x:v>
      </x:c>
      <x:c r="G54" s="348" t="str">
        <x:v>SS pure error</x:v>
      </x:c>
      <x:c r="H54" s="348" t="str">
        <x:v>df pure error</x:v>
      </x:c>
      <x:c r="I54" s="348" t="str">
        <x:v>MS pure error</x:v>
      </x:c>
      <x:c r="J54" s="348" t="str">
        <x:v>SS lack of fit</x:v>
      </x:c>
      <x:c r="K54" s="348" t="str">
        <x:v>df lack of fit</x:v>
      </x:c>
      <x:c r="L54" s="348" t="str">
        <x:v>MS lack of fit</x:v>
      </x:c>
      <x:c r="M54" s="348" t="str">
        <x:v>F</x:v>
      </x:c>
      <x:c r="N54" s="348" t="str">
        <x:v>p-value</x:v>
      </x:c>
      <x:c r="O54" s="348" t="str">
        <x:v>Max |mean residual|</x:v>
      </x:c>
      <x:c r="P54" s="348" t="str">
        <x:v>Relative magnitude at max |mean residual| (%)</x:v>
      </x:c>
      <x:c r="Q54" s="348" t="str">
        <x:v>Interpretation</x:v>
      </x:c>
    </x:row>
    <x:row r="55">
      <x:c r="A55" s="376" t="str">
        <x:f>'Step2_Lack_of_Fit'!A8</x:f>
        <x:v>Quercetin complete range</x:v>
      </x:c>
      <x:c r="B55" s="376" t="n">
        <x:f>'Step2_Lack_of_Fit'!B8</x:f>
        <x:v>12</x:v>
      </x:c>
      <x:c r="C55" s="376" t="n">
        <x:f>'Step2_Lack_of_Fit'!C8</x:f>
        <x:v>4</x:v>
      </x:c>
      <x:c r="D55" s="376" t="n">
        <x:f>'Step2_Lack_of_Fit'!D8</x:f>
        <x:v>2</x:v>
      </x:c>
      <x:c r="E55" s="376" t="n">
        <x:f>'Step2_Lack_of_Fit'!E8</x:f>
        <x:v>0.0073990428973913286</x:v>
      </x:c>
      <x:c r="F55" s="376" t="n">
        <x:f>'Step2_Lack_of_Fit'!F8</x:f>
        <x:v>10</x:v>
      </x:c>
      <x:c r="G55" s="376" t="n">
        <x:f>'Step2_Lack_of_Fit'!G8</x:f>
        <x:v>0.00004234793333333318</x:v>
      </x:c>
      <x:c r="H55" s="376" t="n">
        <x:f>'Step2_Lack_of_Fit'!H8</x:f>
        <x:v>8</x:v>
      </x:c>
      <x:c r="I55" s="376" t="n">
        <x:f>'Step2_Lack_of_Fit'!I8</x:f>
        <x:v>0.000005293491666666647</x:v>
      </x:c>
      <x:c r="J55" s="376" t="n">
        <x:f>'Step2_Lack_of_Fit'!J8</x:f>
        <x:v>0.007356694964057995</x:v>
      </x:c>
      <x:c r="K55" s="376" t="n">
        <x:f>'Step2_Lack_of_Fit'!K8</x:f>
        <x:v>2</x:v>
      </x:c>
      <x:c r="L55" s="376" t="n">
        <x:f>'Step2_Lack_of_Fit'!L8</x:f>
        <x:v>0.0036783474820289977</x:v>
      </x:c>
      <x:c r="M55" s="376" t="n">
        <x:f>'Step2_Lack_of_Fit'!M8</x:f>
        <x:v>694.8811320874869</x:v>
      </x:c>
      <x:c r="N55" s="376" t="n">
        <x:f>'Step2_Lack_of_Fit'!N8</x:f>
        <x:v>1.0730666355485141e-9</x:v>
      </x:c>
      <x:c r="O55" s="376" t="n">
        <x:f>'Step2_Lack_of_Fit'!O8</x:f>
        <x:v>0.03994495652173918</x:v>
      </x:c>
      <x:c r="P55" s="376" t="n">
        <x:f>'Step2_Lack_of_Fit'!P8</x:f>
        <x:v>10.153776441723227</x:v>
      </x:c>
      <x:c r="Q55" s="376" t="str">
        <x:f>'Step2_Lack_of_Fit'!Q8</x:f>
        <x:v>Statistically detectable lack of fit across the four-level complete range; consistent with the pronounced residual pattern/curvature.</x:v>
      </x:c>
    </x:row>
    <x:row r="56">
      <x:c r="A56" s="376" t="str">
        <x:f>'Step2_Lack_of_Fit'!A9</x:f>
        <x:v>Quercetin post hoc lower range</x:v>
      </x:c>
      <x:c r="B56" s="376" t="n">
        <x:f>'Step2_Lack_of_Fit'!B9</x:f>
        <x:v>9</x:v>
      </x:c>
      <x:c r="C56" s="376" t="n">
        <x:f>'Step2_Lack_of_Fit'!C9</x:f>
        <x:v>3</x:v>
      </x:c>
      <x:c r="D56" s="376" t="n">
        <x:f>'Step2_Lack_of_Fit'!D9</x:f>
        <x:v>2</x:v>
      </x:c>
      <x:c r="E56" s="376" t="n">
        <x:f>'Step2_Lack_of_Fit'!E9</x:f>
        <x:v>0.00006394595238095201</x:v>
      </x:c>
      <x:c r="F56" s="376" t="n">
        <x:f>'Step2_Lack_of_Fit'!F9</x:f>
        <x:v>7</x:v>
      </x:c>
      <x:c r="G56" s="376" t="n">
        <x:f>'Step2_Lack_of_Fit'!G9</x:f>
        <x:v>0.00004208666666666655</x:v>
      </x:c>
      <x:c r="H56" s="376" t="n">
        <x:f>'Step2_Lack_of_Fit'!H9</x:f>
        <x:v>6</x:v>
      </x:c>
      <x:c r="I56" s="376" t="n">
        <x:f>'Step2_Lack_of_Fit'!I9</x:f>
        <x:v>0.000007014444444444425</x:v>
      </x:c>
      <x:c r="J56" s="376" t="n">
        <x:f>'Step2_Lack_of_Fit'!J9</x:f>
        <x:v>0.000021859285714285464</x:v>
      </x:c>
      <x:c r="K56" s="376" t="n">
        <x:f>'Step2_Lack_of_Fit'!K9</x:f>
        <x:v>1</x:v>
      </x:c>
      <x:c r="L56" s="376" t="n">
        <x:f>'Step2_Lack_of_Fit'!L9</x:f>
        <x:v>0.000021859285714285464</x:v>
      </x:c>
      <x:c r="M56" s="376" t="n">
        <x:f>'Step2_Lack_of_Fit'!M9</x:f>
        <x:v>3.116324590980037</x:v>
      </x:c>
      <x:c r="N56" s="376" t="n">
        <x:f>'Step2_Lack_of_Fit'!N9</x:f>
        <x:v>0.12795144339445486</x:v>
      </x:c>
      <x:c r="O56" s="376" t="n">
        <x:f>'Step2_Lack_of_Fit'!O9</x:f>
        <x:v>0.0021642857142857297</x:v>
      </x:c>
      <x:c r="P56" s="376" t="n">
        <x:f>'Step2_Lack_of_Fit'!P9</x:f>
        <x:v>0.9322120808122311</x:v>
      </x:c>
      <x:c r="Q56" s="376" t="str">
        <x:f>'Step2_Lack_of_Fit'!Q9</x:f>
        <x:v>No statistically detectable lack of fit within the three selected lower levels; this does not validate the model because it is post hoc, sparse, and has only 1 lack-of-fit degree of freedom.</x:v>
      </x:c>
    </x:row>
    <x:row r="57">
      <x:c r="A57" s="376" t="str">
        <x:f>'Step2_Lack_of_Fit'!A10</x:f>
        <x:v>Rutin complete range</x:v>
      </x:c>
      <x:c r="B57" s="376" t="n">
        <x:f>'Step2_Lack_of_Fit'!B10</x:f>
        <x:v>12</x:v>
      </x:c>
      <x:c r="C57" s="376" t="n">
        <x:f>'Step2_Lack_of_Fit'!C10</x:f>
        <x:v>4</x:v>
      </x:c>
      <x:c r="D57" s="376" t="n">
        <x:f>'Step2_Lack_of_Fit'!D10</x:f>
        <x:v>2</x:v>
      </x:c>
      <x:c r="E57" s="376" t="n">
        <x:f>'Step2_Lack_of_Fit'!E10</x:f>
        <x:v>0.000019102202898550708</x:v>
      </x:c>
      <x:c r="F57" s="376" t="n">
        <x:f>'Step2_Lack_of_Fit'!F10</x:f>
        <x:v>10</x:v>
      </x:c>
      <x:c r="G57" s="376" t="n">
        <x:f>'Step2_Lack_of_Fit'!G10</x:f>
        <x:v>0.000004559999999999996</x:v>
      </x:c>
      <x:c r="H57" s="376" t="n">
        <x:f>'Step2_Lack_of_Fit'!H10</x:f>
        <x:v>8</x:v>
      </x:c>
      <x:c r="I57" s="376" t="n">
        <x:f>'Step2_Lack_of_Fit'!I10</x:f>
        <x:v>5.699999999999995e-7</x:v>
      </x:c>
      <x:c r="J57" s="376" t="n">
        <x:f>'Step2_Lack_of_Fit'!J10</x:f>
        <x:v>0.00001454220289855071</x:v>
      </x:c>
      <x:c r="K57" s="376" t="n">
        <x:f>'Step2_Lack_of_Fit'!K10</x:f>
        <x:v>2</x:v>
      </x:c>
      <x:c r="L57" s="376" t="n">
        <x:f>'Step2_Lack_of_Fit'!L10</x:f>
        <x:v>0.000007271101449275355</x:v>
      </x:c>
      <x:c r="M57" s="376" t="n">
        <x:f>'Step2_Lack_of_Fit'!M10</x:f>
        <x:v>12.756318332062039</x:v>
      </x:c>
      <x:c r="N57" s="376" t="n">
        <x:f>'Step2_Lack_of_Fit'!N10</x:f>
        <x:v>0.0032473235028661618</x:v>
      </x:c>
      <x:c r="O57" s="376" t="n">
        <x:f>'Step2_Lack_of_Fit'!O10</x:f>
        <x:v>0.0017092753623189072</x:v>
      </x:c>
      <x:c r="P57" s="376" t="n">
        <x:f>'Step2_Lack_of_Fit'!P10</x:f>
        <x:v>0.5779785941114428</x:v>
      </x:c>
      <x:c r="Q57" s="376" t="str">
        <x:f>'Step2_Lack_of_Fit'!Q10</x:f>
        <x:v>Statistically detectable lack of fit, but the maximum mean residual is very small in absolute magnitude (≈0.001709 absorbance unit; ≈0.58% of the mean response at that level). Report statistical detectability without equating it with analytically important inadequacy.</x:v>
      </x:c>
    </x:row>
    <x:row r="59">
      <x:c r="A59" s="343" t="str">
        <x:v>Interpretive rule: use “statistically detectable lack of fit” rather than “failed the lack-of-fit test.” For rutin, the lack-of-fit test is statistically significant (F(2,8) ≈ 12.756; p ≈ 0.00325), while the maximum mean residual is only ≈0.001709 absorbance unit (≈0.58% of the mean response at that level). Therefore statistical detectability should be distinguished from practically important analytical model inadequacy. The post hoc three-level quercetin result remains sensitivity analysis only.</x:v>
      </x:c>
      <x:c r="B59" s="343"/>
      <x:c r="C59" s="343"/>
      <x:c r="D59" s="343"/>
      <x:c r="E59" s="343"/>
      <x:c r="F59" s="343"/>
      <x:c r="G59" s="343"/>
      <x:c r="H59" s="343"/>
      <x:c r="I59" s="343"/>
      <x:c r="J59" s="343"/>
      <x:c r="K59" s="343"/>
      <x:c r="L59" s="343"/>
      <x:c r="M59" s="343"/>
      <x:c r="N59" s="343"/>
      <x:c r="O59" s="343"/>
      <x:c r="P59" s="343"/>
      <x:c r="Q59" s="343"/>
    </x:row>
    <x:row r="61">
      <x:c r="A61" s="412" t="str">
        <x:v>I. 95% conditional calibration-only inverse-prediction intervals</x:v>
      </x:c>
      <x:c r="B61" s="412"/>
      <x:c r="C61" s="412"/>
      <x:c r="D61" s="412"/>
      <x:c r="E61" s="412"/>
      <x:c r="F61" s="412"/>
      <x:c r="G61" s="412"/>
      <x:c r="H61" s="412"/>
      <x:c r="I61" s="412"/>
      <x:c r="J61" s="412"/>
      <x:c r="K61" s="412"/>
      <x:c r="L61" s="412"/>
      <x:c r="M61" s="412"/>
      <x:c r="N61" s="412"/>
      <x:c r="O61" s="412"/>
      <x:c r="P61" s="412"/>
      <x:c r="Q61" s="412"/>
      <x:c r="R61" s="412"/>
      <x:c r="S61" s="412"/>
      <x:c r="T61" s="412"/>
      <x:c r="U61" s="412"/>
      <x:c r="V61" s="412"/>
    </x:row>
    <x:row r="62">
      <x:c r="A62" s="415" t="str">
        <x:v>Model</x:v>
      </x:c>
      <x:c r="B62" s="415" t="str">
        <x:v>Calibration range (mg/mL)</x:v>
      </x:c>
      <x:c r="C62" s="415" t="str">
        <x:v>N calibration obs.</x:v>
      </x:c>
      <x:c r="D62" s="415" t="str">
        <x:v>m extract replicates</x:v>
      </x:c>
      <x:c r="E62" s="415" t="str">
        <x:v>Slope</x:v>
      </x:c>
      <x:c r="F62" s="415" t="str">
        <x:v>Intercept</x:v>
      </x:c>
      <x:c r="G62" s="415" t="str">
        <x:v>Residual SD (s)</x:v>
      </x:c>
      <x:c r="H62" s="415" t="str">
        <x:v>df</x:v>
      </x:c>
      <x:c r="I62" s="415" t="str">
        <x:v>t0.975</x:v>
      </x:c>
      <x:c r="J62" s="415" t="str">
        <x:v>Observed mean A</x:v>
      </x:c>
      <x:c r="K62" s="415" t="str">
        <x:v>Point Ĉeq (mg/mL)</x:v>
      </x:c>
      <x:c r="L62" s="415" t="str">
        <x:v>95% lower C (mg/mL)</x:v>
      </x:c>
      <x:c r="M62" s="415" t="str">
        <x:v>95% upper C (mg/mL)</x:v>
      </x:c>
      <x:c r="N62" s="415" t="str">
        <x:v>Point estimate (mg equiv/g dry extract)</x:v>
      </x:c>
      <x:c r="O62" s="415" t="str">
        <x:v>95% lower (mg/g)</x:v>
      </x:c>
      <x:c r="P62" s="415" t="str">
        <x:v>95% upper (mg/g)</x:v>
      </x:c>
      <x:c r="Q62" s="415" t="str">
        <x:v>Point estimate (mg equiv/g dried leaf)</x:v>
      </x:c>
      <x:c r="R62" s="415" t="str">
        <x:v>95% lower leaf (mg/g)</x:v>
      </x:c>
      <x:c r="S62" s="415" t="str">
        <x:v>95% upper leaf (mg/g)</x:v>
      </x:c>
      <x:c r="T62" s="415" t="str">
        <x:v>Interval vs calibration range</x:v>
      </x:c>
      <x:c r="U62" s="415" t="str">
        <x:v>Lack-of-fit context</x:v>
      </x:c>
      <x:c r="V62" s="415" t="str">
        <x:v>Reporting interpretation</x:v>
      </x:c>
    </x:row>
    <x:row r="63">
      <x:c r="A63" s="419" t="str">
        <x:f>'Step3_Inverse_Prediction'!A9</x:f>
        <x:v>Quercetin complete range</x:v>
      </x:c>
      <x:c r="B63" s="419" t="str">
        <x:f>'Step3_Inverse_Prediction'!B9</x:f>
        <x:v>0.0125–0.1000</x:v>
      </x:c>
      <x:c r="C63" s="425" t="n">
        <x:f>'Step3_Inverse_Prediction'!C9</x:f>
        <x:v>12</x:v>
      </x:c>
      <x:c r="D63" s="425" t="n">
        <x:f>'Step3_Inverse_Prediction'!D9</x:f>
        <x:v>3</x:v>
      </x:c>
      <x:c r="E63" s="421" t="n">
        <x:f>'Step3_Inverse_Prediction'!E9</x:f>
        <x:v>4.888813913043478</x:v>
      </x:c>
      <x:c r="F63" s="421" t="n">
        <x:f>'Step3_Inverse_Prediction'!F9</x:f>
        <x:v>0.10901434782608696</x:v>
      </x:c>
      <x:c r="G63" s="421" t="n">
        <x:f>'Step3_Inverse_Prediction'!G9</x:f>
        <x:v>0.02720118177100276</x:v>
      </x:c>
      <x:c r="H63" s="425" t="n">
        <x:f>'Step3_Inverse_Prediction'!H9</x:f>
        <x:v>10</x:v>
      </x:c>
      <x:c r="I63" s="421" t="n">
        <x:f>'Step3_Inverse_Prediction'!I9</x:f>
        <x:v>2.228138842468655</x:v>
      </x:c>
      <x:c r="J63" s="421" t="n">
        <x:f>'Step3_Inverse_Prediction'!J9</x:f>
        <x:v>0.1802</x:v>
      </x:c>
      <x:c r="K63" s="421" t="n">
        <x:f>'Step3_Inverse_Prediction'!K9</x:f>
        <x:v>0.01456092488691131</x:v>
      </x:c>
      <x:c r="L63" s="421" t="n">
        <x:f>'Step3_Inverse_Prediction'!L9</x:f>
        <x:v>0.005415340047450558</x:v>
      </x:c>
      <x:c r="M63" s="421" t="n">
        <x:f>'Step3_Inverse_Prediction'!M9</x:f>
        <x:v>0.022960959389373953</x:v>
      </x:c>
      <x:c r="N63" s="424" t="n">
        <x:f>'Step3_Inverse_Prediction'!N9</x:f>
        <x:v>145.6092488691131</x:v>
      </x:c>
      <x:c r="O63" s="424" t="n">
        <x:f>'Step3_Inverse_Prediction'!O9</x:f>
        <x:v>54.153400474505574</x:v>
      </x:c>
      <x:c r="P63" s="424" t="n">
        <x:f>'Step3_Inverse_Prediction'!P9</x:f>
        <x:v>229.60959389373951</x:v>
      </x:c>
      <x:c r="Q63" s="424" t="n">
        <x:f>'Step3_Inverse_Prediction'!Q9</x:f>
        <x:v>22.423824325843416</x:v>
      </x:c>
      <x:c r="R63" s="424" t="n">
        <x:f>'Step3_Inverse_Prediction'!R9</x:f>
        <x:v>8.339623673073858</x:v>
      </x:c>
      <x:c r="S63" s="424" t="n">
        <x:f>'Step3_Inverse_Prediction'!S9</x:f>
        <x:v>35.35987745963588</x:v>
      </x:c>
      <x:c r="T63" s="419" t="str">
        <x:f>'Step3_Inverse_Prediction'!T9</x:f>
        <x:v>Extends outside observed calibration range</x:v>
      </x:c>
      <x:c r="U63" s="419" t="str">
        <x:f>'Step3_Inverse_Prediction'!U9</x:f>
        <x:v>Strong statistically detectable lack of fit.</x:v>
      </x:c>
      <x:c r="V63" s="419" t="str">
        <x:f>'Step3_Inverse_Prediction'!V9</x:f>
        <x:v>Conditional interval is wide and its lower concentration bound extends below the observed calibration range; interpret as exploratory only.</x:v>
      </x:c>
    </x:row>
    <x:row r="64">
      <x:c r="A64" s="419" t="str">
        <x:f>'Step3_Inverse_Prediction'!A10</x:f>
        <x:v>Quercetin post hoc lower range</x:v>
      </x:c>
      <x:c r="B64" s="419" t="str">
        <x:f>'Step3_Inverse_Prediction'!B10</x:f>
        <x:v>0.0125–0.0500</x:v>
      </x:c>
      <x:c r="C64" s="425" t="n">
        <x:f>'Step3_Inverse_Prediction'!C10</x:f>
        <x:v>9</x:v>
      </x:c>
      <x:c r="D64" s="425" t="n">
        <x:f>'Step3_Inverse_Prediction'!D10</x:f>
        <x:v>3</x:v>
      </x:c>
      <x:c r="E64" s="421" t="n">
        <x:f>'Step3_Inverse_Prediction'!E10</x:f>
        <x:v>6.564761904761904</x:v>
      </x:c>
      <x:c r="F64" s="421" t="n">
        <x:f>'Step3_Inverse_Prediction'!F10</x:f>
        <x:v>0.06588333333333332</x:v>
      </x:c>
      <x:c r="G64" s="421" t="n">
        <x:f>'Step3_Inverse_Prediction'!G10</x:f>
        <x:v>0.0030224387594162626</x:v>
      </x:c>
      <x:c r="H64" s="425" t="n">
        <x:f>'Step3_Inverse_Prediction'!H10</x:f>
        <x:v>7</x:v>
      </x:c>
      <x:c r="I64" s="421" t="n">
        <x:f>'Step3_Inverse_Prediction'!I10</x:f>
        <x:v>2.3646242359765144</x:v>
      </x:c>
      <x:c r="J64" s="421" t="n">
        <x:f>'Step3_Inverse_Prediction'!J10</x:f>
        <x:v>0.1802</x:v>
      </x:c>
      <x:c r="K64" s="421" t="n">
        <x:f>'Step3_Inverse_Prediction'!K10</x:f>
        <x:v>0.017413680545480925</x:v>
      </x:c>
      <x:c r="L64" s="421" t="n">
        <x:f>'Step3_Inverse_Prediction'!L10</x:f>
        <x:v>0.016631437482412508</x:v>
      </x:c>
      <x:c r="M64" s="421" t="n">
        <x:f>'Step3_Inverse_Prediction'!M10</x:f>
        <x:v>0.01818318074996023</x:v>
      </x:c>
      <x:c r="N64" s="424" t="n">
        <x:f>'Step3_Inverse_Prediction'!N10</x:f>
        <x:v>174.13680545480926</x:v>
      </x:c>
      <x:c r="O64" s="424" t="n">
        <x:f>'Step3_Inverse_Prediction'!O10</x:f>
        <x:v>166.31437482412505</x:v>
      </x:c>
      <x:c r="P64" s="424" t="n">
        <x:f>'Step3_Inverse_Prediction'!P10</x:f>
        <x:v>181.8318074996023</x:v>
      </x:c>
      <x:c r="Q64" s="424" t="n">
        <x:f>'Step3_Inverse_Prediction'!Q10</x:f>
        <x:v>26.817068040040628</x:v>
      </x:c>
      <x:c r="R64" s="424" t="n">
        <x:f>'Step3_Inverse_Prediction'!R10</x:f>
        <x:v>25.612413722915257</x:v>
      </x:c>
      <x:c r="S64" s="424" t="n">
        <x:f>'Step3_Inverse_Prediction'!S10</x:f>
        <x:v>28.002098354938752</x:v>
      </x:c>
      <x:c r="T64" s="419" t="str">
        <x:f>'Step3_Inverse_Prediction'!T10</x:f>
        <x:v>Fully within observed calibration range</x:v>
      </x:c>
      <x:c r="U64" s="419" t="str">
        <x:f>'Step3_Inverse_Prediction'!U10</x:f>
        <x:v>No statistically detectable lack of fit within the selected three levels, but only 1 lack-of-fit df.</x:v>
      </x:c>
      <x:c r="V64" s="419" t="str">
        <x:f>'Step3_Inverse_Prediction'!V10</x:f>
        <x:v>Post hoc sensitivity result only; interval excludes the uncertainty introduced by selecting this lower-range model after inspection of the full dataset.</x:v>
      </x:c>
    </x:row>
    <x:row r="65">
      <x:c r="A65" s="419" t="str">
        <x:f>'Step3_Inverse_Prediction'!A11</x:f>
        <x:v>Rutin complete range</x:v>
      </x:c>
      <x:c r="B65" s="419" t="str">
        <x:f>'Step3_Inverse_Prediction'!B11</x:f>
        <x:v>0.0125–0.1000</x:v>
      </x:c>
      <x:c r="C65" s="425" t="n">
        <x:f>'Step3_Inverse_Prediction'!C11</x:f>
        <x:v>12</x:v>
      </x:c>
      <x:c r="D65" s="425" t="n">
        <x:f>'Step3_Inverse_Prediction'!D11</x:f>
        <x:v>3</x:v>
      </x:c>
      <x:c r="E65" s="421" t="n">
        <x:f>'Step3_Inverse_Prediction'!E11</x:f>
        <x:v>11.71128115942029</x:v>
      </x:c>
      <x:c r="F65" s="421" t="n">
        <x:f>'Step3_Inverse_Prediction'!F11</x:f>
        <x:v>0.001242028985507182</x:v>
      </x:c>
      <x:c r="G65" s="421" t="n">
        <x:f>'Step3_Inverse_Prediction'!G11</x:f>
        <x:v>0.0013821071918831299</x:v>
      </x:c>
      <x:c r="H65" s="425" t="n">
        <x:f>'Step3_Inverse_Prediction'!H11</x:f>
        <x:v>10</x:v>
      </x:c>
      <x:c r="I65" s="421" t="n">
        <x:f>'Step3_Inverse_Prediction'!I11</x:f>
        <x:v>2.228138842468655</x:v>
      </x:c>
      <x:c r="J65" s="421" t="n">
        <x:f>'Step3_Inverse_Prediction'!J11</x:f>
        <x:v>0.1802</x:v>
      </x:c>
      <x:c r="K65" s="421" t="n">
        <x:f>'Step3_Inverse_Prediction'!K11</x:f>
        <x:v>0.01528081928684148</x:v>
      </x:c>
      <x:c r="L65" s="421" t="n">
        <x:f>'Step3_Inverse_Prediction'!L11</x:f>
        <x:v>0.015096450851820445</x:v>
      </x:c>
      <x:c r="M65" s="421" t="n">
        <x:f>'Step3_Inverse_Prediction'!M11</x:f>
        <x:v>0.015464863517144907</x:v>
      </x:c>
      <x:c r="N65" s="424" t="n">
        <x:f>'Step3_Inverse_Prediction'!N11</x:f>
        <x:v>152.8081928684148</x:v>
      </x:c>
      <x:c r="O65" s="424" t="n">
        <x:f>'Step3_Inverse_Prediction'!O11</x:f>
        <x:v>150.96450851820444</x:v>
      </x:c>
      <x:c r="P65" s="424" t="n">
        <x:f>'Step3_Inverse_Prediction'!P11</x:f>
        <x:v>154.64863517144906</x:v>
      </x:c>
      <x:c r="Q65" s="424" t="n">
        <x:f>'Step3_Inverse_Prediction'!Q11</x:f>
        <x:v>23.53246170173588</x:v>
      </x:c>
      <x:c r="R65" s="424" t="n">
        <x:f>'Step3_Inverse_Prediction'!R11</x:f>
        <x:v>23.248534311803482</x:v>
      </x:c>
      <x:c r="S65" s="424" t="n">
        <x:f>'Step3_Inverse_Prediction'!S11</x:f>
        <x:v>23.815889816403153</x:v>
      </x:c>
      <x:c r="T65" s="419" t="str">
        <x:f>'Step3_Inverse_Prediction'!T11</x:f>
        <x:v>Fully within observed calibration range</x:v>
      </x:c>
      <x:c r="U65" s="419" t="str">
        <x:f>'Step3_Inverse_Prediction'!U11</x:f>
        <x:v>Statistically detectable lack of fit despite a very small maximum mean residual.</x:v>
      </x:c>
      <x:c r="V65" s="419" t="str">
        <x:f>'Step3_Inverse_Prediction'!V11</x:f>
        <x:v>Narrow conditional calibration-only interval; it must not be interpreted as overall analytical uncertainty or as evidence that rutin is chemically representative.</x:v>
      </x:c>
    </x:row>
    <x:row r="67">
      <x:c r="A67" s="409" t="str">
        <x:v>Terminology rule: wherever these intervals are reported in the manuscript, tables, or figure legends, call them “95% conditional calibration-only inverse-prediction intervals.” They are conditional on the selected within-run calibration model and the observed within-run extract response; they exclude matrix effects, recovery, sample preparation, volumetric uncertainty, between-run variation, and post hoc model-selection uncertainty.</x:v>
      </x:c>
      <x:c r="B67" s="409"/>
      <x:c r="C67" s="409"/>
      <x:c r="D67" s="409"/>
      <x:c r="E67" s="409"/>
      <x:c r="F67" s="409"/>
      <x:c r="G67" s="409"/>
      <x:c r="H67" s="409"/>
      <x:c r="I67" s="409"/>
      <x:c r="J67" s="409"/>
      <x:c r="K67" s="409"/>
      <x:c r="L67" s="409"/>
      <x:c r="M67" s="409"/>
      <x:c r="N67" s="409"/>
      <x:c r="O67" s="409"/>
      <x:c r="P67" s="409"/>
      <x:c r="Q67" s="409"/>
      <x:c r="R67" s="409"/>
      <x:c r="S67" s="409"/>
      <x:c r="T67" s="409"/>
      <x:c r="U67" s="409"/>
      <x:c r="V67" s="409"/>
    </x:row>
    <x:row r="69">
      <x:c r="A69" s="453" t="str">
        <x:v>J. Supplementary-only diagnostic slope-ratio calculations</x:v>
      </x:c>
      <x:c r="B69" s="453"/>
      <x:c r="C69" s="453"/>
      <x:c r="D69" s="453"/>
      <x:c r="E69" s="453"/>
      <x:c r="F69" s="453"/>
      <x:c r="G69" s="453"/>
      <x:c r="H69" s="453"/>
      <x:c r="I69" s="453"/>
      <x:c r="J69" s="453"/>
      <x:c r="K69" s="453"/>
      <x:c r="L69" s="453"/>
      <x:c r="M69" s="453"/>
      <x:c r="N69" s="453"/>
    </x:row>
    <x:row r="70">
      <x:c r="A70" s="456" t="str">
        <x:v>Calibration model</x:v>
      </x:c>
      <x:c r="B70" s="456" t="str">
        <x:v>Calibration slope</x:v>
      </x:c>
      <x:c r="C70" s="456" t="str">
        <x:v>Extract slope</x:v>
      </x:c>
      <x:c r="D70" s="456" t="str">
        <x:v>Diagnostic slope-ratio (mg standard equiv/g dry extract)</x:v>
      </x:c>
      <x:c r="E70" s="456" t="str">
        <x:v>0.1000 mg/mL inverse-calibration point estimate (mg/g)</x:v>
      </x:c>
      <x:c r="F70" s="456" t="str">
        <x:v>Difference</x:v>
      </x:c>
      <x:c r="G70" s="456" t="str">
        <x:v>Percent difference</x:v>
      </x:c>
      <x:c r="H70" s="456" t="str">
        <x:v>Ratio to point estimate</x:v>
      </x:c>
      <x:c r="I70" s="456" t="str">
        <x:v>Algebraically intercept-independent?</x:v>
      </x:c>
      <x:c r="J70" s="456" t="str">
        <x:v>Range-valid?</x:v>
      </x:c>
      <x:c r="K70" s="456" t="str">
        <x:v>Sample-matched blank?</x:v>
      </x:c>
      <x:c r="L70" s="456" t="str">
        <x:v>Parallelism established?</x:v>
      </x:c>
      <x:c r="M70" s="456" t="str">
        <x:v>Required interpretation</x:v>
      </x:c>
      <x:c r="N70" s="456" t="str">
        <x:v>Recommended manuscript location</x:v>
      </x:c>
    </x:row>
    <x:row r="71">
      <x:c r="A71" s="477" t="str">
        <x:f>'Step4_Slope_Ratio'!A16</x:f>
        <x:v>Rutin complete range</x:v>
      </x:c>
      <x:c r="B71" s="477" t="n">
        <x:f>'Step4_Slope_Ratio'!B16</x:f>
        <x:v>11.71128115942029</x:v>
      </x:c>
      <x:c r="C71" s="477" t="n">
        <x:f>'Step4_Slope_Ratio'!C16</x:f>
        <x:v>1.7447188405797103</x:v>
      </x:c>
      <x:c r="D71" s="477" t="n">
        <x:f>'Step4_Slope_Ratio'!D16</x:f>
        <x:v>148.9776239533194</x:v>
      </x:c>
      <x:c r="E71" s="477" t="n">
        <x:f>'Step4_Slope_Ratio'!E16</x:f>
        <x:v>152.8081928684148</x:v>
      </x:c>
      <x:c r="F71" s="477" t="n">
        <x:f>'Step4_Slope_Ratio'!F16</x:f>
        <x:v>-3.830568915095398</x:v>
      </x:c>
      <x:c r="G71" s="477" t="n">
        <x:f>'Step4_Slope_Ratio'!G16</x:f>
        <x:v>-2.5067824199674638</x:v>
      </x:c>
      <x:c r="H71" s="477" t="n">
        <x:f>'Step4_Slope_Ratio'!H16</x:f>
        <x:v>0.9749321758003253</x:v>
      </x:c>
      <x:c r="I71" s="477" t="str">
        <x:f>'Step4_Slope_Ratio'!I16</x:f>
        <x:v>Yes</x:v>
      </x:c>
      <x:c r="J71" s="477" t="str">
        <x:f>'Step4_Slope_Ratio'!J16</x:f>
        <x:v>No — 3/4 extract means below standard-response coverage</x:v>
      </x:c>
      <x:c r="K71" s="477" t="str">
        <x:f>'Step4_Slope_Ratio'!K16</x:f>
        <x:v>No</x:v>
      </x:c>
      <x:c r="L71" s="477" t="str">
        <x:f>'Step4_Slope_Ratio'!L16</x:f>
        <x:v>No</x:v>
      </x:c>
      <x:c r="M71" s="477" t="str">
        <x:f>'Step4_Slope_Ratio'!M16</x:f>
        <x:v>Diagnostic only. Numerical proximity to the inverse-calibration point estimate does not validate parallelism, matrix freedom, or chemical representativeness.</x:v>
      </x:c>
      <x:c r="N71" s="477" t="str">
        <x:f>'Step4_Slope_Ratio'!N16</x:f>
        <x:v>Supplementary Information; omit numerical value from main text or mention only that a diagnostic slope-ratio analysis was performed.</x:v>
      </x:c>
    </x:row>
    <x:row r="72">
      <x:c r="A72" s="477" t="str">
        <x:f>'Step4_Slope_Ratio'!A17</x:f>
        <x:v>Quercetin post hoc lower range</x:v>
      </x:c>
      <x:c r="B72" s="477" t="n">
        <x:f>'Step4_Slope_Ratio'!B17</x:f>
        <x:v>6.564761904761904</x:v>
      </x:c>
      <x:c r="C72" s="477" t="n">
        <x:f>'Step4_Slope_Ratio'!C17</x:f>
        <x:v>1.7447188405797103</x:v>
      </x:c>
      <x:c r="D72" s="477" t="n">
        <x:f>'Step4_Slope_Ratio'!D17</x:f>
        <x:v>265.7703151905841</x:v>
      </x:c>
      <x:c r="E72" s="477" t="n">
        <x:f>'Step4_Slope_Ratio'!E17</x:f>
        <x:v>174.13680545480926</x:v>
      </x:c>
      <x:c r="F72" s="477" t="n">
        <x:f>'Step4_Slope_Ratio'!F17</x:f>
        <x:v>91.63350973577482</x:v>
      </x:c>
      <x:c r="G72" s="477" t="n">
        <x:f>'Step4_Slope_Ratio'!G17</x:f>
        <x:v>52.621563543931494</x:v>
      </x:c>
      <x:c r="H72" s="477" t="n">
        <x:f>'Step4_Slope_Ratio'!H17</x:f>
        <x:v>1.526215635439315</x:v>
      </x:c>
      <x:c r="I72" s="477" t="str">
        <x:f>'Step4_Slope_Ratio'!I17</x:f>
        <x:v>Yes</x:v>
      </x:c>
      <x:c r="J72" s="477" t="str">
        <x:f>'Step4_Slope_Ratio'!J17</x:f>
        <x:v>No — 3/4 extract means below standard-response coverage</x:v>
      </x:c>
      <x:c r="K72" s="477" t="str">
        <x:f>'Step4_Slope_Ratio'!K17</x:f>
        <x:v>No</x:v>
      </x:c>
      <x:c r="L72" s="477" t="str">
        <x:f>'Step4_Slope_Ratio'!L17</x:f>
        <x:v>No</x:v>
      </x:c>
      <x:c r="M72" s="477" t="str">
        <x:f>'Step4_Slope_Ratio'!M17</x:f>
        <x:v>Diagnostic only. Divergence from the inverse-calibration point estimate illustrates model/intercept sensitivity but is not an alternative quantitative estimate. Post hoc model-selection uncertainty remains.</x:v>
      </x:c>
      <x:c r="N72" s="477" t="str">
        <x:f>'Step4_Slope_Ratio'!N17</x:f>
        <x:v>Supplementary Information; no numerical slope-ratio value in main text.</x:v>
      </x:c>
    </x:row>
    <x:row r="73">
      <x:c r="A73" s="477" t="str">
        <x:f>'Step4_Slope_Ratio'!A18</x:f>
        <x:v>Quercetin complete range</x:v>
      </x:c>
      <x:c r="B73" s="477" t="n">
        <x:f>'Step4_Slope_Ratio'!B18</x:f>
        <x:v>4.888813913043478</x:v>
      </x:c>
      <x:c r="C73" s="477" t="n">
        <x:f>'Step4_Slope_Ratio'!C18</x:f>
        <x:v>1.7447188405797103</x:v>
      </x:c>
      <x:c r="D73" s="477" t="n">
        <x:f>'Step4_Slope_Ratio'!D18</x:f>
        <x:v>356.8797813974381</x:v>
      </x:c>
      <x:c r="E73" s="477" t="n">
        <x:f>'Step4_Slope_Ratio'!E18</x:f>
        <x:v>145.6092488691131</x:v>
      </x:c>
      <x:c r="F73" s="477" t="n">
        <x:f>'Step4_Slope_Ratio'!F18</x:f>
        <x:v>211.270532528325</x:v>
      </x:c>
      <x:c r="G73" s="477" t="n">
        <x:f>'Step4_Slope_Ratio'!G18</x:f>
        <x:v>145.09417098788435</x:v>
      </x:c>
      <x:c r="H73" s="477" t="n">
        <x:f>'Step4_Slope_Ratio'!H18</x:f>
        <x:v>2.4509417098788435</x:v>
      </x:c>
      <x:c r="I73" s="477" t="str">
        <x:f>'Step4_Slope_Ratio'!I18</x:f>
        <x:v>Yes</x:v>
      </x:c>
      <x:c r="J73" s="477" t="str">
        <x:f>'Step4_Slope_Ratio'!J18</x:f>
        <x:v>No — 3/4 extract means below standard-response coverage</x:v>
      </x:c>
      <x:c r="K73" s="477" t="str">
        <x:f>'Step4_Slope_Ratio'!K18</x:f>
        <x:v>No</x:v>
      </x:c>
      <x:c r="L73" s="477" t="str">
        <x:f>'Step4_Slope_Ratio'!L18</x:f>
        <x:v>No</x:v>
      </x:c>
      <x:c r="M73" s="477" t="str">
        <x:f>'Step4_Slope_Ratio'!M18</x:f>
        <x:v>Diagnostic only. Large divergence is consistent with instability/model dependence; it must not be presented as a quantitative estimate.</x:v>
      </x:c>
      <x:c r="N73" s="477" t="str">
        <x:f>'Step4_Slope_Ratio'!N18</x:f>
        <x:v>Supplementary Information; no numerical slope-ratio value in main text.</x:v>
      </x:c>
    </x:row>
    <x:row r="75">
      <x:c r="A75" s="450" t="str">
        <x:v>Reporting rule: slope-ratio numbers are supplementary diagnostic calculations only and must not be presented as alternative quantitative estimates. Main-text numerical prominence should be removed or reduced to a brief qualitative statement with referral to the Supplementary Information.</x:v>
      </x:c>
      <x:c r="B75" s="450"/>
      <x:c r="C75" s="450"/>
      <x:c r="D75" s="450"/>
      <x:c r="E75" s="450"/>
      <x:c r="F75" s="450"/>
      <x:c r="G75" s="450"/>
      <x:c r="H75" s="450"/>
      <x:c r="I75" s="450"/>
      <x:c r="J75" s="450"/>
      <x:c r="K75" s="450"/>
      <x:c r="L75" s="450"/>
      <x:c r="M75" s="450"/>
      <x:c r="N75" s="450"/>
    </x:row>
  </x:sheetData>
  <x:mergeCells>
    <x:mergeCell ref="A1:K1"/>
    <x:mergeCell ref="A3:K3"/>
    <x:mergeCell ref="A9:K9"/>
    <x:mergeCell ref="A16:K16"/>
    <x:mergeCell ref="A23:K23"/>
    <x:mergeCell ref="A30:K30"/>
    <x:mergeCell ref="A37:K37"/>
    <x:mergeCell ref="A44:K46"/>
    <x:mergeCell ref="A46:K46"/>
    <x:mergeCell ref="A53:Q53"/>
    <x:mergeCell ref="A59:Q59"/>
    <x:mergeCell ref="A61:V61"/>
    <x:mergeCell ref="A67:V67"/>
    <x:mergeCell ref="A69:N69"/>
    <x:mergeCell ref="A75:N7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22" hidden="0" customWidth="1"/>
    <x:col min="4" max="4" width="22" hidden="0" customWidth="1"/>
    <x:col min="5" max="5" width="14" hidden="0" customWidth="1"/>
    <x:col min="6" max="6" width="52" hidden="0" customWidth="1"/>
  </x:cols>
  <x:sheetData>
    <x:row r="1" ht="15" hidden="0" customHeight="1">
      <x:c r="A1" s="322" t="str">
        <x:v>Step 1 — Final Formula-Integrity Audit</x:v>
      </x:c>
      <x:c r="B1" s="322"/>
      <x:c r="C1" s="322"/>
      <x:c r="D1" s="322"/>
      <x:c r="E1" s="322"/>
      <x:c r="F1" s="322"/>
    </x:row>
    <x:row r="2" ht="15" hidden="0" customHeight="1">
      <x:c r="A2" s="323" t="str">
        <x:v>Scope: verify that analytical results used for reporting are derived from archived raw inputs through spreadsheet formulas, not manually entered analytical outputs.</x:v>
      </x:c>
      <x:c r="B2" s="323"/>
      <x:c r="C2" s="323"/>
      <x:c r="D2" s="323"/>
      <x:c r="E2" s="323"/>
      <x:c r="F2" s="323"/>
    </x:row>
    <x:row r="3" ht="15" hidden="0" customHeight="1">
      <x:c r="A3" s="324"/>
      <x:c r="B3" s="324"/>
      <x:c r="C3" s="324"/>
      <x:c r="D3" s="324"/>
      <x:c r="E3" s="324"/>
      <x:c r="F3" s="324"/>
    </x:row>
    <x:row r="4" ht="26.399999618530273" hidden="0" customHeight="1">
      <x:c r="A4" s="322" t="str">
        <x:v>Sheet</x:v>
      </x:c>
      <x:c r="B4" s="322" t="str">
        <x:v>Formula cells audited</x:v>
      </x:c>
      <x:c r="C4" s="322" t="str">
        <x:v>Expected manual numeric inputs</x:v>
      </x:c>
      <x:c r="D4" s="322" t="str">
        <x:v>Unexpected hard-coded analytical outputs</x:v>
      </x:c>
      <x:c r="E4" s="322" t="str">
        <x:v>Status</x:v>
      </x:c>
      <x:c r="F4" s="322" t="str">
        <x:v>Key note</x:v>
      </x:c>
    </x:row>
    <x:row r="5" ht="26.399999618530273" hidden="0" customHeight="1">
      <x:c r="A5" s="323" t="str">
        <x:v>Quercetin_Calibration</x:v>
      </x:c>
      <x:c r="B5" s="323" t="n">
        <x:v>69</x:v>
      </x:c>
      <x:c r="C5" s="323" t="n">
        <x:v>16</x:v>
      </x:c>
      <x:c r="D5" s="323" t="n">
        <x:v>0</x:v>
      </x:c>
      <x:c r="E5" s="323" t="str">
        <x:v>PASS</x:v>
      </x:c>
      <x:c r="F5" s="323" t="str">
        <x:v>Only concentration + replicate absorbance inputs are manual; all diagnostics/model parameters are formula-derived.</x:v>
      </x:c>
    </x:row>
    <x:row r="6" ht="26.399999618530273" hidden="0" customHeight="1">
      <x:c r="A6" s="323" t="str">
        <x:v>Rutin_Calibration</x:v>
      </x:c>
      <x:c r="B6" s="323" t="n">
        <x:v>41</x:v>
      </x:c>
      <x:c r="C6" s="323" t="n">
        <x:v>16</x:v>
      </x:c>
      <x:c r="D6" s="323" t="n">
        <x:v>0</x:v>
      </x:c>
      <x:c r="E6" s="323" t="str">
        <x:v>PASS</x:v>
      </x:c>
      <x:c r="F6" s="323" t="str">
        <x:v>Only concentration + replicate absorbance inputs are manual; all diagnostics/model parameters are formula-derived.</x:v>
      </x:c>
    </x:row>
    <x:row r="7" ht="26.399999618530273" hidden="0" customHeight="1">
      <x:c r="A7" s="323" t="str">
        <x:v>Extract_Dilution</x:v>
      </x:c>
      <x:c r="B7" s="323" t="n">
        <x:v>55</x:v>
      </x:c>
      <x:c r="C7" s="323" t="n">
        <x:v>18</x:v>
      </x:c>
      <x:c r="D7" s="323" t="n">
        <x:v>0</x:v>
      </x:c>
      <x:c r="E7" s="323" t="str">
        <x:v>PASS</x:v>
      </x:c>
      <x:c r="F7" s="323" t="str">
        <x:v>Manual inputs are extract concentration/replicates and archived 77 g/500 g masses; yield and estimates are formula-derived.</x:v>
      </x:c>
    </x:row>
    <x:row r="8" ht="26.399999618530273" hidden="0" customHeight="1">
      <x:c r="A8" s="323" t="str">
        <x:v>Model_Sensitivity</x:v>
      </x:c>
      <x:c r="B8" s="323" t="n">
        <x:v>27</x:v>
      </x:c>
      <x:c r="C8" s="323" t="n">
        <x:v>0</x:v>
      </x:c>
      <x:c r="D8" s="323" t="n">
        <x:v>0</x:v>
      </x:c>
      <x:c r="E8" s="323" t="str">
        <x:v>PASS</x:v>
      </x:c>
      <x:c r="F8" s="323" t="str">
        <x:v>All numerical model summary values are linked by formulas from calibration/extract sheets.</x:v>
      </x:c>
    </x:row>
    <x:row r="9" ht="26.399999618530273" hidden="0" customHeight="1">
      <x:c r="A9" s="323" t="str">
        <x:v>Supplementary_Observations</x:v>
      </x:c>
      <x:c r="B9" s="323" t="n">
        <x:v>28</x:v>
      </x:c>
      <x:c r="C9" s="323" t="n">
        <x:v>33</x:v>
      </x:c>
      <x:c r="D9" s="323" t="n">
        <x:v>0</x:v>
      </x:c>
      <x:c r="E9" s="323" t="str">
        <x:v>PASS</x:v>
      </x:c>
      <x:c r="F9" s="323" t="str">
        <x:v>Manual numerics are archived observations plus explicit assumed response SD = 0.0005; derived summaries are formula-driven.</x:v>
      </x:c>
    </x:row>
    <x:row r="10" ht="26.399999618530273" hidden="0" customHeight="1">
      <x:c r="A10" s="323" t="str">
        <x:v>Final_Reference_Values</x:v>
      </x:c>
      <x:c r="B10" s="323" t="n">
        <x:v>179</x:v>
      </x:c>
      <x:c r="C10" s="323" t="n">
        <x:v>3</x:v>
      </x:c>
      <x:c r="D10" s="323" t="n">
        <x:v>0</x:v>
      </x:c>
      <x:c r="E10" s="323" t="str">
        <x:v>PASS</x:v>
      </x:c>
      <x:c r="F10" s="323" t="str">
        <x:v>Only the model-level counts 4/3/4 are numeric metadata; reported analytical values are formula-linked.</x:v>
      </x:c>
    </x:row>
    <x:row r="11" ht="15" hidden="0" customHeight="1">
      <x:c r="A11" s="324"/>
      <x:c r="B11" s="324"/>
      <x:c r="C11" s="324"/>
      <x:c r="D11" s="324"/>
      <x:c r="E11" s="324"/>
      <x:c r="F11" s="324"/>
    </x:row>
    <x:row r="12" ht="15" hidden="0" customHeight="1">
      <x:c r="A12" s="325" t="str">
        <x:v>Independent numerical verification of core formula outputs</x:v>
      </x:c>
      <x:c r="B12" s="325"/>
      <x:c r="C12" s="325"/>
      <x:c r="D12" s="325"/>
      <x:c r="E12" s="325"/>
      <x:c r="F12" s="325"/>
    </x:row>
    <x:row r="13" ht="15" hidden="0" customHeight="1">
      <x:c r="A13" s="322" t="str">
        <x:v>Check</x:v>
      </x:c>
      <x:c r="B13" s="322" t="str">
        <x:v>Workbook value</x:v>
      </x:c>
      <x:c r="C13" s="322" t="str">
        <x:v>Independent value</x:v>
      </x:c>
      <x:c r="D13" s="322" t="str">
        <x:v>Absolute difference</x:v>
      </x:c>
      <x:c r="E13" s="322" t="str">
        <x:v>Tolerance</x:v>
      </x:c>
      <x:c r="F13" s="322" t="str">
        <x:v>Result</x:v>
      </x:c>
    </x:row>
    <x:row r="14" ht="15" hidden="0" customHeight="1">
      <x:c r="A14" s="324" t="str">
        <x:v>Quercetin post hoc lower-range slope</x:v>
      </x:c>
      <x:c r="B14" s="324" t="n">
        <x:f>Quercetin_Calibration!M2</x:f>
        <x:v>6.564761904761904</x:v>
      </x:c>
      <x:c r="C14" s="324" t="n">
        <x:v>6.564761904761904</x:v>
      </x:c>
      <x:c r="D14" s="324" t="n">
        <x:f>ABS(B14-C14)</x:f>
        <x:v>0</x:v>
      </x:c>
      <x:c r="E14" s="324" t="n">
        <x:v>1e-12</x:v>
      </x:c>
      <x:c r="F14" s="324" t="str">
        <x:v>PASS</x:v>
      </x:c>
    </x:row>
    <x:row r="15" ht="15" hidden="0" customHeight="1">
      <x:c r="A15" s="324" t="str">
        <x:v>Quercetin post hoc lower-range intercept</x:v>
      </x:c>
      <x:c r="B15" s="324" t="n">
        <x:f>Quercetin_Calibration!M3</x:f>
        <x:v>0.06588333333333332</x:v>
      </x:c>
      <x:c r="C15" s="324" t="n">
        <x:v>0.06588333333333332</x:v>
      </x:c>
      <x:c r="D15" s="324" t="n">
        <x:f>ABS(B15-C15)</x:f>
        <x:v>0</x:v>
      </x:c>
      <x:c r="E15" s="324" t="n">
        <x:v>1e-12</x:v>
      </x:c>
      <x:c r="F15" s="324" t="str">
        <x:v>PASS</x:v>
      </x:c>
    </x:row>
    <x:row r="16" ht="15" hidden="0" customHeight="1">
      <x:c r="A16" s="324" t="str">
        <x:v>Quercetin complete-range slope</x:v>
      </x:c>
      <x:c r="B16" s="324" t="n">
        <x:f>Quercetin_Calibration!M5</x:f>
        <x:v>4.888813913043478</x:v>
      </x:c>
      <x:c r="C16" s="324" t="n">
        <x:v>4.888813913043478</x:v>
      </x:c>
      <x:c r="D16" s="324" t="n">
        <x:f>ABS(B16-C16)</x:f>
        <x:v>0</x:v>
      </x:c>
      <x:c r="E16" s="324" t="n">
        <x:v>1e-12</x:v>
      </x:c>
      <x:c r="F16" s="324" t="str">
        <x:v>PASS</x:v>
      </x:c>
    </x:row>
    <x:row r="17" ht="15" hidden="0" customHeight="1">
      <x:c r="A17" s="324" t="str">
        <x:v>Rutin complete-range slope</x:v>
      </x:c>
      <x:c r="B17" s="324" t="n">
        <x:f>Rutin_Calibration!M2</x:f>
        <x:v>11.71128115942029</x:v>
      </x:c>
      <x:c r="C17" s="324" t="n">
        <x:v>11.711281159420286</x:v>
      </x:c>
      <x:c r="D17" s="324" t="n">
        <x:f>ABS(B17-C17)</x:f>
        <x:v>3.552713678800501e-15</x:v>
      </x:c>
      <x:c r="E17" s="324" t="n">
        <x:v>1e-12</x:v>
      </x:c>
      <x:c r="F17" s="324" t="str">
        <x:v>PASS</x:v>
      </x:c>
    </x:row>
    <x:row r="18" ht="15" hidden="0" customHeight="1">
      <x:c r="A18" s="324" t="str">
        <x:v>Rutin estimate at 0.1000 mg/mL (mg RE/g)</x:v>
      </x:c>
      <x:c r="B18" s="324" t="n">
        <x:f>Extract_Dilution!K2</x:f>
        <x:v>152.8081928684148</x:v>
      </x:c>
      <x:c r="C18" s="324" t="n">
        <x:v>152.80819286841466</x:v>
      </x:c>
      <x:c r="D18" s="324" t="n">
        <x:f>ABS(B18-C18)</x:f>
        <x:v>1.4210854715202004e-13</x:v>
      </x:c>
      <x:c r="E18" s="324" t="n">
        <x:v>1e-9</x:v>
      </x:c>
      <x:c r="F18" s="324" t="str">
        <x:v>PASS</x:v>
      </x:c>
    </x:row>
    <x:row r="19" ht="15" hidden="0" customHeight="1">
      <x:c r="A19" s="324" t="str">
        <x:v>Quercetin complete estimate at 0.1000 mg/mL (mg QE/g)</x:v>
      </x:c>
      <x:c r="B19" s="324" t="n">
        <x:f>Extract_Dilution!M2</x:f>
        <x:v>145.6092488691131</x:v>
      </x:c>
      <x:c r="C19" s="324" t="n">
        <x:v>145.60924886911303</x:v>
      </x:c>
      <x:c r="D19" s="324" t="n">
        <x:f>ABS(B19-C19)</x:f>
        <x:v>5.684341886080802e-14</x:v>
      </x:c>
      <x:c r="E19" s="324" t="n">
        <x:v>1e-9</x:v>
      </x:c>
      <x:c r="F19" s="324" t="str">
        <x:v>PASS</x:v>
      </x:c>
    </x:row>
    <x:row r="20" ht="15" hidden="0" customHeight="1">
      <x:c r="A20" s="324" t="str">
        <x:v>Quercetin post hoc estimate at 0.1000 mg/mL (mg QE/g)</x:v>
      </x:c>
      <x:c r="B20" s="324" t="n">
        <x:f>Extract_Dilution!I2</x:f>
        <x:v>174.13680545480926</x:v>
      </x:c>
      <x:c r="C20" s="324" t="n">
        <x:v>174.13680545480926</x:v>
      </x:c>
      <x:c r="D20" s="324" t="n">
        <x:f>ABS(B20-C20)</x:f>
        <x:v>0</x:v>
      </x:c>
      <x:c r="E20" s="324" t="n">
        <x:v>1e-9</x:v>
      </x:c>
      <x:c r="F20" s="324" t="str">
        <x:v>PASS</x:v>
      </x:c>
    </x:row>
    <x:row r="21" ht="15" hidden="0" customHeight="1">
      <x:c r="A21" s="324" t="str">
        <x:v>Extraction yield fraction</x:v>
      </x:c>
      <x:c r="B21" s="324" t="n">
        <x:f>Extract_Dilution!S4</x:f>
        <x:v>0.154</x:v>
      </x:c>
      <x:c r="C21" s="324" t="n">
        <x:v>0.154</x:v>
      </x:c>
      <x:c r="D21" s="324" t="n">
        <x:f>ABS(B21-C21)</x:f>
        <x:v>0</x:v>
      </x:c>
      <x:c r="E21" s="324" t="n">
        <x:v>1e-12</x:v>
      </x:c>
      <x:c r="F21" s="324" t="str">
        <x:v>PASS</x:v>
      </x:c>
    </x:row>
    <x:row r="22" ht="15" hidden="0" customHeight="1">
      <x:c r="A22" s="324" t="str">
        <x:v>Highest-level absorbance below post hoc prediction (%)</x:v>
      </x:c>
      <x:c r="B22" s="324" t="n">
        <x:f>Quercetin_Calibration!M12</x:f>
        <x:v>19.61851208506514</x:v>
      </x:c>
      <x:c r="C22" s="324" t="n">
        <x:v>19.61851208506514</x:v>
      </x:c>
      <x:c r="D22" s="324" t="n">
        <x:f>ABS(B22-C22)</x:f>
        <x:v>0</x:v>
      </x:c>
      <x:c r="E22" s="324" t="n">
        <x:v>1e-10</x:v>
      </x:c>
      <x:c r="F22" s="324" t="str">
        <x:v>PASS</x:v>
      </x:c>
    </x:row>
    <x:row r="23" ht="15" hidden="0" customHeight="1">
      <x:c r="A23" s="324"/>
      <x:c r="B23" s="324"/>
      <x:c r="C23" s="324"/>
      <x:c r="D23" s="324"/>
      <x:c r="E23" s="324"/>
      <x:c r="F23" s="324"/>
    </x:row>
    <x:row r="24" ht="15" hidden="0" customHeight="1">
      <x:c r="A24" s="325" t="str">
        <x:v>Audit conclusion</x:v>
      </x:c>
      <x:c r="B24" s="325"/>
      <x:c r="C24" s="325"/>
      <x:c r="D24" s="325"/>
      <x:c r="E24" s="325"/>
      <x:c r="F24" s="325"/>
    </x:row>
    <x:row r="25">
      <x:c r="A25" s="323" t="str">
        <x:v>PASS. The analytical workbook is formula-driven for reported regression coefficients, R² values, means, sample SDs, RSDs, fitted responses, residuals, back-calculated concentrations, biases, origin-constrained sensitivity models, apparent standard-equivalent estimates, and leaf-normalized values. No formula errors were detected. The only manuscript traceability gap identified was the stated 19.6% highest-level quercetin deviation from the post hoc lower-range prediction: it was mathematically correct but was not previously stored as an explicit formula-linked reporting value. This audit adds Quercetin_Calibration!M12 and links it into Final_Reference_Values. Extraction yield is also now explicitly centralized in Final_Reference_Values.</x:v>
      </x:c>
      <x:c r="B25" s="323"/>
      <x:c r="C25" s="323"/>
      <x:c r="D25" s="323"/>
      <x:c r="E25" s="323"/>
      <x:c r="F25" s="323"/>
    </x:row>
    <x:row r="26">
      <x:c r="A26" s="323"/>
      <x:c r="B26" s="323"/>
      <x:c r="C26" s="323"/>
      <x:c r="D26" s="323"/>
      <x:c r="E26" s="323"/>
      <x:c r="F26" s="323"/>
    </x:row>
    <x:row r="27">
      <x:c r="A27" s="323"/>
      <x:c r="B27" s="323"/>
      <x:c r="C27" s="323"/>
      <x:c r="D27" s="323"/>
      <x:c r="E27" s="323"/>
      <x:c r="F27" s="323"/>
    </x:row>
    <x:row r="28">
      <x:c r="A28" s="323"/>
      <x:c r="B28" s="323"/>
      <x:c r="C28" s="323"/>
      <x:c r="D28" s="323"/>
      <x:c r="E28" s="323"/>
      <x:c r="F28" s="323"/>
    </x:row>
  </x:sheetData>
  <x:mergeCells>
    <x:mergeCell ref="A1:F1"/>
    <x:mergeCell ref="A2:F2"/>
    <x:mergeCell ref="A12:F12"/>
    <x:mergeCell ref="A24:F24"/>
    <x:mergeCell ref="A25:F28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14" hidden="0" customWidth="1"/>
    <x:col min="4" max="4" width="18" hidden="0" customWidth="1"/>
    <x:col min="5" max="5" width="15" hidden="0" customWidth="1"/>
    <x:col min="6" max="6" width="12" hidden="0" customWidth="1"/>
    <x:col min="7" max="7" width="15" hidden="0" customWidth="1"/>
    <x:col min="8" max="8" width="14" hidden="0" customWidth="1"/>
    <x:col min="9" max="9" width="14" hidden="0" customWidth="1"/>
    <x:col min="10" max="10" width="15" hidden="0" customWidth="1"/>
    <x:col min="11" max="11" width="14" hidden="0" customWidth="1"/>
    <x:col min="12" max="12" width="14" hidden="0" customWidth="1"/>
    <x:col min="13" max="13" width="12" hidden="0" customWidth="1"/>
    <x:col min="14" max="14" width="14" hidden="0" customWidth="1"/>
    <x:col min="15" max="15" width="17" hidden="0" customWidth="1"/>
    <x:col min="16" max="16" width="21" hidden="0" customWidth="1"/>
    <x:col min="17" max="17" width="52" hidden="0" customWidth="1"/>
  </x:cols>
  <x:sheetData>
    <x:row r="1" ht="26" customHeight="1">
      <x:c r="A1" s="372" t="str">
        <x:v>Step 2 — Formal Pure-Error Lack-of-Fit Analysis</x:v>
      </x:c>
      <x:c r="B1" s="372"/>
      <x:c r="C1" s="372"/>
      <x:c r="D1" s="372"/>
      <x:c r="E1" s="372"/>
      <x:c r="F1" s="372"/>
      <x:c r="G1" s="372"/>
      <x:c r="H1" s="372"/>
      <x:c r="I1" s="372"/>
      <x:c r="J1" s="372"/>
      <x:c r="K1" s="372"/>
      <x:c r="L1" s="372"/>
      <x:c r="M1" s="372"/>
      <x:c r="N1" s="372"/>
      <x:c r="O1" s="372"/>
      <x:c r="P1" s="372"/>
      <x:c r="Q1" s="372"/>
    </x:row>
    <x:row r="2">
      <x:c r="A2" s="323" t="str">
        <x:v>Purpose: formally partition regression residual error into pure error and lack-of-fit components using the archived triplicate calibration measurements at repeated concentration levels.</x:v>
      </x:c>
      <x:c r="B2" s="323"/>
      <x:c r="C2" s="323"/>
      <x:c r="D2" s="323"/>
      <x:c r="E2" s="323"/>
      <x:c r="F2" s="323"/>
      <x:c r="G2" s="323"/>
      <x:c r="H2" s="323"/>
      <x:c r="I2" s="323"/>
      <x:c r="J2" s="323"/>
      <x:c r="K2" s="323"/>
      <x:c r="L2" s="323"/>
      <x:c r="M2" s="323"/>
      <x:c r="N2" s="323"/>
      <x:c r="O2" s="323"/>
      <x:c r="P2" s="323"/>
      <x:c r="Q2" s="323"/>
    </x:row>
    <x:row r="3">
      <x:c r="A3" s="323" t="str">
        <x:v>Test definition: SSResidual = SSPure error + SSLack of fit; F = MSLOF / MSPE. H0: the specified linear model is adequate relative to within-run pure error. α = 0.05. These tests are conditional on the single within-run technical-replicate dataset and do not establish inter-run validation.</x:v>
      </x:c>
      <x:c r="B3" s="323"/>
      <x:c r="C3" s="323"/>
      <x:c r="D3" s="323"/>
      <x:c r="E3" s="323"/>
      <x:c r="F3" s="323"/>
      <x:c r="G3" s="323"/>
      <x:c r="H3" s="323"/>
      <x:c r="I3" s="323"/>
      <x:c r="J3" s="323"/>
      <x:c r="K3" s="323"/>
      <x:c r="L3" s="323"/>
      <x:c r="M3" s="323"/>
      <x:c r="N3" s="323"/>
      <x:c r="O3" s="323"/>
      <x:c r="P3" s="323"/>
      <x:c r="Q3" s="323"/>
    </x:row>
    <x:row r="4">
      <x:c r="A4" s="360" t="str">
        <x:v>Interpretive constraint: statistical significance is not, by itself, evidence of practically important analytical model inadequacy; residual magnitude, range coverage, model selection, and study design must also be considered. Because every included concentration has exactly three replicates, the existing OLS fit to concentration-level means yields the same slope/intercept as OLS applied to all individual replicated observations.</x:v>
      </x:c>
      <x:c r="B4" s="360"/>
      <x:c r="C4" s="360"/>
      <x:c r="D4" s="360"/>
      <x:c r="E4" s="360"/>
      <x:c r="F4" s="360"/>
      <x:c r="G4" s="360"/>
      <x:c r="H4" s="360"/>
      <x:c r="I4" s="360"/>
      <x:c r="J4" s="360"/>
      <x:c r="K4" s="360"/>
      <x:c r="L4" s="360"/>
      <x:c r="M4" s="360"/>
      <x:c r="N4" s="360"/>
      <x:c r="O4" s="360"/>
      <x:c r="P4" s="360"/>
      <x:c r="Q4" s="360"/>
    </x:row>
    <x:row r="5">
      <x:c r="A5" s="323"/>
      <x:c r="B5" s="323"/>
      <x:c r="C5" s="323"/>
      <x:c r="D5" s="323"/>
      <x:c r="E5" s="323"/>
      <x:c r="F5" s="323"/>
      <x:c r="G5" s="323"/>
      <x:c r="H5" s="323"/>
      <x:c r="I5" s="323"/>
      <x:c r="J5" s="323"/>
      <x:c r="K5" s="323"/>
      <x:c r="L5" s="323"/>
      <x:c r="M5" s="323"/>
      <x:c r="N5" s="323"/>
      <x:c r="O5" s="323"/>
      <x:c r="P5" s="323"/>
      <x:c r="Q5" s="323"/>
    </x:row>
    <x:row r="6">
      <x:c r="A6" s="373" t="str">
        <x:v>A. Formal lack-of-fit summary</x:v>
      </x:c>
      <x:c r="B6" s="373"/>
      <x:c r="C6" s="373"/>
      <x:c r="D6" s="373"/>
      <x:c r="E6" s="373"/>
      <x:c r="F6" s="373"/>
      <x:c r="G6" s="373"/>
      <x:c r="H6" s="373"/>
      <x:c r="I6" s="373"/>
      <x:c r="J6" s="373"/>
      <x:c r="K6" s="373"/>
      <x:c r="L6" s="373"/>
      <x:c r="M6" s="373"/>
      <x:c r="N6" s="373"/>
      <x:c r="O6" s="373"/>
      <x:c r="P6" s="373"/>
      <x:c r="Q6" s="373"/>
    </x:row>
    <x:row r="7">
      <x:c r="A7" s="362" t="str">
        <x:v>Model</x:v>
      </x:c>
      <x:c r="B7" s="362" t="str">
        <x:v>N</x:v>
      </x:c>
      <x:c r="C7" s="362" t="str">
        <x:v>Unique levels (g)</x:v>
      </x:c>
      <x:c r="D7" s="362" t="str">
        <x:v>Model parameters (p)</x:v>
      </x:c>
      <x:c r="E7" s="362" t="str">
        <x:v>SS residual</x:v>
      </x:c>
      <x:c r="F7" s="362" t="str">
        <x:v>df residual</x:v>
      </x:c>
      <x:c r="G7" s="362" t="str">
        <x:v>SS pure error</x:v>
      </x:c>
      <x:c r="H7" s="362" t="str">
        <x:v>df pure error</x:v>
      </x:c>
      <x:c r="I7" s="362" t="str">
        <x:v>MS pure error</x:v>
      </x:c>
      <x:c r="J7" s="362" t="str">
        <x:v>SS lack of fit</x:v>
      </x:c>
      <x:c r="K7" s="362" t="str">
        <x:v>df lack of fit</x:v>
      </x:c>
      <x:c r="L7" s="362" t="str">
        <x:v>MS lack of fit</x:v>
      </x:c>
      <x:c r="M7" s="362" t="str">
        <x:v>F</x:v>
      </x:c>
      <x:c r="N7" s="362" t="str">
        <x:v>p-value</x:v>
      </x:c>
      <x:c r="O7" s="362" t="str">
        <x:v>Max |mean residual|</x:v>
      </x:c>
      <x:c r="P7" s="362" t="str">
        <x:v>Relative magnitude at max |mean residual| (%)</x:v>
      </x:c>
      <x:c r="Q7" s="362" t="str">
        <x:v>Interpretation</x:v>
      </x:c>
    </x:row>
    <x:row r="8">
      <x:c r="A8" s="363" t="str">
        <x:v>Quercetin complete range</x:v>
      </x:c>
      <x:c r="B8" s="363" t="n">
        <x:f>COUNT(B15:D18)</x:f>
        <x:v>12</x:v>
      </x:c>
      <x:c r="C8" s="363" t="n">
        <x:f>COUNT(A15:A18)</x:f>
        <x:v>4</x:v>
      </x:c>
      <x:c r="D8" s="363" t="n">
        <x:v>2</x:v>
      </x:c>
      <x:c r="E8" s="364" t="n">
        <x:f>G8+J8</x:f>
        <x:v>0.0073990428973913286</x:v>
      </x:c>
      <x:c r="F8" s="363" t="n">
        <x:f>B8-D8</x:f>
        <x:v>10</x:v>
      </x:c>
      <x:c r="G8" s="364" t="n">
        <x:f>SUM(H15:H18)</x:f>
        <x:v>0.00004234793333333318</x:v>
      </x:c>
      <x:c r="H8" s="363" t="n">
        <x:f>B8-C8</x:f>
        <x:v>8</x:v>
      </x:c>
      <x:c r="I8" s="364" t="n">
        <x:f>G8/H8</x:f>
        <x:v>0.000005293491666666647</x:v>
      </x:c>
      <x:c r="J8" s="364" t="n">
        <x:f>SUM(I15:I18)</x:f>
        <x:v>0.007356694964057995</x:v>
      </x:c>
      <x:c r="K8" s="363" t="n">
        <x:f>C8-D8</x:f>
        <x:v>2</x:v>
      </x:c>
      <x:c r="L8" s="364" t="n">
        <x:f>J8/K8</x:f>
        <x:v>0.0036783474820289977</x:v>
      </x:c>
      <x:c r="M8" s="365" t="n">
        <x:f>L8/I8</x:f>
        <x:v>694.8811320874869</x:v>
      </x:c>
      <x:c r="N8" s="364" t="n">
        <x:f>F.DIST.RT(M8,K8,H8)</x:f>
        <x:v>1.0730666355485141e-9</x:v>
      </x:c>
      <x:c r="O8" s="365" t="n">
        <x:f>MAX(J15:J18)</x:f>
        <x:v>0.03994495652173918</x:v>
      </x:c>
      <x:c r="P8" s="366" t="n">
        <x:f>INDEX(K15:K18,MATCH(MAX(J15:J18),J15:J18,0))</x:f>
        <x:v>10.153776441723227</x:v>
      </x:c>
      <x:c r="Q8" s="363" t="str">
        <x:v>Statistically detectable lack of fit across the four-level complete range; consistent with the pronounced residual pattern/curvature.</x:v>
      </x:c>
    </x:row>
    <x:row r="9">
      <x:c r="A9" s="363" t="str">
        <x:v>Quercetin post hoc lower range</x:v>
      </x:c>
      <x:c r="B9" s="363" t="n">
        <x:f>COUNT(B23:D25)</x:f>
        <x:v>9</x:v>
      </x:c>
      <x:c r="C9" s="363" t="n">
        <x:f>COUNT(A23:A25)</x:f>
        <x:v>3</x:v>
      </x:c>
      <x:c r="D9" s="363" t="n">
        <x:v>2</x:v>
      </x:c>
      <x:c r="E9" s="364" t="n">
        <x:f>G9+J9</x:f>
        <x:v>0.00006394595238095201</x:v>
      </x:c>
      <x:c r="F9" s="363" t="n">
        <x:f>B9-D9</x:f>
        <x:v>7</x:v>
      </x:c>
      <x:c r="G9" s="364" t="n">
        <x:f>SUM(H23:H25)</x:f>
        <x:v>0.00004208666666666655</x:v>
      </x:c>
      <x:c r="H9" s="363" t="n">
        <x:f>B9-C9</x:f>
        <x:v>6</x:v>
      </x:c>
      <x:c r="I9" s="364" t="n">
        <x:f>G9/H9</x:f>
        <x:v>0.000007014444444444425</x:v>
      </x:c>
      <x:c r="J9" s="364" t="n">
        <x:f>SUM(I23:I25)</x:f>
        <x:v>0.000021859285714285464</x:v>
      </x:c>
      <x:c r="K9" s="363" t="n">
        <x:f>C9-D9</x:f>
        <x:v>1</x:v>
      </x:c>
      <x:c r="L9" s="364" t="n">
        <x:f>J9/K9</x:f>
        <x:v>0.000021859285714285464</x:v>
      </x:c>
      <x:c r="M9" s="365" t="n">
        <x:f>L9/I9</x:f>
        <x:v>3.116324590980037</x:v>
      </x:c>
      <x:c r="N9" s="364" t="n">
        <x:f>F.DIST.RT(M9,K9,H9)</x:f>
        <x:v>0.12795144339445486</x:v>
      </x:c>
      <x:c r="O9" s="365" t="n">
        <x:f>MAX(J23:J25)</x:f>
        <x:v>0.0021642857142857297</x:v>
      </x:c>
      <x:c r="P9" s="366" t="n">
        <x:f>INDEX(K23:K25,MATCH(MAX(J23:J25),J23:J25,0))</x:f>
        <x:v>0.9322120808122311</x:v>
      </x:c>
      <x:c r="Q9" s="363" t="str">
        <x:v>No statistically detectable lack of fit within the three selected lower levels; this does not validate the model because it is post hoc, sparse, and has only 1 lack-of-fit degree of freedom.</x:v>
      </x:c>
    </x:row>
    <x:row r="10">
      <x:c r="A10" s="363" t="str">
        <x:v>Rutin complete range</x:v>
      </x:c>
      <x:c r="B10" s="363" t="n">
        <x:f>COUNT(B30:D33)</x:f>
        <x:v>12</x:v>
      </x:c>
      <x:c r="C10" s="363" t="n">
        <x:f>COUNT(A30:A33)</x:f>
        <x:v>4</x:v>
      </x:c>
      <x:c r="D10" s="363" t="n">
        <x:v>2</x:v>
      </x:c>
      <x:c r="E10" s="364" t="n">
        <x:f>G10+J10</x:f>
        <x:v>0.000019102202898550708</x:v>
      </x:c>
      <x:c r="F10" s="363" t="n">
        <x:f>B10-D10</x:f>
        <x:v>10</x:v>
      </x:c>
      <x:c r="G10" s="364" t="n">
        <x:f>SUM(H30:H33)</x:f>
        <x:v>0.000004559999999999996</x:v>
      </x:c>
      <x:c r="H10" s="363" t="n">
        <x:f>B10-C10</x:f>
        <x:v>8</x:v>
      </x:c>
      <x:c r="I10" s="364" t="n">
        <x:f>G10/H10</x:f>
        <x:v>5.699999999999995e-7</x:v>
      </x:c>
      <x:c r="J10" s="364" t="n">
        <x:f>SUM(I30:I33)</x:f>
        <x:v>0.00001454220289855071</x:v>
      </x:c>
      <x:c r="K10" s="363" t="n">
        <x:f>C10-D10</x:f>
        <x:v>2</x:v>
      </x:c>
      <x:c r="L10" s="364" t="n">
        <x:f>J10/K10</x:f>
        <x:v>0.000007271101449275355</x:v>
      </x:c>
      <x:c r="M10" s="365" t="n">
        <x:f>L10/I10</x:f>
        <x:v>12.756318332062039</x:v>
      </x:c>
      <x:c r="N10" s="364" t="n">
        <x:f>F.DIST.RT(M10,K10,H10)</x:f>
        <x:v>0.0032473235028661618</x:v>
      </x:c>
      <x:c r="O10" s="365" t="n">
        <x:f>MAX(J30:J33)</x:f>
        <x:v>0.0017092753623189072</x:v>
      </x:c>
      <x:c r="P10" s="366" t="n">
        <x:f>INDEX(K30:K33,MATCH(MAX(J30:J33),J30:J33,0))</x:f>
        <x:v>0.5779785941114428</x:v>
      </x:c>
      <x:c r="Q10" s="363" t="str">
        <x:v>Statistically detectable lack of fit, but the maximum mean residual is very small in absolute magnitude (≈0.001709 absorbance unit; ≈0.58% of the mean response at that level). Report statistical detectability without equating it with analytically important inadequacy.</x:v>
      </x:c>
    </x:row>
    <x:row r="11">
      <x:c r="A11" s="323"/>
      <x:c r="B11" s="323"/>
      <x:c r="C11" s="323"/>
      <x:c r="D11" s="323"/>
      <x:c r="E11" s="323"/>
      <x:c r="F11" s="323"/>
      <x:c r="G11" s="323"/>
      <x:c r="H11" s="323"/>
      <x:c r="I11" s="323"/>
      <x:c r="J11" s="323"/>
      <x:c r="K11" s="323"/>
      <x:c r="L11" s="323"/>
      <x:c r="M11" s="323"/>
      <x:c r="N11" s="323"/>
      <x:c r="O11" s="323"/>
      <x:c r="P11" s="323"/>
      <x:c r="Q11" s="323"/>
    </x:row>
    <x:row r="12">
      <x:c r="A12" s="323"/>
      <x:c r="B12" s="323"/>
      <x:c r="C12" s="323"/>
      <x:c r="D12" s="323"/>
      <x:c r="E12" s="323"/>
      <x:c r="F12" s="323"/>
      <x:c r="G12" s="323"/>
      <x:c r="H12" s="323"/>
      <x:c r="I12" s="323"/>
      <x:c r="J12" s="323"/>
      <x:c r="K12" s="323"/>
      <x:c r="L12" s="323"/>
      <x:c r="M12" s="323"/>
      <x:c r="N12" s="323"/>
      <x:c r="O12" s="323"/>
      <x:c r="P12" s="323"/>
      <x:c r="Q12" s="323"/>
    </x:row>
    <x:row r="13">
      <x:c r="A13" s="374" t="str">
        <x:v>B. Quercetin complete-range per-level decomposition</x:v>
      </x:c>
      <x:c r="B13" s="374"/>
      <x:c r="C13" s="374"/>
      <x:c r="D13" s="374"/>
      <x:c r="E13" s="374"/>
      <x:c r="F13" s="374"/>
      <x:c r="G13" s="374"/>
      <x:c r="H13" s="374"/>
      <x:c r="I13" s="374"/>
      <x:c r="J13" s="374"/>
      <x:c r="K13" s="374"/>
      <x:c r="L13" s="323"/>
      <x:c r="M13" s="323"/>
      <x:c r="N13" s="323"/>
      <x:c r="O13" s="323"/>
      <x:c r="P13" s="323"/>
      <x:c r="Q13" s="323"/>
    </x:row>
    <x:row r="14">
      <x:c r="A14" s="362" t="str">
        <x:v>Nominal C (mg/mL)</x:v>
      </x:c>
      <x:c r="B14" s="362" t="str">
        <x:v>Replicate 1</x:v>
      </x:c>
      <x:c r="C14" s="362" t="str">
        <x:v>Replicate 2</x:v>
      </x:c>
      <x:c r="D14" s="362" t="str">
        <x:v>Replicate 3</x:v>
      </x:c>
      <x:c r="E14" s="362" t="str">
        <x:v>Mean A</x:v>
      </x:c>
      <x:c r="F14" s="362" t="str">
        <x:v>Fitted A</x:v>
      </x:c>
      <x:c r="G14" s="362" t="str">
        <x:v>Mean residual</x:v>
      </x:c>
      <x:c r="H14" s="362" t="str">
        <x:v>Pure-error SS contribution</x:v>
      </x:c>
      <x:c r="I14" s="362" t="str">
        <x:v>Lack-of-fit SS contribution</x:v>
      </x:c>
      <x:c r="J14" s="362" t="str">
        <x:v>|Mean residual|</x:v>
      </x:c>
      <x:c r="K14" s="362" t="str">
        <x:v>Relative |mean residual| (%)</x:v>
      </x:c>
      <x:c r="L14" s="323"/>
      <x:c r="M14" s="323"/>
      <x:c r="N14" s="323"/>
      <x:c r="O14" s="323"/>
      <x:c r="P14" s="323"/>
      <x:c r="Q14" s="323"/>
    </x:row>
    <x:row r="15">
      <x:c r="A15" s="365" t="n">
        <x:f>'Quercetin_Calibration'!A2</x:f>
        <x:v>0.0125</x:v>
      </x:c>
      <x:c r="B15" s="365" t="n">
        <x:f>'Quercetin_Calibration'!B2</x:f>
        <x:v>0.1427</x:v>
      </x:c>
      <x:c r="C15" s="365" t="n">
        <x:f>'Quercetin_Calibration'!C2</x:f>
        <x:v>0.1466</x:v>
      </x:c>
      <x:c r="D15" s="365" t="n">
        <x:f>'Quercetin_Calibration'!D2</x:f>
        <x:v>0.1502</x:v>
      </x:c>
      <x:c r="E15" s="365" t="n">
        <x:f>'Quercetin_Calibration'!E2</x:f>
        <x:v>0.1465</x:v>
      </x:c>
      <x:c r="F15" s="365" t="n">
        <x:f>'Quercetin_Calibration'!N2</x:f>
        <x:v>0.17012452173913045</x:v>
      </x:c>
      <x:c r="G15" s="365" t="n">
        <x:f>E15-F15</x:f>
        <x:v>-0.02362452173913046</x:v>
      </x:c>
      <x:c r="H15" s="365" t="n">
        <x:f>DEVSQ(B15:D15)</x:f>
        <x:v>0.000028140000000000052</x:v>
      </x:c>
      <x:c r="I15" s="365" t="n">
        <x:f>COUNT(B15:D15)*(E15-F15)^2</x:f>
        <x:v>0.0016743540822079434</x:v>
      </x:c>
      <x:c r="J15" s="365" t="n">
        <x:f>ABS(G15)</x:f>
        <x:v>0.02362452173913046</x:v>
      </x:c>
      <x:c r="K15" s="365" t="n">
        <x:f>IF(E15=0,"",J15/ABS(E15)*100)</x:f>
        <x:v>16.125953405549804</x:v>
      </x:c>
      <x:c r="L15" s="323"/>
      <x:c r="M15" s="323"/>
      <x:c r="N15" s="323"/>
      <x:c r="O15" s="323"/>
      <x:c r="P15" s="323"/>
      <x:c r="Q15" s="323"/>
    </x:row>
    <x:row r="16">
      <x:c r="A16" s="365" t="n">
        <x:f>'Quercetin_Calibration'!A3</x:f>
        <x:v>0.025</x:v>
      </x:c>
      <x:c r="B16" s="365" t="n">
        <x:f>'Quercetin_Calibration'!B3</x:f>
        <x:v>0.2324</x:v>
      </x:c>
      <x:c r="C16" s="365" t="n">
        <x:f>'Quercetin_Calibration'!C3</x:f>
        <x:v>0.2322</x:v>
      </x:c>
      <x:c r="D16" s="365" t="n">
        <x:f>'Quercetin_Calibration'!D3</x:f>
        <x:v>0.2319</x:v>
      </x:c>
      <x:c r="E16" s="365" t="n">
        <x:f>'Quercetin_Calibration'!E3</x:f>
        <x:v>0.23216666666666666</x:v>
      </x:c>
      <x:c r="F16" s="365" t="n">
        <x:f>'Quercetin_Calibration'!N3</x:f>
        <x:v>0.23123469565217392</x:v>
      </x:c>
      <x:c r="G16" s="365" t="n">
        <x:f>E16-F16</x:f>
        <x:v>0.000931971014492744</x:v>
      </x:c>
      <x:c r="H16" s="365" t="n">
        <x:f>DEVSQ(B16:D16)</x:f>
        <x:v>1.2666666666666653e-7</x:v>
      </x:c>
      <x:c r="I16" s="365" t="n">
        <x:f>COUNT(B16:D16)*(E16-F16)^2</x:f>
        <x:v>0.0000026057099155639037</x:v>
      </x:c>
      <x:c r="J16" s="365" t="n">
        <x:f>ABS(G16)</x:f>
        <x:v>0.000931971014492744</x:v>
      </x:c>
      <x:c r="K16" s="365" t="n">
        <x:f>IF(E16=0,"",J16/ABS(E16)*100)</x:f>
        <x:v>0.4014232653952954</x:v>
      </x:c>
      <x:c r="L16" s="323"/>
      <x:c r="M16" s="323"/>
      <x:c r="N16" s="323"/>
      <x:c r="O16" s="323"/>
      <x:c r="P16" s="323"/>
      <x:c r="Q16" s="323"/>
    </x:row>
    <x:row r="17">
      <x:c r="A17" s="365" t="n">
        <x:f>'Quercetin_Calibration'!A4</x:f>
        <x:v>0.05</x:v>
      </x:c>
      <x:c r="B17" s="365" t="n">
        <x:f>'Quercetin_Calibration'!B4</x:f>
        <x:v>0.3953</x:v>
      </x:c>
      <x:c r="C17" s="365" t="n">
        <x:f>'Quercetin_Calibration'!C4</x:f>
        <x:v>0.3945</x:v>
      </x:c>
      <x:c r="D17" s="365" t="n">
        <x:f>'Quercetin_Calibration'!D4</x:f>
        <x:v>0.3904</x:v>
      </x:c>
      <x:c r="E17" s="365" t="n">
        <x:f>'Quercetin_Calibration'!E4</x:f>
        <x:v>0.3934</x:v>
      </x:c>
      <x:c r="F17" s="365" t="n">
        <x:f>'Quercetin_Calibration'!N4</x:f>
        <x:v>0.35345504347826084</x:v>
      </x:c>
      <x:c r="G17" s="365" t="n">
        <x:f>E17-F17</x:f>
        <x:v>0.03994495652173918</x:v>
      </x:c>
      <x:c r="H17" s="365" t="n">
        <x:f>DEVSQ(B17:D17)</x:f>
        <x:v>0.00001381999999999983</x:v>
      </x:c>
      <x:c r="I17" s="365" t="n">
        <x:f>COUNT(B17:D17)*(E17-F17)^2</x:f>
        <x:v>0.004786798654570901</x:v>
      </x:c>
      <x:c r="J17" s="365" t="n">
        <x:f>ABS(G17)</x:f>
        <x:v>0.03994495652173918</x:v>
      </x:c>
      <x:c r="K17" s="365" t="n">
        <x:f>IF(E17=0,"",J17/ABS(E17)*100)</x:f>
        <x:v>10.153776441723227</x:v>
      </x:c>
      <x:c r="L17" s="323"/>
      <x:c r="M17" s="323"/>
      <x:c r="N17" s="323"/>
      <x:c r="O17" s="323"/>
      <x:c r="P17" s="323"/>
      <x:c r="Q17" s="323"/>
    </x:row>
    <x:row r="18">
      <x:c r="A18" s="365" t="n">
        <x:f>'Quercetin_Calibration'!A5</x:f>
        <x:v>0.1</x:v>
      </x:c>
      <x:c r="B18" s="365" t="n">
        <x:f>'Quercetin_Calibration'!B5</x:f>
        <x:v>0.5809</x:v>
      </x:c>
      <x:c r="C18" s="365" t="n">
        <x:f>'Quercetin_Calibration'!C5</x:f>
        <x:v>0.5808</x:v>
      </x:c>
      <x:c r="D18" s="365" t="n">
        <x:f>'Quercetin_Calibration'!D5</x:f>
        <x:v>0.58023</x:v>
      </x:c>
      <x:c r="E18" s="365" t="n">
        <x:f>'Quercetin_Calibration'!E5</x:f>
        <x:v>0.5806433333333333</x:v>
      </x:c>
      <x:c r="F18" s="365" t="n">
        <x:f>'Quercetin_Calibration'!N5</x:f>
        <x:v>0.5978957391304348</x:v>
      </x:c>
      <x:c r="G18" s="365" t="n">
        <x:f>E18-F18</x:f>
        <x:v>-0.017252405797101522</x:v>
      </x:c>
      <x:c r="H18" s="365" t="n">
        <x:f>DEVSQ(B18:D18)</x:f>
        <x:v>2.6126666666662746e-7</x:v>
      </x:c>
      <x:c r="I18" s="365" t="n">
        <x:f>COUNT(B18:D18)*(E18-F18)^2</x:f>
        <x:v>0.0008929365173635866</x:v>
      </x:c>
      <x:c r="J18" s="365" t="n">
        <x:f>ABS(G18)</x:f>
        <x:v>0.017252405797101522</x:v>
      </x:c>
      <x:c r="K18" s="365" t="n">
        <x:f>IF(E18=0,"",J18/ABS(E18)*100)</x:f>
        <x:v>2.9712570190136556</x:v>
      </x:c>
      <x:c r="L18" s="323"/>
      <x:c r="M18" s="323"/>
      <x:c r="N18" s="323"/>
      <x:c r="O18" s="323"/>
      <x:c r="P18" s="323"/>
      <x:c r="Q18" s="323"/>
    </x:row>
    <x:row r="19">
      <x:c r="A19" s="323"/>
      <x:c r="B19" s="323"/>
      <x:c r="C19" s="323"/>
      <x:c r="D19" s="323"/>
      <x:c r="E19" s="323"/>
      <x:c r="F19" s="323"/>
      <x:c r="G19" s="323"/>
      <x:c r="H19" s="323"/>
      <x:c r="I19" s="323"/>
      <x:c r="J19" s="323"/>
      <x:c r="K19" s="323"/>
      <x:c r="L19" s="323"/>
      <x:c r="M19" s="323"/>
      <x:c r="N19" s="323"/>
      <x:c r="O19" s="323"/>
      <x:c r="P19" s="323"/>
      <x:c r="Q19" s="323"/>
    </x:row>
    <x:row r="20">
      <x:c r="A20" s="323"/>
      <x:c r="B20" s="323"/>
      <x:c r="C20" s="323"/>
      <x:c r="D20" s="323"/>
      <x:c r="E20" s="323"/>
      <x:c r="F20" s="323"/>
      <x:c r="G20" s="323"/>
      <x:c r="H20" s="323"/>
      <x:c r="I20" s="323"/>
      <x:c r="J20" s="323"/>
      <x:c r="K20" s="323"/>
      <x:c r="L20" s="323"/>
      <x:c r="M20" s="323"/>
      <x:c r="N20" s="323"/>
      <x:c r="O20" s="323"/>
      <x:c r="P20" s="323"/>
      <x:c r="Q20" s="323"/>
    </x:row>
    <x:row r="21">
      <x:c r="A21" s="374" t="str">
        <x:v>C. Quercetin post hoc lower-range per-level decomposition</x:v>
      </x:c>
      <x:c r="B21" s="374"/>
      <x:c r="C21" s="374"/>
      <x:c r="D21" s="374"/>
      <x:c r="E21" s="374"/>
      <x:c r="F21" s="374"/>
      <x:c r="G21" s="374"/>
      <x:c r="H21" s="374"/>
      <x:c r="I21" s="374"/>
      <x:c r="J21" s="374"/>
      <x:c r="K21" s="374"/>
      <x:c r="L21" s="323"/>
      <x:c r="M21" s="323"/>
      <x:c r="N21" s="323"/>
      <x:c r="O21" s="323"/>
      <x:c r="P21" s="323"/>
      <x:c r="Q21" s="323"/>
    </x:row>
    <x:row r="22">
      <x:c r="A22" s="362" t="str">
        <x:v>Nominal C (mg/mL)</x:v>
      </x:c>
      <x:c r="B22" s="362" t="str">
        <x:v>Replicate 1</x:v>
      </x:c>
      <x:c r="C22" s="362" t="str">
        <x:v>Replicate 2</x:v>
      </x:c>
      <x:c r="D22" s="362" t="str">
        <x:v>Replicate 3</x:v>
      </x:c>
      <x:c r="E22" s="362" t="str">
        <x:v>Mean A</x:v>
      </x:c>
      <x:c r="F22" s="362" t="str">
        <x:v>Fitted A</x:v>
      </x:c>
      <x:c r="G22" s="362" t="str">
        <x:v>Mean residual</x:v>
      </x:c>
      <x:c r="H22" s="362" t="str">
        <x:v>Pure-error SS contribution</x:v>
      </x:c>
      <x:c r="I22" s="362" t="str">
        <x:v>Lack-of-fit SS contribution</x:v>
      </x:c>
      <x:c r="J22" s="362" t="str">
        <x:v>|Mean residual|</x:v>
      </x:c>
      <x:c r="K22" s="362" t="str">
        <x:v>Relative |mean residual| (%)</x:v>
      </x:c>
      <x:c r="L22" s="323"/>
      <x:c r="M22" s="323"/>
      <x:c r="N22" s="323"/>
      <x:c r="O22" s="323"/>
      <x:c r="P22" s="323"/>
      <x:c r="Q22" s="323"/>
    </x:row>
    <x:row r="23">
      <x:c r="A23" s="365" t="n">
        <x:f>'Quercetin_Calibration'!A2</x:f>
        <x:v>0.0125</x:v>
      </x:c>
      <x:c r="B23" s="365" t="n">
        <x:f>'Quercetin_Calibration'!B2</x:f>
        <x:v>0.1427</x:v>
      </x:c>
      <x:c r="C23" s="365" t="n">
        <x:f>'Quercetin_Calibration'!C2</x:f>
        <x:v>0.1466</x:v>
      </x:c>
      <x:c r="D23" s="365" t="n">
        <x:f>'Quercetin_Calibration'!D2</x:f>
        <x:v>0.1502</x:v>
      </x:c>
      <x:c r="E23" s="365" t="n">
        <x:f>'Quercetin_Calibration'!E2</x:f>
        <x:v>0.1465</x:v>
      </x:c>
      <x:c r="F23" s="365" t="n">
        <x:f>'Quercetin_Calibration'!H2</x:f>
        <x:v>0.14794285714285713</x:v>
      </x:c>
      <x:c r="G23" s="365" t="n">
        <x:f>E23-F23</x:f>
        <x:v>-0.0014428571428571346</x:v>
      </x:c>
      <x:c r="H23" s="365" t="n">
        <x:f>DEVSQ(B23:D23)</x:f>
        <x:v>0.000028140000000000052</x:v>
      </x:c>
      <x:c r="I23" s="365" t="n">
        <x:f>COUNT(B23:D23)*(E23-F23)^2</x:f>
        <x:v>0.000006245510204081562</x:v>
      </x:c>
      <x:c r="J23" s="365" t="n">
        <x:f>ABS(G23)</x:f>
        <x:v>0.0014428571428571346</x:v>
      </x:c>
      <x:c r="K23" s="365" t="n">
        <x:f>IF(E23=0,"",J23/ABS(E23)*100)</x:f>
        <x:v>0.9848854217454844</x:v>
      </x:c>
      <x:c r="L23" s="323"/>
      <x:c r="M23" s="323"/>
      <x:c r="N23" s="323"/>
      <x:c r="O23" s="323"/>
      <x:c r="P23" s="323"/>
      <x:c r="Q23" s="323"/>
    </x:row>
    <x:row r="24">
      <x:c r="A24" s="365" t="n">
        <x:f>'Quercetin_Calibration'!A3</x:f>
        <x:v>0.025</x:v>
      </x:c>
      <x:c r="B24" s="365" t="n">
        <x:f>'Quercetin_Calibration'!B3</x:f>
        <x:v>0.2324</x:v>
      </x:c>
      <x:c r="C24" s="365" t="n">
        <x:f>'Quercetin_Calibration'!C3</x:f>
        <x:v>0.2322</x:v>
      </x:c>
      <x:c r="D24" s="365" t="n">
        <x:f>'Quercetin_Calibration'!D3</x:f>
        <x:v>0.2319</x:v>
      </x:c>
      <x:c r="E24" s="365" t="n">
        <x:f>'Quercetin_Calibration'!E3</x:f>
        <x:v>0.23216666666666666</x:v>
      </x:c>
      <x:c r="F24" s="365" t="n">
        <x:f>'Quercetin_Calibration'!H3</x:f>
        <x:v>0.23000238095238093</x:v>
      </x:c>
      <x:c r="G24" s="365" t="n">
        <x:f>E24-F24</x:f>
        <x:v>0.0021642857142857297</x:v>
      </x:c>
      <x:c r="H24" s="365" t="n">
        <x:f>DEVSQ(B24:D24)</x:f>
        <x:v>1.2666666666666653e-7</x:v>
      </x:c>
      <x:c r="I24" s="365" t="n">
        <x:f>COUNT(B24:D24)*(E24-F24)^2</x:f>
        <x:v>0.000014052397959183873</x:v>
      </x:c>
      <x:c r="J24" s="365" t="n">
        <x:f>ABS(G24)</x:f>
        <x:v>0.0021642857142857297</x:v>
      </x:c>
      <x:c r="K24" s="365" t="n">
        <x:f>IF(E24=0,"",J24/ABS(E24)*100)</x:f>
        <x:v>0.9322120808122311</x:v>
      </x:c>
      <x:c r="L24" s="323"/>
      <x:c r="M24" s="323"/>
      <x:c r="N24" s="323"/>
      <x:c r="O24" s="323"/>
      <x:c r="P24" s="323"/>
      <x:c r="Q24" s="323"/>
    </x:row>
    <x:row r="25">
      <x:c r="A25" s="365" t="n">
        <x:f>'Quercetin_Calibration'!A4</x:f>
        <x:v>0.05</x:v>
      </x:c>
      <x:c r="B25" s="365" t="n">
        <x:f>'Quercetin_Calibration'!B4</x:f>
        <x:v>0.3953</x:v>
      </x:c>
      <x:c r="C25" s="365" t="n">
        <x:f>'Quercetin_Calibration'!C4</x:f>
        <x:v>0.3945</x:v>
      </x:c>
      <x:c r="D25" s="365" t="n">
        <x:f>'Quercetin_Calibration'!D4</x:f>
        <x:v>0.3904</x:v>
      </x:c>
      <x:c r="E25" s="365" t="n">
        <x:f>'Quercetin_Calibration'!E4</x:f>
        <x:v>0.3934</x:v>
      </x:c>
      <x:c r="F25" s="365" t="n">
        <x:f>'Quercetin_Calibration'!H4</x:f>
        <x:v>0.3941214285714285</x:v>
      </x:c>
      <x:c r="G25" s="365" t="n">
        <x:f>E25-F25</x:f>
        <x:v>-0.000721428571428484</x:v>
      </x:c>
      <x:c r="H25" s="365" t="n">
        <x:f>DEVSQ(B25:D25)</x:f>
        <x:v>0.00001381999999999983</x:v>
      </x:c>
      <x:c r="I25" s="365" t="n">
        <x:f>COUNT(B25:D25)*(E25-F25)^2</x:f>
        <x:v>0.00000156137755102003</x:v>
      </x:c>
      <x:c r="J25" s="365" t="n">
        <x:f>ABS(G25)</x:f>
        <x:v>0.000721428571428484</x:v>
      </x:c>
      <x:c r="K25" s="365" t="n">
        <x:f>IF(E25=0,"",J25/ABS(E25)*100)</x:f>
        <x:v>0.1833829617255933</x:v>
      </x:c>
      <x:c r="L25" s="323"/>
      <x:c r="M25" s="323"/>
      <x:c r="N25" s="323"/>
      <x:c r="O25" s="323"/>
      <x:c r="P25" s="323"/>
      <x:c r="Q25" s="323"/>
    </x:row>
    <x:row r="26">
      <x:c r="A26" s="323"/>
      <x:c r="B26" s="323"/>
      <x:c r="C26" s="323"/>
      <x:c r="D26" s="323"/>
      <x:c r="E26" s="323"/>
      <x:c r="F26" s="323"/>
      <x:c r="G26" s="323"/>
      <x:c r="H26" s="323"/>
      <x:c r="I26" s="323"/>
      <x:c r="J26" s="323"/>
      <x:c r="K26" s="323"/>
      <x:c r="L26" s="323"/>
      <x:c r="M26" s="323"/>
      <x:c r="N26" s="323"/>
      <x:c r="O26" s="323"/>
      <x:c r="P26" s="323"/>
      <x:c r="Q26" s="323"/>
    </x:row>
    <x:row r="27">
      <x:c r="A27" s="323"/>
      <x:c r="B27" s="323"/>
      <x:c r="C27" s="323"/>
      <x:c r="D27" s="323"/>
      <x:c r="E27" s="323"/>
      <x:c r="F27" s="323"/>
      <x:c r="G27" s="323"/>
      <x:c r="H27" s="323"/>
      <x:c r="I27" s="323"/>
      <x:c r="J27" s="323"/>
      <x:c r="K27" s="323"/>
      <x:c r="L27" s="323"/>
      <x:c r="M27" s="323"/>
      <x:c r="N27" s="323"/>
      <x:c r="O27" s="323"/>
      <x:c r="P27" s="323"/>
      <x:c r="Q27" s="323"/>
    </x:row>
    <x:row r="28">
      <x:c r="A28" s="374" t="str">
        <x:v>D. Rutin complete-range per-level decomposition</x:v>
      </x:c>
      <x:c r="B28" s="374"/>
      <x:c r="C28" s="374"/>
      <x:c r="D28" s="374"/>
      <x:c r="E28" s="374"/>
      <x:c r="F28" s="374"/>
      <x:c r="G28" s="374"/>
      <x:c r="H28" s="374"/>
      <x:c r="I28" s="374"/>
      <x:c r="J28" s="374"/>
      <x:c r="K28" s="374"/>
      <x:c r="L28" s="323"/>
      <x:c r="M28" s="323"/>
      <x:c r="N28" s="323"/>
      <x:c r="O28" s="323"/>
      <x:c r="P28" s="323"/>
      <x:c r="Q28" s="323"/>
    </x:row>
    <x:row r="29">
      <x:c r="A29" s="362" t="str">
        <x:v>Nominal C (mg/mL)</x:v>
      </x:c>
      <x:c r="B29" s="362" t="str">
        <x:v>Replicate 1</x:v>
      </x:c>
      <x:c r="C29" s="362" t="str">
        <x:v>Replicate 2</x:v>
      </x:c>
      <x:c r="D29" s="362" t="str">
        <x:v>Replicate 3</x:v>
      </x:c>
      <x:c r="E29" s="362" t="str">
        <x:v>Mean A</x:v>
      </x:c>
      <x:c r="F29" s="362" t="str">
        <x:v>Fitted A</x:v>
      </x:c>
      <x:c r="G29" s="362" t="str">
        <x:v>Mean residual</x:v>
      </x:c>
      <x:c r="H29" s="362" t="str">
        <x:v>Pure-error SS contribution</x:v>
      </x:c>
      <x:c r="I29" s="362" t="str">
        <x:v>Lack-of-fit SS contribution</x:v>
      </x:c>
      <x:c r="J29" s="362" t="str">
        <x:v>|Mean residual|</x:v>
      </x:c>
      <x:c r="K29" s="362" t="str">
        <x:v>Relative |mean residual| (%)</x:v>
      </x:c>
      <x:c r="L29" s="323"/>
      <x:c r="M29" s="323"/>
      <x:c r="N29" s="323"/>
      <x:c r="O29" s="323"/>
      <x:c r="P29" s="323"/>
      <x:c r="Q29" s="323"/>
    </x:row>
    <x:row r="30">
      <x:c r="A30" s="365" t="n">
        <x:f>'Rutin_Calibration'!A2</x:f>
        <x:v>0.0125</x:v>
      </x:c>
      <x:c r="B30" s="365" t="n">
        <x:f>'Rutin_Calibration'!B2</x:f>
        <x:v>0.1468</x:v>
      </x:c>
      <x:c r="C30" s="365" t="n">
        <x:f>'Rutin_Calibration'!C2</x:f>
        <x:v>0.1459</x:v>
      </x:c>
      <x:c r="D30" s="365" t="n">
        <x:f>'Rutin_Calibration'!D2</x:f>
        <x:v>0.1461</x:v>
      </x:c>
      <x:c r="E30" s="365" t="n">
        <x:f>'Rutin_Calibration'!E2</x:f>
        <x:v>0.14626666666666668</x:v>
      </x:c>
      <x:c r="F30" s="365" t="n">
        <x:f>'Rutin_Calibration'!H2</x:f>
        <x:v>0.1476330434782608</x:v>
      </x:c>
      <x:c r="G30" s="365" t="n">
        <x:f>E30-F30</x:f>
        <x:v>-0.0013663768115941277</x:v>
      </x:c>
      <x:c r="H30" s="365" t="n">
        <x:f>DEVSQ(B30:D30)</x:f>
        <x:v>4.4666666666667744e-7</x:v>
      </x:c>
      <x:c r="I30" s="365" t="n">
        <x:f>COUNT(B30:D30)*(E30-F30)^2</x:f>
        <x:v>0.000005600956773786403</x:v>
      </x:c>
      <x:c r="J30" s="365" t="n">
        <x:f>ABS(G30)</x:f>
        <x:v>0.0013663768115941277</x:v>
      </x:c>
      <x:c r="K30" s="365" t="n">
        <x:f>IF(E30=0,"",J30/ABS(E30)*100)</x:f>
        <x:v>0.9341682850461219</x:v>
      </x:c>
      <x:c r="L30" s="323"/>
      <x:c r="M30" s="323"/>
      <x:c r="N30" s="323"/>
      <x:c r="O30" s="323"/>
      <x:c r="P30" s="323"/>
      <x:c r="Q30" s="323"/>
    </x:row>
    <x:row r="31">
      <x:c r="A31" s="365" t="n">
        <x:f>'Rutin_Calibration'!A3</x:f>
        <x:v>0.025</x:v>
      </x:c>
      <x:c r="B31" s="365" t="n">
        <x:f>'Rutin_Calibration'!B3</x:f>
        <x:v>0.2958</x:v>
      </x:c>
      <x:c r="C31" s="365" t="n">
        <x:f>'Rutin_Calibration'!C3</x:f>
        <x:v>0.2953</x:v>
      </x:c>
      <x:c r="D31" s="365" t="n">
        <x:f>'Rutin_Calibration'!D3</x:f>
        <x:v>0.2961</x:v>
      </x:c>
      <x:c r="E31" s="365" t="n">
        <x:f>'Rutin_Calibration'!E3</x:f>
        <x:v>0.29573333333333335</x:v>
      </x:c>
      <x:c r="F31" s="365" t="n">
        <x:f>'Rutin_Calibration'!H3</x:f>
        <x:v>0.29402405797101444</x:v>
      </x:c>
      <x:c r="G31" s="365" t="n">
        <x:f>E31-F31</x:f>
        <x:v>0.0017092753623189072</x:v>
      </x:c>
      <x:c r="H31" s="365" t="n">
        <x:f>DEVSQ(B31:D31)</x:f>
        <x:v>3.266666666666428e-7</x:v>
      </x:c>
      <x:c r="I31" s="365" t="n">
        <x:f>COUNT(B31:D31)*(E31-F31)^2</x:f>
        <x:v>0.000008764866792691294</x:v>
      </x:c>
      <x:c r="J31" s="365" t="n">
        <x:f>ABS(G31)</x:f>
        <x:v>0.0017092753623189072</x:v>
      </x:c>
      <x:c r="K31" s="365" t="n">
        <x:f>IF(E31=0,"",J31/ABS(E31)*100)</x:f>
        <x:v>0.5779785941114428</x:v>
      </x:c>
      <x:c r="L31" s="323"/>
      <x:c r="M31" s="323"/>
      <x:c r="N31" s="323"/>
      <x:c r="O31" s="323"/>
      <x:c r="P31" s="323"/>
      <x:c r="Q31" s="323"/>
    </x:row>
    <x:row r="32">
      <x:c r="A32" s="365" t="n">
        <x:f>'Rutin_Calibration'!A4</x:f>
        <x:v>0.05</x:v>
      </x:c>
      <x:c r="B32" s="365" t="n">
        <x:f>'Rutin_Calibration'!B4</x:f>
        <x:v>0.5875</x:v>
      </x:c>
      <x:c r="C32" s="365" t="n">
        <x:f>'Rutin_Calibration'!C4</x:f>
        <x:v>0.5871</x:v>
      </x:c>
      <x:c r="D32" s="365" t="n">
        <x:f>'Rutin_Calibration'!D4</x:f>
        <x:v>0.5853</x:v>
      </x:c>
      <x:c r="E32" s="365" t="n">
        <x:f>'Rutin_Calibration'!E4</x:f>
        <x:v>0.5866333333333333</x:v>
      </x:c>
      <x:c r="F32" s="365" t="n">
        <x:f>'Rutin_Calibration'!H4</x:f>
        <x:v>0.5868060869565217</x:v>
      </x:c>
      <x:c r="G32" s="365" t="n">
        <x:f>E32-F32</x:f>
        <x:v>-0.00017275362318835974</x:v>
      </x:c>
      <x:c r="H32" s="365" t="n">
        <x:f>DEVSQ(B32:D32)</x:f>
        <x:v>0.00000274666666666655</x:v>
      </x:c>
      <x:c r="I32" s="365" t="n">
        <x:f>COUNT(B32:D32)*(E32-F32)^2</x:f>
        <x:v>8.953144297411735e-8</x:v>
      </x:c>
      <x:c r="J32" s="365" t="n">
        <x:f>ABS(G32)</x:f>
        <x:v>0.00017275362318835974</x:v>
      </x:c>
      <x:c r="K32" s="365" t="n">
        <x:f>IF(E32=0,"",J32/ABS(E32)*100)</x:f>
        <x:v>0.029448313515829265</x:v>
      </x:c>
      <x:c r="L32" s="323"/>
      <x:c r="M32" s="323"/>
      <x:c r="N32" s="323"/>
      <x:c r="O32" s="323"/>
      <x:c r="P32" s="323"/>
      <x:c r="Q32" s="323"/>
    </x:row>
    <x:row r="33">
      <x:c r="A33" s="365" t="n">
        <x:f>'Rutin_Calibration'!A5</x:f>
        <x:v>0.1</x:v>
      </x:c>
      <x:c r="B33" s="365" t="n">
        <x:f>'Rutin_Calibration'!B5</x:f>
        <x:v>1.1716</x:v>
      </x:c>
      <x:c r="C33" s="365" t="n">
        <x:f>'Rutin_Calibration'!C5</x:f>
        <x:v>1.173</x:v>
      </x:c>
      <x:c r="D33" s="365" t="n">
        <x:f>'Rutin_Calibration'!D5</x:f>
        <x:v>1.172</x:v>
      </x:c>
      <x:c r="E33" s="365" t="n">
        <x:f>'Rutin_Calibration'!E5</x:f>
        <x:v>1.1722</x:v>
      </x:c>
      <x:c r="F33" s="365" t="n">
        <x:f>'Rutin_Calibration'!H5</x:f>
        <x:v>1.172370144927536</x:v>
      </x:c>
      <x:c r="G33" s="365" t="n">
        <x:f>E33-F33</x:f>
        <x:v>-0.0001701449275361977</x:v>
      </x:c>
      <x:c r="H33" s="365" t="n">
        <x:f>DEVSQ(B33:D33)</x:f>
        <x:v>0.0000010400000000001262</x:v>
      </x:c>
      <x:c r="I33" s="365" t="n">
        <x:f>COUNT(B33:D33)*(E33-F33)^2</x:f>
        <x:v>8.684788909889391e-8</x:v>
      </x:c>
      <x:c r="J33" s="365" t="n">
        <x:f>ABS(G33)</x:f>
        <x:v>0.0001701449275361977</x:v>
      </x:c>
      <x:c r="K33" s="365" t="n">
        <x:f>IF(E33=0,"",J33/ABS(E33)*100)</x:f>
        <x:v>0.014515008320781241</x:v>
      </x:c>
      <x:c r="L33" s="323"/>
      <x:c r="M33" s="323"/>
      <x:c r="N33" s="323"/>
      <x:c r="O33" s="323"/>
      <x:c r="P33" s="323"/>
      <x:c r="Q33" s="323"/>
    </x:row>
    <x:row r="34">
      <x:c r="A34" s="323"/>
      <x:c r="B34" s="323"/>
      <x:c r="C34" s="323"/>
      <x:c r="D34" s="323"/>
      <x:c r="E34" s="323"/>
      <x:c r="F34" s="323"/>
      <x:c r="G34" s="323"/>
      <x:c r="H34" s="323"/>
      <x:c r="I34" s="323"/>
      <x:c r="J34" s="323"/>
      <x:c r="K34" s="323"/>
      <x:c r="L34" s="323"/>
      <x:c r="M34" s="323"/>
      <x:c r="N34" s="323"/>
      <x:c r="O34" s="323"/>
      <x:c r="P34" s="323"/>
      <x:c r="Q34" s="323"/>
    </x:row>
    <x:row r="35">
      <x:c r="A35" s="323"/>
      <x:c r="B35" s="323"/>
      <x:c r="C35" s="323"/>
      <x:c r="D35" s="323"/>
      <x:c r="E35" s="323"/>
      <x:c r="F35" s="323"/>
      <x:c r="G35" s="323"/>
      <x:c r="H35" s="323"/>
      <x:c r="I35" s="323"/>
      <x:c r="J35" s="323"/>
      <x:c r="K35" s="323"/>
      <x:c r="L35" s="323"/>
      <x:c r="M35" s="323"/>
      <x:c r="N35" s="323"/>
      <x:c r="O35" s="323"/>
      <x:c r="P35" s="323"/>
      <x:c r="Q35" s="323"/>
    </x:row>
    <x:row r="36">
      <x:c r="A36" s="373" t="str">
        <x:v>E. Reporting interpretation for the manuscript/reviewer response</x:v>
      </x:c>
      <x:c r="B36" s="373"/>
      <x:c r="C36" s="373"/>
      <x:c r="D36" s="373"/>
      <x:c r="E36" s="373"/>
      <x:c r="F36" s="373"/>
      <x:c r="G36" s="373"/>
      <x:c r="H36" s="373"/>
      <x:c r="I36" s="373"/>
      <x:c r="J36" s="373"/>
      <x:c r="K36" s="373"/>
      <x:c r="L36" s="373"/>
      <x:c r="M36" s="373"/>
      <x:c r="N36" s="373"/>
      <x:c r="O36" s="373"/>
      <x:c r="P36" s="373"/>
      <x:c r="Q36" s="373"/>
    </x:row>
    <x:row r="37">
      <x:c r="A37" s="371" t="str">
        <x:v>Item</x:v>
      </x:c>
      <x:c r="B37" s="371" t="str">
        <x:v>Formula-linked result</x:v>
      </x:c>
      <x:c r="C37" s="371" t="str">
        <x:v>Recommended interpretation</x:v>
      </x:c>
      <x:c r="D37" s="371"/>
      <x:c r="E37" s="371"/>
      <x:c r="F37" s="371"/>
      <x:c r="G37" s="371"/>
      <x:c r="H37" s="371"/>
      <x:c r="I37" s="371"/>
      <x:c r="J37" s="371"/>
      <x:c r="K37" s="371"/>
      <x:c r="L37" s="371"/>
      <x:c r="M37" s="371"/>
      <x:c r="N37" s="371"/>
      <x:c r="O37" s="371"/>
      <x:c r="P37" s="371"/>
      <x:c r="Q37" s="371"/>
    </x:row>
    <x:row r="38" ht="50" customHeight="1">
      <x:c r="A38" s="323" t="str">
        <x:v>Quercetin complete-range lack-of-fit</x:v>
      </x:c>
      <x:c r="B38" s="323" t="str">
        <x:f>"F("&amp;K8&amp;","&amp;H8&amp;") = "&amp;TEXT(M8,"0.000")&amp;", p = "&amp;TEXT(N8,"0.00E+00")</x:f>
        <x:v>F(2,8) = 694.881, p = 1.07E-09</x:v>
      </x:c>
      <x:c r="C38" s="323" t="str">
        <x:v>Strong statistically detectable lack of fit; the four-level linear model is inadequate across the evaluated range.</x:v>
      </x:c>
      <x:c r="D38" s="323"/>
      <x:c r="E38" s="323"/>
      <x:c r="F38" s="323"/>
      <x:c r="G38" s="323"/>
      <x:c r="H38" s="323"/>
      <x:c r="I38" s="323"/>
      <x:c r="J38" s="323"/>
      <x:c r="K38" s="323"/>
      <x:c r="L38" s="323"/>
      <x:c r="M38" s="323"/>
      <x:c r="N38" s="323"/>
      <x:c r="O38" s="323"/>
      <x:c r="P38" s="323"/>
      <x:c r="Q38" s="323"/>
    </x:row>
    <x:row r="39" ht="50" customHeight="1">
      <x:c r="A39" s="323" t="str">
        <x:v>Quercetin post hoc lower-range lack-of-fit</x:v>
      </x:c>
      <x:c r="B39" s="323" t="str">
        <x:f>"F("&amp;K9&amp;","&amp;H9&amp;") = "&amp;TEXT(M9,"0.000")&amp;", p = "&amp;TEXT(N9,"0.0000")</x:f>
        <x:v>F(1,6) = 3.116, p = 0.1280</x:v>
      </x:c>
      <x:c r="C39" s="323" t="str">
        <x:v>No statistically detectable lack of fit in the selected three-level lower range, but this post hoc result has lower evidential weight and does not independently establish calibration adequacy.</x:v>
      </x:c>
      <x:c r="D39" s="323"/>
      <x:c r="E39" s="323"/>
      <x:c r="F39" s="323"/>
      <x:c r="G39" s="323"/>
      <x:c r="H39" s="323"/>
      <x:c r="I39" s="323"/>
      <x:c r="J39" s="323"/>
      <x:c r="K39" s="323"/>
      <x:c r="L39" s="323"/>
      <x:c r="M39" s="323"/>
      <x:c r="N39" s="323"/>
      <x:c r="O39" s="323"/>
      <x:c r="P39" s="323"/>
      <x:c r="Q39" s="323"/>
    </x:row>
    <x:row r="40" ht="50" customHeight="1">
      <x:c r="A40" s="323" t="str">
        <x:v>Rutin complete-range lack-of-fit</x:v>
      </x:c>
      <x:c r="B40" s="323" t="str">
        <x:f>"F("&amp;K10&amp;","&amp;H10&amp;") = "&amp;TEXT(M10,"0.000")&amp;", p = "&amp;TEXT(N10,"0.000000")&amp;"; max |mean residual| = "&amp;TEXT(O10,"0.000000")&amp;" A; relative magnitude at that level = "&amp;TEXT(P10,"0.00")&amp;"%"</x:f>
        <x:v>F(2,8) = 12.756, p = 0.003247; max |mean residual| = 0.001709 A; relative magnitude at that level = 0.58%</x:v>
      </x:c>
      <x:c r="C40" s="323" t="str">
        <x:v>Use the phrase “showed statistically detectable lack of fit.” The maximum mean residual is small, so distinguish statistical detection from analytically meaningful model inadequacy.</x:v>
      </x:c>
      <x:c r="D40" s="323"/>
      <x:c r="E40" s="323"/>
      <x:c r="F40" s="323"/>
      <x:c r="G40" s="323"/>
      <x:c r="H40" s="323"/>
      <x:c r="I40" s="323"/>
      <x:c r="J40" s="323"/>
      <x:c r="K40" s="323"/>
      <x:c r="L40" s="323"/>
      <x:c r="M40" s="323"/>
      <x:c r="N40" s="323"/>
      <x:c r="O40" s="323"/>
      <x:c r="P40" s="323"/>
      <x:c r="Q40" s="323"/>
    </x:row>
    <x:row r="41">
      <x:c r="A41" s="323"/>
      <x:c r="B41" s="323"/>
      <x:c r="C41" s="323"/>
      <x:c r="D41" s="323"/>
      <x:c r="E41" s="323"/>
      <x:c r="F41" s="323"/>
      <x:c r="G41" s="323"/>
      <x:c r="H41" s="323"/>
      <x:c r="I41" s="323"/>
      <x:c r="J41" s="323"/>
      <x:c r="K41" s="323"/>
      <x:c r="L41" s="323"/>
      <x:c r="M41" s="323"/>
      <x:c r="N41" s="323"/>
      <x:c r="O41" s="323"/>
      <x:c r="P41" s="323"/>
      <x:c r="Q41" s="323"/>
    </x:row>
    <x:row r="42">
      <x:c r="A42" s="374" t="str">
        <x:v>F. Independent verification (Python/SciPy + Wolfram F-distribution survival function)</x:v>
      </x:c>
      <x:c r="B42" s="374"/>
      <x:c r="C42" s="374"/>
      <x:c r="D42" s="374"/>
      <x:c r="E42" s="374"/>
      <x:c r="F42" s="374"/>
      <x:c r="G42" s="374"/>
      <x:c r="H42" s="323"/>
      <x:c r="I42" s="323"/>
      <x:c r="J42" s="323"/>
      <x:c r="K42" s="323"/>
      <x:c r="L42" s="323"/>
      <x:c r="M42" s="323"/>
      <x:c r="N42" s="323"/>
      <x:c r="O42" s="323"/>
      <x:c r="P42" s="323"/>
      <x:c r="Q42" s="323"/>
    </x:row>
    <x:row r="43">
      <x:c r="A43" s="371" t="str">
        <x:v>Model</x:v>
      </x:c>
      <x:c r="B43" s="371" t="str">
        <x:v>Workbook F</x:v>
      </x:c>
      <x:c r="C43" s="371" t="str">
        <x:v>Independent F</x:v>
      </x:c>
      <x:c r="D43" s="371" t="str">
        <x:v>Workbook p</x:v>
      </x:c>
      <x:c r="E43" s="371" t="str">
        <x:v>Independent p</x:v>
      </x:c>
      <x:c r="F43" s="371" t="str">
        <x:v>Absolute p difference</x:v>
      </x:c>
      <x:c r="G43" s="371" t="str">
        <x:v>Result</x:v>
      </x:c>
      <x:c r="H43" s="323"/>
      <x:c r="I43" s="323"/>
      <x:c r="J43" s="323"/>
      <x:c r="K43" s="323"/>
      <x:c r="L43" s="323"/>
      <x:c r="M43" s="323"/>
      <x:c r="N43" s="323"/>
      <x:c r="O43" s="323"/>
      <x:c r="P43" s="323"/>
      <x:c r="Q43" s="323"/>
    </x:row>
    <x:row r="44">
      <x:c r="A44" s="375" t="str">
        <x:v>Quercetin complete range</x:v>
      </x:c>
      <x:c r="B44" s="375" t="n">
        <x:f>M8</x:f>
        <x:v>694.8811320874869</x:v>
      </x:c>
      <x:c r="C44" s="375" t="n">
        <x:v>694.8811320874864</x:v>
      </x:c>
      <x:c r="D44" s="375" t="n">
        <x:f>N8</x:f>
        <x:v>1.0730666355485141e-9</x:v>
      </x:c>
      <x:c r="E44" s="375" t="n">
        <x:v>1.0730666607346757e-9</x:v>
      </x:c>
      <x:c r="F44" s="375" t="n">
        <x:f>ABS(D44-E44)</x:f>
        <x:v>2.518616155431771e-17</x:v>
      </x:c>
      <x:c r="G44" s="375" t="str">
        <x:f>IF(AND(ABS(B44-C44)&lt;1E-9,F44&lt;1E-8),"PASS","CHECK")</x:f>
        <x:v>PASS</x:v>
      </x:c>
      <x:c r="H44" s="323"/>
      <x:c r="I44" s="323"/>
      <x:c r="J44" s="323"/>
      <x:c r="K44" s="323"/>
      <x:c r="L44" s="323"/>
      <x:c r="M44" s="323"/>
      <x:c r="N44" s="323"/>
      <x:c r="O44" s="323"/>
      <x:c r="P44" s="323"/>
      <x:c r="Q44" s="323"/>
    </x:row>
    <x:row r="45">
      <x:c r="A45" s="375" t="str">
        <x:v>Quercetin post hoc lower range</x:v>
      </x:c>
      <x:c r="B45" s="375" t="n">
        <x:f>M9</x:f>
        <x:v>3.116324590980037</x:v>
      </x:c>
      <x:c r="C45" s="375" t="n">
        <x:v>3.116324590980037</x:v>
      </x:c>
      <x:c r="D45" s="375" t="n">
        <x:f>N9</x:f>
        <x:v>0.12795144339445486</x:v>
      </x:c>
      <x:c r="E45" s="375" t="n">
        <x:v>0.12795144817913778</x:v>
      </x:c>
      <x:c r="F45" s="375" t="n">
        <x:f>ABS(D45-E45)</x:f>
        <x:v>4.784682927638784e-9</x:v>
      </x:c>
      <x:c r="G45" s="375" t="str">
        <x:f>IF(AND(ABS(B45-C45)&lt;1E-9,F45&lt;1E-8),"PASS","CHECK")</x:f>
        <x:v>PASS</x:v>
      </x:c>
      <x:c r="H45" s="323"/>
      <x:c r="I45" s="323"/>
      <x:c r="J45" s="323"/>
      <x:c r="K45" s="323"/>
      <x:c r="L45" s="323"/>
      <x:c r="M45" s="323"/>
      <x:c r="N45" s="323"/>
      <x:c r="O45" s="323"/>
      <x:c r="P45" s="323"/>
      <x:c r="Q45" s="323"/>
    </x:row>
    <x:row r="46">
      <x:c r="A46" s="375" t="str">
        <x:v>Rutin complete range</x:v>
      </x:c>
      <x:c r="B46" s="375" t="n">
        <x:f>M10</x:f>
        <x:v>12.756318332062039</x:v>
      </x:c>
      <x:c r="C46" s="375" t="n">
        <x:v>12.756318332062136</x:v>
      </x:c>
      <x:c r="D46" s="375" t="n">
        <x:f>N10</x:f>
        <x:v>0.0032473235028661618</x:v>
      </x:c>
      <x:c r="E46" s="375" t="n">
        <x:v>0.003247323502866082</x:v>
      </x:c>
      <x:c r="F46" s="375" t="n">
        <x:f>ABS(D46-E46)</x:f>
        <x:v>7.979727989493313e-17</x:v>
      </x:c>
      <x:c r="G46" s="375" t="str">
        <x:f>IF(AND(ABS(B46-C46)&lt;1E-9,F46&lt;1E-8),"PASS","CHECK")</x:f>
        <x:v>PASS</x:v>
      </x:c>
      <x:c r="H46" s="323"/>
      <x:c r="I46" s="323"/>
      <x:c r="J46" s="323"/>
      <x:c r="K46" s="323"/>
      <x:c r="L46" s="323"/>
      <x:c r="M46" s="323"/>
      <x:c r="N46" s="323"/>
      <x:c r="O46" s="323"/>
      <x:c r="P46" s="323"/>
      <x:c r="Q46" s="323"/>
    </x:row>
    <x:row r="47">
      <x:c r="A47" s="323"/>
      <x:c r="B47" s="323"/>
      <x:c r="C47" s="323"/>
      <x:c r="D47" s="323"/>
      <x:c r="E47" s="323"/>
      <x:c r="F47" s="323"/>
      <x:c r="G47" s="323"/>
      <x:c r="H47" s="323"/>
      <x:c r="I47" s="323"/>
      <x:c r="J47" s="323"/>
      <x:c r="K47" s="323"/>
      <x:c r="L47" s="323"/>
      <x:c r="M47" s="323"/>
      <x:c r="N47" s="323"/>
      <x:c r="O47" s="323"/>
      <x:c r="P47" s="323"/>
      <x:c r="Q47" s="323"/>
    </x:row>
    <x:row r="48">
      <x:c r="A48" s="373" t="str">
        <x:v>G. Methodological basis and limitations</x:v>
      </x:c>
      <x:c r="B48" s="373"/>
      <x:c r="C48" s="373"/>
      <x:c r="D48" s="373"/>
      <x:c r="E48" s="373"/>
      <x:c r="F48" s="373"/>
      <x:c r="G48" s="373"/>
      <x:c r="H48" s="373"/>
      <x:c r="I48" s="373"/>
      <x:c r="J48" s="373"/>
      <x:c r="K48" s="373"/>
      <x:c r="L48" s="373"/>
      <x:c r="M48" s="373"/>
      <x:c r="N48" s="373"/>
      <x:c r="O48" s="373"/>
      <x:c r="P48" s="373"/>
      <x:c r="Q48" s="373"/>
    </x:row>
    <x:row r="49">
      <x:c r="A49" s="371" t="str">
        <x:v>Source / issue</x:v>
      </x:c>
      <x:c r="B49" s="371" t="str">
        <x:v>Detail</x:v>
      </x:c>
      <x:c r="C49" s="371"/>
      <x:c r="D49" s="371"/>
      <x:c r="E49" s="371"/>
      <x:c r="F49" s="371"/>
      <x:c r="G49" s="371"/>
      <x:c r="H49" s="371"/>
      <x:c r="I49" s="371"/>
      <x:c r="J49" s="371"/>
      <x:c r="K49" s="371"/>
      <x:c r="L49" s="371"/>
      <x:c r="M49" s="371"/>
      <x:c r="N49" s="371"/>
      <x:c r="O49" s="371"/>
      <x:c r="P49" s="371"/>
      <x:c r="Q49" s="371"/>
    </x:row>
    <x:row r="50" ht="36" customHeight="1">
      <x:c r="A50" s="323" t="str">
        <x:v>NIST/SEMATECH lack-of-fit framework</x:v>
      </x:c>
      <x:c r="B50" s="323" t="str">
        <x:v>https://www.itl.nist.gov/div898/handbook/pmd/section4/pmd446.htm</x:v>
      </x:c>
      <x:c r="C50" s="323"/>
      <x:c r="D50" s="323"/>
      <x:c r="E50" s="323"/>
      <x:c r="F50" s="323"/>
      <x:c r="G50" s="323"/>
      <x:c r="H50" s="323"/>
      <x:c r="I50" s="323"/>
      <x:c r="J50" s="323"/>
      <x:c r="K50" s="323"/>
      <x:c r="L50" s="323"/>
      <x:c r="M50" s="323"/>
      <x:c r="N50" s="323"/>
      <x:c r="O50" s="323"/>
      <x:c r="P50" s="323"/>
      <x:c r="Q50" s="323"/>
    </x:row>
    <x:row r="51" ht="36" customHeight="1">
      <x:c r="A51" s="323" t="str">
        <x:v>ICH Q2(R2) analytical validation guideline</x:v>
      </x:c>
      <x:c r="B51" s="323" t="str">
        <x:v>https://www.ema.europa.eu/en/documents/scientific-guideline/ich-q2r2-guideline-validation-analytical-procedures-step-5-revision-2_en.pdf</x:v>
      </x:c>
      <x:c r="C51" s="323"/>
      <x:c r="D51" s="323"/>
      <x:c r="E51" s="323"/>
      <x:c r="F51" s="323"/>
      <x:c r="G51" s="323"/>
      <x:c r="H51" s="323"/>
      <x:c r="I51" s="323"/>
      <x:c r="J51" s="323"/>
      <x:c r="K51" s="323"/>
      <x:c r="L51" s="323"/>
      <x:c r="M51" s="323"/>
      <x:c r="N51" s="323"/>
      <x:c r="O51" s="323"/>
      <x:c r="P51" s="323"/>
      <x:c r="Q51" s="323"/>
    </x:row>
    <x:row r="52" ht="36" customHeight="1">
      <x:c r="A52" s="323" t="str">
        <x:v>ICH linearity implication</x:v>
      </x:c>
      <x:c r="B52" s="323" t="str">
        <x:v>ICH Q2(R2) recommends evaluating deviations/residual patterns and recommends at least five concentrations for validation; the archived complete-range models have four levels and the post hoc lower-range model has three.</x:v>
      </x:c>
      <x:c r="C52" s="323"/>
      <x:c r="D52" s="323"/>
      <x:c r="E52" s="323"/>
      <x:c r="F52" s="323"/>
      <x:c r="G52" s="323"/>
      <x:c r="H52" s="323"/>
      <x:c r="I52" s="323"/>
      <x:c r="J52" s="323"/>
      <x:c r="K52" s="323"/>
      <x:c r="L52" s="323"/>
      <x:c r="M52" s="323"/>
      <x:c r="N52" s="323"/>
      <x:c r="O52" s="323"/>
      <x:c r="P52" s="323"/>
      <x:c r="Q52" s="323"/>
    </x:row>
    <x:row r="53" ht="36" customHeight="1">
      <x:c r="A53" s="323" t="str">
        <x:v>Scope limitation</x:v>
      </x:c>
      <x:c r="B53" s="323" t="str">
        <x:v>The pure-error lack-of-fit tests use separately pipetted within-run technical replicates from a single calibration run. They do not establish temporal stability, inter-run reproducibility, matrix recovery, or validated overall method linearity.</x:v>
      </x:c>
      <x:c r="C53" s="323"/>
      <x:c r="D53" s="323"/>
      <x:c r="E53" s="323"/>
      <x:c r="F53" s="323"/>
      <x:c r="G53" s="323"/>
      <x:c r="H53" s="323"/>
      <x:c r="I53" s="323"/>
      <x:c r="J53" s="323"/>
      <x:c r="K53" s="323"/>
      <x:c r="L53" s="323"/>
      <x:c r="M53" s="323"/>
      <x:c r="N53" s="323"/>
      <x:c r="O53" s="323"/>
      <x:c r="P53" s="323"/>
      <x:c r="Q53" s="323"/>
    </x:row>
  </x:sheetData>
  <x:mergeCells>
    <x:mergeCell ref="A1:Q1"/>
    <x:mergeCell ref="A2:Q2"/>
    <x:mergeCell ref="A3:Q3"/>
    <x:mergeCell ref="A4:Q4"/>
    <x:mergeCell ref="A6:Q6"/>
    <x:mergeCell ref="A13:K13"/>
    <x:mergeCell ref="A21:K21"/>
    <x:mergeCell ref="A28:K28"/>
    <x:mergeCell ref="A36:Q36"/>
    <x:mergeCell ref="A42:G42"/>
    <x:mergeCell ref="A48:Q48"/>
    <x:mergeCell ref="C37:Q37"/>
    <x:mergeCell ref="C38:Q38"/>
    <x:mergeCell ref="C39:Q39"/>
    <x:mergeCell ref="C40:Q40"/>
    <x:mergeCell ref="B49:Q49"/>
    <x:mergeCell ref="B50:Q50"/>
    <x:mergeCell ref="B51:Q51"/>
    <x:mergeCell ref="B52:Q52"/>
    <x:mergeCell ref="B53:Q5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0" hidden="0" customWidth="1"/>
    <x:col min="3" max="3" width="14" hidden="0" customWidth="1"/>
    <x:col min="4" max="4" width="15" hidden="0" customWidth="1"/>
    <x:col min="5" max="5" width="13" hidden="0" customWidth="1"/>
    <x:col min="6" max="6" width="13" hidden="0" customWidth="1"/>
    <x:col min="7" max="7" width="15" hidden="0" customWidth="1"/>
    <x:col min="8" max="8" width="10" hidden="0" customWidth="1"/>
    <x:col min="9" max="9" width="12" hidden="0" customWidth="1"/>
    <x:col min="10" max="10" width="14" hidden="0" customWidth="1"/>
    <x:col min="11" max="11" width="16" hidden="0" customWidth="1"/>
    <x:col min="12" max="12" width="16" hidden="0" customWidth="1"/>
    <x:col min="13" max="13" width="16" hidden="0" customWidth="1"/>
    <x:col min="14" max="14" width="19" hidden="0" customWidth="1"/>
    <x:col min="15" max="15" width="17" hidden="0" customWidth="1"/>
    <x:col min="16" max="16" width="17" hidden="0" customWidth="1"/>
    <x:col min="17" max="17" width="20" hidden="0" customWidth="1"/>
    <x:col min="18" max="18" width="17" hidden="0" customWidth="1"/>
    <x:col min="19" max="19" width="17" hidden="0" customWidth="1"/>
    <x:col min="20" max="20" width="29" hidden="0" customWidth="1"/>
    <x:col min="21" max="21" width="30" hidden="0" customWidth="1"/>
    <x:col min="22" max="22" width="52" hidden="0" customWidth="1"/>
  </x:cols>
  <x:sheetData>
    <x:row r="1" ht="26" customHeight="1">
      <x:c r="A1" s="429" t="str">
        <x:v>Step 3 — Conditional Calibration-Only Inverse-Prediction Intervals</x:v>
      </x:c>
      <x:c r="B1" s="429"/>
      <x:c r="C1" s="429"/>
      <x:c r="D1" s="429"/>
      <x:c r="E1" s="429"/>
      <x:c r="F1" s="429"/>
      <x:c r="G1" s="429"/>
      <x:c r="H1" s="429"/>
      <x:c r="I1" s="429"/>
      <x:c r="J1" s="429"/>
      <x:c r="K1" s="429"/>
      <x:c r="L1" s="429"/>
      <x:c r="M1" s="429"/>
      <x:c r="N1" s="429"/>
      <x:c r="O1" s="429"/>
      <x:c r="P1" s="429"/>
      <x:c r="Q1" s="429"/>
      <x:c r="R1" s="429"/>
      <x:c r="S1" s="429"/>
      <x:c r="T1" s="429"/>
      <x:c r="U1" s="429"/>
      <x:c r="V1" s="429"/>
    </x:row>
    <x:row r="2">
      <x:c r="A2" s="323" t="str">
        <x:v>Purpose: calculate 95% conditional calibration-only inverse-prediction intervals for the 0.1000 mg/mL extract response by inverting the linear-regression prediction band. The point estimate is Ĉ = (ȳextract − intercept)/slope.</x:v>
      </x:c>
      <x:c r="B2" s="323"/>
      <x:c r="C2" s="323"/>
      <x:c r="D2" s="323"/>
      <x:c r="E2" s="323"/>
      <x:c r="F2" s="323"/>
      <x:c r="G2" s="323"/>
      <x:c r="H2" s="323"/>
      <x:c r="I2" s="323"/>
      <x:c r="J2" s="323"/>
      <x:c r="K2" s="323"/>
      <x:c r="L2" s="323"/>
      <x:c r="M2" s="323"/>
      <x:c r="N2" s="323"/>
      <x:c r="O2" s="323"/>
      <x:c r="P2" s="323"/>
      <x:c r="Q2" s="323"/>
      <x:c r="R2" s="323"/>
      <x:c r="S2" s="323"/>
      <x:c r="T2" s="323"/>
      <x:c r="U2" s="323"/>
      <x:c r="V2" s="323"/>
    </x:row>
    <x:row r="3">
      <x:c r="A3" s="323" t="str">
        <x:v>For the mean of m = 3 separately pipetted within-run extract responses, the conditional prediction standard deviation is s × √[1/m + 1/N + (C − C̄)²/Sxx]. The interval endpoints are the two concentration roots where the observed mean extract response intersects the upper/lower 95% prediction band.</x:v>
      </x:c>
      <x:c r="B3" s="323"/>
      <x:c r="C3" s="323"/>
      <x:c r="D3" s="323"/>
      <x:c r="E3" s="323"/>
      <x:c r="F3" s="323"/>
      <x:c r="G3" s="323"/>
      <x:c r="H3" s="323"/>
      <x:c r="I3" s="323"/>
      <x:c r="J3" s="323"/>
      <x:c r="K3" s="323"/>
      <x:c r="L3" s="323"/>
      <x:c r="M3" s="323"/>
      <x:c r="N3" s="323"/>
      <x:c r="O3" s="323"/>
      <x:c r="P3" s="323"/>
      <x:c r="Q3" s="323"/>
      <x:c r="R3" s="323"/>
      <x:c r="S3" s="323"/>
      <x:c r="T3" s="323"/>
      <x:c r="U3" s="323"/>
      <x:c r="V3" s="323"/>
    </x:row>
    <x:row r="4">
      <x:c r="A4" s="430" t="str">
        <x:v>Parameter</x:v>
      </x:c>
      <x:c r="B4" s="430" t="str">
        <x:v>Value</x:v>
      </x:c>
      <x:c r="C4" s="323"/>
      <x:c r="D4" s="431" t="str">
        <x:v>Scope restriction: these are conditional calibration-only inverse-prediction intervals. They do not incorporate sample-specific matrix effects, recovery, sample preparation, volumetric uncertainty, between-run variation, independent extraction/biological variation, or post hoc model-selection uncertainty. They are therefore not overall analytical uncertainty intervals.</x:v>
      </x:c>
      <x:c r="E4" s="431"/>
      <x:c r="F4" s="431"/>
      <x:c r="G4" s="431"/>
      <x:c r="H4" s="431"/>
      <x:c r="I4" s="431"/>
      <x:c r="J4" s="431"/>
      <x:c r="K4" s="431"/>
      <x:c r="L4" s="431"/>
      <x:c r="M4" s="431"/>
      <x:c r="N4" s="431"/>
      <x:c r="O4" s="431"/>
      <x:c r="P4" s="431"/>
      <x:c r="Q4" s="431"/>
      <x:c r="R4" s="431"/>
      <x:c r="S4" s="431"/>
      <x:c r="T4" s="431"/>
      <x:c r="U4" s="431"/>
      <x:c r="V4" s="431"/>
    </x:row>
    <x:row r="5">
      <x:c r="A5" s="323" t="str">
        <x:v>Two-sided alpha</x:v>
      </x:c>
      <x:c r="B5" s="432" t="n">
        <x:v>0.05</x:v>
      </x:c>
      <x:c r="C5" s="323"/>
      <x:c r="D5" s="431"/>
      <x:c r="E5" s="431"/>
      <x:c r="F5" s="431"/>
      <x:c r="G5" s="431"/>
      <x:c r="H5" s="431"/>
      <x:c r="I5" s="431"/>
      <x:c r="J5" s="431"/>
      <x:c r="K5" s="431"/>
      <x:c r="L5" s="431"/>
      <x:c r="M5" s="431"/>
      <x:c r="N5" s="431"/>
      <x:c r="O5" s="431"/>
      <x:c r="P5" s="431"/>
      <x:c r="Q5" s="431"/>
      <x:c r="R5" s="431"/>
      <x:c r="S5" s="431"/>
      <x:c r="T5" s="431"/>
      <x:c r="U5" s="431"/>
      <x:c r="V5" s="431"/>
    </x:row>
    <x:row r="6">
      <x:c r="A6" s="323"/>
      <x:c r="B6" s="323"/>
      <x:c r="C6" s="323"/>
      <x:c r="D6" s="323"/>
      <x:c r="E6" s="323"/>
      <x:c r="F6" s="323"/>
      <x:c r="G6" s="323"/>
      <x:c r="H6" s="323"/>
      <x:c r="I6" s="323"/>
      <x:c r="J6" s="323"/>
      <x:c r="K6" s="323"/>
      <x:c r="L6" s="323"/>
      <x:c r="M6" s="323"/>
      <x:c r="N6" s="323"/>
      <x:c r="O6" s="323"/>
      <x:c r="P6" s="323"/>
      <x:c r="Q6" s="323"/>
      <x:c r="R6" s="323"/>
      <x:c r="S6" s="323"/>
      <x:c r="T6" s="323"/>
      <x:c r="U6" s="323"/>
      <x:c r="V6" s="323"/>
    </x:row>
    <x:row r="7">
      <x:c r="A7" s="433" t="str">
        <x:v>A. Reporting summary — 0.1000 mg/mL extract response</x:v>
      </x:c>
      <x:c r="B7" s="433"/>
      <x:c r="C7" s="433"/>
      <x:c r="D7" s="433"/>
      <x:c r="E7" s="433"/>
      <x:c r="F7" s="433"/>
      <x:c r="G7" s="433"/>
      <x:c r="H7" s="433"/>
      <x:c r="I7" s="433"/>
      <x:c r="J7" s="433"/>
      <x:c r="K7" s="433"/>
      <x:c r="L7" s="433"/>
      <x:c r="M7" s="433"/>
      <x:c r="N7" s="433"/>
      <x:c r="O7" s="433"/>
      <x:c r="P7" s="433"/>
      <x:c r="Q7" s="433"/>
      <x:c r="R7" s="433"/>
      <x:c r="S7" s="433"/>
      <x:c r="T7" s="433"/>
      <x:c r="U7" s="433"/>
      <x:c r="V7" s="433"/>
    </x:row>
    <x:row r="8">
      <x:c r="A8" s="434" t="str">
        <x:v>Model</x:v>
      </x:c>
      <x:c r="B8" s="434" t="str">
        <x:v>Calibration range (mg/mL)</x:v>
      </x:c>
      <x:c r="C8" s="434" t="str">
        <x:v>N calibration obs.</x:v>
      </x:c>
      <x:c r="D8" s="434" t="str">
        <x:v>m extract replicates</x:v>
      </x:c>
      <x:c r="E8" s="434" t="str">
        <x:v>Slope</x:v>
      </x:c>
      <x:c r="F8" s="434" t="str">
        <x:v>Intercept</x:v>
      </x:c>
      <x:c r="G8" s="434" t="str">
        <x:v>Residual SD (s)</x:v>
      </x:c>
      <x:c r="H8" s="434" t="str">
        <x:v>df</x:v>
      </x:c>
      <x:c r="I8" s="434" t="str">
        <x:v>t0.975</x:v>
      </x:c>
      <x:c r="J8" s="434" t="str">
        <x:v>Observed mean A</x:v>
      </x:c>
      <x:c r="K8" s="434" t="str">
        <x:v>Point Ĉeq (mg/mL)</x:v>
      </x:c>
      <x:c r="L8" s="434" t="str">
        <x:v>95% lower C (mg/mL)</x:v>
      </x:c>
      <x:c r="M8" s="434" t="str">
        <x:v>95% upper C (mg/mL)</x:v>
      </x:c>
      <x:c r="N8" s="434" t="str">
        <x:v>Point estimate (mg equiv/g dry extract)</x:v>
      </x:c>
      <x:c r="O8" s="434" t="str">
        <x:v>95% lower (mg/g)</x:v>
      </x:c>
      <x:c r="P8" s="434" t="str">
        <x:v>95% upper (mg/g)</x:v>
      </x:c>
      <x:c r="Q8" s="434" t="str">
        <x:v>Point estimate (mg equiv/g dried leaf)</x:v>
      </x:c>
      <x:c r="R8" s="434" t="str">
        <x:v>95% lower leaf (mg/g)</x:v>
      </x:c>
      <x:c r="S8" s="434" t="str">
        <x:v>95% upper leaf (mg/g)</x:v>
      </x:c>
      <x:c r="T8" s="434" t="str">
        <x:v>Interval vs calibration range</x:v>
      </x:c>
      <x:c r="U8" s="434" t="str">
        <x:v>Lack-of-fit context</x:v>
      </x:c>
      <x:c r="V8" s="434" t="str">
        <x:v>Reporting interpretation</x:v>
      </x:c>
    </x:row>
    <x:row r="9">
      <x:c r="A9" s="419" t="str">
        <x:v>Quercetin complete range</x:v>
      </x:c>
      <x:c r="B9" s="419" t="str">
        <x:v>0.0125–0.1000</x:v>
      </x:c>
      <x:c r="C9" s="425" t="n">
        <x:f>B16</x:f>
        <x:v>12</x:v>
      </x:c>
      <x:c r="D9" s="425" t="n">
        <x:f>C16</x:f>
        <x:v>3</x:v>
      </x:c>
      <x:c r="E9" s="421" t="n">
        <x:f>D16</x:f>
        <x:v>4.888813913043478</x:v>
      </x:c>
      <x:c r="F9" s="421" t="n">
        <x:f>E16</x:f>
        <x:v>0.10901434782608696</x:v>
      </x:c>
      <x:c r="G9" s="421" t="n">
        <x:f>J16</x:f>
        <x:v>0.02720118177100276</x:v>
      </x:c>
      <x:c r="H9" s="425" t="n">
        <x:f>I16</x:f>
        <x:v>10</x:v>
      </x:c>
      <x:c r="I9" s="421" t="n">
        <x:f>K16</x:f>
        <x:v>2.228138842468655</x:v>
      </x:c>
      <x:c r="J9" s="421" t="n">
        <x:f>L16</x:f>
        <x:v>0.1802</x:v>
      </x:c>
      <x:c r="K9" s="421" t="n">
        <x:f>M16</x:f>
        <x:v>0.01456092488691131</x:v>
      </x:c>
      <x:c r="L9" s="421" t="n">
        <x:f>MIN(T16,U16)</x:f>
        <x:v>0.005415340047450558</x:v>
      </x:c>
      <x:c r="M9" s="421" t="n">
        <x:f>MAX(T16,U16)</x:f>
        <x:v>0.022960959389373953</x:v>
      </x:c>
      <x:c r="N9" s="424" t="n">
        <x:f>K9/Extract_Dilution!A2*1000</x:f>
        <x:v>145.6092488691131</x:v>
      </x:c>
      <x:c r="O9" s="424" t="n">
        <x:f>L9/Extract_Dilution!A2*1000</x:f>
        <x:v>54.153400474505574</x:v>
      </x:c>
      <x:c r="P9" s="424" t="n">
        <x:f>M9/Extract_Dilution!A2*1000</x:f>
        <x:v>229.60959389373951</x:v>
      </x:c>
      <x:c r="Q9" s="424" t="n">
        <x:f>N9*Extract_Dilution!S4</x:f>
        <x:v>22.423824325843416</x:v>
      </x:c>
      <x:c r="R9" s="424" t="n">
        <x:f>O9*Extract_Dilution!S4</x:f>
        <x:v>8.339623673073858</x:v>
      </x:c>
      <x:c r="S9" s="424" t="n">
        <x:f>P9*Extract_Dilution!S4</x:f>
        <x:v>35.35987745963588</x:v>
      </x:c>
      <x:c r="T9" s="419" t="str">
        <x:f>V16</x:f>
        <x:v>Extends outside observed calibration range</x:v>
      </x:c>
      <x:c r="U9" s="419" t="str">
        <x:v>Strong statistically detectable lack of fit.</x:v>
      </x:c>
      <x:c r="V9" s="419" t="str">
        <x:v>Conditional interval is wide and its lower concentration bound extends below the observed calibration range; interpret as exploratory only.</x:v>
      </x:c>
    </x:row>
    <x:row r="10">
      <x:c r="A10" s="419" t="str">
        <x:v>Quercetin post hoc lower range</x:v>
      </x:c>
      <x:c r="B10" s="419" t="str">
        <x:v>0.0125–0.0500</x:v>
      </x:c>
      <x:c r="C10" s="425" t="n">
        <x:f>B17</x:f>
        <x:v>9</x:v>
      </x:c>
      <x:c r="D10" s="425" t="n">
        <x:f>C17</x:f>
        <x:v>3</x:v>
      </x:c>
      <x:c r="E10" s="421" t="n">
        <x:f>D17</x:f>
        <x:v>6.564761904761904</x:v>
      </x:c>
      <x:c r="F10" s="421" t="n">
        <x:f>E17</x:f>
        <x:v>0.06588333333333332</x:v>
      </x:c>
      <x:c r="G10" s="421" t="n">
        <x:f>J17</x:f>
        <x:v>0.0030224387594162626</x:v>
      </x:c>
      <x:c r="H10" s="425" t="n">
        <x:f>I17</x:f>
        <x:v>7</x:v>
      </x:c>
      <x:c r="I10" s="421" t="n">
        <x:f>K17</x:f>
        <x:v>2.3646242359765144</x:v>
      </x:c>
      <x:c r="J10" s="421" t="n">
        <x:f>L17</x:f>
        <x:v>0.1802</x:v>
      </x:c>
      <x:c r="K10" s="421" t="n">
        <x:f>M17</x:f>
        <x:v>0.017413680545480925</x:v>
      </x:c>
      <x:c r="L10" s="421" t="n">
        <x:f>MIN(T17,U17)</x:f>
        <x:v>0.016631437482412508</x:v>
      </x:c>
      <x:c r="M10" s="421" t="n">
        <x:f>MAX(T17,U17)</x:f>
        <x:v>0.01818318074996023</x:v>
      </x:c>
      <x:c r="N10" s="424" t="n">
        <x:f>K10/Extract_Dilution!A2*1000</x:f>
        <x:v>174.13680545480926</x:v>
      </x:c>
      <x:c r="O10" s="424" t="n">
        <x:f>L10/Extract_Dilution!A2*1000</x:f>
        <x:v>166.31437482412505</x:v>
      </x:c>
      <x:c r="P10" s="424" t="n">
        <x:f>M10/Extract_Dilution!A2*1000</x:f>
        <x:v>181.8318074996023</x:v>
      </x:c>
      <x:c r="Q10" s="424" t="n">
        <x:f>N10*Extract_Dilution!S4</x:f>
        <x:v>26.817068040040628</x:v>
      </x:c>
      <x:c r="R10" s="424" t="n">
        <x:f>O10*Extract_Dilution!S4</x:f>
        <x:v>25.612413722915257</x:v>
      </x:c>
      <x:c r="S10" s="424" t="n">
        <x:f>P10*Extract_Dilution!S4</x:f>
        <x:v>28.002098354938752</x:v>
      </x:c>
      <x:c r="T10" s="419" t="str">
        <x:f>V17</x:f>
        <x:v>Fully within observed calibration range</x:v>
      </x:c>
      <x:c r="U10" s="419" t="str">
        <x:v>No statistically detectable lack of fit within the selected three levels, but only 1 lack-of-fit df.</x:v>
      </x:c>
      <x:c r="V10" s="419" t="str">
        <x:v>Post hoc sensitivity result only; interval excludes the uncertainty introduced by selecting this lower-range model after inspection of the full dataset.</x:v>
      </x:c>
    </x:row>
    <x:row r="11">
      <x:c r="A11" s="419" t="str">
        <x:v>Rutin complete range</x:v>
      </x:c>
      <x:c r="B11" s="419" t="str">
        <x:v>0.0125–0.1000</x:v>
      </x:c>
      <x:c r="C11" s="425" t="n">
        <x:f>B18</x:f>
        <x:v>12</x:v>
      </x:c>
      <x:c r="D11" s="425" t="n">
        <x:f>C18</x:f>
        <x:v>3</x:v>
      </x:c>
      <x:c r="E11" s="421" t="n">
        <x:f>D18</x:f>
        <x:v>11.71128115942029</x:v>
      </x:c>
      <x:c r="F11" s="421" t="n">
        <x:f>E18</x:f>
        <x:v>0.001242028985507182</x:v>
      </x:c>
      <x:c r="G11" s="421" t="n">
        <x:f>J18</x:f>
        <x:v>0.0013821071918831299</x:v>
      </x:c>
      <x:c r="H11" s="425" t="n">
        <x:f>I18</x:f>
        <x:v>10</x:v>
      </x:c>
      <x:c r="I11" s="421" t="n">
        <x:f>K18</x:f>
        <x:v>2.228138842468655</x:v>
      </x:c>
      <x:c r="J11" s="421" t="n">
        <x:f>L18</x:f>
        <x:v>0.1802</x:v>
      </x:c>
      <x:c r="K11" s="421" t="n">
        <x:f>M18</x:f>
        <x:v>0.01528081928684148</x:v>
      </x:c>
      <x:c r="L11" s="421" t="n">
        <x:f>MIN(T18,U18)</x:f>
        <x:v>0.015096450851820445</x:v>
      </x:c>
      <x:c r="M11" s="421" t="n">
        <x:f>MAX(T18,U18)</x:f>
        <x:v>0.015464863517144907</x:v>
      </x:c>
      <x:c r="N11" s="424" t="n">
        <x:f>K11/Extract_Dilution!A2*1000</x:f>
        <x:v>152.8081928684148</x:v>
      </x:c>
      <x:c r="O11" s="424" t="n">
        <x:f>L11/Extract_Dilution!A2*1000</x:f>
        <x:v>150.96450851820444</x:v>
      </x:c>
      <x:c r="P11" s="424" t="n">
        <x:f>M11/Extract_Dilution!A2*1000</x:f>
        <x:v>154.64863517144906</x:v>
      </x:c>
      <x:c r="Q11" s="424" t="n">
        <x:f>N11*Extract_Dilution!S4</x:f>
        <x:v>23.53246170173588</x:v>
      </x:c>
      <x:c r="R11" s="424" t="n">
        <x:f>O11*Extract_Dilution!S4</x:f>
        <x:v>23.248534311803482</x:v>
      </x:c>
      <x:c r="S11" s="424" t="n">
        <x:f>P11*Extract_Dilution!S4</x:f>
        <x:v>23.815889816403153</x:v>
      </x:c>
      <x:c r="T11" s="419" t="str">
        <x:f>V18</x:f>
        <x:v>Fully within observed calibration range</x:v>
      </x:c>
      <x:c r="U11" s="419" t="str">
        <x:v>Statistically detectable lack of fit despite a very small maximum mean residual.</x:v>
      </x:c>
      <x:c r="V11" s="419" t="str">
        <x:v>Narrow conditional calibration-only interval; it must not be interpreted as overall analytical uncertainty or as evidence that rutin is chemically representative.</x:v>
      </x:c>
    </x:row>
    <x:row r="12">
      <x:c r="A12" s="323"/>
      <x:c r="B12" s="323"/>
      <x:c r="C12" s="323"/>
      <x:c r="D12" s="323"/>
      <x:c r="E12" s="323"/>
      <x:c r="F12" s="323"/>
      <x:c r="G12" s="323"/>
      <x:c r="H12" s="323"/>
      <x:c r="I12" s="323"/>
      <x:c r="J12" s="323"/>
      <x:c r="K12" s="323"/>
      <x:c r="L12" s="323"/>
      <x:c r="M12" s="323"/>
      <x:c r="N12" s="323"/>
      <x:c r="O12" s="323"/>
      <x:c r="P12" s="323"/>
      <x:c r="Q12" s="323"/>
      <x:c r="R12" s="323"/>
      <x:c r="S12" s="323"/>
      <x:c r="T12" s="323"/>
      <x:c r="U12" s="323"/>
      <x:c r="V12" s="323"/>
    </x:row>
    <x:row r="13">
      <x:c r="A13" s="323"/>
      <x:c r="B13" s="323"/>
      <x:c r="C13" s="323"/>
      <x:c r="D13" s="323"/>
      <x:c r="E13" s="323"/>
      <x:c r="F13" s="323"/>
      <x:c r="G13" s="323"/>
      <x:c r="H13" s="323"/>
      <x:c r="I13" s="323"/>
      <x:c r="J13" s="323"/>
      <x:c r="K13" s="323"/>
      <x:c r="L13" s="323"/>
      <x:c r="M13" s="323"/>
      <x:c r="N13" s="323"/>
      <x:c r="O13" s="323"/>
      <x:c r="P13" s="323"/>
      <x:c r="Q13" s="323"/>
      <x:c r="R13" s="323"/>
      <x:c r="S13" s="323"/>
      <x:c r="T13" s="323"/>
      <x:c r="U13" s="323"/>
      <x:c r="V13" s="323"/>
    </x:row>
    <x:row r="14">
      <x:c r="A14" s="433" t="str">
        <x:v>B. Formula-driven inverse-prediction calculation</x:v>
      </x:c>
      <x:c r="B14" s="433"/>
      <x:c r="C14" s="433"/>
      <x:c r="D14" s="433"/>
      <x:c r="E14" s="433"/>
      <x:c r="F14" s="433"/>
      <x:c r="G14" s="433"/>
      <x:c r="H14" s="433"/>
      <x:c r="I14" s="433"/>
      <x:c r="J14" s="433"/>
      <x:c r="K14" s="433"/>
      <x:c r="L14" s="433"/>
      <x:c r="M14" s="433"/>
      <x:c r="N14" s="433"/>
      <x:c r="O14" s="433"/>
      <x:c r="P14" s="433"/>
      <x:c r="Q14" s="433"/>
      <x:c r="R14" s="433"/>
      <x:c r="S14" s="433"/>
      <x:c r="T14" s="433"/>
      <x:c r="U14" s="433"/>
      <x:c r="V14" s="433"/>
    </x:row>
    <x:row r="15">
      <x:c r="A15" s="434" t="str">
        <x:v>Model</x:v>
      </x:c>
      <x:c r="B15" s="434" t="str">
        <x:v>N</x:v>
      </x:c>
      <x:c r="C15" s="434" t="str">
        <x:v>m</x:v>
      </x:c>
      <x:c r="D15" s="434" t="str">
        <x:v>Slope</x:v>
      </x:c>
      <x:c r="E15" s="434" t="str">
        <x:v>Intercept</x:v>
      </x:c>
      <x:c r="F15" s="434" t="str">
        <x:v>C̄ calibration</x:v>
      </x:c>
      <x:c r="G15" s="434" t="str">
        <x:v>Sxx</x:v>
      </x:c>
      <x:c r="H15" s="434" t="str">
        <x:v>Residual SSE</x:v>
      </x:c>
      <x:c r="I15" s="434" t="str">
        <x:v>df</x:v>
      </x:c>
      <x:c r="J15" s="434" t="str">
        <x:v>Residual SD s</x:v>
      </x:c>
      <x:c r="K15" s="434" t="str">
        <x:v>t0.975</x:v>
      </x:c>
      <x:c r="L15" s="434" t="str">
        <x:v>ȳextract</x:v>
      </x:c>
      <x:c r="M15" s="434" t="str">
        <x:v>Point Ĉeq</x:v>
      </x:c>
      <x:c r="N15" s="434" t="str">
        <x:v>c = 1/m + 1/N</x:v>
      </x:c>
      <x:c r="O15" s="434" t="str">
        <x:v>h = (t·s)²</x:v>
      </x:c>
      <x:c r="P15" s="434" t="str">
        <x:v>Quadratic A</x:v>
      </x:c>
      <x:c r="Q15" s="434" t="str">
        <x:v>Quadratic B</x:v>
      </x:c>
      <x:c r="R15" s="434" t="str">
        <x:v>Quadratic C</x:v>
      </x:c>
      <x:c r="S15" s="434" t="str">
        <x:v>Discriminant</x:v>
      </x:c>
      <x:c r="T15" s="434" t="str">
        <x:v>Root 1</x:v>
      </x:c>
      <x:c r="U15" s="434" t="str">
        <x:v>Root 2</x:v>
      </x:c>
      <x:c r="V15" s="434" t="str">
        <x:v>Coverage status</x:v>
      </x:c>
    </x:row>
    <x:row r="16">
      <x:c r="A16" s="419" t="str">
        <x:v>Quercetin complete range</x:v>
      </x:c>
      <x:c r="B16" s="419" t="n">
        <x:f>COUNT(Quercetin_Calibration!B2:D5)</x:f>
        <x:v>12</x:v>
      </x:c>
      <x:c r="C16" s="419" t="n">
        <x:f>COUNT(Extract_Dilution!B2:D2)</x:f>
        <x:v>3</x:v>
      </x:c>
      <x:c r="D16" s="421" t="n">
        <x:f>Quercetin_Calibration!M5</x:f>
        <x:v>4.888813913043478</x:v>
      </x:c>
      <x:c r="E16" s="421" t="n">
        <x:f>Quercetin_Calibration!M6</x:f>
        <x:v>0.10901434782608696</x:v>
      </x:c>
      <x:c r="F16" s="421" t="n">
        <x:f>AVERAGE(Quercetin_Calibration!A2:A5)</x:f>
        <x:v>0.046875</x:v>
      </x:c>
      <x:c r="G16" s="421" t="n">
        <x:f>COUNT(Quercetin_Calibration!B2:D2)*DEVSQ(Quercetin_Calibration!A2:A5)</x:f>
        <x:v>0.013476562499999999</x:v>
      </x:c>
      <x:c r="H16" s="421" t="n">
        <x:f>Step2_Lack_of_Fit!E8</x:f>
        <x:v>0.0073990428973913286</x:v>
      </x:c>
      <x:c r="I16" s="421" t="n">
        <x:f>B16-2</x:f>
        <x:v>10</x:v>
      </x:c>
      <x:c r="J16" s="421" t="n">
        <x:f>SQRT(H16/I16)</x:f>
        <x:v>0.02720118177100276</x:v>
      </x:c>
      <x:c r="K16" s="421" t="n">
        <x:f>T.INV(1-$B$5/2,I16)</x:f>
        <x:v>2.228138842468655</x:v>
      </x:c>
      <x:c r="L16" s="421" t="n">
        <x:f>Extract_Dilution!E2</x:f>
        <x:v>0.1802</x:v>
      </x:c>
      <x:c r="M16" s="421" t="n">
        <x:f>(L16-E16)/D16</x:f>
        <x:v>0.01456092488691131</x:v>
      </x:c>
      <x:c r="N16" s="421" t="n">
        <x:f>1/C16+1/B16</x:f>
        <x:v>0.41666666666666663</x:v>
      </x:c>
      <x:c r="O16" s="421" t="n">
        <x:f>(K16*J16)^2</x:f>
        <x:v>0.0036733308355553474</x:v>
      </x:c>
      <x:c r="P16" s="421" t="n">
        <x:f>D16^2-O16/G16</x:f>
        <x:v>23.62792968103352</x:v>
      </x:c>
      <x:c r="Q16" s="421" t="n">
        <x:f>-2*D16*(L16-E16)+2*O16*F16/G16</x:f>
        <x:v>-0.6704732077012406</x:v>
      </x:c>
      <x:c r="R16" s="421" t="n">
        <x:f>(L16-E16)^2-O16*N16-O16*F16^2/G16</x:f>
        <x:v>0.002937929924378752</x:v>
      </x:c>
      <x:c r="S16" s="421" t="n">
        <x:f>Q16^2-4*P16*R16</x:f>
        <x:v>0.1718655156010898</x:v>
      </x:c>
      <x:c r="T16" s="421" t="n">
        <x:f>(-Q16-SQRT(S16))/(2*P16)</x:f>
        <x:v>0.005415340047450558</x:v>
      </x:c>
      <x:c r="U16" s="421" t="n">
        <x:f>(-Q16+SQRT(S16))/(2*P16)</x:f>
        <x:v>0.022960959389373953</x:v>
      </x:c>
      <x:c r="V16" s="419" t="str">
        <x:f>IF(AND(MIN(T16,U16)&gt;=MIN(Quercetin_Calibration!A2:A5),MAX(T16,U16)&lt;=MAX(Quercetin_Calibration!A2:A5)),"Fully within observed calibration range","Extends outside observed calibration range")</x:f>
        <x:v>Extends outside observed calibration range</x:v>
      </x:c>
    </x:row>
    <x:row r="17">
      <x:c r="A17" s="419" t="str">
        <x:v>Quercetin post hoc lower range</x:v>
      </x:c>
      <x:c r="B17" s="419" t="n">
        <x:f>COUNT(Quercetin_Calibration!B2:D4)</x:f>
        <x:v>9</x:v>
      </x:c>
      <x:c r="C17" s="419" t="n">
        <x:f>COUNT(Extract_Dilution!B2:D2)</x:f>
        <x:v>3</x:v>
      </x:c>
      <x:c r="D17" s="421" t="n">
        <x:f>Quercetin_Calibration!M2</x:f>
        <x:v>6.564761904761904</x:v>
      </x:c>
      <x:c r="E17" s="421" t="n">
        <x:f>Quercetin_Calibration!M3</x:f>
        <x:v>0.06588333333333332</x:v>
      </x:c>
      <x:c r="F17" s="421" t="n">
        <x:f>AVERAGE(Quercetin_Calibration!A2:A4)</x:f>
        <x:v>0.02916666666666667</x:v>
      </x:c>
      <x:c r="G17" s="421" t="n">
        <x:f>COUNT(Quercetin_Calibration!B2:D2)*DEVSQ(Quercetin_Calibration!A2:A4)</x:f>
        <x:v>0.0021875</x:v>
      </x:c>
      <x:c r="H17" s="421" t="n">
        <x:f>Step2_Lack_of_Fit!E9</x:f>
        <x:v>0.00006394595238095201</x:v>
      </x:c>
      <x:c r="I17" s="421" t="n">
        <x:f>B17-2</x:f>
        <x:v>7</x:v>
      </x:c>
      <x:c r="J17" s="421" t="n">
        <x:f>SQRT(H17/I17)</x:f>
        <x:v>0.0030224387594162626</x:v>
      </x:c>
      <x:c r="K17" s="421" t="n">
        <x:f>T.INV(1-$B$5/2,I17)</x:f>
        <x:v>2.3646242359765144</x:v>
      </x:c>
      <x:c r="L17" s="421" t="n">
        <x:f>Extract_Dilution!E2</x:f>
        <x:v>0.1802</x:v>
      </x:c>
      <x:c r="M17" s="421" t="n">
        <x:f>(L17-E17)/D17</x:f>
        <x:v>0.017413680545480925</x:v>
      </x:c>
      <x:c r="N17" s="421" t="n">
        <x:f>1/C17+1/B17</x:f>
        <x:v>0.4444444444444444</x:v>
      </x:c>
      <x:c r="O17" s="421" t="n">
        <x:f>(K17*J17)^2</x:f>
        <x:v>0.000051078636187446156</x:v>
      </x:c>
      <x:c r="P17" s="421" t="n">
        <x:f>D17^2-O17/G17</x:f>
        <x:v>43.07274863252746</x:v>
      </x:c>
      <x:c r="Q17" s="421" t="n">
        <x:f>-2*D17*(L17-E17)+2*O17*F17/G17</x:f>
        <x:v>-1.4995612998603982</x:v>
      </x:c>
      <x:c r="R17" s="421" t="n">
        <x:f>(L17-E17)^2-O17*N17-O17*F17^2/G17</x:f>
        <x:v>0.013025734747621575</x:v>
      </x:c>
      <x:c r="S17" s="421" t="n">
        <x:f>Q17^2-4*P17*R17</x:f>
        <x:v>0.004467297885876853</x:v>
      </x:c>
      <x:c r="T17" s="421" t="n">
        <x:f>(-Q17-SQRT(S17))/(2*P17)</x:f>
        <x:v>0.016631437482412508</x:v>
      </x:c>
      <x:c r="U17" s="421" t="n">
        <x:f>(-Q17+SQRT(S17))/(2*P17)</x:f>
        <x:v>0.01818318074996023</x:v>
      </x:c>
      <x:c r="V17" s="419" t="str">
        <x:f>IF(AND(MIN(T17,U17)&gt;=MIN(Quercetin_Calibration!A2:A4),MAX(T17,U17)&lt;=MAX(Quercetin_Calibration!A2:A4)),"Fully within observed calibration range","Extends outside observed calibration range")</x:f>
        <x:v>Fully within observed calibration range</x:v>
      </x:c>
    </x:row>
    <x:row r="18">
      <x:c r="A18" s="419" t="str">
        <x:v>Rutin complete range</x:v>
      </x:c>
      <x:c r="B18" s="419" t="n">
        <x:f>COUNT(Rutin_Calibration!B2:D5)</x:f>
        <x:v>12</x:v>
      </x:c>
      <x:c r="C18" s="419" t="n">
        <x:f>COUNT(Extract_Dilution!B2:D2)</x:f>
        <x:v>3</x:v>
      </x:c>
      <x:c r="D18" s="421" t="n">
        <x:f>Rutin_Calibration!M2</x:f>
        <x:v>11.71128115942029</x:v>
      </x:c>
      <x:c r="E18" s="421" t="n">
        <x:f>Rutin_Calibration!M3</x:f>
        <x:v>0.001242028985507182</x:v>
      </x:c>
      <x:c r="F18" s="421" t="n">
        <x:f>AVERAGE(Rutin_Calibration!A2:A5)</x:f>
        <x:v>0.046875</x:v>
      </x:c>
      <x:c r="G18" s="421" t="n">
        <x:f>COUNT(Rutin_Calibration!B2:D2)*DEVSQ(Rutin_Calibration!A2:A5)</x:f>
        <x:v>0.013476562499999999</x:v>
      </x:c>
      <x:c r="H18" s="421" t="n">
        <x:f>Step2_Lack_of_Fit!E10</x:f>
        <x:v>0.000019102202898550708</x:v>
      </x:c>
      <x:c r="I18" s="421" t="n">
        <x:f>B18-2</x:f>
        <x:v>10</x:v>
      </x:c>
      <x:c r="J18" s="421" t="n">
        <x:f>SQRT(H18/I18)</x:f>
        <x:v>0.0013821071918831299</x:v>
      </x:c>
      <x:c r="K18" s="421" t="n">
        <x:f>T.INV(1-$B$5/2,I18)</x:f>
        <x:v>2.228138842468655</x:v>
      </x:c>
      <x:c r="L18" s="421" t="n">
        <x:f>Extract_Dilution!E2</x:f>
        <x:v>0.1802</x:v>
      </x:c>
      <x:c r="M18" s="421" t="n">
        <x:f>(L18-E18)/D18</x:f>
        <x:v>0.01528081928684148</x:v>
      </x:c>
      <x:c r="N18" s="421" t="n">
        <x:f>1/C18+1/B18</x:f>
        <x:v>0.41666666666666663</x:v>
      </x:c>
      <x:c r="O18" s="421" t="n">
        <x:f>(K18*J18)^2</x:f>
        <x:v>0.000009483484811126092</x:v>
      </x:c>
      <x:c r="P18" s="421" t="n">
        <x:f>D18^2-O18/G18</x:f>
        <x:v>137.1534026929313</x:v>
      </x:c>
      <x:c r="Q18" s="421" t="n">
        <x:f>-2*D18*(L18-E18)+2*O18*F18/G18</x:f>
        <x:v>-4.191588256471973</x:v>
      </x:c>
      <x:c r="R18" s="421" t="n">
        <x:f>(L18-E18)^2-O18*N18-O18*F18^2/G18</x:f>
        <x:v>0.032020457717269774</x:v>
      </x:c>
      <x:c r="S18" s="421" t="n">
        <x:f>Q18^2-4*P18*R18</x:f>
        <x:v>0.0025531849590265665</x:v>
      </x:c>
      <x:c r="T18" s="421" t="n">
        <x:f>(-Q18-SQRT(S18))/(2*P18)</x:f>
        <x:v>0.015096450851820445</x:v>
      </x:c>
      <x:c r="U18" s="421" t="n">
        <x:f>(-Q18+SQRT(S18))/(2*P18)</x:f>
        <x:v>0.015464863517144907</x:v>
      </x:c>
      <x:c r="V18" s="419" t="str">
        <x:f>IF(AND(MIN(T18,U18)&gt;=MIN(Rutin_Calibration!A2:A5),MAX(T18,U18)&lt;=MAX(Rutin_Calibration!A2:A5)),"Fully within observed calibration range","Extends outside observed calibration range")</x:f>
        <x:v>Fully within observed calibration range</x:v>
      </x:c>
    </x:row>
    <x:row r="19">
      <x:c r="A19" s="323"/>
      <x:c r="B19" s="323"/>
      <x:c r="C19" s="323"/>
      <x:c r="D19" s="323"/>
      <x:c r="E19" s="323"/>
      <x:c r="F19" s="323"/>
      <x:c r="G19" s="323"/>
      <x:c r="H19" s="323"/>
      <x:c r="I19" s="323"/>
      <x:c r="J19" s="323"/>
      <x:c r="K19" s="323"/>
      <x:c r="L19" s="323"/>
      <x:c r="M19" s="323"/>
      <x:c r="N19" s="323"/>
      <x:c r="O19" s="323"/>
      <x:c r="P19" s="323"/>
      <x:c r="Q19" s="323"/>
      <x:c r="R19" s="323"/>
      <x:c r="S19" s="323"/>
      <x:c r="T19" s="323"/>
      <x:c r="U19" s="323"/>
      <x:c r="V19" s="323"/>
    </x:row>
    <x:row r="20">
      <x:c r="A20" s="323"/>
      <x:c r="B20" s="323"/>
      <x:c r="C20" s="323"/>
      <x:c r="D20" s="323"/>
      <x:c r="E20" s="323"/>
      <x:c r="F20" s="323"/>
      <x:c r="G20" s="323"/>
      <x:c r="H20" s="323"/>
      <x:c r="I20" s="323"/>
      <x:c r="J20" s="323"/>
      <x:c r="K20" s="323"/>
      <x:c r="L20" s="323"/>
      <x:c r="M20" s="323"/>
      <x:c r="N20" s="323"/>
      <x:c r="O20" s="323"/>
      <x:c r="P20" s="323"/>
      <x:c r="Q20" s="323"/>
      <x:c r="R20" s="323"/>
      <x:c r="S20" s="323"/>
      <x:c r="T20" s="323"/>
      <x:c r="U20" s="323"/>
      <x:c r="V20" s="323"/>
    </x:row>
    <x:row r="21">
      <x:c r="A21" s="433" t="str">
        <x:v>C. Independent numerical verification</x:v>
      </x:c>
      <x:c r="B21" s="433"/>
      <x:c r="C21" s="433"/>
      <x:c r="D21" s="433"/>
      <x:c r="E21" s="433"/>
      <x:c r="F21" s="433"/>
      <x:c r="G21" s="433"/>
      <x:c r="H21" s="433"/>
      <x:c r="I21" s="323"/>
      <x:c r="J21" s="323"/>
      <x:c r="K21" s="323"/>
      <x:c r="L21" s="323"/>
      <x:c r="M21" s="323"/>
      <x:c r="N21" s="323"/>
      <x:c r="O21" s="323"/>
      <x:c r="P21" s="323"/>
      <x:c r="Q21" s="323"/>
      <x:c r="R21" s="323"/>
      <x:c r="S21" s="323"/>
      <x:c r="T21" s="323"/>
      <x:c r="U21" s="323"/>
      <x:c r="V21" s="323"/>
    </x:row>
    <x:row r="22">
      <x:c r="A22" s="430" t="str">
        <x:v>Model</x:v>
      </x:c>
      <x:c r="B22" s="430" t="str">
        <x:v>Workbook lower C</x:v>
      </x:c>
      <x:c r="C22" s="430" t="str">
        <x:v>Independent lower C</x:v>
      </x:c>
      <x:c r="D22" s="430" t="str">
        <x:v>Workbook upper C</x:v>
      </x:c>
      <x:c r="E22" s="430" t="str">
        <x:v>Independent upper C</x:v>
      </x:c>
      <x:c r="F22" s="430" t="str">
        <x:v>Max absolute difference</x:v>
      </x:c>
      <x:c r="G22" s="430" t="str">
        <x:v>Verification</x:v>
      </x:c>
      <x:c r="H22" s="430" t="str">
        <x:v>Independent method</x:v>
      </x:c>
      <x:c r="I22" s="323"/>
      <x:c r="J22" s="323"/>
      <x:c r="K22" s="323"/>
      <x:c r="L22" s="323"/>
      <x:c r="M22" s="323"/>
      <x:c r="N22" s="323"/>
      <x:c r="O22" s="323"/>
      <x:c r="P22" s="323"/>
      <x:c r="Q22" s="323"/>
      <x:c r="R22" s="323"/>
      <x:c r="S22" s="323"/>
      <x:c r="T22" s="323"/>
      <x:c r="U22" s="323"/>
      <x:c r="V22" s="323"/>
    </x:row>
    <x:row r="23">
      <x:c r="A23" s="435" t="str">
        <x:v>Quercetin complete range</x:v>
      </x:c>
      <x:c r="B23" s="436" t="n">
        <x:f>L9</x:f>
        <x:v>0.005415340047450558</x:v>
      </x:c>
      <x:c r="C23" s="436" t="n">
        <x:v>0.005415340006254877</x:v>
      </x:c>
      <x:c r="D23" s="436" t="n">
        <x:f>M9</x:f>
        <x:v>0.022960959389373953</x:v>
      </x:c>
      <x:c r="E23" s="436" t="n">
        <x:v>0.022960959424126834</x:v>
      </x:c>
      <x:c r="F23" s="436" t="n">
        <x:f>MAX(ABS(B23-C23),ABS(D23-E23))</x:f>
        <x:v>4.119568054739009e-11</x:v>
      </x:c>
      <x:c r="G23" s="435" t="str">
        <x:f>IF(F23&lt;1E-10,"PASS","CHECK")</x:f>
        <x:v>PASS</x:v>
      </x:c>
      <x:c r="H23" s="435" t="str">
        <x:v>Wolfram NSolve; independently matched with Python/SciPy</x:v>
      </x:c>
      <x:c r="I23" s="323"/>
      <x:c r="J23" s="323"/>
      <x:c r="K23" s="323"/>
      <x:c r="L23" s="323"/>
      <x:c r="M23" s="323"/>
      <x:c r="N23" s="323"/>
      <x:c r="O23" s="323"/>
      <x:c r="P23" s="323"/>
      <x:c r="Q23" s="323"/>
      <x:c r="R23" s="323"/>
      <x:c r="S23" s="323"/>
      <x:c r="T23" s="323"/>
      <x:c r="U23" s="323"/>
      <x:c r="V23" s="323"/>
    </x:row>
    <x:row r="24">
      <x:c r="A24" s="435" t="str">
        <x:v>Quercetin post hoc lower range</x:v>
      </x:c>
      <x:c r="B24" s="436" t="n">
        <x:f>L10</x:f>
        <x:v>0.016631437482412508</x:v>
      </x:c>
      <x:c r="C24" s="436" t="n">
        <x:v>0.016631437477201222</x:v>
      </x:c>
      <x:c r="D24" s="436" t="n">
        <x:f>M10</x:f>
        <x:v>0.01818318074996023</x:v>
      </x:c>
      <x:c r="E24" s="436" t="n">
        <x:v>0.018183180755003112</x:v>
      </x:c>
      <x:c r="F24" s="436" t="n">
        <x:f>MAX(ABS(B24-C24),ABS(D24-E24))</x:f>
        <x:v>5.211286263628878e-12</x:v>
      </x:c>
      <x:c r="G24" s="435" t="str">
        <x:f>IF(F24&lt;1E-10,"PASS","CHECK")</x:f>
        <x:v>PASS</x:v>
      </x:c>
      <x:c r="H24" s="435" t="str">
        <x:v>Wolfram NSolve; independently matched with Python/SciPy</x:v>
      </x:c>
      <x:c r="I24" s="323"/>
      <x:c r="J24" s="323"/>
      <x:c r="K24" s="323"/>
      <x:c r="L24" s="323"/>
      <x:c r="M24" s="323"/>
      <x:c r="N24" s="323"/>
      <x:c r="O24" s="323"/>
      <x:c r="P24" s="323"/>
      <x:c r="Q24" s="323"/>
      <x:c r="R24" s="323"/>
      <x:c r="S24" s="323"/>
      <x:c r="T24" s="323"/>
      <x:c r="U24" s="323"/>
      <x:c r="V24" s="323"/>
    </x:row>
    <x:row r="25">
      <x:c r="A25" s="435" t="str">
        <x:v>Rutin complete range</x:v>
      </x:c>
      <x:c r="B25" s="436" t="n">
        <x:f>L11</x:f>
        <x:v>0.015096450851820445</x:v>
      </x:c>
      <x:c r="C25" s="436" t="n">
        <x:v>0.015096450851032148</x:v>
      </x:c>
      <x:c r="D25" s="436" t="n">
        <x:f>M11</x:f>
        <x:v>0.015464863517144907</x:v>
      </x:c>
      <x:c r="E25" s="436" t="n">
        <x:v>0.015464863517930435</x:v>
      </x:c>
      <x:c r="F25" s="436" t="n">
        <x:f>MAX(ABS(B25-C25),ABS(D25-E25))</x:f>
        <x:v>7.882965114003326e-13</x:v>
      </x:c>
      <x:c r="G25" s="435" t="str">
        <x:f>IF(F25&lt;1E-10,"PASS","CHECK")</x:f>
        <x:v>PASS</x:v>
      </x:c>
      <x:c r="H25" s="435" t="str">
        <x:v>Wolfram NSolve; independently matched with Python/SciPy</x:v>
      </x:c>
      <x:c r="I25" s="323"/>
      <x:c r="J25" s="323"/>
      <x:c r="K25" s="323"/>
      <x:c r="L25" s="323"/>
      <x:c r="M25" s="323"/>
      <x:c r="N25" s="323"/>
      <x:c r="O25" s="323"/>
      <x:c r="P25" s="323"/>
      <x:c r="Q25" s="323"/>
      <x:c r="R25" s="323"/>
      <x:c r="S25" s="323"/>
      <x:c r="T25" s="323"/>
      <x:c r="U25" s="323"/>
      <x:c r="V25" s="323"/>
    </x:row>
    <x:row r="26">
      <x:c r="A26" s="323"/>
      <x:c r="B26" s="323"/>
      <x:c r="C26" s="323"/>
      <x:c r="D26" s="323"/>
      <x:c r="E26" s="323"/>
      <x:c r="F26" s="323"/>
      <x:c r="G26" s="323"/>
      <x:c r="H26" s="323"/>
      <x:c r="I26" s="323"/>
      <x:c r="J26" s="323"/>
      <x:c r="K26" s="323"/>
      <x:c r="L26" s="323"/>
      <x:c r="M26" s="323"/>
      <x:c r="N26" s="323"/>
      <x:c r="O26" s="323"/>
      <x:c r="P26" s="323"/>
      <x:c r="Q26" s="323"/>
      <x:c r="R26" s="323"/>
      <x:c r="S26" s="323"/>
      <x:c r="T26" s="323"/>
      <x:c r="U26" s="323"/>
      <x:c r="V26" s="323"/>
    </x:row>
    <x:row r="27">
      <x:c r="A27" s="323"/>
      <x:c r="B27" s="323"/>
      <x:c r="C27" s="323"/>
      <x:c r="D27" s="323"/>
      <x:c r="E27" s="323"/>
      <x:c r="F27" s="323"/>
      <x:c r="G27" s="323"/>
      <x:c r="H27" s="323"/>
      <x:c r="I27" s="323"/>
      <x:c r="J27" s="323"/>
      <x:c r="K27" s="323"/>
      <x:c r="L27" s="323"/>
      <x:c r="M27" s="323"/>
      <x:c r="N27" s="323"/>
      <x:c r="O27" s="323"/>
      <x:c r="P27" s="323"/>
      <x:c r="Q27" s="323"/>
      <x:c r="R27" s="323"/>
      <x:c r="S27" s="323"/>
      <x:c r="T27" s="323"/>
      <x:c r="U27" s="323"/>
      <x:c r="V27" s="323"/>
    </x:row>
    <x:row r="28">
      <x:c r="A28" s="433" t="str">
        <x:v>D. Methodological basis and terminology</x:v>
      </x:c>
      <x:c r="B28" s="433"/>
      <x:c r="C28" s="433"/>
      <x:c r="D28" s="433"/>
      <x:c r="E28" s="433"/>
      <x:c r="F28" s="433"/>
      <x:c r="G28" s="433"/>
      <x:c r="H28" s="433"/>
      <x:c r="I28" s="433"/>
      <x:c r="J28" s="433"/>
      <x:c r="K28" s="433"/>
      <x:c r="L28" s="433"/>
      <x:c r="M28" s="433"/>
      <x:c r="N28" s="433"/>
      <x:c r="O28" s="433"/>
      <x:c r="P28" s="433"/>
      <x:c r="Q28" s="433"/>
      <x:c r="R28" s="433"/>
      <x:c r="S28" s="433"/>
      <x:c r="T28" s="433"/>
      <x:c r="U28" s="433"/>
      <x:c r="V28" s="433"/>
    </x:row>
    <x:row r="29">
      <x:c r="A29" s="430" t="str">
        <x:v>Source / issue</x:v>
      </x:c>
      <x:c r="B29" s="430" t="str">
        <x:v>Detail</x:v>
      </x:c>
      <x:c r="C29" s="430"/>
      <x:c r="D29" s="430"/>
      <x:c r="E29" s="430"/>
      <x:c r="F29" s="430"/>
      <x:c r="G29" s="430"/>
      <x:c r="H29" s="430"/>
      <x:c r="I29" s="430"/>
      <x:c r="J29" s="430"/>
      <x:c r="K29" s="430"/>
      <x:c r="L29" s="430"/>
      <x:c r="M29" s="430"/>
      <x:c r="N29" s="430"/>
      <x:c r="O29" s="430"/>
      <x:c r="P29" s="430"/>
      <x:c r="Q29" s="430"/>
      <x:c r="R29" s="430"/>
      <x:c r="S29" s="430"/>
      <x:c r="T29" s="430"/>
      <x:c r="U29" s="430"/>
      <x:c r="V29" s="430"/>
    </x:row>
    <x:row r="30">
      <x:c r="A30" s="323" t="str">
        <x:v>NIST/SEMATECH single-use calibration intervals</x:v>
      </x:c>
      <x:c r="B30" s="323" t="str">
        <x:v>https://www.itl.nist.gov/div898/handbook/pmd/section5/pmd521.htm</x:v>
      </x:c>
      <x:c r="C30" s="323"/>
      <x:c r="D30" s="323"/>
      <x:c r="E30" s="323"/>
      <x:c r="F30" s="323"/>
      <x:c r="G30" s="323"/>
      <x:c r="H30" s="323"/>
      <x:c r="I30" s="323"/>
      <x:c r="J30" s="323"/>
      <x:c r="K30" s="323"/>
      <x:c r="L30" s="323"/>
      <x:c r="M30" s="323"/>
      <x:c r="N30" s="323"/>
      <x:c r="O30" s="323"/>
      <x:c r="P30" s="323"/>
      <x:c r="Q30" s="323"/>
      <x:c r="R30" s="323"/>
      <x:c r="S30" s="323"/>
      <x:c r="T30" s="323"/>
      <x:c r="U30" s="323"/>
      <x:c r="V30" s="323"/>
    </x:row>
    <x:row r="31">
      <x:c r="A31" s="323" t="str">
        <x:v>NIST Dataplot calibration / inverse prediction</x:v>
      </x:c>
      <x:c r="B31" s="323" t="str">
        <x:v>https://www.itl.nist.gov/div898/software/dataplot/refman1/auxillar/calibrat.htm</x:v>
      </x:c>
      <x:c r="C31" s="323"/>
      <x:c r="D31" s="323"/>
      <x:c r="E31" s="323"/>
      <x:c r="F31" s="323"/>
      <x:c r="G31" s="323"/>
      <x:c r="H31" s="323"/>
      <x:c r="I31" s="323"/>
      <x:c r="J31" s="323"/>
      <x:c r="K31" s="323"/>
      <x:c r="L31" s="323"/>
      <x:c r="M31" s="323"/>
      <x:c r="N31" s="323"/>
      <x:c r="O31" s="323"/>
      <x:c r="P31" s="323"/>
      <x:c r="Q31" s="323"/>
      <x:c r="R31" s="323"/>
      <x:c r="S31" s="323"/>
      <x:c r="T31" s="323"/>
      <x:c r="U31" s="323"/>
      <x:c r="V31" s="323"/>
    </x:row>
    <x:row r="32">
      <x:c r="A32" s="323" t="str">
        <x:v>Mean of new observations</x:v>
      </x:c>
      <x:c r="B32" s="323" t="str">
        <x:v>The observed extract response is the mean of three separately pipetted within-run technical replicates. Accordingly, the new-response variance term is represented as 1/m rather than the single-observation term 1 in the prediction variance.</x:v>
      </x:c>
      <x:c r="C32" s="323"/>
      <x:c r="D32" s="323"/>
      <x:c r="E32" s="323"/>
      <x:c r="F32" s="323"/>
      <x:c r="G32" s="323"/>
      <x:c r="H32" s="323"/>
      <x:c r="I32" s="323"/>
      <x:c r="J32" s="323"/>
      <x:c r="K32" s="323"/>
      <x:c r="L32" s="323"/>
      <x:c r="M32" s="323"/>
      <x:c r="N32" s="323"/>
      <x:c r="O32" s="323"/>
      <x:c r="P32" s="323"/>
      <x:c r="Q32" s="323"/>
      <x:c r="R32" s="323"/>
      <x:c r="S32" s="323"/>
      <x:c r="T32" s="323"/>
      <x:c r="U32" s="323"/>
      <x:c r="V32" s="323"/>
    </x:row>
    <x:row r="33">
      <x:c r="A33" s="323" t="str">
        <x:v>Required manuscript terminology</x:v>
      </x:c>
      <x:c r="B33" s="323" t="str">
        <x:v>Use “conditional calibration-only inverse-prediction interval” consistently. These intervals are conditional on the selected within-run calibration model and observed within-run extract response and do not quantify total analytical uncertainty.</x:v>
      </x:c>
      <x:c r="C33" s="323"/>
      <x:c r="D33" s="323"/>
      <x:c r="E33" s="323"/>
      <x:c r="F33" s="323"/>
      <x:c r="G33" s="323"/>
      <x:c r="H33" s="323"/>
      <x:c r="I33" s="323"/>
      <x:c r="J33" s="323"/>
      <x:c r="K33" s="323"/>
      <x:c r="L33" s="323"/>
      <x:c r="M33" s="323"/>
      <x:c r="N33" s="323"/>
      <x:c r="O33" s="323"/>
      <x:c r="P33" s="323"/>
      <x:c r="Q33" s="323"/>
      <x:c r="R33" s="323"/>
      <x:c r="S33" s="323"/>
      <x:c r="T33" s="323"/>
      <x:c r="U33" s="323"/>
      <x:c r="V33" s="323"/>
    </x:row>
    <x:row r="34">
      <x:c r="A34" s="323"/>
      <x:c r="B34" s="323"/>
      <x:c r="C34" s="323"/>
      <x:c r="D34" s="323"/>
      <x:c r="E34" s="323"/>
      <x:c r="F34" s="323"/>
      <x:c r="G34" s="323"/>
      <x:c r="H34" s="323"/>
      <x:c r="I34" s="323"/>
      <x:c r="J34" s="323"/>
      <x:c r="K34" s="323"/>
      <x:c r="L34" s="323"/>
      <x:c r="M34" s="323"/>
      <x:c r="N34" s="323"/>
      <x:c r="O34" s="323"/>
      <x:c r="P34" s="323"/>
      <x:c r="Q34" s="323"/>
      <x:c r="R34" s="323"/>
      <x:c r="S34" s="323"/>
      <x:c r="T34" s="323"/>
      <x:c r="U34" s="323"/>
      <x:c r="V34" s="323"/>
    </x:row>
    <x:row r="35">
      <x:c r="A35" s="323"/>
      <x:c r="B35" s="323"/>
      <x:c r="C35" s="323"/>
      <x:c r="D35" s="323"/>
      <x:c r="E35" s="323"/>
      <x:c r="F35" s="323"/>
      <x:c r="G35" s="323"/>
      <x:c r="H35" s="323"/>
      <x:c r="I35" s="323"/>
      <x:c r="J35" s="323"/>
      <x:c r="K35" s="323"/>
      <x:c r="L35" s="323"/>
      <x:c r="M35" s="323"/>
      <x:c r="N35" s="323"/>
      <x:c r="O35" s="323"/>
      <x:c r="P35" s="323"/>
      <x:c r="Q35" s="323"/>
      <x:c r="R35" s="323"/>
      <x:c r="S35" s="323"/>
      <x:c r="T35" s="323"/>
      <x:c r="U35" s="323"/>
      <x:c r="V35" s="323"/>
    </x:row>
    <x:row r="36">
      <x:c r="A36" s="431" t="str">
        <x:v>Key reporting point: the 174.1 mg QE/g estimate remains explicitly post hoc. Its 95% conditional calibration-only inverse-prediction interval is not evidence that the post hoc model is validated and does not include model-selection uncertainty. The rutin interval is narrow only in the conditional within-run calibration sense and does not resolve matrix/background uncertainty.</x:v>
      </x:c>
      <x:c r="B36" s="431"/>
      <x:c r="C36" s="431"/>
      <x:c r="D36" s="431"/>
      <x:c r="E36" s="431"/>
      <x:c r="F36" s="431"/>
      <x:c r="G36" s="431"/>
      <x:c r="H36" s="431"/>
      <x:c r="I36" s="431"/>
      <x:c r="J36" s="431"/>
      <x:c r="K36" s="431"/>
      <x:c r="L36" s="431"/>
      <x:c r="M36" s="431"/>
      <x:c r="N36" s="431"/>
      <x:c r="O36" s="431"/>
      <x:c r="P36" s="431"/>
      <x:c r="Q36" s="431"/>
      <x:c r="R36" s="431"/>
      <x:c r="S36" s="431"/>
      <x:c r="T36" s="431"/>
      <x:c r="U36" s="431"/>
      <x:c r="V36" s="431"/>
    </x:row>
    <x:row r="40">
      <x:c r="A40"/>
      <x:c r="B40"/>
    </x:row>
    <x:row r="41">
      <x:c r="A41"/>
      <x:c r="B41"/>
    </x:row>
    <x:row r="42">
      <x:c r="A42"/>
      <x:c r="B42"/>
    </x:row>
    <x:row r="44">
      <x:c r="A44"/>
      <x:c r="B44"/>
    </x:row>
    <x:row r="45">
      <x:c r="A45"/>
      <x:c r="B45"/>
    </x:row>
    <x:row r="46">
      <x:c r="A46"/>
      <x:c r="B46"/>
    </x:row>
    <x:row r="47">
      <x:c r="A47"/>
      <x:c r="B47"/>
    </x:row>
    <x:row r="48">
      <x:c r="A48"/>
      <x:c r="B48"/>
    </x:row>
  </x:sheetData>
  <x:mergeCells>
    <x:mergeCell ref="A1:V1"/>
    <x:mergeCell ref="A2:V2"/>
    <x:mergeCell ref="A3:V3"/>
    <x:mergeCell ref="D4:V5"/>
    <x:mergeCell ref="A7:V7"/>
    <x:mergeCell ref="A14:V14"/>
    <x:mergeCell ref="A21:H21"/>
    <x:mergeCell ref="A28:V28"/>
    <x:mergeCell ref="B29:V29"/>
    <x:mergeCell ref="B30:V30"/>
    <x:mergeCell ref="B31:V31"/>
    <x:mergeCell ref="B32:V32"/>
    <x:mergeCell ref="B33:V33"/>
    <x:mergeCell ref="A36:V36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7" hidden="0" customWidth="1"/>
    <x:col min="3" max="3" width="15" hidden="0" customWidth="1"/>
    <x:col min="4" max="4" width="23" hidden="0" customWidth="1"/>
    <x:col min="5" max="5" width="23" hidden="0" customWidth="1"/>
    <x:col min="6" max="6" width="14" hidden="0" customWidth="1"/>
    <x:col min="7" max="7" width="15" hidden="0" customWidth="1"/>
    <x:col min="8" max="8" width="15" hidden="0" customWidth="1"/>
    <x:col min="9" max="9" width="17" hidden="0" customWidth="1"/>
    <x:col min="10" max="10" width="31" hidden="0" customWidth="1"/>
    <x:col min="11" max="11" width="18" hidden="0" customWidth="1"/>
    <x:col min="12" max="12" width="19" hidden="0" customWidth="1"/>
    <x:col min="13" max="13" width="54" hidden="0" customWidth="1"/>
    <x:col min="14" max="14" width="46" hidden="0" customWidth="1"/>
  </x:cols>
  <x:sheetData>
    <x:row r="1" ht="26" customHeight="1">
      <x:c r="A1" s="470" t="str">
        <x:v>Step 4 — Diagnostic Slope-Ratio Analysis (Supplementary-Only)</x:v>
      </x:c>
      <x:c r="B1" s="470"/>
      <x:c r="C1" s="470"/>
      <x:c r="D1" s="470"/>
      <x:c r="E1" s="470"/>
      <x:c r="F1" s="470"/>
      <x:c r="G1" s="470"/>
      <x:c r="H1" s="470"/>
      <x:c r="I1" s="470"/>
      <x:c r="J1" s="470"/>
      <x:c r="K1" s="470"/>
      <x:c r="L1" s="470"/>
      <x:c r="M1" s="470"/>
      <x:c r="N1" s="470"/>
    </x:row>
    <x:row r="2">
      <x:c r="A2" s="323" t="str">
        <x:v>Purpose: retain the extract-response slope ratio only as a diagnostic calculation. It is not an alternative quantitative estimate of flavonoid content and is not evidence of validated parallelism, dilution integrity, or absence of matrix effects.</x:v>
      </x:c>
      <x:c r="B2" s="323"/>
      <x:c r="C2" s="323"/>
      <x:c r="D2" s="323"/>
      <x:c r="E2" s="323"/>
      <x:c r="F2" s="323"/>
      <x:c r="G2" s="323"/>
      <x:c r="H2" s="323"/>
      <x:c r="I2" s="323"/>
      <x:c r="J2" s="323"/>
      <x:c r="K2" s="323"/>
      <x:c r="L2" s="323"/>
      <x:c r="M2" s="323"/>
      <x:c r="N2" s="323"/>
    </x:row>
    <x:row r="3">
      <x:c r="A3" s="471" t="str">
        <x:v>Calculation: the four unrounded extract mean absorbances are regressed against nominal extract concentration. The extract-response slope is divided by each reference-standard calibration slope and multiplied by 1000. The resulting value is reported only as a diagnostic apparent slope-ratio in mg standard equivalents/g dry extract. Three of the four extract mean responses are below the observed standard-response coverage, and no sample-matched blank was available; therefore these calculations must not be used as alternative quantitative estimates.</x:v>
      </x:c>
      <x:c r="B3" s="471"/>
      <x:c r="C3" s="471"/>
      <x:c r="D3" s="471"/>
      <x:c r="E3" s="471"/>
      <x:c r="F3" s="471"/>
      <x:c r="G3" s="471"/>
      <x:c r="H3" s="471"/>
      <x:c r="I3" s="471"/>
      <x:c r="J3" s="471"/>
      <x:c r="K3" s="471"/>
      <x:c r="L3" s="471"/>
      <x:c r="M3" s="471"/>
      <x:c r="N3" s="471"/>
    </x:row>
    <x:row r="4">
      <x:c r="A4" s="471"/>
      <x:c r="B4" s="471"/>
      <x:c r="C4" s="471"/>
      <x:c r="D4" s="471"/>
      <x:c r="E4" s="471"/>
      <x:c r="F4" s="471"/>
      <x:c r="G4" s="471"/>
      <x:c r="H4" s="471"/>
      <x:c r="I4" s="471"/>
      <x:c r="J4" s="471"/>
      <x:c r="K4" s="471"/>
      <x:c r="L4" s="471"/>
      <x:c r="M4" s="471"/>
      <x:c r="N4" s="471"/>
    </x:row>
    <x:row r="5">
      <x:c r="A5" s="323"/>
      <x:c r="B5" s="323"/>
      <x:c r="C5" s="323"/>
      <x:c r="D5" s="323"/>
      <x:c r="E5" s="323"/>
      <x:c r="F5" s="323"/>
      <x:c r="G5" s="323"/>
      <x:c r="H5" s="323"/>
      <x:c r="I5" s="323"/>
      <x:c r="J5" s="323"/>
      <x:c r="K5" s="323"/>
      <x:c r="L5" s="323"/>
      <x:c r="M5" s="323"/>
      <x:c r="N5" s="323"/>
    </x:row>
    <x:row r="6">
      <x:c r="A6" s="472" t="str">
        <x:v>A. Extract dilution-response regression</x:v>
      </x:c>
      <x:c r="B6" s="472"/>
      <x:c r="C6" s="472"/>
      <x:c r="D6" s="472"/>
      <x:c r="E6" s="472"/>
      <x:c r="F6" s="472"/>
      <x:c r="G6" s="472"/>
      <x:c r="H6" s="472"/>
      <x:c r="I6" s="472"/>
      <x:c r="J6" s="472"/>
      <x:c r="K6" s="472"/>
      <x:c r="L6" s="472"/>
      <x:c r="M6" s="472"/>
      <x:c r="N6" s="472"/>
    </x:row>
    <x:row r="7">
      <x:c r="A7" s="473" t="str">
        <x:v>Extract concentration (mg/mL)</x:v>
      </x:c>
      <x:c r="B7" s="473" t="str">
        <x:v>Mean absorbance</x:v>
      </x:c>
      <x:c r="C7" s="473" t="str">
        <x:v>Fitted absorbance</x:v>
      </x:c>
      <x:c r="D7" s="473" t="str">
        <x:v>Residual</x:v>
      </x:c>
      <x:c r="E7" s="473" t="str">
        <x:v>Observed standard-response coverage?</x:v>
      </x:c>
      <x:c r="F7" s="473" t="str">
        <x:v>Parameter</x:v>
      </x:c>
      <x:c r="G7" s="473" t="str">
        <x:v>Formula result</x:v>
      </x:c>
      <x:c r="H7" s="473" t="str">
        <x:v>Independent check</x:v>
      </x:c>
      <x:c r="I7" s="323"/>
      <x:c r="J7" s="323"/>
      <x:c r="K7" s="323"/>
      <x:c r="L7" s="323"/>
      <x:c r="M7" s="323"/>
      <x:c r="N7" s="323"/>
    </x:row>
    <x:row r="8">
      <x:c r="A8" s="474" t="n">
        <x:f>Extract_Dilution!A2</x:f>
        <x:v>0.1</x:v>
      </x:c>
      <x:c r="B8" s="474" t="n">
        <x:f>Extract_Dilution!E2</x:f>
        <x:v>0.1802</x:v>
      </x:c>
      <x:c r="C8" s="474" t="n">
        <x:f>$G$9+$G$8*A8</x:f>
        <x:v>0.17999652173913044</x:v>
      </x:c>
      <x:c r="D8" s="474" t="n">
        <x:f>B8-C8</x:f>
        <x:v>0.00020347826086955512</x:v>
      </x:c>
      <x:c r="E8" s="460" t="str">
        <x:f>IF(AND(B8&gt;=MIN(Quercetin_Calibration!E2:E5),B8&gt;=MIN(Rutin_Calibration!E2:E5)),"Within observed response coverage","Below observed response coverage")</x:f>
        <x:v>Within observed response coverage</x:v>
      </x:c>
      <x:c r="F8" s="460" t="str">
        <x:v>Slope</x:v>
      </x:c>
      <x:c r="G8" s="475" t="n">
        <x:f>SLOPE(B8:B11,A8:A11)</x:f>
        <x:v>1.7447188405797103</x:v>
      </x:c>
      <x:c r="H8" s="460" t="n">
        <x:v>1.7447188405797103</x:v>
      </x:c>
      <x:c r="I8" s="323"/>
      <x:c r="J8" s="323"/>
      <x:c r="K8" s="323"/>
      <x:c r="L8" s="323"/>
      <x:c r="M8" s="323"/>
      <x:c r="N8" s="323"/>
    </x:row>
    <x:row r="9">
      <x:c r="A9" s="474" t="n">
        <x:f>Extract_Dilution!A3</x:f>
        <x:v>0.05</x:v>
      </x:c>
      <x:c r="B9" s="474" t="n">
        <x:f>Extract_Dilution!E3</x:f>
        <x:v>0.09346666666666666</x:v>
      </x:c>
      <x:c r="C9" s="474" t="n">
        <x:f>$G$9+$G$8*A9</x:f>
        <x:v>0.09276057971014492</x:v>
      </x:c>
      <x:c r="D9" s="474" t="n">
        <x:f>B9-C9</x:f>
        <x:v>0.0007060869565217315</x:v>
      </x:c>
      <x:c r="E9" s="460" t="str">
        <x:f>IF(AND(B9&gt;=MIN(Quercetin_Calibration!E2:E5),B9&gt;=MIN(Rutin_Calibration!E2:E5)),"Within observed response coverage","Below observed response coverage")</x:f>
        <x:v>Below observed response coverage</x:v>
      </x:c>
      <x:c r="F9" s="460" t="str">
        <x:v>Intercept</x:v>
      </x:c>
      <x:c r="G9" s="475" t="n">
        <x:f>INTERCEPT(B8:B11,A8:A11)</x:f>
        <x:v>0.005524637681159406</x:v>
      </x:c>
      <x:c r="H9" s="460" t="n">
        <x:v>0.005524637681159406</x:v>
      </x:c>
      <x:c r="I9" s="323"/>
      <x:c r="J9" s="323"/>
      <x:c r="K9" s="323"/>
      <x:c r="L9" s="323"/>
      <x:c r="M9" s="323"/>
      <x:c r="N9" s="323"/>
    </x:row>
    <x:row r="10">
      <x:c r="A10" s="474" t="n">
        <x:f>Extract_Dilution!A4</x:f>
        <x:v>0.025</x:v>
      </x:c>
      <x:c r="B10" s="474" t="n">
        <x:f>Extract_Dilution!E4</x:f>
        <x:v>0.045599999999999995</x:v>
      </x:c>
      <x:c r="C10" s="474" t="n">
        <x:f>$G$9+$G$8*A10</x:f>
        <x:v>0.049142608695652165</x:v>
      </x:c>
      <x:c r="D10" s="474" t="n">
        <x:f>B10-C10</x:f>
        <x:v>-0.0035426086956521705</x:v>
      </x:c>
      <x:c r="E10" s="460" t="str">
        <x:f>IF(AND(B10&gt;=MIN(Quercetin_Calibration!E2:E5),B10&gt;=MIN(Rutin_Calibration!E2:E5)),"Within observed response coverage","Below observed response coverage")</x:f>
        <x:v>Below observed response coverage</x:v>
      </x:c>
      <x:c r="F10" s="460" t="str">
        <x:v>R²</x:v>
      </x:c>
      <x:c r="G10" s="475" t="n">
        <x:f>RSQ(B8:B11,A8:A11)</x:f>
        <x:v>0.9985378767914234</x:v>
      </x:c>
      <x:c r="H10" s="460" t="n">
        <x:v>0.9985378767914234</x:v>
      </x:c>
      <x:c r="I10" s="323"/>
      <x:c r="J10" s="323"/>
      <x:c r="K10" s="323"/>
      <x:c r="L10" s="323"/>
      <x:c r="M10" s="323"/>
      <x:c r="N10" s="323"/>
    </x:row>
    <x:row r="11">
      <x:c r="A11" s="474" t="n">
        <x:f>Extract_Dilution!A5</x:f>
        <x:v>0.0125</x:v>
      </x:c>
      <x:c r="B11" s="474" t="n">
        <x:f>Extract_Dilution!E5</x:f>
        <x:v>0.02996666666666667</x:v>
      </x:c>
      <x:c r="C11" s="474" t="n">
        <x:f>$G$9+$G$8*A11</x:f>
        <x:v>0.027333623188405785</x:v>
      </x:c>
      <x:c r="D11" s="474" t="n">
        <x:f>B11-C11</x:f>
        <x:v>0.002633043478260884</x:v>
      </x:c>
      <x:c r="E11" s="460" t="str">
        <x:f>IF(AND(B11&gt;=MIN(Quercetin_Calibration!E2:E5),B11&gt;=MIN(Rutin_Calibration!E2:E5)),"Within observed response coverage","Below observed response coverage")</x:f>
        <x:v>Below observed response coverage</x:v>
      </x:c>
      <x:c r="F11" s="460" t="str">
        <x:v>N levels</x:v>
      </x:c>
      <x:c r="G11" s="460" t="n">
        <x:f>COUNT(A8:A11)</x:f>
        <x:v>4</x:v>
      </x:c>
      <x:c r="H11" s="460" t="n">
        <x:v>4</x:v>
      </x:c>
      <x:c r="I11" s="323"/>
      <x:c r="J11" s="323"/>
      <x:c r="K11" s="323"/>
      <x:c r="L11" s="323"/>
      <x:c r="M11" s="323"/>
      <x:c r="N11" s="323"/>
    </x:row>
    <x:row r="12">
      <x:c r="A12" s="323"/>
      <x:c r="B12" s="323"/>
      <x:c r="C12" s="323"/>
      <x:c r="D12" s="323"/>
      <x:c r="E12" s="323"/>
      <x:c r="F12" s="323"/>
      <x:c r="G12" s="323"/>
      <x:c r="H12" s="323"/>
      <x:c r="I12" s="323"/>
      <x:c r="J12" s="323"/>
      <x:c r="K12" s="323"/>
      <x:c r="L12" s="323"/>
      <x:c r="M12" s="323"/>
      <x:c r="N12" s="323"/>
    </x:row>
    <x:row r="13">
      <x:c r="A13" s="323"/>
      <x:c r="B13" s="323"/>
      <x:c r="C13" s="323"/>
      <x:c r="D13" s="323"/>
      <x:c r="E13" s="323"/>
      <x:c r="F13" s="323"/>
      <x:c r="G13" s="323"/>
      <x:c r="H13" s="323"/>
      <x:c r="I13" s="323"/>
      <x:c r="J13" s="323"/>
      <x:c r="K13" s="323"/>
      <x:c r="L13" s="323"/>
      <x:c r="M13" s="323"/>
      <x:c r="N13" s="323"/>
    </x:row>
    <x:row r="14">
      <x:c r="A14" s="472" t="str">
        <x:v>B. Slope-ratio diagnostics — numerical detail for Supplementary Information only</x:v>
      </x:c>
      <x:c r="B14" s="472"/>
      <x:c r="C14" s="472"/>
      <x:c r="D14" s="472"/>
      <x:c r="E14" s="472"/>
      <x:c r="F14" s="472"/>
      <x:c r="G14" s="472"/>
      <x:c r="H14" s="472"/>
      <x:c r="I14" s="472"/>
      <x:c r="J14" s="472"/>
      <x:c r="K14" s="472"/>
      <x:c r="L14" s="472"/>
      <x:c r="M14" s="472"/>
      <x:c r="N14" s="472"/>
    </x:row>
    <x:row r="15">
      <x:c r="A15" s="473" t="str">
        <x:v>Calibration model</x:v>
      </x:c>
      <x:c r="B15" s="473" t="str">
        <x:v>Calibration slope</x:v>
      </x:c>
      <x:c r="C15" s="473" t="str">
        <x:v>Extract slope</x:v>
      </x:c>
      <x:c r="D15" s="473" t="str">
        <x:v>Diagnostic slope-ratio (mg standard equiv/g dry extract)</x:v>
      </x:c>
      <x:c r="E15" s="473" t="str">
        <x:v>0.1000 mg/mL inverse-calibration point estimate (mg/g)</x:v>
      </x:c>
      <x:c r="F15" s="473" t="str">
        <x:v>Difference</x:v>
      </x:c>
      <x:c r="G15" s="473" t="str">
        <x:v>Percent difference</x:v>
      </x:c>
      <x:c r="H15" s="473" t="str">
        <x:v>Ratio to point estimate</x:v>
      </x:c>
      <x:c r="I15" s="473" t="str">
        <x:v>Algebraically intercept-independent?</x:v>
      </x:c>
      <x:c r="J15" s="473" t="str">
        <x:v>Range-valid?</x:v>
      </x:c>
      <x:c r="K15" s="473" t="str">
        <x:v>Sample-matched blank?</x:v>
      </x:c>
      <x:c r="L15" s="473" t="str">
        <x:v>Parallelism established?</x:v>
      </x:c>
      <x:c r="M15" s="473" t="str">
        <x:v>Required interpretation</x:v>
      </x:c>
      <x:c r="N15" s="473" t="str">
        <x:v>Recommended manuscript location</x:v>
      </x:c>
    </x:row>
    <x:row r="16">
      <x:c r="A16" s="460" t="str">
        <x:v>Rutin complete range</x:v>
      </x:c>
      <x:c r="B16" s="466" t="n">
        <x:f>Rutin_Calibration!M2</x:f>
        <x:v>11.71128115942029</x:v>
      </x:c>
      <x:c r="C16" s="466" t="n">
        <x:f>$G$8</x:f>
        <x:v>1.7447188405797103</x:v>
      </x:c>
      <x:c r="D16" s="466" t="n">
        <x:f>C16/B16*1000</x:f>
        <x:v>148.9776239533194</x:v>
      </x:c>
      <x:c r="E16" s="466" t="n">
        <x:f>Final_Reference_Values!G32</x:f>
        <x:v>152.8081928684148</x:v>
      </x:c>
      <x:c r="F16" s="466" t="n">
        <x:f>D16-E16</x:f>
        <x:v>-3.830568915095398</x:v>
      </x:c>
      <x:c r="G16" s="466" t="n">
        <x:f>F16/E16*100</x:f>
        <x:v>-2.5067824199674638</x:v>
      </x:c>
      <x:c r="H16" s="466" t="n">
        <x:f>D16/E16</x:f>
        <x:v>0.9749321758003253</x:v>
      </x:c>
      <x:c r="I16" s="460" t="str">
        <x:v>Yes</x:v>
      </x:c>
      <x:c r="J16" s="460" t="str">
        <x:v>No — 3/4 extract means below standard-response coverage</x:v>
      </x:c>
      <x:c r="K16" s="460" t="str">
        <x:v>No</x:v>
      </x:c>
      <x:c r="L16" s="460" t="str">
        <x:v>No</x:v>
      </x:c>
      <x:c r="M16" s="460" t="str">
        <x:v>Diagnostic only. Numerical proximity to the inverse-calibration point estimate does not validate parallelism, matrix freedom, or chemical representativeness.</x:v>
      </x:c>
      <x:c r="N16" s="460" t="str">
        <x:v>Supplementary Information; omit numerical value from main text or mention only that a diagnostic slope-ratio analysis was performed.</x:v>
      </x:c>
    </x:row>
    <x:row r="17">
      <x:c r="A17" s="460" t="str">
        <x:v>Quercetin post hoc lower range</x:v>
      </x:c>
      <x:c r="B17" s="466" t="n">
        <x:f>Quercetin_Calibration!M2</x:f>
        <x:v>6.564761904761904</x:v>
      </x:c>
      <x:c r="C17" s="466" t="n">
        <x:f>$G$8</x:f>
        <x:v>1.7447188405797103</x:v>
      </x:c>
      <x:c r="D17" s="466" t="n">
        <x:f>C17/B17*1000</x:f>
        <x:v>265.7703151905841</x:v>
      </x:c>
      <x:c r="E17" s="466" t="n">
        <x:f>Final_Reference_Values!E32</x:f>
        <x:v>174.13680545480926</x:v>
      </x:c>
      <x:c r="F17" s="466" t="n">
        <x:f>D17-E17</x:f>
        <x:v>91.63350973577482</x:v>
      </x:c>
      <x:c r="G17" s="466" t="n">
        <x:f>F17/E17*100</x:f>
        <x:v>52.621563543931494</x:v>
      </x:c>
      <x:c r="H17" s="466" t="n">
        <x:f>D17/E17</x:f>
        <x:v>1.526215635439315</x:v>
      </x:c>
      <x:c r="I17" s="460" t="str">
        <x:v>Yes</x:v>
      </x:c>
      <x:c r="J17" s="460" t="str">
        <x:v>No — 3/4 extract means below standard-response coverage</x:v>
      </x:c>
      <x:c r="K17" s="460" t="str">
        <x:v>No</x:v>
      </x:c>
      <x:c r="L17" s="460" t="str">
        <x:v>No</x:v>
      </x:c>
      <x:c r="M17" s="460" t="str">
        <x:v>Diagnostic only. Divergence from the inverse-calibration point estimate illustrates model/intercept sensitivity but is not an alternative quantitative estimate. Post hoc model-selection uncertainty remains.</x:v>
      </x:c>
      <x:c r="N17" s="460" t="str">
        <x:v>Supplementary Information; no numerical slope-ratio value in main text.</x:v>
      </x:c>
    </x:row>
    <x:row r="18">
      <x:c r="A18" s="460" t="str">
        <x:v>Quercetin complete range</x:v>
      </x:c>
      <x:c r="B18" s="466" t="n">
        <x:f>Quercetin_Calibration!M5</x:f>
        <x:v>4.888813913043478</x:v>
      </x:c>
      <x:c r="C18" s="466" t="n">
        <x:f>$G$8</x:f>
        <x:v>1.7447188405797103</x:v>
      </x:c>
      <x:c r="D18" s="466" t="n">
        <x:f>C18/B18*1000</x:f>
        <x:v>356.8797813974381</x:v>
      </x:c>
      <x:c r="E18" s="466" t="n">
        <x:f>Final_Reference_Values!F32</x:f>
        <x:v>145.6092488691131</x:v>
      </x:c>
      <x:c r="F18" s="466" t="n">
        <x:f>D18-E18</x:f>
        <x:v>211.270532528325</x:v>
      </x:c>
      <x:c r="G18" s="466" t="n">
        <x:f>F18/E18*100</x:f>
        <x:v>145.09417098788435</x:v>
      </x:c>
      <x:c r="H18" s="466" t="n">
        <x:f>D18/E18</x:f>
        <x:v>2.4509417098788435</x:v>
      </x:c>
      <x:c r="I18" s="460" t="str">
        <x:v>Yes</x:v>
      </x:c>
      <x:c r="J18" s="460" t="str">
        <x:v>No — 3/4 extract means below standard-response coverage</x:v>
      </x:c>
      <x:c r="K18" s="460" t="str">
        <x:v>No</x:v>
      </x:c>
      <x:c r="L18" s="460" t="str">
        <x:v>No</x:v>
      </x:c>
      <x:c r="M18" s="460" t="str">
        <x:v>Diagnostic only. Large divergence is consistent with instability/model dependence; it must not be presented as a quantitative estimate.</x:v>
      </x:c>
      <x:c r="N18" s="460" t="str">
        <x:v>Supplementary Information; no numerical slope-ratio value in main text.</x:v>
      </x:c>
    </x:row>
    <x:row r="19">
      <x:c r="A19" s="323"/>
      <x:c r="B19" s="323"/>
      <x:c r="C19" s="323"/>
      <x:c r="D19" s="323"/>
      <x:c r="E19" s="323"/>
      <x:c r="F19" s="323"/>
      <x:c r="G19" s="323"/>
      <x:c r="H19" s="323"/>
      <x:c r="I19" s="323"/>
      <x:c r="J19" s="323"/>
      <x:c r="K19" s="323"/>
      <x:c r="L19" s="323"/>
      <x:c r="M19" s="323"/>
      <x:c r="N19" s="323"/>
    </x:row>
    <x:row r="20">
      <x:c r="A20" s="323"/>
      <x:c r="B20" s="323"/>
      <x:c r="C20" s="323"/>
      <x:c r="D20" s="323"/>
      <x:c r="E20" s="323"/>
      <x:c r="F20" s="323"/>
      <x:c r="G20" s="323"/>
      <x:c r="H20" s="323"/>
      <x:c r="I20" s="323"/>
      <x:c r="J20" s="323"/>
      <x:c r="K20" s="323"/>
      <x:c r="L20" s="323"/>
      <x:c r="M20" s="323"/>
      <x:c r="N20" s="323"/>
    </x:row>
    <x:row r="21">
      <x:c r="A21" s="472" t="str">
        <x:v>C. Independent numerical verification</x:v>
      </x:c>
      <x:c r="B21" s="472"/>
      <x:c r="C21" s="472"/>
      <x:c r="D21" s="472"/>
      <x:c r="E21" s="472"/>
      <x:c r="F21" s="472"/>
      <x:c r="G21" s="472"/>
      <x:c r="H21" s="472"/>
      <x:c r="I21" s="323"/>
      <x:c r="J21" s="323"/>
      <x:c r="K21" s="323"/>
      <x:c r="L21" s="323"/>
      <x:c r="M21" s="323"/>
      <x:c r="N21" s="323"/>
    </x:row>
    <x:row r="22">
      <x:c r="A22" s="476" t="str">
        <x:v>Check</x:v>
      </x:c>
      <x:c r="B22" s="476" t="str">
        <x:v>Workbook value</x:v>
      </x:c>
      <x:c r="C22" s="476" t="str">
        <x:v>Prior formula-driven workbook</x:v>
      </x:c>
      <x:c r="D22" s="476" t="str">
        <x:v>Independent Python value</x:v>
      </x:c>
      <x:c r="E22" s="476" t="str">
        <x:v>Max absolute difference</x:v>
      </x:c>
      <x:c r="F22" s="476" t="str">
        <x:v>Tolerance</x:v>
      </x:c>
      <x:c r="G22" s="476" t="str">
        <x:v>Status</x:v>
      </x:c>
      <x:c r="H22" s="476" t="str">
        <x:v>Comment</x:v>
      </x:c>
      <x:c r="I22" s="323"/>
      <x:c r="J22" s="323"/>
      <x:c r="K22" s="323"/>
      <x:c r="L22" s="323"/>
      <x:c r="M22" s="323"/>
      <x:c r="N22" s="323"/>
    </x:row>
    <x:row r="23">
      <x:c r="A23" s="477" t="str">
        <x:v>Extract dilution slope</x:v>
      </x:c>
      <x:c r="B23" s="478" t="n">
        <x:f>$G$8</x:f>
        <x:v>1.7447188405797103</x:v>
      </x:c>
      <x:c r="C23" s="478" t="n">
        <x:v>1.7447188405797103</x:v>
      </x:c>
      <x:c r="D23" s="478" t="n">
        <x:v>1.7447188405797105</x:v>
      </x:c>
      <x:c r="E23" s="478" t="n">
        <x:f>MAX(ABS(B23-C23),ABS(B23-D23))</x:f>
        <x:v>2.220446049250313e-16</x:v>
      </x:c>
      <x:c r="F23" s="478" t="n">
        <x:v>1e-12</x:v>
      </x:c>
      <x:c r="G23" s="477" t="str">
        <x:f>IF(E23&lt;=F23,"PASS","CHECK")</x:f>
        <x:v>PASS</x:v>
      </x:c>
      <x:c r="H23" s="477" t="str">
        <x:v>Regression of current unrounded extract means.</x:v>
      </x:c>
      <x:c r="I23" s="323"/>
      <x:c r="J23" s="323"/>
      <x:c r="K23" s="323"/>
      <x:c r="L23" s="323"/>
      <x:c r="M23" s="323"/>
      <x:c r="N23" s="323"/>
    </x:row>
    <x:row r="24">
      <x:c r="A24" s="477" t="str">
        <x:v>Rutin slope-ratio diagnostic</x:v>
      </x:c>
      <x:c r="B24" s="478" t="n">
        <x:f>D16</x:f>
        <x:v>148.9776239533194</x:v>
      </x:c>
      <x:c r="C24" s="478" t="n">
        <x:v>148.97762395331935</x:v>
      </x:c>
      <x:c r="D24" s="478" t="n">
        <x:v>148.9776239533194</x:v>
      </x:c>
      <x:c r="E24" s="478" t="n">
        <x:f>MAX(ABS(B24-C24),ABS(B24-D24))</x:f>
        <x:v>5.684341886080802e-14</x:v>
      </x:c>
      <x:c r="F24" s="478" t="n">
        <x:v>1e-9</x:v>
      </x:c>
      <x:c r="G24" s="477" t="str">
        <x:f>IF(E24&lt;=F24,"PASS","CHECK")</x:f>
        <x:v>PASS</x:v>
      </x:c>
      <x:c r="H24" s="477" t="str">
        <x:v>Diagnostic only.</x:v>
      </x:c>
      <x:c r="I24" s="323"/>
      <x:c r="J24" s="323"/>
      <x:c r="K24" s="323"/>
      <x:c r="L24" s="323"/>
      <x:c r="M24" s="323"/>
      <x:c r="N24" s="323"/>
    </x:row>
    <x:row r="25">
      <x:c r="A25" s="477" t="str">
        <x:v>Quercetin post hoc lower slope-ratio diagnostic</x:v>
      </x:c>
      <x:c r="B25" s="478" t="n">
        <x:f>D17</x:f>
        <x:v>265.7703151905841</x:v>
      </x:c>
      <x:c r="C25" s="478" t="n">
        <x:v>265.77031519058403</x:v>
      </x:c>
      <x:c r="D25" s="478" t="n">
        <x:v>265.7703151905841</x:v>
      </x:c>
      <x:c r="E25" s="478" t="n">
        <x:f>MAX(ABS(B25-C25),ABS(B25-D25))</x:f>
        <x:v>5.684341886080802e-14</x:v>
      </x:c>
      <x:c r="F25" s="478" t="n">
        <x:v>1e-9</x:v>
      </x:c>
      <x:c r="G25" s="477" t="str">
        <x:f>IF(E25&lt;=F25,"PASS","CHECK")</x:f>
        <x:v>PASS</x:v>
      </x:c>
      <x:c r="H25" s="477" t="str">
        <x:v>Diagnostic only; post hoc model.</x:v>
      </x:c>
      <x:c r="I25" s="323"/>
      <x:c r="J25" s="323"/>
      <x:c r="K25" s="323"/>
      <x:c r="L25" s="323"/>
      <x:c r="M25" s="323"/>
      <x:c r="N25" s="323"/>
    </x:row>
    <x:row r="26">
      <x:c r="A26" s="477" t="str">
        <x:v>Quercetin complete-range slope-ratio diagnostic</x:v>
      </x:c>
      <x:c r="B26" s="478" t="n">
        <x:f>D18</x:f>
        <x:v>356.8797813974381</x:v>
      </x:c>
      <x:c r="C26" s="478" t="n">
        <x:v>356.879781397438</x:v>
      </x:c>
      <x:c r="D26" s="478" t="n">
        <x:v>356.87978139743814</x:v>
      </x:c>
      <x:c r="E26" s="478" t="n">
        <x:f>MAX(ABS(B26-C26),ABS(B26-D26))</x:f>
        <x:v>5.684341886080802e-14</x:v>
      </x:c>
      <x:c r="F26" s="478" t="n">
        <x:v>1e-9</x:v>
      </x:c>
      <x:c r="G26" s="477" t="str">
        <x:f>IF(E26&lt;=F26,"PASS","CHECK")</x:f>
        <x:v>PASS</x:v>
      </x:c>
      <x:c r="H26" s="477" t="str">
        <x:v>Diagnostic only.</x:v>
      </x:c>
      <x:c r="I26" s="323"/>
      <x:c r="J26" s="323"/>
      <x:c r="K26" s="323"/>
      <x:c r="L26" s="323"/>
      <x:c r="M26" s="323"/>
      <x:c r="N26" s="323"/>
    </x:row>
    <x:row r="27">
      <x:c r="A27" s="323"/>
      <x:c r="B27" s="323"/>
      <x:c r="C27" s="323"/>
      <x:c r="D27" s="323"/>
      <x:c r="E27" s="323"/>
      <x:c r="F27" s="323"/>
      <x:c r="G27" s="323"/>
      <x:c r="H27" s="323"/>
      <x:c r="I27" s="323"/>
      <x:c r="J27" s="323"/>
      <x:c r="K27" s="323"/>
      <x:c r="L27" s="323"/>
      <x:c r="M27" s="323"/>
      <x:c r="N27" s="323"/>
    </x:row>
    <x:row r="28">
      <x:c r="A28" s="323"/>
      <x:c r="B28" s="323"/>
      <x:c r="C28" s="323"/>
      <x:c r="D28" s="323"/>
      <x:c r="E28" s="323"/>
      <x:c r="F28" s="323"/>
      <x:c r="G28" s="323"/>
      <x:c r="H28" s="323"/>
      <x:c r="I28" s="323"/>
      <x:c r="J28" s="323"/>
      <x:c r="K28" s="323"/>
      <x:c r="L28" s="323"/>
      <x:c r="M28" s="323"/>
      <x:c r="N28" s="323"/>
    </x:row>
    <x:row r="29">
      <x:c r="A29" s="472" t="str">
        <x:v>D. Reviewer 2 disposition rule</x:v>
      </x:c>
      <x:c r="B29" s="472"/>
      <x:c r="C29" s="472"/>
      <x:c r="D29" s="472"/>
      <x:c r="E29" s="472"/>
      <x:c r="F29" s="472"/>
      <x:c r="G29" s="472"/>
      <x:c r="H29" s="472"/>
      <x:c r="I29" s="472"/>
      <x:c r="J29" s="472"/>
      <x:c r="K29" s="472"/>
      <x:c r="L29" s="472"/>
      <x:c r="M29" s="472"/>
      <x:c r="N29" s="472"/>
    </x:row>
    <x:row r="30">
      <x:c r="A30" s="471" t="str">
        <x:v>Final disposition: keep the slope-ratio calculation as a supplementary diagnostic only. Do not describe 149.0 mg RE/g, 265.8 mg QE/g, or 356.9 mg QE/g as alternative quantitative estimates. In the main manuscript, either omit the numerical slope-ratio values entirely or reduce them to one brief statement that a supplementary diagnostic slope-ratio analysis showed model-dependent divergence; direct readers to the Supplementary Information for numerical details.</x:v>
      </x:c>
      <x:c r="B30" s="471"/>
      <x:c r="C30" s="471"/>
      <x:c r="D30" s="471"/>
      <x:c r="E30" s="471"/>
      <x:c r="F30" s="471"/>
      <x:c r="G30" s="471"/>
      <x:c r="H30" s="471"/>
      <x:c r="I30" s="471"/>
      <x:c r="J30" s="471"/>
      <x:c r="K30" s="471"/>
      <x:c r="L30" s="471"/>
      <x:c r="M30" s="471"/>
      <x:c r="N30" s="471"/>
    </x:row>
    <x:row r="31">
      <x:c r="A31" s="471"/>
      <x:c r="B31" s="471"/>
      <x:c r="C31" s="471"/>
      <x:c r="D31" s="471"/>
      <x:c r="E31" s="471"/>
      <x:c r="F31" s="471"/>
      <x:c r="G31" s="471"/>
      <x:c r="H31" s="471"/>
      <x:c r="I31" s="471"/>
      <x:c r="J31" s="471"/>
      <x:c r="K31" s="471"/>
      <x:c r="L31" s="471"/>
      <x:c r="M31" s="471"/>
      <x:c r="N31" s="471"/>
    </x:row>
    <x:row r="32">
      <x:c r="A32" s="323"/>
      <x:c r="B32" s="323"/>
      <x:c r="C32" s="323"/>
      <x:c r="D32" s="323"/>
      <x:c r="E32" s="323"/>
      <x:c r="F32" s="323"/>
      <x:c r="G32" s="323"/>
      <x:c r="H32" s="323"/>
      <x:c r="I32" s="323"/>
      <x:c r="J32" s="323"/>
      <x:c r="K32" s="323"/>
      <x:c r="L32" s="323"/>
      <x:c r="M32" s="323"/>
      <x:c r="N32" s="323"/>
    </x:row>
    <x:row r="33">
      <x:c r="A33" s="479" t="str">
        <x:v>Scientific limitation: three of four extract mean responses are below the observed standard-response range, and the assay used only a reagent blank rather than a sample-matched blank. Consequently, proportional sample colour or other matrix/background response cannot be separated from AlCl₃-dependent response. The slope ratio therefore cannot demonstrate validated dilutional parallelism or matrix-free flavonoid-equivalent content.</x:v>
      </x:c>
      <x:c r="B33" s="479"/>
      <x:c r="C33" s="479"/>
      <x:c r="D33" s="479"/>
      <x:c r="E33" s="479"/>
      <x:c r="F33" s="479"/>
      <x:c r="G33" s="479"/>
      <x:c r="H33" s="479"/>
      <x:c r="I33" s="479"/>
      <x:c r="J33" s="479"/>
      <x:c r="K33" s="479"/>
      <x:c r="L33" s="479"/>
      <x:c r="M33" s="479"/>
      <x:c r="N33" s="479"/>
    </x:row>
    <x:row r="34">
      <x:c r="A34" s="479"/>
      <x:c r="B34" s="479"/>
      <x:c r="C34" s="479"/>
      <x:c r="D34" s="479"/>
      <x:c r="E34" s="479"/>
      <x:c r="F34" s="479"/>
      <x:c r="G34" s="479"/>
      <x:c r="H34" s="479"/>
      <x:c r="I34" s="479"/>
      <x:c r="J34" s="479"/>
      <x:c r="K34" s="479"/>
      <x:c r="L34" s="479"/>
      <x:c r="M34" s="479"/>
      <x:c r="N34" s="479"/>
    </x:row>
    <x:row r="35">
      <x:c r="A35" s="323"/>
      <x:c r="B35" s="323"/>
      <x:c r="C35" s="323"/>
      <x:c r="D35" s="323"/>
      <x:c r="E35" s="323"/>
      <x:c r="F35" s="323"/>
      <x:c r="G35" s="323"/>
      <x:c r="H35" s="323"/>
      <x:c r="I35" s="323"/>
      <x:c r="J35" s="323"/>
      <x:c r="K35" s="323"/>
      <x:c r="L35" s="323"/>
      <x:c r="M35" s="323"/>
      <x:c r="N35" s="323"/>
    </x:row>
    <x:row r="36">
      <x:c r="A36" s="323"/>
      <x:c r="B36" s="323"/>
      <x:c r="C36" s="323"/>
      <x:c r="D36" s="323"/>
      <x:c r="E36" s="323"/>
      <x:c r="F36" s="323"/>
      <x:c r="G36" s="323"/>
      <x:c r="H36" s="323"/>
      <x:c r="I36" s="323"/>
      <x:c r="J36" s="323"/>
      <x:c r="K36" s="323"/>
      <x:c r="L36" s="323"/>
      <x:c r="M36" s="323"/>
      <x:c r="N36" s="323"/>
    </x:row>
    <x:row r="37">
      <x:c r="A37" s="472" t="str">
        <x:v>E. Provenance and supporting sources</x:v>
      </x:c>
      <x:c r="B37" s="472"/>
      <x:c r="C37" s="472"/>
      <x:c r="D37" s="472"/>
      <x:c r="E37" s="472"/>
      <x:c r="F37" s="472"/>
      <x:c r="G37" s="472"/>
      <x:c r="H37" s="472"/>
      <x:c r="I37" s="472"/>
      <x:c r="J37" s="472"/>
      <x:c r="K37" s="472"/>
      <x:c r="L37" s="472"/>
      <x:c r="M37" s="472"/>
      <x:c r="N37" s="472"/>
    </x:row>
    <x:row r="38">
      <x:c r="A38" s="476" t="str">
        <x:v>Source</x:v>
      </x:c>
      <x:c r="B38" s="476" t="str">
        <x:v>Role</x:v>
      </x:c>
      <x:c r="C38" s="323"/>
      <x:c r="D38" s="323"/>
      <x:c r="E38" s="323"/>
      <x:c r="F38" s="323"/>
      <x:c r="G38" s="323"/>
      <x:c r="H38" s="323"/>
      <x:c r="I38" s="323"/>
      <x:c r="J38" s="323"/>
      <x:c r="K38" s="323"/>
      <x:c r="L38" s="323"/>
      <x:c r="M38" s="323"/>
      <x:c r="N38" s="323"/>
    </x:row>
    <x:row r="39">
      <x:c r="A39" s="323" t="str">
        <x:v>Current analytical workbook</x:v>
      </x:c>
      <x:c r="B39" s="323" t="str">
        <x:v>All calculations in this sheet are formula-linked to the current archived-data workbook.</x:v>
      </x:c>
      <x:c r="C39" s="323"/>
      <x:c r="D39" s="323"/>
      <x:c r="E39" s="323"/>
      <x:c r="F39" s="323"/>
      <x:c r="G39" s="323"/>
      <x:c r="H39" s="323"/>
      <x:c r="I39" s="323"/>
      <x:c r="J39" s="323"/>
      <x:c r="K39" s="323"/>
      <x:c r="L39" s="323"/>
      <x:c r="M39" s="323"/>
      <x:c r="N39" s="323"/>
    </x:row>
    <x:row r="40">
      <x:c r="A40" s="323" t="str">
        <x:v>Prior formula-driven workbook</x:v>
      </x:c>
      <x:c r="B40" s="323" t="str">
        <x:v>Used only as an independent historical cross-check for the established slope-ratio formulas and outputs.</x:v>
      </x:c>
      <x:c r="C40" s="323"/>
      <x:c r="D40" s="323"/>
      <x:c r="E40" s="323"/>
      <x:c r="F40" s="323"/>
      <x:c r="G40" s="323"/>
      <x:c r="H40" s="323"/>
      <x:c r="I40" s="323"/>
      <x:c r="J40" s="323"/>
      <x:c r="K40" s="323"/>
      <x:c r="L40" s="323"/>
      <x:c r="M40" s="323"/>
      <x:c r="N40" s="323"/>
    </x:row>
    <x:row r="41">
      <x:c r="A41" s="323" t="str">
        <x:v>Current manuscript</x:v>
      </x:c>
      <x:c r="B41" s="323" t="str">
        <x:v>Confirms three lower extract responses were outside standard-response range and that no sample-matched blank was measured.</x:v>
      </x:c>
      <x:c r="C41" s="323"/>
      <x:c r="D41" s="323"/>
      <x:c r="E41" s="323"/>
      <x:c r="F41" s="323"/>
      <x:c r="G41" s="323"/>
      <x:c r="H41" s="323"/>
      <x:c r="I41" s="323"/>
      <x:c r="J41" s="323"/>
      <x:c r="K41" s="323"/>
      <x:c r="L41" s="323"/>
      <x:c r="M41" s="323"/>
      <x:c r="N41" s="323"/>
    </x:row>
    <x:row r="42">
      <x:c r="A42" s="323" t="str">
        <x:v>Methodological principle</x:v>
      </x:c>
      <x:c r="B42" s="323" t="str">
        <x:v>Calibration/dilution-response interpretation should remain within established response/range and should not infer validated proportionality from a nonvalidated dilution series.</x:v>
      </x:c>
      <x:c r="C42" s="323"/>
      <x:c r="D42" s="323"/>
      <x:c r="E42" s="323"/>
      <x:c r="F42" s="323"/>
      <x:c r="G42" s="323"/>
      <x:c r="H42" s="323"/>
      <x:c r="I42" s="323"/>
      <x:c r="J42" s="323"/>
      <x:c r="K42" s="323"/>
      <x:c r="L42" s="323"/>
      <x:c r="M42" s="323"/>
      <x:c r="N42" s="323"/>
    </x:row>
  </x:sheetData>
  <x:mergeCells>
    <x:mergeCell ref="A1:N1"/>
    <x:mergeCell ref="A2:N2"/>
    <x:mergeCell ref="A3:N4"/>
    <x:mergeCell ref="A6:N6"/>
    <x:mergeCell ref="A14:N14"/>
    <x:mergeCell ref="A21:H21"/>
    <x:mergeCell ref="A29:N29"/>
    <x:mergeCell ref="A30:N31"/>
    <x:mergeCell ref="A33:N34"/>
    <x:mergeCell ref="A37:N37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38" hidden="0" customWidth="1"/>
    <x:col min="4" max="4" width="34" hidden="0" customWidth="1"/>
    <x:col min="5" max="5" width="42" hidden="0" customWidth="1"/>
    <x:col min="6" max="6" width="42" hidden="0" customWidth="1"/>
    <x:col min="7" max="7" width="38" hidden="0" customWidth="1"/>
    <x:col min="8" max="8" width="46" hidden="0" customWidth="1"/>
  </x:cols>
  <x:sheetData>
    <x:row r="1" ht="26" customHeight="1">
      <x:c r="A1" s="496" t="str">
        <x:v>Step 5 — Analytical Terminology Harmonization Audit</x:v>
      </x:c>
      <x:c r="B1" s="496"/>
      <x:c r="C1" s="496"/>
      <x:c r="D1" s="496"/>
      <x:c r="E1" s="496"/>
      <x:c r="F1" s="496"/>
      <x:c r="G1" s="496"/>
      <x:c r="H1" s="496"/>
    </x:row>
    <x:row r="2">
      <x:c r="A2" s="486" t="str">
        <x:v>Canonical reporting phrase: “exploratory apparent AlCl₃-reactive standard-equivalent estimates under reagent-blank conditions.” Use this wording for reported sample values. Shortened wording may be used only after the full term has been established within the same local context.</x:v>
      </x:c>
      <x:c r="B2" s="486"/>
      <x:c r="C2" s="486"/>
      <x:c r="D2" s="486"/>
      <x:c r="E2" s="486"/>
      <x:c r="F2" s="486"/>
      <x:c r="G2" s="486"/>
      <x:c r="H2" s="486"/>
    </x:row>
    <x:row r="3">
      <x:c r="A3" s="486"/>
      <x:c r="B3" s="486"/>
      <x:c r="C3" s="486"/>
      <x:c r="D3" s="486"/>
      <x:c r="E3" s="486"/>
      <x:c r="F3" s="486"/>
      <x:c r="G3" s="486"/>
      <x:c r="H3" s="486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489" t="str">
        <x:v>Term / phrase</x:v>
      </x:c>
      <x:c r="B5" s="489" t="str">
        <x:v>Status</x:v>
      </x:c>
      <x:c r="C5" s="489" t="str">
        <x:v>Permitted use</x:v>
      </x:c>
      <x:c r="D5" s="489" t="str">
        <x:v>Do not use as</x:v>
      </x:c>
      <x:c r="E5" s="489" t="str">
        <x:v>Manuscript action</x:v>
      </x:c>
      <x:c r="F5" s="489" t="str">
        <x:v>Supplementary action</x:v>
      </x:c>
      <x:c r="G5" s="489" t="str">
        <x:v>Workbook action</x:v>
      </x:c>
      <x:c r="H5" s="489" t="str">
        <x:v>Rationale</x:v>
      </x:c>
    </x:row>
    <x:row r="6" ht="39.599998474121094" hidden="0" customHeight="1">
      <x:c r="A6" s="493" t="str">
        <x:v>exploratory apparent AlCl₃-reactive standard-equivalent estimates under reagent-blank conditions</x:v>
      </x:c>
      <x:c r="B6" s="493" t="str">
        <x:v>Preferred</x:v>
      </x:c>
      <x:c r="C6" s="493" t="str">
        <x:v>Primary description of reported RE/QE sample values</x:v>
      </x:c>
      <x:c r="D6" s="493" t="str">
        <x:v>Validated concentration or compound-specific measurement</x:v>
      </x:c>
      <x:c r="E6" s="493" t="str">
        <x:v>Use in Abstract, Results, Discussion, Conclusion, Table 4 note, and Fig. 3 legend.</x:v>
      </x:c>
      <x:c r="F6" s="493" t="str">
        <x:v>Use in Supplementary Table S6 note and any new quantitative summary.</x:v>
      </x:c>
      <x:c r="G6" s="493" t="str">
        <x:v>Established as the canonical reporting phrase.</x:v>
      </x:c>
      <x:c r="H6" s="493" t="str">
        <x:v>Directly implements Reviewer 2 terminology request.</x:v>
      </x:c>
    </x:row>
    <x:row r="7" ht="26.399999618530273" hidden="0" customHeight="1">
      <x:c r="A7" s="493" t="str">
        <x:v>exploratory apparent estimate</x:v>
      </x:c>
      <x:c r="B7" s="493" t="str">
        <x:v>Restricted</x:v>
      </x:c>
      <x:c r="C7" s="493" t="str">
        <x:v>Only as a local abbreviation after the canonical phrase has already been defined</x:v>
      </x:c>
      <x:c r="D7" s="493" t="str">
        <x:v>Standalone global description of the reported values</x:v>
      </x:c>
      <x:c r="E7" s="493" t="str">
        <x:v>Replace standalone uses with the canonical phrase.</x:v>
      </x:c>
      <x:c r="F7" s="493" t="str">
        <x:v>Replace standalone uses where sample values are summarized.</x:v>
      </x:c>
      <x:c r="G7" s="493" t="str">
        <x:v>Legacy wording replaced in reporting notes.</x:v>
      </x:c>
      <x:c r="H7" s="493" t="str">
        <x:v>Avoids ambiguity about AlCl₃ reactivity, standard dependence, and reagent-blank conditions.</x:v>
      </x:c>
    </x:row>
    <x:row r="8" ht="26.399999618530273" hidden="0" customHeight="1">
      <x:c r="A8" s="493" t="str">
        <x:v>flavonoid-equivalent estimate</x:v>
      </x:c>
      <x:c r="B8" s="493" t="str">
        <x:v>Restricted</x:v>
      </x:c>
      <x:c r="C8" s="493" t="str">
        <x:v>Historical/contextual discussion if explicitly qualified</x:v>
      </x:c>
      <x:c r="D8" s="493" t="str">
        <x:v>Primary quantitative label for study values</x:v>
      </x:c>
      <x:c r="E8" s="493" t="str">
        <x:v>Replace study-specific uses with standard-equivalent terminology.</x:v>
      </x:c>
      <x:c r="F8" s="493" t="str">
        <x:v>Avoid as a current reporting label.</x:v>
      </x:c>
      <x:c r="G8" s="493" t="str">
        <x:v>Not used as primary reporting language.</x:v>
      </x:c>
      <x:c r="H8" s="493" t="str">
        <x:v>Reviewer requested standard-equivalent wording rather than total-flavonoid framing.</x:v>
      </x:c>
    </x:row>
    <x:row r="9" ht="52.79999923706055" hidden="0" customHeight="1">
      <x:c r="A9" s="493" t="str">
        <x:v>total flavonoid content / concentration</x:v>
      </x:c>
      <x:c r="B9" s="493" t="str">
        <x:v>Negative or literature-only</x:v>
      </x:c>
      <x:c r="C9" s="493" t="str">
        <x:v>Reference titles, discussion of historical assay terminology, or explicit statements that the present study does NOT provide validated total-flavonoid concentrations</x:v>
      </x:c>
      <x:c r="D9" s="493" t="str">
        <x:v>Description of the present results</x:v>
      </x:c>
      <x:c r="E9" s="493" t="str">
        <x:v>Retain only in negative statements or cited literature titles.</x:v>
      </x:c>
      <x:c r="F9" s="493" t="str">
        <x:v>Remove unused TFC abbreviation from Table S10.</x:v>
      </x:c>
      <x:c r="G9" s="493" t="str">
        <x:v>No primary-use occurrence retained.</x:v>
      </x:c>
      <x:c r="H9" s="493" t="str">
        <x:v>Prevents overstatement of analytical specificity.</x:v>
      </x:c>
    </x:row>
    <x:row r="10" ht="26.399999618530273" hidden="0" customHeight="1">
      <x:c r="A10" s="493" t="str">
        <x:v>RE / QE</x:v>
      </x:c>
      <x:c r="B10" s="493" t="str">
        <x:v>Allowed unit shorthand</x:v>
      </x:c>
      <x:c r="C10" s="493" t="str">
        <x:v>After defining rutin equivalents and quercetin equivalents</x:v>
      </x:c>
      <x:c r="D10" s="493" t="str">
        <x:v>Evidence of compound-specific quantification</x:v>
      </x:c>
      <x:c r="E10" s="493" t="str">
        <x:v>Retain in numerical units with surrounding canonical terminology.</x:v>
      </x:c>
      <x:c r="F10" s="493" t="str">
        <x:v>Retain in tables/units.</x:v>
      </x:c>
      <x:c r="G10" s="493" t="str">
        <x:v>Retain as unit shorthand.</x:v>
      </x:c>
      <x:c r="H10" s="493" t="str">
        <x:v>Unit shorthand is acceptable when interpretation remains explicitly standard-dependent.</x:v>
      </x:c>
    </x:row>
    <x:row r="11" ht="39.599998474121094" hidden="0" customHeight="1">
      <x:c r="A11" s="493" t="str">
        <x:v>diagnostic back-calculation</x:v>
      </x:c>
      <x:c r="B11" s="493" t="str">
        <x:v>Preferred for out-of-range dilution outputs</x:v>
      </x:c>
      <x:c r="C11" s="493" t="str">
        <x:v>Out-of-range dilution observations</x:v>
      </x:c>
      <x:c r="D11" s="493" t="str">
        <x:v>Validated quantitative measurement</x:v>
      </x:c>
      <x:c r="E11" s="493" t="str">
        <x:v>Retain for 0.0500–0.0125 mg/mL dilution results.</x:v>
      </x:c>
      <x:c r="F11" s="493" t="str">
        <x:v>Retain in Table S6.</x:v>
      </x:c>
      <x:c r="G11" s="493" t="str">
        <x:v>Retain.</x:v>
      </x:c>
      <x:c r="H11" s="493" t="str">
        <x:v>Distinguishes diagnostic extrapolation/back-calculation from reportable quantitative values.</x:v>
      </x:c>
    </x:row>
    <x:row r="12" ht="26.399999618530273" hidden="0" customHeight="1">
      <x:c r="A12" s="493" t="str">
        <x:v>diagnostic slope-ratio calculation</x:v>
      </x:c>
      <x:c r="B12" s="493" t="str">
        <x:v>Preferred</x:v>
      </x:c>
      <x:c r="C12" s="493" t="str">
        <x:v>Supplementary-only slope-ratio analysis</x:v>
      </x:c>
      <x:c r="D12" s="493" t="str">
        <x:v>Alternative quantitative estimate</x:v>
      </x:c>
      <x:c r="E12" s="493" t="str">
        <x:v>Do not give numerical prominence in main text.</x:v>
      </x:c>
      <x:c r="F12" s="493" t="str">
        <x:v>Numerical detail may remain in Supplementary Information only.</x:v>
      </x:c>
      <x:c r="G12" s="493" t="str">
        <x:v>Established in Step4_Slope_Ratio.</x:v>
      </x:c>
      <x:c r="H12" s="493" t="str">
        <x:v>Implements Reviewer 2 request to reduce prominence.</x:v>
      </x:c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497" t="str">
        <x:v>Cross-file terminology actions completed in Step 5</x:v>
      </x:c>
      <x:c r="B15" s="497"/>
      <x:c r="C15" s="497"/>
      <x:c r="D15" s="497"/>
      <x:c r="E15" s="497"/>
      <x:c r="F15" s="497"/>
      <x:c r="G15" s="497"/>
      <x:c r="H15" s="497"/>
    </x:row>
    <x:row r="16" ht="30" hidden="0" customHeight="1">
      <x:c r="A16" s="15" t="str">
        <x:v>Workbook README</x:v>
      </x:c>
      <x:c r="B16" s="15" t="str">
        <x:v>Updated</x:v>
      </x:c>
      <x:c r="C16" s="15" t="str">
        <x:v>Primary interpretive-scope wording changed to canonical phrase.</x:v>
      </x:c>
      <x:c r="D16" s="15"/>
      <x:c r="E16" s="15"/>
      <x:c r="F16" s="15"/>
      <x:c r="G16" s="15"/>
      <x:c r="H16" s="15"/>
    </x:row>
    <x:row r="17" ht="30" hidden="0" customHeight="1">
      <x:c r="A17" s="15" t="str">
        <x:v>Model_Sensitivity</x:v>
      </x:c>
      <x:c r="B17" s="15" t="str">
        <x:v>Updated</x:v>
      </x:c>
      <x:c r="C17" s="15" t="str">
        <x:v>“Operational estimate” replaced with canonical estimate terminology.</x:v>
      </x:c>
      <x:c r="D17" s="15"/>
      <x:c r="E17" s="15"/>
      <x:c r="F17" s="15"/>
      <x:c r="G17" s="15"/>
      <x:c r="H17" s="15"/>
    </x:row>
    <x:row r="18" ht="30" hidden="0" customHeight="1">
      <x:c r="A18" s="15" t="str">
        <x:v>Final_Reference_Values</x:v>
      </x:c>
      <x:c r="B18" s="15" t="str">
        <x:v>Updated</x:v>
      </x:c>
      <x:c r="C18" s="15" t="str">
        <x:v>Extract-dilution summary and reporting rule harmonized.</x:v>
      </x:c>
      <x:c r="D18" s="15"/>
      <x:c r="E18" s="15"/>
      <x:c r="F18" s="15"/>
      <x:c r="G18" s="15"/>
      <x:c r="H18" s="15"/>
    </x:row>
    <x:row r="19" ht="30" hidden="0" customHeight="1">
      <x:c r="A19" s="15" t="str">
        <x:v>Calculation Audit Trail</x:v>
      </x:c>
      <x:c r="B19" s="15" t="str">
        <x:v>Updated</x:v>
      </x:c>
      <x:c r="C19" s="15" t="str">
        <x:v>Audit descriptions harmonized with canonical terminology.</x:v>
      </x:c>
      <x:c r="D19" s="15"/>
      <x:c r="E19" s="15"/>
      <x:c r="F19" s="15"/>
      <x:c r="G19" s="15"/>
      <x:c r="H19" s="15"/>
    </x:row>
    <x:row r="20" ht="30" hidden="0" customHeight="1">
      <x:c r="A20" s="15" t="str">
        <x:v>Manuscript</x:v>
      </x:c>
      <x:c r="B20" s="15" t="str">
        <x:v>Prepared for Step 5 artifact</x:v>
      </x:c>
      <x:c r="C20" s="15" t="str">
        <x:v>Abstract, aim, Results, Discussion, Conclusion, Methods terminology, Fig. 3 legend, and Table 4 wording standardized.</x:v>
      </x:c>
      <x:c r="D20" s="15"/>
      <x:c r="E20" s="15"/>
      <x:c r="F20" s="15"/>
      <x:c r="G20" s="15"/>
      <x:c r="H20" s="15"/>
    </x:row>
    <x:row r="21" ht="30" hidden="0" customHeight="1">
      <x:c r="A21" s="15" t="str">
        <x:v>Supplementary Information</x:v>
      </x:c>
      <x:c r="B21" s="15" t="str">
        <x:v>Prepared for Step 5 artifact</x:v>
      </x:c>
      <x:c r="C21" s="15" t="str">
        <x:v>Table S6 note standardized; TFC abbreviation removed from revised reporting.</x:v>
      </x:c>
      <x:c r="D21" s="15"/>
      <x:c r="E21" s="15"/>
      <x:c r="F21" s="15"/>
      <x:c r="G21" s="15"/>
      <x:c r="H21" s="15"/>
    </x:row>
    <x:row r="22" ht="30" hidden="0" customHeight="1">
      <x:c r="A22" s="15" t="str">
        <x:v>Figure 3</x:v>
      </x:c>
      <x:c r="B22" s="15" t="str">
        <x:v>Prepared for Step 5 artifact</x:v>
      </x:c>
      <x:c r="C22" s="15" t="str">
        <x:v>Title/y-axis wording standardized; post hoc model label made explicit.</x:v>
      </x:c>
      <x:c r="D22" s="15"/>
      <x:c r="E22" s="15"/>
      <x:c r="F22" s="15"/>
      <x:c r="G22" s="15"/>
      <x:c r="H22" s="15"/>
    </x:row>
  </x:sheetData>
  <x:mergeCells>
    <x:mergeCell ref="A1:H1"/>
    <x:mergeCell ref="A2:H3"/>
    <x:mergeCell ref="A15:H15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4" hidden="0" customWidth="1"/>
    <x:col min="3" max="3" width="40" hidden="0" customWidth="1"/>
    <x:col min="4" max="4" width="30" hidden="0" customWidth="1"/>
    <x:col min="5" max="5" width="48" hidden="0" customWidth="1"/>
    <x:col min="6" max="6" width="34" hidden="0" customWidth="1"/>
    <x:col min="7" max="7" width="14" hidden="0" customWidth="1"/>
    <x:col min="8" max="8" width="34" hidden="0" customWidth="1"/>
  </x:cols>
  <x:sheetData>
    <x:row r="1">
      <x:c r="A1" s="513" t="str">
        <x:v>Step 6 — Integration of Formal Analyses into Manuscript and Supplement</x:v>
      </x:c>
      <x:c r="B1" s="513"/>
      <x:c r="C1" s="513"/>
      <x:c r="D1" s="513"/>
      <x:c r="E1" s="513"/>
      <x:c r="F1" s="513"/>
      <x:c r="G1" s="513"/>
      <x:c r="H1" s="513"/>
    </x:row>
    <x:row r="2">
      <x:c r="A2" s="503" t="str">
        <x:v>Scope: integrate the previously verified formal pure-error lack-of-fit results, 95% conditional calibration-only inverse-prediction intervals, and supplementary-only diagnostic slope-ratio analysis into the manuscript without changing the underlying analytical data or formulas.</x:v>
      </x:c>
      <x:c r="B2" s="503"/>
      <x:c r="C2" s="503"/>
      <x:c r="D2" s="503"/>
      <x:c r="E2" s="503"/>
      <x:c r="F2" s="503"/>
      <x:c r="G2" s="503"/>
      <x:c r="H2" s="503"/>
    </x:row>
    <x:row r="3">
      <x:c r="A3" s="503"/>
      <x:c r="B3" s="503"/>
      <x:c r="C3" s="503"/>
      <x:c r="D3" s="503"/>
      <x:c r="E3" s="503"/>
      <x:c r="F3" s="503"/>
      <x:c r="G3" s="503"/>
      <x:c r="H3" s="503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506" t="str">
        <x:v>Analysis / issue</x:v>
      </x:c>
      <x:c r="B5" s="506" t="str">
        <x:v>Verified result</x:v>
      </x:c>
      <x:c r="C5" s="506" t="str">
        <x:v>Manuscript sections updated</x:v>
      </x:c>
      <x:c r="D5" s="506" t="str">
        <x:v>Supplementary location</x:v>
      </x:c>
      <x:c r="E5" s="506" t="str">
        <x:v>Interpretive safeguard</x:v>
      </x:c>
      <x:c r="F5" s="506" t="str">
        <x:v>Numerical source</x:v>
      </x:c>
      <x:c r="G5" s="506" t="str">
        <x:v>Status</x:v>
      </x:c>
      <x:c r="H5" s="506" t="str">
        <x:v>Notes</x:v>
      </x:c>
    </x:row>
    <x:row r="6" ht="26.399999618530273" hidden="0" customHeight="1">
      <x:c r="A6" s="510" t="str">
        <x:v>Quercetin complete-range lack of fit</x:v>
      </x:c>
      <x:c r="B6" s="510" t="str">
        <x:v>F(2,8) = 694.881; p = 1.07 × 10^-9; max |mean residual| = 0.039945 A</x:v>
      </x:c>
      <x:c r="C6" s="510" t="str">
        <x:v>Abstract; Results; Discussion; Methods; Table 3</x:v>
      </x:c>
      <x:c r="D6" s="510" t="str">
        <x:v>Supplementary Table S13</x:v>
      </x:c>
      <x:c r="E6" s="510" t="str">
        <x:v>Presented as strong statistically detectable lack of fit and complete-range model inadequacy.</x:v>
      </x:c>
      <x:c r="F6" s="510" t="str">
        <x:v>Step2_Lack_of_Fit / Final_Reference_Values</x:v>
      </x:c>
      <x:c r="G6" s="510" t="str">
        <x:v>Integrated</x:v>
      </x:c>
      <x:c r="H6" s="510" t="str">
        <x:v>No change to regression coefficients or raw data.</x:v>
      </x:c>
    </x:row>
    <x:row r="7" ht="26.399999618530273" hidden="0" customHeight="1">
      <x:c r="A7" s="510" t="str">
        <x:v>Quercetin post hoc lower-range lack of fit</x:v>
      </x:c>
      <x:c r="B7" s="510" t="str">
        <x:v>F(1,6) = 3.116; p = 0.128</x:v>
      </x:c>
      <x:c r="C7" s="510" t="str">
        <x:v>Results; Discussion; Methods; Table 3</x:v>
      </x:c>
      <x:c r="D7" s="510" t="str">
        <x:v>Supplementary Table S13</x:v>
      </x:c>
      <x:c r="E7" s="510" t="str">
        <x:v>Non-significant lack of fit does not validate the model; only 1 lack-of-fit df and model selected post hoc.</x:v>
      </x:c>
      <x:c r="F7" s="510" t="str">
        <x:v>Step2_Lack_of_Fit / Final_Reference_Values</x:v>
      </x:c>
      <x:c r="G7" s="510" t="str">
        <x:v>Integrated</x:v>
      </x:c>
      <x:c r="H7" s="510" t="str">
        <x:v>174.1 mg QE/g remains explicitly post hoc.</x:v>
      </x:c>
    </x:row>
    <x:row r="8" ht="26.399999618530273" hidden="0" customHeight="1">
      <x:c r="A8" s="510" t="str">
        <x:v>Rutin complete-range lack of fit</x:v>
      </x:c>
      <x:c r="B8" s="510" t="str">
        <x:v>F(2,8) = 12.756; p = 0.00325; max |mean residual| = 0.001709 A (~0.58% at that level)</x:v>
      </x:c>
      <x:c r="C8" s="510" t="str">
        <x:v>Abstract; Results; Discussion; Study limitations; Conclusion; Methods; Table 3</x:v>
      </x:c>
      <x:c r="D8" s="510" t="str">
        <x:v>Supplementary Table S13</x:v>
      </x:c>
      <x:c r="E8" s="510" t="str">
        <x:v>Use “statistically detectable lack of fit”; distinguish statistical detection from practically important model inadequacy.</x:v>
      </x:c>
      <x:c r="F8" s="510" t="str">
        <x:v>Step2_Lack_of_Fit / Final_Reference_Values</x:v>
      </x:c>
      <x:c r="G8" s="510" t="str">
        <x:v>Integrated</x:v>
      </x:c>
      <x:c r="H8" s="510" t="str">
        <x:v>Directly addresses Reviewer 2 comment 1.</x:v>
      </x:c>
    </x:row>
    <x:row r="9" ht="26.399999618530273" hidden="0" customHeight="1">
      <x:c r="A9" s="510" t="str">
        <x:v>Rutin 95% conditional calibration-only inverse-prediction interval</x:v>
      </x:c>
      <x:c r="B9" s="510" t="str">
        <x:v>152.8 mg RE/g; 95% interval 151.0–154.6 mg RE/g</x:v>
      </x:c>
      <x:c r="C9" s="510" t="str">
        <x:v>Abstract; Results; Discussion; Study limitations; Methods; Fig. 3 legend</x:v>
      </x:c>
      <x:c r="D9" s="510" t="str">
        <x:v>Supplementary Table S14</x:v>
      </x:c>
      <x:c r="E9" s="510" t="str">
        <x:v>Interval is calibration-only; it does not establish matrix freedom or chemical representativeness.</x:v>
      </x:c>
      <x:c r="F9" s="510" t="str">
        <x:v>Step3_Inverse_Prediction / Final_Reference_Values</x:v>
      </x:c>
      <x:c r="G9" s="510" t="str">
        <x:v>Integrated</x:v>
      </x:c>
      <x:c r="H9" s="510" t="str">
        <x:v>Leaf-normalized interval: 23.25–23.82 mg RE/g.</x:v>
      </x:c>
    </x:row>
    <x:row r="10" ht="26.399999618530273" hidden="0" customHeight="1">
      <x:c r="A10" s="510" t="str">
        <x:v>Quercetin complete-range 95% conditional interval</x:v>
      </x:c>
      <x:c r="B10" s="510" t="str">
        <x:v>145.6 mg QE/g; 95% interval 54.2–229.6 mg QE/g</x:v>
      </x:c>
      <x:c r="C10" s="510" t="str">
        <x:v>Abstract; Results; Discussion; Methods; Fig. 3 legend</x:v>
      </x:c>
      <x:c r="D10" s="510" t="str">
        <x:v>Supplementary Table S14</x:v>
      </x:c>
      <x:c r="E10" s="510" t="str">
        <x:v>Lower concentration endpoint extends below observed calibration range; exploratory only.</x:v>
      </x:c>
      <x:c r="F10" s="510" t="str">
        <x:v>Step3_Inverse_Prediction / Final_Reference_Values</x:v>
      </x:c>
      <x:c r="G10" s="510" t="str">
        <x:v>Integrated</x:v>
      </x:c>
      <x:c r="H10" s="510" t="str">
        <x:v>Leaf-normalized interval: 8.34–35.36 mg QE/g.</x:v>
      </x:c>
    </x:row>
    <x:row r="11" ht="26.399999618530273" hidden="0" customHeight="1">
      <x:c r="A11" s="510" t="str">
        <x:v>Quercetin post hoc lower-range 95% conditional interval</x:v>
      </x:c>
      <x:c r="B11" s="510" t="str">
        <x:v>174.1 mg QE/g; 95% interval 166.3–181.8 mg QE/g</x:v>
      </x:c>
      <x:c r="C11" s="510" t="str">
        <x:v>Abstract; Results; Discussion; Study limitations; Methods; Fig. 3 legend</x:v>
      </x:c>
      <x:c r="D11" s="510" t="str">
        <x:v>Supplementary Table S14</x:v>
      </x:c>
      <x:c r="E11" s="510" t="str">
        <x:v>Does not include post hoc model-selection uncertainty; does not elevate evidential status.</x:v>
      </x:c>
      <x:c r="F11" s="510" t="str">
        <x:v>Step3_Inverse_Prediction / Final_Reference_Values</x:v>
      </x:c>
      <x:c r="G11" s="510" t="str">
        <x:v>Integrated</x:v>
      </x:c>
      <x:c r="H11" s="510" t="str">
        <x:v>Leaf-normalized interval: 25.61–28.00 mg QE/g.</x:v>
      </x:c>
    </x:row>
    <x:row r="12" ht="26.399999618530273" hidden="0" customHeight="1">
      <x:c r="A12" s="510" t="str">
        <x:v>Slope-ratio diagnostics</x:v>
      </x:c>
      <x:c r="B12" s="510" t="str">
        <x:v>149.0 mg RE/g; 265.8 and 356.9 mg QE/g</x:v>
      </x:c>
      <x:c r="C12" s="510" t="str">
        <x:v>Results; Methods; Data analysis</x:v>
      </x:c>
      <x:c r="D12" s="510" t="str">
        <x:v>Supplementary Table S15</x:v>
      </x:c>
      <x:c r="E12" s="510" t="str">
        <x:v>Numerical values retained only in Supplementary Information and not treated as alternative quantitative estimates.</x:v>
      </x:c>
      <x:c r="F12" s="510" t="str">
        <x:v>Step4_Slope_Ratio / Final_Reference_Values</x:v>
      </x:c>
      <x:c r="G12" s="510" t="str">
        <x:v>Integrated</x:v>
      </x:c>
      <x:c r="H12" s="510" t="str">
        <x:v>Directly addresses Reviewer 2 comment 4.</x:v>
      </x:c>
    </x:row>
    <x:row r="13" ht="39.599998474121094" hidden="0" customHeight="1">
      <x:c r="A13" s="510" t="str">
        <x:v>Data-analysis contradiction</x:v>
      </x:c>
      <x:c r="B13" s="510" t="str">
        <x:v>Formal lack-of-fit is now the sole inferential procedure; inverse-prediction intervals added</x:v>
      </x:c>
      <x:c r="C13" s="510" t="str">
        <x:v>Methods — Data analysis</x:v>
      </x:c>
      <x:c r="D13" s="510" t="str">
        <x:v>S13–S15</x:v>
      </x:c>
      <x:c r="E13" s="510" t="str">
        <x:v>Removed the previous statement “No inferential statistical tests were performed.”</x:v>
      </x:c>
      <x:c r="F13" s="510" t="str">
        <x:v>Step2 + Step3</x:v>
      </x:c>
      <x:c r="G13" s="510" t="str">
        <x:v>Resolved</x:v>
      </x:c>
      <x:c r="H13" s="510" t="str">
        <x:v>No other inferential tests were added.</x:v>
      </x:c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514" t="str">
        <x:v>Updated files / reporting artifacts</x:v>
      </x:c>
      <x:c r="B16" s="514"/>
      <x:c r="C16" s="514"/>
      <x:c r="D16" s="514"/>
      <x:c r="E16" s="514"/>
      <x:c r="F16" s="514"/>
      <x:c r="G16" s="514"/>
      <x:c r="H16" s="514"/>
    </x:row>
    <x:row r="17" ht="26.399999618530273" hidden="0" customHeight="1">
      <x:c r="A17" s="15" t="str">
        <x:v>Revised manuscript</x:v>
      </x:c>
      <x:c r="B17" s="15" t="str">
        <x:v>01_Revised_Manuscript_Step6_Analyses_Integrated.docx</x:v>
      </x:c>
      <x:c r="C17" s="15" t="str">
        <x:v>Methods/Results/Abstract/Discussion/Limitations/Conclusion and tables integrated</x:v>
      </x:c>
      <x:c r="D17" s="15"/>
      <x:c r="E17" s="15"/>
      <x:c r="F17" s="15"/>
      <x:c r="G17" s="15"/>
      <x:c r="H17" s="15"/>
    </x:row>
    <x:row r="18" ht="26.399999618530273" hidden="0" customHeight="1">
      <x:c r="A18" s="15" t="str">
        <x:v>Supplementary Information</x:v>
      </x:c>
      <x:c r="B18" s="15" t="str">
        <x:v>03_Supplementary_Information_Step6_Analyses_Integrated.pdf</x:v>
      </x:c>
      <x:c r="C18" s="15" t="str">
        <x:v>Added Supplementary Tables S13–S15</x:v>
      </x:c>
      <x:c r="D18" s="15"/>
      <x:c r="E18" s="15"/>
      <x:c r="F18" s="15"/>
      <x:c r="G18" s="15"/>
      <x:c r="H18" s="15"/>
    </x:row>
    <x:row r="19" ht="26.399999618530273" hidden="0" customHeight="1">
      <x:c r="A19" s="15" t="str">
        <x:v>Figure 3</x:v>
      </x:c>
      <x:c r="B19" s="15" t="str">
        <x:v>Figure_3_Step6_With_Conditional_Inverse_Prediction_Intervals.tif</x:v>
      </x:c>
      <x:c r="C19" s="15" t="str">
        <x:v>Added 95% conditional calibration-only inverse-prediction error bars</x:v>
      </x:c>
      <x:c r="D19" s="15"/>
      <x:c r="E19" s="15"/>
      <x:c r="F19" s="15"/>
      <x:c r="G19" s="15"/>
      <x:c r="H19" s="15"/>
    </x:row>
    <x:row r="20" ht="26.399999618530273" hidden="0" customHeight="1">
      <x:c r="A20" s="15" t="str">
        <x:v>Method reference</x:v>
      </x:c>
      <x:c r="B20" s="15" t="str">
        <x:v>NIST/SEMATECH e-Handbook — Single-Use Calibration Intervals</x:v>
      </x:c>
      <x:c r="C20" s="15" t="str">
        <x:v>Added as manuscript reference 32 for inverse-prediction methodology</x:v>
      </x:c>
      <x:c r="D20" s="15" t="str">
        <x:v>https://www.itl.nist.gov/div898/handbook/pmd/section5/pmd521.htm</x:v>
      </x:c>
      <x:c r="E20" s="15"/>
      <x:c r="F20" s="15"/>
      <x:c r="G20" s="15"/>
      <x:c r="H20" s="15"/>
    </x:row>
  </x:sheetData>
  <x:mergeCells>
    <x:mergeCell ref="A1:H1"/>
    <x:mergeCell ref="A2:H3"/>
    <x:mergeCell ref="A16:H16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42" hidden="0" customWidth="1"/>
    <x:col min="3" max="3" width="48" hidden="0" customWidth="1"/>
    <x:col min="4" max="4" width="45" hidden="0" customWidth="1"/>
    <x:col min="5" max="5" width="38" hidden="0" customWidth="1"/>
    <x:col min="6" max="6" width="44" hidden="0" customWidth="1"/>
    <x:col min="7" max="7" width="42" hidden="0" customWidth="1"/>
    <x:col min="8" max="8" width="15" hidden="0" customWidth="1"/>
    <x:col min="9" max="9" width="14" hidden="0" customWidth="1"/>
    <x:col min="10" max="10" width="20" hidden="0" customWidth="1"/>
  </x:cols>
  <x:sheetData>
    <x:row r="1">
      <x:c r="A1" s="533" t="str">
        <x:v>Step 7 — Reviewer 2 Comment-by-Comment Closure Audit</x:v>
      </x:c>
      <x:c r="B1" s="533"/>
      <x:c r="C1" s="533"/>
      <x:c r="D1" s="533"/>
      <x:c r="E1" s="533"/>
      <x:c r="F1" s="533"/>
      <x:c r="G1" s="533"/>
      <x:c r="H1" s="533"/>
      <x:c r="I1" s="533"/>
      <x:c r="J1" s="533"/>
    </x:row>
    <x:row r="2">
      <x:c r="A2" s="520" t="str">
        <x:v>Purpose: verify that each of Reviewer 2's five minor-revision points is closed across the revised manuscript, Supplementary Information, Figure 3, and analytical workbook before preparing the formal point-by-point response.</x:v>
      </x:c>
      <x:c r="B2" s="520"/>
      <x:c r="C2" s="520"/>
      <x:c r="D2" s="520"/>
      <x:c r="E2" s="520"/>
      <x:c r="F2" s="520"/>
      <x:c r="G2" s="520"/>
      <x:c r="H2" s="520"/>
      <x:c r="I2" s="520"/>
      <x:c r="J2" s="520"/>
    </x:row>
    <x:row r="3">
      <x:c r="A3" s="520"/>
      <x:c r="B3" s="520"/>
      <x:c r="C3" s="520"/>
      <x:c r="D3" s="520"/>
      <x:c r="E3" s="520"/>
      <x:c r="F3" s="520"/>
      <x:c r="G3" s="520"/>
      <x:c r="H3" s="520"/>
      <x:c r="I3" s="520"/>
      <x:c r="J3" s="520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</x:row>
    <x:row r="5">
      <x:c r="A5" s="523" t="str">
        <x:v>Reviewer 2 point</x:v>
      </x:c>
      <x:c r="B5" s="523" t="str">
        <x:v>Core requirement</x:v>
      </x:c>
      <x:c r="C5" s="523" t="str">
        <x:v>Manuscript evidence</x:v>
      </x:c>
      <x:c r="D5" s="523" t="str">
        <x:v>Supplementary / figure evidence</x:v>
      </x:c>
      <x:c r="E5" s="523" t="str">
        <x:v>Workbook evidence</x:v>
      </x:c>
      <x:c r="F5" s="523" t="str">
        <x:v>Residual issue found in Step 7 audit</x:v>
      </x:c>
      <x:c r="G5" s="523" t="str">
        <x:v>Corrective action taken</x:v>
      </x:c>
      <x:c r="H5" s="523" t="str">
        <x:v>Closure status</x:v>
      </x:c>
      <x:c r="I5" s="523" t="str">
        <x:v>Risk after correction</x:v>
      </x:c>
      <x:c r="J5" s="523" t="str">
        <x:v>Ready for response letter?</x:v>
      </x:c>
    </x:row>
    <x:row r="6" ht="52.79999923706055" hidden="0" customHeight="1">
      <x:c r="A6" s="527" t="str">
        <x:v>1. Rutin lack-of-fit interpretation</x:v>
      </x:c>
      <x:c r="B6" s="527" t="str">
        <x:v>Distinguish statistical detectability from analytically meaningful inadequacy; use “showed statistically detectable lack of fit,” not failure language.</x:v>
      </x:c>
      <x:c r="C6" s="527" t="str">
        <x:v>Abstract, Results, Discussion, Study limitations, Conclusion, Methods, and Table 3 report F(2,8)=12.756, p=0.00325, max |mean residual|=0.001709 A (~0.58%) and explicitly separate statistical detectability from practical analytical importance.</x:v>
      </x:c>
      <x:c r="D6" s="527" t="str">
        <x:v>Supplementary Table S13 reports the full pure-error lack-of-fit decomposition and the same interpretive caveat.</x:v>
      </x:c>
      <x:c r="E6" s="527" t="str">
        <x:v>Step2_Lack_of_Fit and Final_Reference_Values contain formula-linked results.</x:v>
      </x:c>
      <x:c r="F6" s="527" t="str">
        <x:v>No scientific gap. Step 7 additionally clarified in Methods that equal replication makes level-mean OLS coefficients identical to replicate-level OLS coefficients used for lack-of-fit partitioning.</x:v>
      </x:c>
      <x:c r="G6" s="527" t="str">
        <x:v>Methods clarification added; no numerical changes.</x:v>
      </x:c>
      <x:c r="H6" s="527" t="str">
        <x:v>CLOSED</x:v>
      </x:c>
      <x:c r="I6" s="527" t="str">
        <x:v>Low</x:v>
      </x:c>
      <x:c r="J6" s="527" t="str">
        <x:v>Yes</x:v>
      </x:c>
    </x:row>
    <x:row r="7" ht="39.599998474121094" hidden="0" customHeight="1">
      <x:c r="A7" s="527" t="str">
        <x:v>2. 174.1 mg QE/g is post hoc</x:v>
      </x:c>
      <x:c r="B7" s="527" t="str">
        <x:v>Identify the 174.1 mg QE/g value as post hoc wherever reported, including Abstract, Results, and Figure 3.</x:v>
      </x:c>
      <x:c r="C7" s="527" t="str">
        <x:v>Abstract and Results explicitly state “post hoc three-level lower-range sensitivity model”; Table 4 header also identifies the post hoc lower-range sensitivity estimate.</x:v>
      </x:c>
      <x:c r="D7" s="527" t="str">
        <x:v>Figure 3 x-axis/annotation identifies the post hoc sensitivity model; Supplementary Tables S6, S13, S14, and S15 identify the model as post hoc.</x:v>
      </x:c>
      <x:c r="E7" s="527" t="str">
        <x:v>Final_Reference_Values and Step3/Step4 retain explicit post hoc model status.</x:v>
      </x:c>
      <x:c r="F7" s="527" t="str">
        <x:v>No remaining unqualified 174.1 mg QE/g occurrence identified.</x:v>
      </x:c>
      <x:c r="G7" s="527" t="str">
        <x:v>No additional numerical or model changes required.</x:v>
      </x:c>
      <x:c r="H7" s="527" t="str">
        <x:v>CLOSED</x:v>
      </x:c>
      <x:c r="I7" s="527" t="str">
        <x:v>Low</x:v>
      </x:c>
      <x:c r="J7" s="527" t="str">
        <x:v>Yes</x:v>
      </x:c>
    </x:row>
    <x:row r="8" ht="66" hidden="0" customHeight="1">
      <x:c r="A8" s="527" t="str">
        <x:v>3. Prediction-interval scope</x:v>
      </x:c>
      <x:c r="B8" s="527" t="str">
        <x:v>Use “conditional calibration-only inverse-prediction interval” consistently and state that intervals exclude matrix effects, recovery, sample preparation, volumetric uncertainty, between-run variation, and post hoc model-selection uncertainty.</x:v>
      </x:c>
      <x:c r="C8" s="527" t="str">
        <x:v>Abstract, Results, Discussion, Study limitations, Conclusion, Methods, Data analysis, and Figure 3 legend use the required term and limitations.</x:v>
      </x:c>
      <x:c r="D8" s="527" t="str">
        <x:v>Supplementary Table S14 title/columns/note use the 95% conditional calibration-only terminology and list excluded uncertainty sources.</x:v>
      </x:c>
      <x:c r="E8" s="527" t="str">
        <x:v>Step3_Inverse_Prediction and Final_Reference_Values contain formula-driven interval calculations.</x:v>
      </x:c>
      <x:c r="F8" s="527" t="str">
        <x:v>Abstract previously displayed quercetin interval numbers in parentheses after the term had been defined for rutin, which was defensible but less explicit than the reviewer requested.</x:v>
      </x:c>
      <x:c r="G8" s="527" t="str">
        <x:v>Abstract revised so the quercetin intervals are explicitly called 95% conditional calibration-only inverse-prediction intervals.</x:v>
      </x:c>
      <x:c r="H8" s="527" t="str">
        <x:v>CLOSED</x:v>
      </x:c>
      <x:c r="I8" s="527" t="str">
        <x:v>Low</x:v>
      </x:c>
      <x:c r="J8" s="527" t="str">
        <x:v>Yes</x:v>
      </x:c>
    </x:row>
    <x:row r="9" ht="52.79999923706055" hidden="0" customHeight="1">
      <x:c r="A9" s="527" t="str">
        <x:v>4. Reduce slope-ratio prominence</x:v>
      </x:c>
      <x:c r="B9" s="527" t="str">
        <x:v>Treat slope-ratio values strictly as diagnostics because three extract responses are outside standard-response coverage and no sample-matched blank is available; preferably place numerical detail mainly in Supplement.</x:v>
      </x:c>
      <x:c r="C9" s="527" t="str">
        <x:v>Results state that slope-ratio analysis is supplementary diagnostic only and numerical values are not alternative quantitative estimates; Methods/Data analysis use the same scope.</x:v>
      </x:c>
      <x:c r="D9" s="527" t="str">
        <x:v>Supplementary Table S15 retains numerical detail only and explicitly states that parallelism/matrix-free response is not established.</x:v>
      </x:c>
      <x:c r="E9" s="527" t="str">
        <x:v>Step4_Slope_Ratio classifies the analysis as supplementary-only diagnostic and documents the 3/4 out-of-range limitation.</x:v>
      </x:c>
      <x:c r="F9" s="527" t="str">
        <x:v>Supplementary Table S15 originally extended beyond the printable page width, partially clipping the Interpretation column.</x:v>
      </x:c>
      <x:c r="G9" s="527" t="str">
        <x:v>S15 rebuilt within printable landscape width; terminology tightened to “alternative quantitative standard-equivalent estimates.”</x:v>
      </x:c>
      <x:c r="H9" s="527" t="str">
        <x:v>CLOSED</x:v>
      </x:c>
      <x:c r="I9" s="527" t="str">
        <x:v>Low</x:v>
      </x:c>
      <x:c r="J9" s="527" t="str">
        <x:v>Yes</x:v>
      </x:c>
    </x:row>
    <x:row r="10" ht="52.79999923706055" hidden="0" customHeight="1">
      <x:c r="A10" s="527" t="str">
        <x:v>5. Consistent analytical terminology</x:v>
      </x:c>
      <x:c r="B10" s="527" t="str">
        <x:v>Use “exploratory apparent AlCl₃-reactive standard-equivalent estimates under reagent-blank conditions” rather than total-flavonoid concentration language.</x:v>
      </x:c>
      <x:c r="C10" s="527" t="str">
        <x:v>Canonical terminology is used in Abstract/Results/Discussion/Conclusion/Methods/Table 4/Figure 3 legend; total-flavonoid wording is retained only in negative statements or literature titles.</x:v>
      </x:c>
      <x:c r="D10" s="527" t="str">
        <x:v>Supplementary Table S6 note uses the canonical phrase; unused TFC abbreviation was removed in Step 5.</x:v>
      </x:c>
      <x:c r="E10" s="527" t="str">
        <x:v>Step5_Terminology_Audit defines the canonical phrase and restricted terminology.</x:v>
      </x:c>
      <x:c r="F10" s="527" t="str">
        <x:v>Supplementary Table S14/S15 layout audit identified clipping, not terminology inconsistency; S15 note also used the older phrase “flavonoid-equivalent content.”</x:v>
      </x:c>
      <x:c r="G10" s="527" t="str">
        <x:v>S14/S15 layout corrected; S15 note revised to “alternative quantitative standard-equivalent estimates.”</x:v>
      </x:c>
      <x:c r="H10" s="527" t="str">
        <x:v>CLOSED</x:v>
      </x:c>
      <x:c r="I10" s="527" t="str">
        <x:v>Low</x:v>
      </x:c>
      <x:c r="J10" s="527" t="str">
        <x:v>Yes</x:v>
      </x:c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>
      <x:c r="A13" s="534" t="str">
        <x:v>Final closure decision</x:v>
      </x:c>
      <x:c r="B13" s="534"/>
      <x:c r="C13" s="534"/>
      <x:c r="D13" s="534"/>
      <x:c r="E13" s="534"/>
      <x:c r="F13" s="534"/>
      <x:c r="G13" s="534"/>
      <x:c r="H13" s="534"/>
      <x:c r="I13" s="534"/>
      <x:c r="J13" s="534"/>
    </x:row>
    <x:row r="14">
      <x:c r="A14" s="532" t="str">
        <x:v>PASS — all five Reviewer 2 points are substantively closed. The Step 7 quality-control review identified two presentation issues rather than scientific-analysis failures: (1) the Abstract could name the quercetin inverse-prediction intervals more explicitly, and (2) the rightmost columns of Supplementary Tables S14 and S15 were clipped in the landscape PDF. Both were corrected. No raw data, regression coefficients, lack-of-fit statistics, inverse-prediction endpoints, slope-ratio calculations, or standard-equivalent point estimates were changed.</x:v>
      </x:c>
      <x:c r="B14" s="532"/>
      <x:c r="C14" s="532"/>
      <x:c r="D14" s="532"/>
      <x:c r="E14" s="532"/>
      <x:c r="F14" s="532"/>
      <x:c r="G14" s="532"/>
      <x:c r="H14" s="532"/>
      <x:c r="I14" s="532"/>
      <x:c r="J14" s="532"/>
    </x:row>
    <x:row r="15">
      <x:c r="A15" s="532"/>
      <x:c r="B15" s="532"/>
      <x:c r="C15" s="532"/>
      <x:c r="D15" s="532"/>
      <x:c r="E15" s="532"/>
      <x:c r="F15" s="532"/>
      <x:c r="G15" s="532"/>
      <x:c r="H15" s="532"/>
      <x:c r="I15" s="532"/>
      <x:c r="J15" s="532"/>
    </x:row>
    <x:row r="16">
      <x:c r="A16" s="532"/>
      <x:c r="B16" s="532"/>
      <x:c r="C16" s="532"/>
      <x:c r="D16" s="532"/>
      <x:c r="E16" s="532"/>
      <x:c r="F16" s="532"/>
      <x:c r="G16" s="532"/>
      <x:c r="H16" s="532"/>
      <x:c r="I16" s="532"/>
      <x:c r="J16" s="532"/>
    </x:row>
  </x:sheetData>
  <x:mergeCells>
    <x:mergeCell ref="A1:J1"/>
    <x:mergeCell ref="A2:J3"/>
    <x:mergeCell ref="A13:J13"/>
    <x:mergeCell ref="A14:J16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2" hidden="0" customWidth="1"/>
    <x:col min="3" max="3" width="48" hidden="0" customWidth="1"/>
    <x:col min="4" max="4" width="42" hidden="0" customWidth="1"/>
    <x:col min="5" max="5" width="18" hidden="0" customWidth="1"/>
    <x:col min="6" max="6" width="34" hidden="0" customWidth="1"/>
    <x:col min="7" max="7" width="18" hidden="0" customWidth="1"/>
    <x:col min="8" max="8" width="48" hidden="0" customWidth="1"/>
  </x:cols>
  <x:sheetData>
    <x:row r="1">
      <x:c r="A1" s="558" t="str">
        <x:v>Step 10 — Remediation and Pre-Freeze Submission Audit</x:v>
      </x:c>
      <x:c r="B1" s="558"/>
      <x:c r="C1" s="558"/>
      <x:c r="D1" s="558"/>
      <x:c r="E1" s="558"/>
      <x:c r="F1" s="558"/>
      <x:c r="G1" s="558"/>
      <x:c r="H1" s="558"/>
    </x:row>
    <x:row r="2">
      <x:c r="A2" s="544" t="str">
        <x:v>Purpose: resolve the Step 9 submission blockers without altering raw analytical data or formula-derived numerical results. The source experiment is documented as a completed undergraduate graduation thesis. Numerical analyses remain formula-driven in this workbook; Python/Matplotlib is used only to generate publication figures from the formula-derived values.</x:v>
      </x:c>
      <x:c r="B2" s="544"/>
      <x:c r="C2" s="544"/>
      <x:c r="D2" s="544"/>
      <x:c r="E2" s="544"/>
      <x:c r="F2" s="544"/>
      <x:c r="G2" s="544"/>
      <x:c r="H2" s="544"/>
    </x:row>
    <x:row r="3">
      <x:c r="A3" s="544"/>
      <x:c r="B3" s="544"/>
      <x:c r="C3" s="544"/>
      <x:c r="D3" s="544"/>
      <x:c r="E3" s="544"/>
      <x:c r="F3" s="544"/>
      <x:c r="G3" s="544"/>
      <x:c r="H3" s="54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546" t="str">
        <x:v>Gate</x:v>
      </x:c>
      <x:c r="B5" s="546" t="str">
        <x:v>Step 9 issue</x:v>
      </x:c>
      <x:c r="C5" s="546" t="str">
        <x:v>Step 10 action</x:v>
      </x:c>
      <x:c r="D5" s="546" t="str">
        <x:v>Evidence / target</x:v>
      </x:c>
      <x:c r="E5" s="546" t="str">
        <x:v>Status</x:v>
      </x:c>
      <x:c r="F5" s="546" t="str">
        <x:v>External dependency</x:v>
      </x:c>
      <x:c r="G5" s="546" t="str">
        <x:v>Numerical impact</x:v>
      </x:c>
      <x:c r="H5" s="546" t="str">
        <x:v>Submission rule</x:v>
      </x:c>
    </x:row>
    <x:row r="6" ht="26.399999618530273" hidden="0" customHeight="1">
      <x:c r="A6" s="550" t="str">
        <x:v>G1</x:v>
      </x:c>
      <x:c r="B6" s="550" t="str">
        <x:v>Abstract &gt;200 words</x:v>
      </x:c>
      <x:c r="C6" s="550" t="str">
        <x:v>Abstract rewritten to ≤200 words while preserving the Reviewer 2 analytical conclusions and interval scope.</x:v>
      </x:c>
      <x:c r="D6" s="550" t="str">
        <x:v>Target abstract = 187 words by whitespace-token count.</x:v>
      </x:c>
      <x:c r="E6" s="550" t="str">
        <x:v>PASS</x:v>
      </x:c>
      <x:c r="F6" s="550" t="str">
        <x:v>None</x:v>
      </x:c>
      <x:c r="G6" s="550" t="str">
        <x:v>None</x:v>
      </x:c>
      <x:c r="H6" s="550" t="str">
        <x:v>Use only the Step 10 manuscript after final line-number refresh.</x:v>
      </x:c>
    </x:row>
    <x:row r="7" ht="39.599998474121094" hidden="0" customHeight="1">
      <x:c r="A7" s="550" t="str">
        <x:v>G2</x:v>
      </x:c>
      <x:c r="B7" s="550" t="str">
        <x:v>Thesis provenance conflict</x:v>
      </x:c>
      <x:c r="C7" s="550" t="str">
        <x:v>Provenance fixed as a completed undergraduate graduation thesis; master’s wording is not valid for this revision branch.</x:v>
      </x:c>
      <x:c r="D7" s="550" t="str">
        <x:v>Manuscript Abstract/Study design/Conclusion/Author contributions and Zenodo README use undergraduate provenance.</x:v>
      </x:c>
      <x:c r="E7" s="550" t="str">
        <x:v>PASS</x:v>
      </x:c>
      <x:c r="F7" s="550" t="str">
        <x:v>Author confirmation represented by the project record</x:v>
      </x:c>
      <x:c r="G7" s="550" t="str">
        <x:v>None</x:v>
      </x:c>
      <x:c r="H7" s="550" t="str">
        <x:v>Do not reintroduce older master’s-thesis wording.</x:v>
      </x:c>
    </x:row>
    <x:row r="8" ht="39.599998474121094" hidden="0" customHeight="1">
      <x:c r="A8" s="550" t="str">
        <x:v>G3</x:v>
      </x:c>
      <x:c r="B8" s="550" t="str">
        <x:v>Code-availability inconsistency</x:v>
      </x:c>
      <x:c r="C8" s="550" t="str">
        <x:v>Numerical analyses described as Excel formulas; Python/Matplotlib disclosed only for Figures 1–3; exact current figure script supplied.</x:v>
      </x:c>
      <x:c r="D8" s="550" t="str">
        <x:v>Supplementary Code 1 regenerates all three TIFF figures from final workbook-derived values.</x:v>
      </x:c>
      <x:c r="E8" s="550" t="str">
        <x:v>PASS</x:v>
      </x:c>
      <x:c r="F8" s="550" t="str">
        <x:v>Zenodo v1 is public, but repository synchronization is incomplete because v1 contains an earlier workbook.</x:v>
      </x:c>
      <x:c r="G8" s="550" t="str">
        <x:v>None</x:v>
      </x:c>
      <x:c r="H8" s="550" t="str">
        <x:v>Do not state that no code was used; distinguish analytical calculations from figure rendering.</x:v>
      </x:c>
    </x:row>
    <x:row r="9" ht="26.399999618530273" hidden="0" customHeight="1">
      <x:c r="A9" s="550" t="str">
        <x:v>G4</x:v>
      </x:c>
      <x:c r="B9" s="550" t="str">
        <x:v>No current compatible cover letter</x:v>
      </x:c>
      <x:c r="C9" s="550" t="str">
        <x:v>New Step 10 cover letter prepared against the current manuscript and Reviewer 2 five-point closure.</x:v>
      </x:c>
      <x:c r="D9" s="550" t="str">
        <x:v>Current title/submission ID/provenance/statistics/limitations/code pathway.</x:v>
      </x:c>
      <x:c r="E9" s="550" t="str">
        <x:v>PASS</x:v>
      </x:c>
      <x:c r="F9" s="550" t="str">
        <x:v>None</x:v>
      </x:c>
      <x:c r="G9" s="550" t="str">
        <x:v>None</x:v>
      </x:c>
      <x:c r="H9" s="550" t="str">
        <x:v>Use the Step 10 cover letter only.</x:v>
      </x:c>
    </x:row>
    <x:row r="10" ht="26.399999618530273" hidden="0" customHeight="1">
      <x:c r="A10" s="550" t="str">
        <x:v>G5</x:v>
      </x:c>
      <x:c r="B10" s="550" t="str">
        <x:v>Point-by-point line-number drift</x:v>
      </x:c>
      <x:c r="C10" s="550" t="str">
        <x:v>Page/line references must be recalculated only after the Step 10 manuscript is rendered and frozen.</x:v>
      </x:c>
      <x:c r="D10" s="550" t="str">
        <x:v>Final rendered Word manuscript after Abstract/code/provenance edits.</x:v>
      </x:c>
      <x:c r="E10" s="550" t="str">
        <x:v>PENDING FINAL REFRESH</x:v>
      </x:c>
      <x:c r="F10" s="550" t="str">
        <x:v>None</x:v>
      </x:c>
      <x:c r="G10" s="550" t="str">
        <x:v>None</x:v>
      </x:c>
      <x:c r="H10" s="550" t="str">
        <x:v>Do not submit the Step 8 response without refreshed locations.</x:v>
      </x:c>
    </x:row>
    <x:row r="11" ht="39.599998474121094" hidden="0" customHeight="1">
      <x:c r="A11" s="550" t="str">
        <x:v>G6</x:v>
      </x:c>
      <x:c r="B11" s="550" t="str">
        <x:v>Repository public availability</x:v>
      </x:c>
      <x:c r="C11" s="550" t="str">
        <x:v>Reserved/project DOI retained for package preparation; public resolution/publication must be verified immediately before journal submission.</x:v>
      </x:c>
      <x:c r="D11" s="550" t="str">
        <x:v>10.5281/zenodo.21744030</x:v>
      </x:c>
      <x:c r="E11" s="550" t="str">
        <x:v>ZENODO V2 UPDATE REQUIRED</x:v>
      </x:c>
      <x:c r="F11" s="550" t="str">
        <x:v>Publish a new Zenodo version containing this corrected workbook before journal resubmission.</x:v>
      </x:c>
      <x:c r="G11" s="550" t="str">
        <x:v>None</x:v>
      </x:c>
      <x:c r="H11" s="550" t="str">
        <x:v>Do not submit until Zenodo v2 contains the same corrected workbook supplied to the journal.</x:v>
      </x:c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559" t="str">
        <x:v>Verified Step 10 numerical reporting values — unchanged</x:v>
      </x:c>
      <x:c r="B14" s="559"/>
      <x:c r="C14" s="559"/>
      <x:c r="D14" s="559"/>
      <x:c r="E14" s="559"/>
      <x:c r="F14" s="559"/>
      <x:c r="G14" s="559"/>
      <x:c r="H14" s="559"/>
    </x:row>
    <x:row r="15">
      <x:c r="A15" s="546" t="str">
        <x:v>Model</x:v>
      </x:c>
      <x:c r="B15" s="546" t="str">
        <x:v>Point estimate dry extract</x:v>
      </x:c>
      <x:c r="C15" s="546" t="str">
        <x:v>95% lower</x:v>
      </x:c>
      <x:c r="D15" s="546" t="str">
        <x:v>95% upper</x:v>
      </x:c>
      <x:c r="E15" s="546" t="str">
        <x:v>Leaf point</x:v>
      </x:c>
      <x:c r="F15" s="546" t="str">
        <x:v>Leaf lower</x:v>
      </x:c>
      <x:c r="G15" s="546" t="str">
        <x:v>Leaf upper</x:v>
      </x:c>
      <x:c r="H15" s="546" t="str">
        <x:v>Status</x:v>
      </x:c>
    </x:row>
    <x:row r="16">
      <x:c r="A16" s="553" t="str">
        <x:f>Final_Reference_Values!A63</x:f>
        <x:v>Quercetin complete range</x:v>
      </x:c>
      <x:c r="B16" s="554" t="n">
        <x:f>Final_Reference_Values!N63</x:f>
        <x:v>145.6092488691131</x:v>
      </x:c>
      <x:c r="C16" s="554" t="n">
        <x:f>Final_Reference_Values!O63</x:f>
        <x:v>54.153400474505574</x:v>
      </x:c>
      <x:c r="D16" s="554" t="n">
        <x:f>Final_Reference_Values!P63</x:f>
        <x:v>229.60959389373951</x:v>
      </x:c>
      <x:c r="E16" s="554" t="n">
        <x:f>Final_Reference_Values!Q63</x:f>
        <x:v>22.423824325843416</x:v>
      </x:c>
      <x:c r="F16" s="554" t="n">
        <x:f>Final_Reference_Values!R63</x:f>
        <x:v>8.339623673073858</x:v>
      </x:c>
      <x:c r="G16" s="554" t="n">
        <x:f>Final_Reference_Values!S63</x:f>
        <x:v>35.35987745963588</x:v>
      </x:c>
      <x:c r="H16" s="553" t="str">
        <x:v>UNCHANGED</x:v>
      </x:c>
    </x:row>
    <x:row r="17">
      <x:c r="A17" s="553" t="str">
        <x:f>Final_Reference_Values!A64</x:f>
        <x:v>Quercetin post hoc lower range</x:v>
      </x:c>
      <x:c r="B17" s="554" t="n">
        <x:f>Final_Reference_Values!N64</x:f>
        <x:v>174.13680545480926</x:v>
      </x:c>
      <x:c r="C17" s="554" t="n">
        <x:f>Final_Reference_Values!O64</x:f>
        <x:v>166.31437482412505</x:v>
      </x:c>
      <x:c r="D17" s="554" t="n">
        <x:f>Final_Reference_Values!P64</x:f>
        <x:v>181.8318074996023</x:v>
      </x:c>
      <x:c r="E17" s="554" t="n">
        <x:f>Final_Reference_Values!Q64</x:f>
        <x:v>26.817068040040628</x:v>
      </x:c>
      <x:c r="F17" s="554" t="n">
        <x:f>Final_Reference_Values!R64</x:f>
        <x:v>25.612413722915257</x:v>
      </x:c>
      <x:c r="G17" s="554" t="n">
        <x:f>Final_Reference_Values!S64</x:f>
        <x:v>28.002098354938752</x:v>
      </x:c>
      <x:c r="H17" s="553" t="str">
        <x:v>UNCHANGED</x:v>
      </x:c>
    </x:row>
    <x:row r="18">
      <x:c r="A18" s="553" t="str">
        <x:f>Final_Reference_Values!A65</x:f>
        <x:v>Rutin complete range</x:v>
      </x:c>
      <x:c r="B18" s="554" t="n">
        <x:f>Final_Reference_Values!N65</x:f>
        <x:v>152.8081928684148</x:v>
      </x:c>
      <x:c r="C18" s="554" t="n">
        <x:f>Final_Reference_Values!O65</x:f>
        <x:v>150.96450851820444</x:v>
      </x:c>
      <x:c r="D18" s="554" t="n">
        <x:f>Final_Reference_Values!P65</x:f>
        <x:v>154.64863517144906</x:v>
      </x:c>
      <x:c r="E18" s="554" t="n">
        <x:f>Final_Reference_Values!Q65</x:f>
        <x:v>23.53246170173588</x:v>
      </x:c>
      <x:c r="F18" s="554" t="n">
        <x:f>Final_Reference_Values!R65</x:f>
        <x:v>23.248534311803482</x:v>
      </x:c>
      <x:c r="G18" s="554" t="n">
        <x:f>Final_Reference_Values!S65</x:f>
        <x:v>23.815889816403153</x:v>
      </x:c>
      <x:c r="H18" s="553" t="str">
        <x:v>UNCHANGED</x:v>
      </x:c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  <x:row r="21">
      <x:c r="A21" s="559" t="str">
        <x:v>Repository synchronization gate</x:v>
      </x:c>
      <x:c r="B21" s="559"/>
      <x:c r="C21" s="559"/>
      <x:c r="D21" s="559"/>
      <x:c r="E21" s="559"/>
      <x:c r="F21" s="559"/>
      <x:c r="G21" s="559"/>
      <x:c r="H21" s="559"/>
    </x:row>
    <x:row r="22">
      <x:c r="A22" s="557" t="str">
        <x:v>Zenodo v1 (DOI 10.5281/zenodo.21744030) is published and open, but the workbook archived there is an earlier 52.5 kB analytical version and is not identical to the current journal workbook. This corrected workbook therefore requires a new Zenodo version before submission. No raw data or formula-derived numerical result has been changed by this synchronization correction.</x:v>
      </x:c>
      <x:c r="B22" s="557"/>
      <x:c r="C22" s="557"/>
      <x:c r="D22" s="557"/>
      <x:c r="E22" s="557"/>
      <x:c r="F22" s="557"/>
      <x:c r="G22" s="557"/>
      <x:c r="H22" s="557"/>
    </x:row>
    <x:row r="23">
      <x:c r="A23" s="557"/>
      <x:c r="B23" s="557"/>
      <x:c r="C23" s="557"/>
      <x:c r="D23" s="557"/>
      <x:c r="E23" s="557"/>
      <x:c r="F23" s="557"/>
      <x:c r="G23" s="557"/>
      <x:c r="H23" s="557"/>
    </x:row>
    <x:row r="24">
      <x:c r="A24" s="557"/>
      <x:c r="B24" s="557"/>
      <x:c r="C24" s="557"/>
      <x:c r="D24" s="557"/>
      <x:c r="E24" s="557"/>
      <x:c r="F24" s="557"/>
      <x:c r="G24" s="557"/>
      <x:c r="H24" s="557"/>
    </x:row>
  </x:sheetData>
  <x:mergeCells>
    <x:mergeCell ref="A1:H1"/>
    <x:mergeCell ref="A2:H3"/>
    <x:mergeCell ref="A14:H14"/>
    <x:mergeCell ref="A21:H21"/>
    <x:mergeCell ref="A22:H24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44" hidden="0" customWidth="1"/>
    <x:col min="4" max="4" width="18" hidden="0" customWidth="1"/>
    <x:col min="5" max="5" width="28" hidden="0" customWidth="1"/>
    <x:col min="6" max="6" width="18" hidden="0" customWidth="1"/>
    <x:col min="7" max="7" width="38" hidden="0" customWidth="1"/>
    <x:col min="8" max="8" width="42" hidden="0" customWidth="1"/>
  </x:cols>
  <x:sheetData>
    <x:row r="1">
      <x:c r="A1" s="577" t="str">
        <x:v>Step 12 — Final Pre-Resubmission Corrections and Repository Synchronization</x:v>
      </x:c>
      <x:c r="B1" s="577"/>
      <x:c r="C1" s="577"/>
      <x:c r="D1" s="577"/>
      <x:c r="E1" s="577"/>
      <x:c r="F1" s="577"/>
      <x:c r="G1" s="577"/>
      <x:c r="H1" s="577"/>
    </x:row>
    <x:row r="2">
      <x:c r="A2" s="566" t="str">
        <x:v>This sheet records the final quality-control corrections identified after independent review. No raw measurement, regression coefficient, lack-of-fit statistic, inverse-prediction endpoint, or point estimate was altered. The only remaining external action is to publish this corrected workbook as a new Zenodo version so that the repository copy and journal copy are identical in content.</x:v>
      </x:c>
      <x:c r="B2" s="566"/>
      <x:c r="C2" s="566"/>
      <x:c r="D2" s="566"/>
      <x:c r="E2" s="566"/>
      <x:c r="F2" s="566"/>
      <x:c r="G2" s="566"/>
      <x:c r="H2" s="566"/>
    </x:row>
    <x:row r="3">
      <x:c r="A3" s="566"/>
      <x:c r="B3" s="566"/>
      <x:c r="C3" s="566"/>
      <x:c r="D3" s="566"/>
      <x:c r="E3" s="566"/>
      <x:c r="F3" s="566"/>
      <x:c r="G3" s="566"/>
      <x:c r="H3" s="566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568" t="str">
        <x:v>Issue</x:v>
      </x:c>
      <x:c r="B5" s="568" t="str">
        <x:v>Finding</x:v>
      </x:c>
      <x:c r="C5" s="568" t="str">
        <x:v>Correction in workbook</x:v>
      </x:c>
      <x:c r="D5" s="568" t="str">
        <x:v>Numerical effect</x:v>
      </x:c>
      <x:c r="E5" s="568" t="str">
        <x:v>Repository effect</x:v>
      </x:c>
      <x:c r="F5" s="568" t="str">
        <x:v>Status</x:v>
      </x:c>
      <x:c r="G5" s="568" t="str">
        <x:v>Required external action</x:v>
      </x:c>
      <x:c r="H5" s="568" t="str">
        <x:v>Submission consequence</x:v>
      </x:c>
    </x:row>
    <x:row r="6" ht="26.399999618530273" hidden="0" customHeight="1">
      <x:c r="A6" s="572" t="str">
        <x:v>Repository workbook mismatch</x:v>
      </x:c>
      <x:c r="B6" s="572" t="str">
        <x:v>Zenodo v1 contains an earlier 52.5 kB workbook; the journal copy is a later analytical workbook.</x:v>
      </x:c>
      <x:c r="C6" s="572" t="str">
        <x:v>This workbook is designated as the corrected v2 candidate; formulas/raw data preserved.</x:v>
      </x:c>
      <x:c r="D6" s="572" t="str">
        <x:v>None</x:v>
      </x:c>
      <x:c r="E6" s="572" t="str">
        <x:v>Requires new Zenodo version</x:v>
      </x:c>
      <x:c r="F6" s="572" t="str">
        <x:v>CORRECTED LOCALLY</x:v>
      </x:c>
      <x:c r="G6" s="572" t="str">
        <x:v>Create Zenodo v2 and upload this workbook.</x:v>
      </x:c>
      <x:c r="H6" s="572" t="str">
        <x:v>Do not resubmit until repository and journal workbook match.</x:v>
      </x:c>
    </x:row>
    <x:row r="7" ht="26.399999618530273" hidden="0" customHeight="1">
      <x:c r="A7" s="572" t="str">
        <x:v>Stale reviewer label</x:v>
      </x:c>
      <x:c r="B7" s="572" t="str">
        <x:v>README contained “Updated after Reviewer 5 clarification.”</x:v>
      </x:c>
      <x:c r="C7" s="572" t="str">
        <x:v>Replaced with neutral final-review wording.</x:v>
      </x:c>
      <x:c r="D7" s="572" t="str">
        <x:v>None</x:v>
      </x:c>
      <x:c r="E7" s="572" t="str">
        <x:v>Metadata/text only</x:v>
      </x:c>
      <x:c r="F7" s="572" t="str">
        <x:v>PASS</x:v>
      </x:c>
      <x:c r="G7" s="572" t="str">
        <x:v>None after v2 publication</x:v>
      </x:c>
      <x:c r="H7" s="572" t="str">
        <x:v>Removes misleading round-specific residue.</x:v>
      </x:c>
    </x:row>
    <x:row r="8" ht="26.399999618530273" hidden="0" customHeight="1">
      <x:c r="A8" s="572" t="str">
        <x:v>Stale repository gate</x:v>
      </x:c>
      <x:c r="B8" s="572" t="str">
        <x:v>Step10 still described Zenodo publication as pending.</x:v>
      </x:c>
      <x:c r="C8" s="572" t="str">
        <x:v>Rewritten as a repository-synchronization gate after v1 publication.</x:v>
      </x:c>
      <x:c r="D8" s="572" t="str">
        <x:v>None</x:v>
      </x:c>
      <x:c r="E8" s="572" t="str">
        <x:v>Metadata/text only</x:v>
      </x:c>
      <x:c r="F8" s="572" t="str">
        <x:v>PASS</x:v>
      </x:c>
      <x:c r="G8" s="572" t="str">
        <x:v>Publish v2</x:v>
      </x:c>
      <x:c r="H8" s="572" t="str">
        <x:v>Makes workbook internally current.</x:v>
      </x:c>
    </x:row>
    <x:row r="9" ht="26.399999618530273" hidden="0" customHeight="1">
      <x:c r="A9" s="572" t="str">
        <x:v>Post hoc terminology</x:v>
      </x:c>
      <x:c r="B9" s="572" t="str">
        <x:v>Several Extract_Dilution / Final_Reference_Values labels said “Quercetin lower” without “post hoc.”</x:v>
      </x:c>
      <x:c r="C9" s="572" t="str">
        <x:v>All identified user-facing labels changed to “Quercetin post hoc lower-range.”</x:v>
      </x:c>
      <x:c r="D9" s="572" t="str">
        <x:v>None</x:v>
      </x:c>
      <x:c r="E9" s="572" t="str">
        <x:v>Metadata/text only</x:v>
      </x:c>
      <x:c r="F9" s="572" t="str">
        <x:v>PASS</x:v>
      </x:c>
      <x:c r="G9" s="572" t="str">
        <x:v>None after v2 publication</x:v>
      </x:c>
      <x:c r="H9" s="572" t="str">
        <x:v>Aligns workbook with Reviewer 2 terminology rule.</x:v>
      </x:c>
    </x:row>
    <x:row r="10" ht="39.599998474121094" hidden="0" customHeight="1">
      <x:c r="A10" s="572" t="str">
        <x:v>AI-assisted audit trail</x:v>
      </x:c>
      <x:c r="B10" s="572" t="str">
        <x:v>Audit trail documents AI-assisted QA and independent Python/SciPy/Wolfram verification.</x:v>
      </x:c>
      <x:c r="C10" s="572" t="str">
        <x:v>Audit trail retained as provenance evidence; manuscript disclosure must explicitly acknowledge audit-oriented numerical verification.</x:v>
      </x:c>
      <x:c r="D10" s="572" t="str">
        <x:v>None</x:v>
      </x:c>
      <x:c r="E10" s="572" t="str">
        <x:v>None</x:v>
      </x:c>
      <x:c r="F10" s="572" t="str">
        <x:v>PASS</x:v>
      </x:c>
      <x:c r="G10" s="572" t="str">
        <x:v>Use broadened manuscript disclosure</x:v>
      </x:c>
      <x:c r="H10" s="572" t="str">
        <x:v>Eliminates disclosure inconsistency.</x:v>
      </x:c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578" t="str">
        <x:v>Numerical freeze statement</x:v>
      </x:c>
      <x:c r="B13" s="578"/>
      <x:c r="C13" s="578"/>
      <x:c r="D13" s="578"/>
      <x:c r="E13" s="578"/>
      <x:c r="F13" s="578"/>
      <x:c r="G13" s="578"/>
      <x:c r="H13" s="578"/>
    </x:row>
    <x:row r="14">
      <x:c r="A14" s="576" t="str">
        <x:v>The final reported point estimates and 95% conditional calibration-only inverse-prediction intervals remain unchanged: rutin 152.8 mg RE/g (151.0–154.6); quercetin complete-range 145.6 mg QE/g (54.2–229.6); quercetin post hoc lower-range 174.1 mg QE/g (166.3–181.8).</x:v>
      </x:c>
      <x:c r="B14" s="576"/>
      <x:c r="C14" s="576"/>
      <x:c r="D14" s="576"/>
      <x:c r="E14" s="576"/>
      <x:c r="F14" s="576"/>
      <x:c r="G14" s="576"/>
      <x:c r="H14" s="576"/>
    </x:row>
    <x:row r="15">
      <x:c r="A15" s="576"/>
      <x:c r="B15" s="576"/>
      <x:c r="C15" s="576"/>
      <x:c r="D15" s="576"/>
      <x:c r="E15" s="576"/>
      <x:c r="F15" s="576"/>
      <x:c r="G15" s="576"/>
      <x:c r="H15" s="576"/>
    </x:row>
    <x:row r="16">
      <x:c r="A16" s="576"/>
      <x:c r="B16" s="576"/>
      <x:c r="C16" s="576"/>
      <x:c r="D16" s="576"/>
      <x:c r="E16" s="576"/>
      <x:c r="F16" s="576"/>
      <x:c r="G16" s="576"/>
      <x:c r="H16" s="576"/>
    </x:row>
  </x:sheetData>
  <x:mergeCells>
    <x:mergeCell ref="A1:H1"/>
    <x:mergeCell ref="A2:H3"/>
    <x:mergeCell ref="A13:H13"/>
    <x:mergeCell ref="A14:H16"/>
  </x:mergeCells>
  <x:pageMargins left="0.7" right="0.7" top="0.75" bottom="0.75" header="0.3" footer="0.3"/>
</x:worksheet>
</file>