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fasano\Desktop\NSUST\Data availability\"/>
    </mc:Choice>
  </mc:AlternateContent>
  <xr:revisionPtr revIDLastSave="0" documentId="13_ncr:1_{AEB99B61-B6D3-4DB6-87A9-F1412592C2E5}" xr6:coauthVersionLast="34" xr6:coauthVersionMax="34" xr10:uidLastSave="{00000000-0000-0000-0000-000000000000}"/>
  <bookViews>
    <workbookView xWindow="0" yWindow="0" windowWidth="23040" windowHeight="8496" xr2:uid="{00000000-000D-0000-FFFF-FFFF00000000}"/>
  </bookViews>
  <sheets>
    <sheet name="Info" sheetId="4" r:id="rId1"/>
    <sheet name="1-stage" sheetId="1" r:id="rId2"/>
    <sheet name="3-stage" sheetId="2" r:id="rId3"/>
    <sheet name="10-stage" sheetId="3" r:id="rId4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6" i="2" l="1"/>
  <c r="E76" i="2"/>
  <c r="C1" i="2"/>
  <c r="F76" i="2"/>
  <c r="F77" i="2"/>
  <c r="C73" i="2"/>
  <c r="D38" i="1"/>
  <c r="E38" i="1"/>
  <c r="C34" i="1"/>
  <c r="F38" i="1"/>
  <c r="D39" i="1"/>
  <c r="E39" i="1"/>
  <c r="F39" i="1"/>
  <c r="D40" i="1"/>
  <c r="E40" i="1"/>
  <c r="F40" i="1"/>
  <c r="D41" i="1"/>
  <c r="E41" i="1"/>
  <c r="F41" i="1"/>
  <c r="D42" i="1"/>
  <c r="E42" i="1"/>
  <c r="F42" i="1"/>
  <c r="D37" i="1"/>
  <c r="E37" i="1"/>
  <c r="F37" i="1"/>
  <c r="D22" i="1"/>
  <c r="B22" i="1"/>
  <c r="B21" i="1"/>
  <c r="E22" i="1"/>
  <c r="C18" i="1"/>
  <c r="F22" i="1"/>
  <c r="D23" i="1"/>
  <c r="B23" i="1"/>
  <c r="E23" i="1"/>
  <c r="F23" i="1"/>
  <c r="D24" i="1"/>
  <c r="B24" i="1"/>
  <c r="E24" i="1"/>
  <c r="F24" i="1"/>
  <c r="D25" i="1"/>
  <c r="B25" i="1"/>
  <c r="E25" i="1"/>
  <c r="F25" i="1"/>
  <c r="D26" i="1"/>
  <c r="B26" i="1"/>
  <c r="E26" i="1"/>
  <c r="F26" i="1"/>
  <c r="D21" i="1"/>
  <c r="B20" i="1"/>
  <c r="E21" i="1"/>
  <c r="F21" i="1"/>
  <c r="D57" i="3"/>
  <c r="B57" i="3"/>
  <c r="B56" i="3"/>
  <c r="E57" i="3"/>
  <c r="C1" i="3"/>
  <c r="F57" i="3"/>
  <c r="D58" i="3"/>
  <c r="B58" i="3"/>
  <c r="E58" i="3"/>
  <c r="F58" i="3"/>
  <c r="D59" i="3"/>
  <c r="B59" i="3"/>
  <c r="E59" i="3"/>
  <c r="F59" i="3"/>
  <c r="D60" i="3"/>
  <c r="B60" i="3"/>
  <c r="E60" i="3"/>
  <c r="F60" i="3"/>
  <c r="D61" i="3"/>
  <c r="B61" i="3"/>
  <c r="E61" i="3"/>
  <c r="F61" i="3"/>
  <c r="D62" i="3"/>
  <c r="B62" i="3"/>
  <c r="E62" i="3"/>
  <c r="F62" i="3"/>
  <c r="D63" i="3"/>
  <c r="B63" i="3"/>
  <c r="E63" i="3"/>
  <c r="F63" i="3"/>
  <c r="D64" i="3"/>
  <c r="B64" i="3"/>
  <c r="E64" i="3"/>
  <c r="F64" i="3"/>
  <c r="F66" i="3"/>
  <c r="B48" i="2"/>
  <c r="B47" i="2"/>
  <c r="B46" i="2"/>
  <c r="B45" i="2"/>
  <c r="B44" i="2"/>
  <c r="B43" i="2"/>
  <c r="B42" i="2"/>
  <c r="B41" i="2"/>
  <c r="B40" i="2"/>
  <c r="B39" i="2"/>
  <c r="B10" i="2"/>
  <c r="B9" i="2"/>
  <c r="B8" i="2"/>
  <c r="B7" i="2"/>
  <c r="B6" i="2"/>
  <c r="B5" i="2"/>
  <c r="B4" i="2"/>
  <c r="B3" i="2"/>
  <c r="C1" i="1"/>
  <c r="F27" i="1"/>
  <c r="C4" i="1"/>
  <c r="D4" i="1"/>
  <c r="E4" i="1"/>
  <c r="F4" i="1"/>
  <c r="D5" i="1"/>
  <c r="E5" i="1"/>
  <c r="F5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F12" i="1"/>
  <c r="F65" i="3"/>
  <c r="C54" i="3"/>
  <c r="D59" i="2"/>
  <c r="E59" i="2"/>
  <c r="F59" i="2"/>
  <c r="D60" i="2"/>
  <c r="E60" i="2"/>
  <c r="F60" i="2"/>
  <c r="D61" i="2"/>
  <c r="E61" i="2"/>
  <c r="F61" i="2"/>
  <c r="D62" i="2"/>
  <c r="E62" i="2"/>
  <c r="F62" i="2"/>
  <c r="D63" i="2"/>
  <c r="E63" i="2"/>
  <c r="F63" i="2"/>
  <c r="D64" i="2"/>
  <c r="E64" i="2"/>
  <c r="F64" i="2"/>
  <c r="D65" i="2"/>
  <c r="E65" i="2"/>
  <c r="F65" i="2"/>
  <c r="F67" i="2"/>
  <c r="F66" i="2"/>
  <c r="C56" i="2"/>
  <c r="D41" i="3"/>
  <c r="E41" i="3"/>
  <c r="F41" i="3"/>
  <c r="D42" i="3"/>
  <c r="E42" i="3"/>
  <c r="F42" i="3"/>
  <c r="D43" i="3"/>
  <c r="E43" i="3"/>
  <c r="F43" i="3"/>
  <c r="D44" i="3"/>
  <c r="E44" i="3"/>
  <c r="F44" i="3"/>
  <c r="D45" i="3"/>
  <c r="E45" i="3"/>
  <c r="F45" i="3"/>
  <c r="D46" i="3"/>
  <c r="E46" i="3"/>
  <c r="F46" i="3"/>
  <c r="F48" i="3"/>
  <c r="F47" i="3"/>
  <c r="C38" i="3"/>
  <c r="D22" i="3"/>
  <c r="E22" i="3"/>
  <c r="F22" i="3"/>
  <c r="D23" i="3"/>
  <c r="E23" i="3"/>
  <c r="F23" i="3"/>
  <c r="D24" i="3"/>
  <c r="E24" i="3"/>
  <c r="F24" i="3"/>
  <c r="D25" i="3"/>
  <c r="E25" i="3"/>
  <c r="F25" i="3"/>
  <c r="D26" i="3"/>
  <c r="E26" i="3"/>
  <c r="F26" i="3"/>
  <c r="D27" i="3"/>
  <c r="E27" i="3"/>
  <c r="F27" i="3"/>
  <c r="D28" i="3"/>
  <c r="E28" i="3"/>
  <c r="F28" i="3"/>
  <c r="D29" i="3"/>
  <c r="E29" i="3"/>
  <c r="F29" i="3"/>
  <c r="D30" i="3"/>
  <c r="E30" i="3"/>
  <c r="F30" i="3"/>
  <c r="F32" i="3"/>
  <c r="F31" i="3"/>
  <c r="C19" i="3"/>
  <c r="D4" i="3"/>
  <c r="E4" i="3"/>
  <c r="F4" i="3"/>
  <c r="D5" i="3"/>
  <c r="E5" i="3"/>
  <c r="F5" i="3"/>
  <c r="D6" i="3"/>
  <c r="E6" i="3"/>
  <c r="F6" i="3"/>
  <c r="D7" i="3"/>
  <c r="E7" i="3"/>
  <c r="F7" i="3"/>
  <c r="D8" i="3"/>
  <c r="E8" i="3"/>
  <c r="F8" i="3"/>
  <c r="D9" i="3"/>
  <c r="E9" i="3"/>
  <c r="F9" i="3"/>
  <c r="D10" i="3"/>
  <c r="E10" i="3"/>
  <c r="F10" i="3"/>
  <c r="D11" i="3"/>
  <c r="E11" i="3"/>
  <c r="F11" i="3"/>
  <c r="F12" i="3"/>
  <c r="F13" i="3"/>
  <c r="D40" i="2"/>
  <c r="E40" i="2"/>
  <c r="F40" i="2"/>
  <c r="D41" i="2"/>
  <c r="E41" i="2"/>
  <c r="F41" i="2"/>
  <c r="D42" i="2"/>
  <c r="E42" i="2"/>
  <c r="F42" i="2"/>
  <c r="D43" i="2"/>
  <c r="E43" i="2"/>
  <c r="F43" i="2"/>
  <c r="D44" i="2"/>
  <c r="E44" i="2"/>
  <c r="F44" i="2"/>
  <c r="D45" i="2"/>
  <c r="E45" i="2"/>
  <c r="F45" i="2"/>
  <c r="D46" i="2"/>
  <c r="E46" i="2"/>
  <c r="F46" i="2"/>
  <c r="D47" i="2"/>
  <c r="E47" i="2"/>
  <c r="F47" i="2"/>
  <c r="D48" i="2"/>
  <c r="E48" i="2"/>
  <c r="F48" i="2"/>
  <c r="F50" i="2"/>
  <c r="F49" i="2"/>
  <c r="C37" i="2"/>
  <c r="D22" i="2"/>
  <c r="E22" i="2"/>
  <c r="F22" i="2"/>
  <c r="D23" i="2"/>
  <c r="E23" i="2"/>
  <c r="F23" i="2"/>
  <c r="D24" i="2"/>
  <c r="E24" i="2"/>
  <c r="F24" i="2"/>
  <c r="D25" i="2"/>
  <c r="E25" i="2"/>
  <c r="F25" i="2"/>
  <c r="D26" i="2"/>
  <c r="E26" i="2"/>
  <c r="F26" i="2"/>
  <c r="D27" i="2"/>
  <c r="E27" i="2"/>
  <c r="F27" i="2"/>
  <c r="D28" i="2"/>
  <c r="E28" i="2"/>
  <c r="F28" i="2"/>
  <c r="D29" i="2"/>
  <c r="E29" i="2"/>
  <c r="F29" i="2"/>
  <c r="F31" i="2"/>
  <c r="F30" i="2"/>
  <c r="C19" i="2"/>
  <c r="D4" i="2"/>
  <c r="E4" i="2"/>
  <c r="F4" i="2"/>
  <c r="D5" i="2"/>
  <c r="E5" i="2"/>
  <c r="F5" i="2"/>
  <c r="D6" i="2"/>
  <c r="E6" i="2"/>
  <c r="F6" i="2"/>
  <c r="D7" i="2"/>
  <c r="E7" i="2"/>
  <c r="F7" i="2"/>
  <c r="D8" i="2"/>
  <c r="E8" i="2"/>
  <c r="F8" i="2"/>
  <c r="D9" i="2"/>
  <c r="E9" i="2"/>
  <c r="F9" i="2"/>
  <c r="D10" i="2"/>
  <c r="E10" i="2"/>
  <c r="F10" i="2"/>
  <c r="D11" i="2"/>
  <c r="E11" i="2"/>
  <c r="F11" i="2"/>
  <c r="F13" i="2"/>
  <c r="F12" i="2"/>
  <c r="F28" i="1"/>
  <c r="F44" i="1"/>
  <c r="F43" i="1"/>
  <c r="F13" i="1"/>
</calcChain>
</file>

<file path=xl/sharedStrings.xml><?xml version="1.0" encoding="utf-8"?>
<sst xmlns="http://schemas.openxmlformats.org/spreadsheetml/2006/main" count="122" uniqueCount="23">
  <si>
    <t>Distillate flow rate [g/h/m^2]</t>
  </si>
  <si>
    <t>Mass(t_{n+1})-Mass(t_{n}) [g]</t>
  </si>
  <si>
    <t>Net Area [m^2]</t>
  </si>
  <si>
    <t>Distillate flow rate [g/h]</t>
  </si>
  <si>
    <t>Average</t>
  </si>
  <si>
    <t>Standard Deviation</t>
  </si>
  <si>
    <t>Standard deviation</t>
  </si>
  <si>
    <t>MEMBRANE-FREE / LAB (feed water: salinity 35 g/l)</t>
  </si>
  <si>
    <t>MEMBRANE 0,1 micron / LAB (feed water: salinity 35 g/l)</t>
  </si>
  <si>
    <t>MEMBRANE 3 micron / LAB (feed water: salinity 35 g/l)</t>
  </si>
  <si>
    <t>MEMBRANE - FREE / LAB (feed water: salinity 35 g/l)</t>
  </si>
  <si>
    <t>MEMBRANE 3 micron / IN FIELD, ROOF (feed water: seawater 35 g/l)</t>
  </si>
  <si>
    <t>MEMBRANE 3 micron / IN FIELD, SEA (feed water: seawater 35 g/l)</t>
  </si>
  <si>
    <t>-</t>
  </si>
  <si>
    <t>This file contains raw data of the paper "Passive solar high-yield seawater desalination by modular and low-cost distillation" 
by Eliodoro Chiavazzo, Matteo Morciano, Francesca Viglino, Matteo Fasano, Pietro Asinari 
(Department of Energy “Galileo Ferraris”, Politecnico di Torino, Corso Duca degli Abruzzi 24, Torino 10129, Italy).</t>
  </si>
  <si>
    <t>Time* [min]</t>
  </si>
  <si>
    <t>Mass** [g]</t>
  </si>
  <si>
    <t>Notes:</t>
  </si>
  <si>
    <t xml:space="preserve">* The reported time (t') is rescaled by the value required to achieve steady state conditions (t_ss), namely: t'=t-t_ss </t>
  </si>
  <si>
    <t xml:space="preserve">** The reported mass (m') is rescaled by the value measured when steady state conditions are achieved (m_ss=m(t_ss)), namely: m'=m-m_ss </t>
  </si>
  <si>
    <t>Steady state conditions were considered as achieved when the linear fitting of the cumulative mass of produced distillate with time provided a R-square value ≥ 0.999</t>
  </si>
  <si>
    <t>MEMBRANE 3 micron / LAB (feed water: salinity 35 g/l)
See also Figure 2B in the manuscript</t>
  </si>
  <si>
    <t>MEMBRANE 3 micron / IN FIELD, ROOF (feed water: seawater 35 g/l)
See also Figure 2D in the manuscript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</si>
</sst>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B050"/>
      <name val="Arial"/>
      <family val="2"/>
    </font>
    <font>
      <sz val="11"/>
      <color rgb="FF00B050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20" fontId="2" fillId="0" borderId="0" xfId="0" applyNumberFormat="1" applyFont="1" applyBorder="1"/>
    <xf numFmtId="2" fontId="2" fillId="0" borderId="0" xfId="0" applyNumberFormat="1" applyFont="1"/>
    <xf numFmtId="2" fontId="1" fillId="3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/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2" borderId="2" xfId="0" applyFont="1" applyFill="1" applyBorder="1"/>
    <xf numFmtId="0" fontId="2" fillId="0" borderId="0" xfId="0" applyFont="1" applyBorder="1"/>
    <xf numFmtId="0" fontId="2" fillId="0" borderId="0" xfId="0" applyFont="1" applyFill="1" applyBorder="1" applyAlignment="1">
      <alignment horizontal="center"/>
    </xf>
    <xf numFmtId="2" fontId="2" fillId="0" borderId="0" xfId="0" applyNumberFormat="1" applyFont="1" applyFill="1" applyBorder="1"/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/>
    <xf numFmtId="0" fontId="2" fillId="0" borderId="4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1" fillId="3" borderId="3" xfId="0" applyFont="1" applyFill="1" applyBorder="1"/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MEMBRANE - FREE / LAB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39142847769028871"/>
                  <c:y val="-1.545129775444736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'1-stage'!$B$3:$B$11</c:f>
              <c:numCache>
                <c:formatCode>General</c:formatCode>
                <c:ptCount val="9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114</c:v>
                </c:pt>
                <c:pt idx="8">
                  <c:v>129</c:v>
                </c:pt>
              </c:numCache>
            </c:numRef>
          </c:xVal>
          <c:yVal>
            <c:numRef>
              <c:f>'1-stage'!$C$3:$C$11</c:f>
              <c:numCache>
                <c:formatCode>0.00</c:formatCode>
                <c:ptCount val="9"/>
                <c:pt idx="0" formatCode="General">
                  <c:v>0</c:v>
                </c:pt>
                <c:pt idx="1">
                  <c:v>1.6</c:v>
                </c:pt>
                <c:pt idx="2">
                  <c:v>3.25</c:v>
                </c:pt>
                <c:pt idx="3">
                  <c:v>4.75</c:v>
                </c:pt>
                <c:pt idx="4">
                  <c:v>6.4</c:v>
                </c:pt>
                <c:pt idx="5">
                  <c:v>7.9</c:v>
                </c:pt>
                <c:pt idx="6">
                  <c:v>9.4</c:v>
                </c:pt>
                <c:pt idx="7">
                  <c:v>11.8</c:v>
                </c:pt>
                <c:pt idx="8">
                  <c:v>13.3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C79-4EDD-B989-60C9DE61E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7303296"/>
        <c:axId val="-687307104"/>
      </c:scatterChart>
      <c:valAx>
        <c:axId val="-687303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Time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-687307104"/>
        <c:crosses val="autoZero"/>
        <c:crossBetween val="midCat"/>
      </c:valAx>
      <c:valAx>
        <c:axId val="-68730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Mass</a:t>
                </a:r>
                <a:r>
                  <a:rPr lang="en-US" sz="16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[g]</a:t>
                </a:r>
                <a:endParaRPr lang="en-US" sz="16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-687303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MEMBRANE 0,1 micron</a:t>
            </a:r>
            <a:r>
              <a:rPr lang="en-US" sz="1600" b="1" baseline="0">
                <a:latin typeface="Arial" panose="020B0604020202020204" pitchFamily="34" charset="0"/>
                <a:cs typeface="Arial" panose="020B0604020202020204" pitchFamily="34" charset="0"/>
              </a:rPr>
              <a:t> / LAB</a:t>
            </a:r>
            <a:endParaRPr lang="en-US" sz="16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29883464566929135"/>
                  <c:y val="1.4560002916302129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aseline="0"/>
                      <a:t>y = 0,6098x</a:t>
                    </a:r>
                    <a:br>
                      <a:rPr lang="en-US" sz="1600" baseline="0"/>
                    </a:br>
                    <a:r>
                      <a:rPr lang="en-US" sz="1600" baseline="0"/>
                      <a:t>R² = 1</a:t>
                    </a:r>
                    <a:endParaRPr lang="en-US" sz="1600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'10-stage'!$B$21:$B$30</c:f>
              <c:numCache>
                <c:formatCode>General</c:formatCode>
                <c:ptCount val="10"/>
                <c:pt idx="0">
                  <c:v>0</c:v>
                </c:pt>
                <c:pt idx="1">
                  <c:v>7</c:v>
                </c:pt>
                <c:pt idx="2">
                  <c:v>22</c:v>
                </c:pt>
                <c:pt idx="3">
                  <c:v>38</c:v>
                </c:pt>
                <c:pt idx="4">
                  <c:v>52</c:v>
                </c:pt>
                <c:pt idx="5">
                  <c:v>67</c:v>
                </c:pt>
                <c:pt idx="6">
                  <c:v>84</c:v>
                </c:pt>
                <c:pt idx="7">
                  <c:v>104</c:v>
                </c:pt>
                <c:pt idx="8">
                  <c:v>112</c:v>
                </c:pt>
                <c:pt idx="9">
                  <c:v>127</c:v>
                </c:pt>
              </c:numCache>
            </c:numRef>
          </c:xVal>
          <c:yVal>
            <c:numRef>
              <c:f>'10-stage'!$C$21:$C$30</c:f>
              <c:numCache>
                <c:formatCode>0.00</c:formatCode>
                <c:ptCount val="10"/>
                <c:pt idx="0">
                  <c:v>0</c:v>
                </c:pt>
                <c:pt idx="1">
                  <c:v>4.3</c:v>
                </c:pt>
                <c:pt idx="2">
                  <c:v>13.45</c:v>
                </c:pt>
                <c:pt idx="3">
                  <c:v>23.25</c:v>
                </c:pt>
                <c:pt idx="4">
                  <c:v>31.7</c:v>
                </c:pt>
                <c:pt idx="5">
                  <c:v>40.97</c:v>
                </c:pt>
                <c:pt idx="6">
                  <c:v>51.25</c:v>
                </c:pt>
                <c:pt idx="7">
                  <c:v>63.35</c:v>
                </c:pt>
                <c:pt idx="8">
                  <c:v>68.25</c:v>
                </c:pt>
                <c:pt idx="9">
                  <c:v>77.45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D43-485B-8DFA-0BE1118E8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7294048"/>
        <c:axId val="-687290240"/>
      </c:scatterChart>
      <c:valAx>
        <c:axId val="-687294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aseline="0">
                    <a:latin typeface="Arial" panose="020B0604020202020204" pitchFamily="34" charset="0"/>
                    <a:cs typeface="Arial" panose="020B0604020202020204" pitchFamily="34" charset="0"/>
                  </a:rPr>
                  <a:t>Time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87290240"/>
        <c:crosses val="autoZero"/>
        <c:crossBetween val="midCat"/>
      </c:valAx>
      <c:valAx>
        <c:axId val="-68729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Mass</a:t>
                </a:r>
                <a:r>
                  <a:rPr lang="en-US" sz="16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[g]</a:t>
                </a:r>
                <a:endParaRPr lang="en-US" sz="16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872940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MEMBRANE 3</a:t>
            </a:r>
            <a:r>
              <a:rPr lang="en-US" sz="1600" b="1" baseline="0">
                <a:latin typeface="Arial" panose="020B0604020202020204" pitchFamily="34" charset="0"/>
                <a:cs typeface="Arial" panose="020B0604020202020204" pitchFamily="34" charset="0"/>
              </a:rPr>
              <a:t> micron / LAB</a:t>
            </a:r>
            <a:endParaRPr lang="en-US" sz="16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31993285214348205"/>
                  <c:y val="-1.465296004666083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'10-stage'!$B$40:$B$46</c:f>
              <c:numCache>
                <c:formatCode>General</c:formatCode>
                <c:ptCount val="7"/>
                <c:pt idx="0">
                  <c:v>0</c:v>
                </c:pt>
                <c:pt idx="1">
                  <c:v>13</c:v>
                </c:pt>
                <c:pt idx="2">
                  <c:v>27</c:v>
                </c:pt>
                <c:pt idx="3">
                  <c:v>42</c:v>
                </c:pt>
                <c:pt idx="4">
                  <c:v>62</c:v>
                </c:pt>
                <c:pt idx="5">
                  <c:v>76</c:v>
                </c:pt>
                <c:pt idx="6">
                  <c:v>85</c:v>
                </c:pt>
              </c:numCache>
            </c:numRef>
          </c:xVal>
          <c:yVal>
            <c:numRef>
              <c:f>'10-stage'!$C$40:$C$46</c:f>
              <c:numCache>
                <c:formatCode>0.00</c:formatCode>
                <c:ptCount val="7"/>
                <c:pt idx="0">
                  <c:v>0</c:v>
                </c:pt>
                <c:pt idx="1">
                  <c:v>7.05</c:v>
                </c:pt>
                <c:pt idx="2">
                  <c:v>14.65</c:v>
                </c:pt>
                <c:pt idx="3">
                  <c:v>22.8</c:v>
                </c:pt>
                <c:pt idx="4">
                  <c:v>33.35</c:v>
                </c:pt>
                <c:pt idx="5">
                  <c:v>41.1</c:v>
                </c:pt>
                <c:pt idx="6">
                  <c:v>45.92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7CF-4EE9-AC7B-FD75048DD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04908048"/>
        <c:axId val="-604901520"/>
      </c:scatterChart>
      <c:valAx>
        <c:axId val="-604908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Time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04901520"/>
        <c:crosses val="autoZero"/>
        <c:crossBetween val="midCat"/>
      </c:valAx>
      <c:valAx>
        <c:axId val="-60490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Mass [g]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049080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MEMBRANE</a:t>
            </a:r>
            <a:r>
              <a:rPr lang="en-US" sz="1600" b="1" baseline="0">
                <a:latin typeface="Arial" panose="020B0604020202020204" pitchFamily="34" charset="0"/>
                <a:cs typeface="Arial" panose="020B0604020202020204" pitchFamily="34" charset="0"/>
              </a:rPr>
              <a:t>  3 micron / FIELD, ROOF</a:t>
            </a:r>
            <a:endParaRPr lang="en-US" sz="16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29877624671916009"/>
                  <c:y val="-1.002333041703120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'10-stage'!$B$56:$B$64</c:f>
              <c:numCache>
                <c:formatCode>General</c:formatCode>
                <c:ptCount val="9"/>
                <c:pt idx="0">
                  <c:v>0</c:v>
                </c:pt>
                <c:pt idx="1">
                  <c:v>13</c:v>
                </c:pt>
                <c:pt idx="2">
                  <c:v>27</c:v>
                </c:pt>
                <c:pt idx="3">
                  <c:v>43</c:v>
                </c:pt>
                <c:pt idx="4">
                  <c:v>57</c:v>
                </c:pt>
                <c:pt idx="5">
                  <c:v>72</c:v>
                </c:pt>
                <c:pt idx="6">
                  <c:v>88</c:v>
                </c:pt>
                <c:pt idx="7">
                  <c:v>102</c:v>
                </c:pt>
                <c:pt idx="8">
                  <c:v>117</c:v>
                </c:pt>
              </c:numCache>
            </c:numRef>
          </c:xVal>
          <c:yVal>
            <c:numRef>
              <c:f>'10-stage'!$C$56:$C$64</c:f>
              <c:numCache>
                <c:formatCode>0.00</c:formatCode>
                <c:ptCount val="9"/>
                <c:pt idx="0">
                  <c:v>0</c:v>
                </c:pt>
                <c:pt idx="1">
                  <c:v>3.4</c:v>
                </c:pt>
                <c:pt idx="2">
                  <c:v>7</c:v>
                </c:pt>
                <c:pt idx="3">
                  <c:v>11.4</c:v>
                </c:pt>
                <c:pt idx="4">
                  <c:v>15.3</c:v>
                </c:pt>
                <c:pt idx="5">
                  <c:v>19.600000000000001</c:v>
                </c:pt>
                <c:pt idx="6">
                  <c:v>24.2</c:v>
                </c:pt>
                <c:pt idx="7">
                  <c:v>28.07</c:v>
                </c:pt>
                <c:pt idx="8">
                  <c:v>32.04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110-4997-8280-0CD0BAD42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04906960"/>
        <c:axId val="-604906416"/>
      </c:scatterChart>
      <c:valAx>
        <c:axId val="-604906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Time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04906416"/>
        <c:crosses val="autoZero"/>
        <c:crossBetween val="midCat"/>
      </c:valAx>
      <c:valAx>
        <c:axId val="-6049064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Mass</a:t>
                </a:r>
                <a:r>
                  <a:rPr lang="en-US" sz="16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[g]</a:t>
                </a:r>
                <a:endParaRPr lang="en-US" sz="16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04906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MEMBRANE 0,1 micron / LAB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38266360454943132"/>
                  <c:y val="-7.640711577719452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 rtl="0">
                    <a:defRPr lang="en-US" sz="16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'1-stage'!$B$20:$B$26</c:f>
              <c:numCache>
                <c:formatCode>General</c:formatCode>
                <c:ptCount val="7"/>
                <c:pt idx="0">
                  <c:v>0</c:v>
                </c:pt>
                <c:pt idx="1">
                  <c:v>30</c:v>
                </c:pt>
                <c:pt idx="2">
                  <c:v>61</c:v>
                </c:pt>
                <c:pt idx="3">
                  <c:v>90</c:v>
                </c:pt>
                <c:pt idx="4">
                  <c:v>123</c:v>
                </c:pt>
                <c:pt idx="5">
                  <c:v>150</c:v>
                </c:pt>
                <c:pt idx="6">
                  <c:v>180</c:v>
                </c:pt>
              </c:numCache>
            </c:numRef>
          </c:xVal>
          <c:yVal>
            <c:numRef>
              <c:f>'1-stage'!$C$20:$C$26</c:f>
              <c:numCache>
                <c:formatCode>0.00</c:formatCode>
                <c:ptCount val="7"/>
                <c:pt idx="0">
                  <c:v>0</c:v>
                </c:pt>
                <c:pt idx="1">
                  <c:v>3</c:v>
                </c:pt>
                <c:pt idx="2">
                  <c:v>6.15</c:v>
                </c:pt>
                <c:pt idx="3">
                  <c:v>9.07</c:v>
                </c:pt>
                <c:pt idx="4">
                  <c:v>12.37</c:v>
                </c:pt>
                <c:pt idx="5">
                  <c:v>15.02</c:v>
                </c:pt>
                <c:pt idx="6">
                  <c:v>17.97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97A-4F02-9EE5-D6CE3A272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7311456"/>
        <c:axId val="-687284256"/>
      </c:scatterChart>
      <c:valAx>
        <c:axId val="-687311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Time</a:t>
                </a:r>
                <a:r>
                  <a:rPr lang="en-US" sz="16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[min]</a:t>
                </a:r>
                <a:endParaRPr lang="en-US" sz="16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87284256"/>
        <c:crosses val="autoZero"/>
        <c:crossBetween val="midCat"/>
      </c:valAx>
      <c:valAx>
        <c:axId val="-68728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Mass [g]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87311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MEMBRANE 3 micron / LAB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36321916010498689"/>
                  <c:y val="-7.640711577719452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'1-stage'!$B$36:$B$42</c:f>
              <c:numCache>
                <c:formatCode>General</c:formatCode>
                <c:ptCount val="7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</c:numCache>
            </c:numRef>
          </c:xVal>
          <c:yVal>
            <c:numRef>
              <c:f>'1-stage'!$C$36:$C$42</c:f>
              <c:numCache>
                <c:formatCode>0.00</c:formatCode>
                <c:ptCount val="7"/>
                <c:pt idx="0">
                  <c:v>0</c:v>
                </c:pt>
                <c:pt idx="1">
                  <c:v>2.75</c:v>
                </c:pt>
                <c:pt idx="2">
                  <c:v>5.7</c:v>
                </c:pt>
                <c:pt idx="3">
                  <c:v>8.75</c:v>
                </c:pt>
                <c:pt idx="4">
                  <c:v>11.8</c:v>
                </c:pt>
                <c:pt idx="5">
                  <c:v>15</c:v>
                </c:pt>
                <c:pt idx="6">
                  <c:v>18.05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CBA-4954-835D-414B41896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7308736"/>
        <c:axId val="-687314176"/>
      </c:scatterChart>
      <c:valAx>
        <c:axId val="-68730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Time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87314176"/>
        <c:crosses val="autoZero"/>
        <c:crossBetween val="midCat"/>
      </c:valAx>
      <c:valAx>
        <c:axId val="-6873141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Mass</a:t>
                </a:r>
                <a:r>
                  <a:rPr lang="en-US" sz="16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[g]</a:t>
                </a:r>
                <a:endParaRPr lang="en-US" sz="16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87308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MEMBRANE - FREE / LAB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29420822397200352"/>
                  <c:y val="-7.640711577719452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'3-stage'!$B$3:$B$11</c:f>
              <c:numCache>
                <c:formatCode>General</c:formatCode>
                <c:ptCount val="9"/>
                <c:pt idx="0">
                  <c:v>0</c:v>
                </c:pt>
                <c:pt idx="1">
                  <c:v>18</c:v>
                </c:pt>
                <c:pt idx="2">
                  <c:v>33</c:v>
                </c:pt>
                <c:pt idx="3">
                  <c:v>53</c:v>
                </c:pt>
                <c:pt idx="4">
                  <c:v>64</c:v>
                </c:pt>
                <c:pt idx="5">
                  <c:v>74</c:v>
                </c:pt>
                <c:pt idx="6">
                  <c:v>89</c:v>
                </c:pt>
                <c:pt idx="7">
                  <c:v>104</c:v>
                </c:pt>
                <c:pt idx="8">
                  <c:v>119</c:v>
                </c:pt>
              </c:numCache>
            </c:numRef>
          </c:xVal>
          <c:yVal>
            <c:numRef>
              <c:f>'3-stage'!$C$3:$C$11</c:f>
              <c:numCache>
                <c:formatCode>0.00</c:formatCode>
                <c:ptCount val="9"/>
                <c:pt idx="0">
                  <c:v>0</c:v>
                </c:pt>
                <c:pt idx="1">
                  <c:v>5.55</c:v>
                </c:pt>
                <c:pt idx="2">
                  <c:v>10.16</c:v>
                </c:pt>
                <c:pt idx="3">
                  <c:v>16.350000000000001</c:v>
                </c:pt>
                <c:pt idx="4">
                  <c:v>19.7</c:v>
                </c:pt>
                <c:pt idx="5">
                  <c:v>22.74</c:v>
                </c:pt>
                <c:pt idx="6">
                  <c:v>26.9</c:v>
                </c:pt>
                <c:pt idx="7">
                  <c:v>31.5</c:v>
                </c:pt>
                <c:pt idx="8">
                  <c:v>36.08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EBD-407F-A648-8610236CB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7303840"/>
        <c:axId val="-687308192"/>
      </c:scatterChart>
      <c:valAx>
        <c:axId val="-687303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Time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87308192"/>
        <c:crosses val="autoZero"/>
        <c:crossBetween val="midCat"/>
      </c:valAx>
      <c:valAx>
        <c:axId val="-68730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Mass</a:t>
                </a:r>
                <a:r>
                  <a:rPr lang="en-US" sz="16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[g]</a:t>
                </a:r>
                <a:endParaRPr lang="en-US" sz="16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87303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MEMBRANE 0,1 micron / LAB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30442410323709534"/>
                  <c:y val="-1.002333041703120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'3-stage'!$B$21:$B$29</c:f>
              <c:numCache>
                <c:formatCode>General</c:formatCode>
                <c:ptCount val="9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</c:numCache>
            </c:numRef>
          </c:xVal>
          <c:yVal>
            <c:numRef>
              <c:f>'3-stage'!$C$21:$C$29</c:f>
              <c:numCache>
                <c:formatCode>0.00</c:formatCode>
                <c:ptCount val="9"/>
                <c:pt idx="0">
                  <c:v>0</c:v>
                </c:pt>
                <c:pt idx="1">
                  <c:v>4.25</c:v>
                </c:pt>
                <c:pt idx="2">
                  <c:v>8.65</c:v>
                </c:pt>
                <c:pt idx="3">
                  <c:v>13.15</c:v>
                </c:pt>
                <c:pt idx="4">
                  <c:v>17.75</c:v>
                </c:pt>
                <c:pt idx="5">
                  <c:v>22.4</c:v>
                </c:pt>
                <c:pt idx="6">
                  <c:v>26.9</c:v>
                </c:pt>
                <c:pt idx="7">
                  <c:v>31.35</c:v>
                </c:pt>
                <c:pt idx="8">
                  <c:v>35.85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737-46F4-9157-4ACBBA1B3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7290784"/>
        <c:axId val="-687302752"/>
      </c:scatterChart>
      <c:valAx>
        <c:axId val="-687290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Time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87302752"/>
        <c:crosses val="autoZero"/>
        <c:crossBetween val="midCat"/>
      </c:valAx>
      <c:valAx>
        <c:axId val="-68730275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Mass</a:t>
                </a:r>
                <a:r>
                  <a:rPr lang="en-US" sz="16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[g]</a:t>
                </a:r>
                <a:endParaRPr lang="en-US" sz="16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872907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MEMBRANE</a:t>
            </a:r>
            <a:r>
              <a:rPr lang="en-US" sz="1600" b="1" baseline="0">
                <a:latin typeface="Arial" panose="020B0604020202020204" pitchFamily="34" charset="0"/>
                <a:cs typeface="Arial" panose="020B0604020202020204" pitchFamily="34" charset="0"/>
              </a:rPr>
              <a:t> 3 micron / LAB</a:t>
            </a:r>
            <a:endParaRPr lang="en-US" sz="16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35013298337707788"/>
                  <c:y val="-7.640711577719452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'3-stage'!$B$39:$B$48</c:f>
              <c:numCache>
                <c:formatCode>General</c:formatCode>
                <c:ptCount val="10"/>
                <c:pt idx="0">
                  <c:v>0</c:v>
                </c:pt>
                <c:pt idx="1">
                  <c:v>11</c:v>
                </c:pt>
                <c:pt idx="2">
                  <c:v>26</c:v>
                </c:pt>
                <c:pt idx="3">
                  <c:v>41</c:v>
                </c:pt>
                <c:pt idx="4">
                  <c:v>56</c:v>
                </c:pt>
                <c:pt idx="5">
                  <c:v>71</c:v>
                </c:pt>
                <c:pt idx="6">
                  <c:v>88</c:v>
                </c:pt>
                <c:pt idx="7">
                  <c:v>101</c:v>
                </c:pt>
                <c:pt idx="8">
                  <c:v>116</c:v>
                </c:pt>
                <c:pt idx="9">
                  <c:v>131</c:v>
                </c:pt>
              </c:numCache>
            </c:numRef>
          </c:xVal>
          <c:yVal>
            <c:numRef>
              <c:f>'3-stage'!$C$39:$C$48</c:f>
              <c:numCache>
                <c:formatCode>0.00</c:formatCode>
                <c:ptCount val="10"/>
                <c:pt idx="0">
                  <c:v>0</c:v>
                </c:pt>
                <c:pt idx="1">
                  <c:v>3.2</c:v>
                </c:pt>
                <c:pt idx="2">
                  <c:v>8.1</c:v>
                </c:pt>
                <c:pt idx="3">
                  <c:v>12.2</c:v>
                </c:pt>
                <c:pt idx="4">
                  <c:v>16.600000000000001</c:v>
                </c:pt>
                <c:pt idx="5">
                  <c:v>21.05</c:v>
                </c:pt>
                <c:pt idx="6">
                  <c:v>26.2</c:v>
                </c:pt>
                <c:pt idx="7">
                  <c:v>30.15</c:v>
                </c:pt>
                <c:pt idx="8">
                  <c:v>34.65</c:v>
                </c:pt>
                <c:pt idx="9">
                  <c:v>39.200000000000003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AFA-466D-A32E-F8C0C13FC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7288064"/>
        <c:axId val="-687286976"/>
      </c:scatterChart>
      <c:valAx>
        <c:axId val="-687288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Time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87286976"/>
        <c:crosses val="autoZero"/>
        <c:crossBetween val="midCat"/>
      </c:valAx>
      <c:valAx>
        <c:axId val="-68728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Mass [g]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87288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MEMBRANE</a:t>
            </a:r>
            <a:r>
              <a:rPr lang="en-US" sz="1600" b="1" baseline="0">
                <a:latin typeface="Arial" panose="020B0604020202020204" pitchFamily="34" charset="0"/>
                <a:cs typeface="Arial" panose="020B0604020202020204" pitchFamily="34" charset="0"/>
              </a:rPr>
              <a:t> 3 micron / FIELD, ROOF</a:t>
            </a:r>
            <a:endParaRPr lang="en-US" sz="16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21339063867016622"/>
                  <c:y val="-5.3937007874015749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'3-stage'!$B$58:$B$65</c:f>
              <c:numCache>
                <c:formatCode>General</c:formatCode>
                <c:ptCount val="8"/>
                <c:pt idx="0">
                  <c:v>0</c:v>
                </c:pt>
                <c:pt idx="1">
                  <c:v>12</c:v>
                </c:pt>
                <c:pt idx="2">
                  <c:v>28</c:v>
                </c:pt>
                <c:pt idx="3">
                  <c:v>41</c:v>
                </c:pt>
                <c:pt idx="4">
                  <c:v>57</c:v>
                </c:pt>
                <c:pt idx="5">
                  <c:v>74</c:v>
                </c:pt>
                <c:pt idx="6">
                  <c:v>86</c:v>
                </c:pt>
                <c:pt idx="7">
                  <c:v>101</c:v>
                </c:pt>
              </c:numCache>
            </c:numRef>
          </c:xVal>
          <c:yVal>
            <c:numRef>
              <c:f>'3-stage'!$C$58:$C$65</c:f>
              <c:numCache>
                <c:formatCode>0.00</c:formatCode>
                <c:ptCount val="8"/>
                <c:pt idx="0">
                  <c:v>0</c:v>
                </c:pt>
                <c:pt idx="1">
                  <c:v>1.4</c:v>
                </c:pt>
                <c:pt idx="2">
                  <c:v>3.4</c:v>
                </c:pt>
                <c:pt idx="3">
                  <c:v>5</c:v>
                </c:pt>
                <c:pt idx="4">
                  <c:v>7.1</c:v>
                </c:pt>
                <c:pt idx="5">
                  <c:v>9.25</c:v>
                </c:pt>
                <c:pt idx="6">
                  <c:v>10.66</c:v>
                </c:pt>
                <c:pt idx="7">
                  <c:v>12.28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722-43ED-98D6-8178DE559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7314720"/>
        <c:axId val="-687296224"/>
      </c:scatterChart>
      <c:valAx>
        <c:axId val="-687314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Time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87296224"/>
        <c:crosses val="autoZero"/>
        <c:crossBetween val="midCat"/>
      </c:valAx>
      <c:valAx>
        <c:axId val="-68729622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Mass [g]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87314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MEMBRANE 3 micron</a:t>
            </a:r>
            <a:r>
              <a:rPr lang="en-US" sz="1600" b="1" baseline="0">
                <a:latin typeface="Arial" panose="020B0604020202020204" pitchFamily="34" charset="0"/>
                <a:cs typeface="Arial" panose="020B0604020202020204" pitchFamily="34" charset="0"/>
              </a:rPr>
              <a:t> / FIELD, SEA </a:t>
            </a:r>
            <a:endParaRPr lang="en-US" sz="16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32868522877719769"/>
                  <c:y val="-1.4128857696535498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6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aseline="0"/>
                      <a:t>y = 0.3108x </a:t>
                    </a:r>
                    <a:endParaRPr lang="en-US" sz="1600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'3-stage'!$B$75:$B$76</c:f>
              <c:numCache>
                <c:formatCode>General</c:formatCode>
                <c:ptCount val="2"/>
                <c:pt idx="0">
                  <c:v>0</c:v>
                </c:pt>
                <c:pt idx="1">
                  <c:v>240</c:v>
                </c:pt>
              </c:numCache>
            </c:numRef>
          </c:xVal>
          <c:yVal>
            <c:numRef>
              <c:f>'3-stage'!$C$75:$C$76</c:f>
              <c:numCache>
                <c:formatCode>0.00</c:formatCode>
                <c:ptCount val="2"/>
                <c:pt idx="0">
                  <c:v>0</c:v>
                </c:pt>
                <c:pt idx="1">
                  <c:v>74.59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E6-4B3A-839A-32B7E98C9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3306688"/>
        <c:axId val="-683301248"/>
      </c:scatterChart>
      <c:valAx>
        <c:axId val="-683306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Time</a:t>
                </a:r>
                <a:r>
                  <a:rPr lang="en-US" sz="16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[min]</a:t>
                </a:r>
                <a:endParaRPr lang="en-US" sz="16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83301248"/>
        <c:crosses val="autoZero"/>
        <c:crossBetween val="midCat"/>
      </c:valAx>
      <c:valAx>
        <c:axId val="-68330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Mass [g]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83306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MEMBRANE-FREE / LAB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29724437033119894"/>
                  <c:y val="-3.9550827311232118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aseline="0"/>
                      <a:t>y = 0,6006x</a:t>
                    </a:r>
                    <a:br>
                      <a:rPr lang="en-US" sz="1600" baseline="0"/>
                    </a:br>
                    <a:r>
                      <a:rPr lang="en-US" sz="1600" baseline="0"/>
                      <a:t>R² = 0,9998</a:t>
                    </a:r>
                    <a:endParaRPr lang="en-US" sz="1600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'10-stage'!$B$3:$B$11</c:f>
              <c:numCache>
                <c:formatCode>General</c:formatCode>
                <c:ptCount val="9"/>
                <c:pt idx="0">
                  <c:v>0</c:v>
                </c:pt>
                <c:pt idx="1">
                  <c:v>18</c:v>
                </c:pt>
                <c:pt idx="2">
                  <c:v>29</c:v>
                </c:pt>
                <c:pt idx="3">
                  <c:v>45</c:v>
                </c:pt>
                <c:pt idx="4">
                  <c:v>59</c:v>
                </c:pt>
                <c:pt idx="5">
                  <c:v>76</c:v>
                </c:pt>
                <c:pt idx="6">
                  <c:v>89</c:v>
                </c:pt>
                <c:pt idx="7">
                  <c:v>108</c:v>
                </c:pt>
                <c:pt idx="8">
                  <c:v>119</c:v>
                </c:pt>
              </c:numCache>
            </c:numRef>
          </c:xVal>
          <c:yVal>
            <c:numRef>
              <c:f>'10-stage'!$C$3:$C$11</c:f>
              <c:numCache>
                <c:formatCode>0.00</c:formatCode>
                <c:ptCount val="9"/>
                <c:pt idx="0">
                  <c:v>0</c:v>
                </c:pt>
                <c:pt idx="1">
                  <c:v>10.8</c:v>
                </c:pt>
                <c:pt idx="2">
                  <c:v>18.05</c:v>
                </c:pt>
                <c:pt idx="3">
                  <c:v>27.45</c:v>
                </c:pt>
                <c:pt idx="4">
                  <c:v>35.549999999999997</c:v>
                </c:pt>
                <c:pt idx="5">
                  <c:v>45.85</c:v>
                </c:pt>
                <c:pt idx="6">
                  <c:v>53.55</c:v>
                </c:pt>
                <c:pt idx="7">
                  <c:v>64.650000000000006</c:v>
                </c:pt>
                <c:pt idx="8">
                  <c:v>71.099999999999994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7EB-40BD-A273-255E1A162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7306016"/>
        <c:axId val="-687295680"/>
      </c:scatterChart>
      <c:valAx>
        <c:axId val="-687306016"/>
        <c:scaling>
          <c:orientation val="minMax"/>
          <c:max val="1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0">
                    <a:latin typeface="Arial" panose="020B0604020202020204" pitchFamily="34" charset="0"/>
                    <a:cs typeface="Arial" panose="020B0604020202020204" pitchFamily="34" charset="0"/>
                  </a:rPr>
                  <a:t>Time [min]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87295680"/>
        <c:crosses val="autoZero"/>
        <c:crossBetween val="midCat"/>
      </c:valAx>
      <c:valAx>
        <c:axId val="-68729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Mass</a:t>
                </a:r>
                <a:r>
                  <a:rPr lang="en-US" sz="16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[g]</a:t>
                </a:r>
                <a:endParaRPr lang="en-US" sz="16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687306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266700</xdr:colOff>
      <xdr:row>9</xdr:row>
      <xdr:rowOff>157162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43600" y="18716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8</xdr:col>
      <xdr:colOff>21168</xdr:colOff>
      <xdr:row>0</xdr:row>
      <xdr:rowOff>27215</xdr:rowOff>
    </xdr:from>
    <xdr:to>
      <xdr:col>15</xdr:col>
      <xdr:colOff>296335</xdr:colOff>
      <xdr:row>14</xdr:row>
      <xdr:rowOff>92832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31749</xdr:colOff>
      <xdr:row>17</xdr:row>
      <xdr:rowOff>26912</xdr:rowOff>
    </xdr:from>
    <xdr:to>
      <xdr:col>15</xdr:col>
      <xdr:colOff>306916</xdr:colOff>
      <xdr:row>31</xdr:row>
      <xdr:rowOff>84969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23813</xdr:colOff>
      <xdr:row>33</xdr:row>
      <xdr:rowOff>21431</xdr:rowOff>
    </xdr:from>
    <xdr:to>
      <xdr:col>15</xdr:col>
      <xdr:colOff>350384</xdr:colOff>
      <xdr:row>47</xdr:row>
      <xdr:rowOff>87425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7938</xdr:colOff>
      <xdr:row>0</xdr:row>
      <xdr:rowOff>63500</xdr:rowOff>
    </xdr:from>
    <xdr:to>
      <xdr:col>11</xdr:col>
      <xdr:colOff>948531</xdr:colOff>
      <xdr:row>14</xdr:row>
      <xdr:rowOff>127794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7937</xdr:colOff>
      <xdr:row>18</xdr:row>
      <xdr:rowOff>41275</xdr:rowOff>
    </xdr:from>
    <xdr:to>
      <xdr:col>11</xdr:col>
      <xdr:colOff>948530</xdr:colOff>
      <xdr:row>34</xdr:row>
      <xdr:rowOff>105569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599283</xdr:colOff>
      <xdr:row>36</xdr:row>
      <xdr:rowOff>25400</xdr:rowOff>
    </xdr:from>
    <xdr:to>
      <xdr:col>11</xdr:col>
      <xdr:colOff>936626</xdr:colOff>
      <xdr:row>50</xdr:row>
      <xdr:rowOff>89694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19844</xdr:colOff>
      <xdr:row>54</xdr:row>
      <xdr:rowOff>200025</xdr:rowOff>
    </xdr:from>
    <xdr:to>
      <xdr:col>11</xdr:col>
      <xdr:colOff>960437</xdr:colOff>
      <xdr:row>69</xdr:row>
      <xdr:rowOff>57944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11906</xdr:colOff>
      <xdr:row>72</xdr:row>
      <xdr:rowOff>15477</xdr:rowOff>
    </xdr:from>
    <xdr:to>
      <xdr:col>11</xdr:col>
      <xdr:colOff>952500</xdr:colOff>
      <xdr:row>86</xdr:row>
      <xdr:rowOff>79771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30276</xdr:colOff>
      <xdr:row>0</xdr:row>
      <xdr:rowOff>13608</xdr:rowOff>
    </xdr:from>
    <xdr:to>
      <xdr:col>12</xdr:col>
      <xdr:colOff>405154</xdr:colOff>
      <xdr:row>14</xdr:row>
      <xdr:rowOff>80283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40821</xdr:colOff>
      <xdr:row>18</xdr:row>
      <xdr:rowOff>27213</xdr:rowOff>
    </xdr:from>
    <xdr:to>
      <xdr:col>12</xdr:col>
      <xdr:colOff>462642</xdr:colOff>
      <xdr:row>32</xdr:row>
      <xdr:rowOff>72117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13606</xdr:colOff>
      <xdr:row>37</xdr:row>
      <xdr:rowOff>50346</xdr:rowOff>
    </xdr:from>
    <xdr:to>
      <xdr:col>12</xdr:col>
      <xdr:colOff>380999</xdr:colOff>
      <xdr:row>51</xdr:row>
      <xdr:rowOff>112939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54428</xdr:colOff>
      <xdr:row>53</xdr:row>
      <xdr:rowOff>36738</xdr:rowOff>
    </xdr:from>
    <xdr:to>
      <xdr:col>12</xdr:col>
      <xdr:colOff>421821</xdr:colOff>
      <xdr:row>67</xdr:row>
      <xdr:rowOff>99331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6C6D-CF20-4CEE-8A4F-27F940B8982A}">
  <dimension ref="A1:P6"/>
  <sheetViews>
    <sheetView tabSelected="1" workbookViewId="0">
      <selection activeCell="B8" sqref="B8"/>
    </sheetView>
  </sheetViews>
  <sheetFormatPr defaultRowHeight="14.4" x14ac:dyDescent="0.3"/>
  <sheetData>
    <row r="1" spans="1:16" x14ac:dyDescent="0.3">
      <c r="A1" s="37" t="s">
        <v>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x14ac:dyDescent="0.3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6" x14ac:dyDescent="0.3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</row>
    <row r="6" spans="1:16" x14ac:dyDescent="0.3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</sheetData>
  <mergeCells count="1">
    <mergeCell ref="A1:P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zoomScale="55" zoomScaleNormal="55" workbookViewId="0">
      <selection activeCell="A51" sqref="A51:A54"/>
    </sheetView>
  </sheetViews>
  <sheetFormatPr defaultRowHeight="13.8" x14ac:dyDescent="0.25"/>
  <cols>
    <col min="1" max="1" width="69.5546875" style="5" bestFit="1" customWidth="1"/>
    <col min="2" max="2" width="21.33203125" style="5" bestFit="1" customWidth="1"/>
    <col min="3" max="3" width="12.44140625" style="5" bestFit="1" customWidth="1"/>
    <col min="4" max="4" width="40.6640625" style="5" bestFit="1" customWidth="1"/>
    <col min="5" max="5" width="33.33203125" style="5" bestFit="1" customWidth="1"/>
    <col min="6" max="6" width="39.5546875" style="5" bestFit="1" customWidth="1"/>
    <col min="7" max="7" width="26.6640625" style="5" bestFit="1" customWidth="1"/>
    <col min="8" max="16384" width="8.88671875" style="5"/>
  </cols>
  <sheetData>
    <row r="1" spans="1:7" x14ac:dyDescent="0.25">
      <c r="A1" s="39" t="s">
        <v>7</v>
      </c>
      <c r="B1" s="33" t="s">
        <v>2</v>
      </c>
      <c r="C1" s="34">
        <f>0.11*0.113</f>
        <v>1.243E-2</v>
      </c>
      <c r="D1" s="2"/>
      <c r="E1" s="2"/>
      <c r="F1" s="2"/>
    </row>
    <row r="2" spans="1:7" x14ac:dyDescent="0.25">
      <c r="A2" s="40"/>
      <c r="B2" s="1" t="s">
        <v>15</v>
      </c>
      <c r="C2" s="2" t="s">
        <v>16</v>
      </c>
      <c r="D2" s="2" t="s">
        <v>1</v>
      </c>
      <c r="E2" s="2" t="s">
        <v>3</v>
      </c>
      <c r="F2" s="2" t="s">
        <v>0</v>
      </c>
    </row>
    <row r="3" spans="1:7" x14ac:dyDescent="0.25">
      <c r="A3" s="40"/>
      <c r="B3" s="6">
        <v>0</v>
      </c>
      <c r="C3" s="3">
        <v>0</v>
      </c>
      <c r="D3" s="3"/>
      <c r="E3" s="3"/>
      <c r="F3" s="3"/>
    </row>
    <row r="4" spans="1:7" x14ac:dyDescent="0.25">
      <c r="A4" s="40"/>
      <c r="B4" s="6">
        <v>15</v>
      </c>
      <c r="C4" s="7">
        <f>1.6</f>
        <v>1.6</v>
      </c>
      <c r="D4" s="7">
        <f>C4-C3</f>
        <v>1.6</v>
      </c>
      <c r="E4" s="7">
        <f>(D4)/(B4-A3)*60</f>
        <v>6.4</v>
      </c>
      <c r="F4" s="8">
        <f>E4/$C$1</f>
        <v>514.88334674175383</v>
      </c>
    </row>
    <row r="5" spans="1:7" x14ac:dyDescent="0.25">
      <c r="A5" s="40"/>
      <c r="B5" s="6">
        <v>30</v>
      </c>
      <c r="C5" s="7">
        <v>3.25</v>
      </c>
      <c r="D5" s="7">
        <f t="shared" ref="D5:D11" si="0">C5-C4</f>
        <v>1.65</v>
      </c>
      <c r="E5" s="7">
        <f t="shared" ref="E5:E11" si="1">(D5)/(B5-B4)*60</f>
        <v>6.6</v>
      </c>
      <c r="F5" s="8">
        <f t="shared" ref="F5:F11" si="2">E5/$C$1</f>
        <v>530.97345132743362</v>
      </c>
    </row>
    <row r="6" spans="1:7" x14ac:dyDescent="0.25">
      <c r="A6" s="40"/>
      <c r="B6" s="6">
        <v>45</v>
      </c>
      <c r="C6" s="8">
        <v>4.75</v>
      </c>
      <c r="D6" s="7">
        <f t="shared" si="0"/>
        <v>1.5</v>
      </c>
      <c r="E6" s="7">
        <f t="shared" si="1"/>
        <v>6</v>
      </c>
      <c r="F6" s="8">
        <f t="shared" si="2"/>
        <v>482.70313757039418</v>
      </c>
    </row>
    <row r="7" spans="1:7" x14ac:dyDescent="0.25">
      <c r="A7" s="40"/>
      <c r="B7" s="6">
        <v>60</v>
      </c>
      <c r="C7" s="8">
        <v>6.4</v>
      </c>
      <c r="D7" s="7">
        <f t="shared" si="0"/>
        <v>1.6500000000000004</v>
      </c>
      <c r="E7" s="7">
        <f t="shared" si="1"/>
        <v>6.6000000000000014</v>
      </c>
      <c r="F7" s="8">
        <f t="shared" si="2"/>
        <v>530.97345132743374</v>
      </c>
    </row>
    <row r="8" spans="1:7" x14ac:dyDescent="0.25">
      <c r="A8" s="40"/>
      <c r="B8" s="6">
        <v>75</v>
      </c>
      <c r="C8" s="8">
        <v>7.9</v>
      </c>
      <c r="D8" s="7">
        <f t="shared" si="0"/>
        <v>1.5</v>
      </c>
      <c r="E8" s="7">
        <f t="shared" si="1"/>
        <v>6</v>
      </c>
      <c r="F8" s="8">
        <f t="shared" si="2"/>
        <v>482.70313757039418</v>
      </c>
    </row>
    <row r="9" spans="1:7" x14ac:dyDescent="0.25">
      <c r="A9" s="40"/>
      <c r="B9" s="6">
        <v>90</v>
      </c>
      <c r="C9" s="8">
        <v>9.4</v>
      </c>
      <c r="D9" s="7">
        <f t="shared" si="0"/>
        <v>1.5</v>
      </c>
      <c r="E9" s="7">
        <f t="shared" si="1"/>
        <v>6</v>
      </c>
      <c r="F9" s="8">
        <f t="shared" si="2"/>
        <v>482.70313757039418</v>
      </c>
    </row>
    <row r="10" spans="1:7" x14ac:dyDescent="0.25">
      <c r="A10" s="40"/>
      <c r="B10" s="6">
        <v>114</v>
      </c>
      <c r="C10" s="8">
        <v>11.8</v>
      </c>
      <c r="D10" s="7">
        <f t="shared" si="0"/>
        <v>2.4000000000000004</v>
      </c>
      <c r="E10" s="7">
        <f t="shared" si="1"/>
        <v>6.0000000000000009</v>
      </c>
      <c r="F10" s="8">
        <f t="shared" si="2"/>
        <v>482.70313757039429</v>
      </c>
    </row>
    <row r="11" spans="1:7" ht="14.4" thickBot="1" x14ac:dyDescent="0.3">
      <c r="A11" s="41"/>
      <c r="B11" s="6">
        <v>129</v>
      </c>
      <c r="C11" s="8">
        <v>13.3</v>
      </c>
      <c r="D11" s="7">
        <f t="shared" si="0"/>
        <v>1.5</v>
      </c>
      <c r="E11" s="7">
        <f t="shared" si="1"/>
        <v>6</v>
      </c>
      <c r="F11" s="9">
        <f t="shared" si="2"/>
        <v>482.70313757039418</v>
      </c>
    </row>
    <row r="12" spans="1:7" x14ac:dyDescent="0.25">
      <c r="F12" s="10">
        <f>AVERAGE(F4:F11)</f>
        <v>498.79324215607397</v>
      </c>
      <c r="G12" s="11" t="s">
        <v>4</v>
      </c>
    </row>
    <row r="13" spans="1:7" x14ac:dyDescent="0.25">
      <c r="F13" s="10">
        <f>STDEV(F4:F11)</f>
        <v>22.754844125069937</v>
      </c>
      <c r="G13" s="11" t="s">
        <v>5</v>
      </c>
    </row>
    <row r="17" spans="1:9" ht="14.4" thickBot="1" x14ac:dyDescent="0.3"/>
    <row r="18" spans="1:9" x14ac:dyDescent="0.25">
      <c r="A18" s="39" t="s">
        <v>8</v>
      </c>
      <c r="B18" s="33" t="s">
        <v>2</v>
      </c>
      <c r="C18" s="34">
        <f>0.11*0.113</f>
        <v>1.243E-2</v>
      </c>
      <c r="D18" s="2"/>
      <c r="E18" s="2"/>
      <c r="F18" s="2"/>
    </row>
    <row r="19" spans="1:9" x14ac:dyDescent="0.25">
      <c r="A19" s="40"/>
      <c r="B19" s="1" t="s">
        <v>15</v>
      </c>
      <c r="C19" s="2" t="s">
        <v>16</v>
      </c>
      <c r="D19" s="2" t="s">
        <v>1</v>
      </c>
      <c r="E19" s="2" t="s">
        <v>3</v>
      </c>
      <c r="F19" s="2" t="s">
        <v>0</v>
      </c>
    </row>
    <row r="20" spans="1:9" x14ac:dyDescent="0.25">
      <c r="A20" s="40"/>
      <c r="B20" s="6">
        <f>-30+30</f>
        <v>0</v>
      </c>
      <c r="C20" s="7">
        <v>0</v>
      </c>
      <c r="D20" s="7"/>
      <c r="E20" s="7"/>
      <c r="F20" s="8"/>
      <c r="H20" s="12"/>
    </row>
    <row r="21" spans="1:9" x14ac:dyDescent="0.25">
      <c r="A21" s="40"/>
      <c r="B21" s="6">
        <f>-30+60</f>
        <v>30</v>
      </c>
      <c r="C21" s="7">
        <v>3</v>
      </c>
      <c r="D21" s="7">
        <f t="shared" ref="D21:D26" si="3">C21-C20</f>
        <v>3</v>
      </c>
      <c r="E21" s="7">
        <f t="shared" ref="E21:E26" si="4">(D21)/(B21-B20)*60</f>
        <v>6</v>
      </c>
      <c r="F21" s="8">
        <f>E21/$C$18</f>
        <v>482.70313757039418</v>
      </c>
      <c r="H21" s="12"/>
    </row>
    <row r="22" spans="1:9" x14ac:dyDescent="0.25">
      <c r="A22" s="40"/>
      <c r="B22" s="6">
        <f>-30+91</f>
        <v>61</v>
      </c>
      <c r="C22" s="7">
        <v>6.15</v>
      </c>
      <c r="D22" s="7">
        <f t="shared" si="3"/>
        <v>3.1500000000000004</v>
      </c>
      <c r="E22" s="7">
        <f t="shared" si="4"/>
        <v>6.0967741935483879</v>
      </c>
      <c r="F22" s="8">
        <f t="shared" ref="F22:F26" si="5">E22/$C$18</f>
        <v>490.48867204733614</v>
      </c>
      <c r="H22" s="12"/>
    </row>
    <row r="23" spans="1:9" x14ac:dyDescent="0.25">
      <c r="A23" s="40"/>
      <c r="B23" s="6">
        <f>-30+120</f>
        <v>90</v>
      </c>
      <c r="C23" s="7">
        <v>9.07</v>
      </c>
      <c r="D23" s="7">
        <f t="shared" si="3"/>
        <v>2.92</v>
      </c>
      <c r="E23" s="7">
        <f t="shared" si="4"/>
        <v>6.0413793103448281</v>
      </c>
      <c r="F23" s="8">
        <f t="shared" si="5"/>
        <v>486.03212472605213</v>
      </c>
      <c r="H23" s="12"/>
    </row>
    <row r="24" spans="1:9" x14ac:dyDescent="0.25">
      <c r="A24" s="40"/>
      <c r="B24" s="6">
        <f>-30+153</f>
        <v>123</v>
      </c>
      <c r="C24" s="8">
        <v>12.37</v>
      </c>
      <c r="D24" s="7">
        <f>C24-C23</f>
        <v>3.2999999999999989</v>
      </c>
      <c r="E24" s="7">
        <f t="shared" si="4"/>
        <v>5.9999999999999982</v>
      </c>
      <c r="F24" s="8">
        <f t="shared" si="5"/>
        <v>482.70313757039406</v>
      </c>
      <c r="H24" s="12"/>
      <c r="I24" s="13"/>
    </row>
    <row r="25" spans="1:9" x14ac:dyDescent="0.25">
      <c r="A25" s="40"/>
      <c r="B25" s="6">
        <f>-30+180</f>
        <v>150</v>
      </c>
      <c r="C25" s="8">
        <v>15.02</v>
      </c>
      <c r="D25" s="7">
        <f t="shared" si="3"/>
        <v>2.6500000000000004</v>
      </c>
      <c r="E25" s="7">
        <f t="shared" si="4"/>
        <v>5.8888888888888902</v>
      </c>
      <c r="F25" s="8">
        <f t="shared" si="5"/>
        <v>473.76419057835</v>
      </c>
      <c r="H25" s="12"/>
    </row>
    <row r="26" spans="1:9" ht="14.4" thickBot="1" x14ac:dyDescent="0.3">
      <c r="A26" s="41"/>
      <c r="B26" s="6">
        <f>-30+210</f>
        <v>180</v>
      </c>
      <c r="C26" s="8">
        <v>17.97</v>
      </c>
      <c r="D26" s="7">
        <f t="shared" si="3"/>
        <v>2.9499999999999993</v>
      </c>
      <c r="E26" s="7">
        <f t="shared" si="4"/>
        <v>5.8999999999999986</v>
      </c>
      <c r="F26" s="8">
        <f t="shared" si="5"/>
        <v>474.65808527755416</v>
      </c>
      <c r="H26" s="12"/>
    </row>
    <row r="27" spans="1:9" x14ac:dyDescent="0.25">
      <c r="F27" s="14">
        <f>AVERAGE(F21:F26)</f>
        <v>481.72489129501349</v>
      </c>
      <c r="G27" s="11" t="s">
        <v>4</v>
      </c>
    </row>
    <row r="28" spans="1:9" x14ac:dyDescent="0.25">
      <c r="F28" s="10">
        <f>STDEV(F21:F26)</f>
        <v>6.4897233784425046</v>
      </c>
      <c r="G28" s="11" t="s">
        <v>5</v>
      </c>
    </row>
    <row r="33" spans="1:7" ht="14.4" thickBot="1" x14ac:dyDescent="0.3"/>
    <row r="34" spans="1:7" x14ac:dyDescent="0.25">
      <c r="A34" s="39" t="s">
        <v>9</v>
      </c>
      <c r="B34" s="33" t="s">
        <v>2</v>
      </c>
      <c r="C34" s="34">
        <f>0.11*0.113</f>
        <v>1.243E-2</v>
      </c>
      <c r="D34" s="2"/>
      <c r="E34" s="2"/>
      <c r="F34" s="2"/>
    </row>
    <row r="35" spans="1:7" x14ac:dyDescent="0.25">
      <c r="A35" s="40"/>
      <c r="B35" s="1" t="s">
        <v>15</v>
      </c>
      <c r="C35" s="2" t="s">
        <v>16</v>
      </c>
      <c r="D35" s="2" t="s">
        <v>1</v>
      </c>
      <c r="E35" s="2" t="s">
        <v>3</v>
      </c>
      <c r="F35" s="2" t="s">
        <v>0</v>
      </c>
    </row>
    <row r="36" spans="1:7" x14ac:dyDescent="0.25">
      <c r="A36" s="40"/>
      <c r="B36" s="6">
        <v>0</v>
      </c>
      <c r="C36" s="7">
        <v>0</v>
      </c>
      <c r="D36" s="7"/>
      <c r="E36" s="7"/>
      <c r="F36" s="8"/>
    </row>
    <row r="37" spans="1:7" x14ac:dyDescent="0.25">
      <c r="A37" s="40"/>
      <c r="B37" s="6">
        <v>30</v>
      </c>
      <c r="C37" s="7">
        <v>2.75</v>
      </c>
      <c r="D37" s="7">
        <f t="shared" ref="D37:D42" si="6">C37-C36</f>
        <v>2.75</v>
      </c>
      <c r="E37" s="7">
        <f t="shared" ref="E37:E42" si="7">(D37)/(B37-B36)*60</f>
        <v>5.5</v>
      </c>
      <c r="F37" s="8">
        <f>E37/$C$34</f>
        <v>442.47787610619469</v>
      </c>
    </row>
    <row r="38" spans="1:7" x14ac:dyDescent="0.25">
      <c r="A38" s="40"/>
      <c r="B38" s="6">
        <v>60</v>
      </c>
      <c r="C38" s="7">
        <v>5.7</v>
      </c>
      <c r="D38" s="7">
        <f t="shared" si="6"/>
        <v>2.95</v>
      </c>
      <c r="E38" s="7">
        <f t="shared" si="7"/>
        <v>5.9</v>
      </c>
      <c r="F38" s="8">
        <f t="shared" ref="F38:F42" si="8">E38/$C$34</f>
        <v>474.65808527755433</v>
      </c>
    </row>
    <row r="39" spans="1:7" x14ac:dyDescent="0.25">
      <c r="A39" s="40"/>
      <c r="B39" s="6">
        <v>90</v>
      </c>
      <c r="C39" s="7">
        <v>8.75</v>
      </c>
      <c r="D39" s="7">
        <f t="shared" si="6"/>
        <v>3.05</v>
      </c>
      <c r="E39" s="7">
        <f t="shared" si="7"/>
        <v>6.1</v>
      </c>
      <c r="F39" s="8">
        <f t="shared" si="8"/>
        <v>490.74818986323407</v>
      </c>
    </row>
    <row r="40" spans="1:7" x14ac:dyDescent="0.25">
      <c r="A40" s="40"/>
      <c r="B40" s="6">
        <v>120</v>
      </c>
      <c r="C40" s="8">
        <v>11.8</v>
      </c>
      <c r="D40" s="7">
        <f>C40-C39</f>
        <v>3.0500000000000007</v>
      </c>
      <c r="E40" s="7">
        <f t="shared" si="7"/>
        <v>6.1000000000000014</v>
      </c>
      <c r="F40" s="8">
        <f t="shared" si="8"/>
        <v>490.74818986323424</v>
      </c>
    </row>
    <row r="41" spans="1:7" x14ac:dyDescent="0.25">
      <c r="A41" s="40"/>
      <c r="B41" s="6">
        <v>150</v>
      </c>
      <c r="C41" s="8">
        <v>15</v>
      </c>
      <c r="D41" s="7">
        <f t="shared" si="6"/>
        <v>3.1999999999999993</v>
      </c>
      <c r="E41" s="7">
        <f t="shared" si="7"/>
        <v>6.3999999999999986</v>
      </c>
      <c r="F41" s="8">
        <f t="shared" si="8"/>
        <v>514.88334674175371</v>
      </c>
    </row>
    <row r="42" spans="1:7" ht="14.4" thickBot="1" x14ac:dyDescent="0.3">
      <c r="A42" s="41"/>
      <c r="B42" s="6">
        <v>180</v>
      </c>
      <c r="C42" s="8">
        <v>18.05</v>
      </c>
      <c r="D42" s="7">
        <f t="shared" si="6"/>
        <v>3.0500000000000007</v>
      </c>
      <c r="E42" s="7">
        <f t="shared" si="7"/>
        <v>6.1000000000000014</v>
      </c>
      <c r="F42" s="8">
        <f t="shared" si="8"/>
        <v>490.74818986323424</v>
      </c>
    </row>
    <row r="43" spans="1:7" x14ac:dyDescent="0.25">
      <c r="F43" s="14">
        <f>AVERAGE(F37:F42)</f>
        <v>484.04397961920085</v>
      </c>
      <c r="G43" s="11" t="s">
        <v>4</v>
      </c>
    </row>
    <row r="44" spans="1:7" x14ac:dyDescent="0.25">
      <c r="F44" s="10">
        <f>STDEV(F37:F42)</f>
        <v>24.090420682730699</v>
      </c>
      <c r="G44" s="11" t="s">
        <v>5</v>
      </c>
    </row>
    <row r="51" spans="1:1" x14ac:dyDescent="0.25">
      <c r="A51" s="36" t="s">
        <v>17</v>
      </c>
    </row>
    <row r="52" spans="1:1" x14ac:dyDescent="0.25">
      <c r="A52" s="5" t="s">
        <v>18</v>
      </c>
    </row>
    <row r="53" spans="1:1" x14ac:dyDescent="0.25">
      <c r="A53" s="5" t="s">
        <v>19</v>
      </c>
    </row>
    <row r="54" spans="1:1" ht="14.4" x14ac:dyDescent="0.3">
      <c r="A54" s="35" t="s">
        <v>20</v>
      </c>
    </row>
  </sheetData>
  <mergeCells count="3">
    <mergeCell ref="A1:A11"/>
    <mergeCell ref="A18:A26"/>
    <mergeCell ref="A34:A4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8"/>
  <sheetViews>
    <sheetView zoomScale="55" zoomScaleNormal="55" workbookViewId="0">
      <selection activeCell="D19" sqref="D19"/>
    </sheetView>
  </sheetViews>
  <sheetFormatPr defaultRowHeight="13.8" x14ac:dyDescent="0.25"/>
  <cols>
    <col min="1" max="1" width="80.109375" style="5" bestFit="1" customWidth="1"/>
    <col min="2" max="2" width="21.5546875" style="5" bestFit="1" customWidth="1"/>
    <col min="3" max="3" width="13" style="5" bestFit="1" customWidth="1"/>
    <col min="4" max="4" width="40.88671875" style="5" bestFit="1" customWidth="1"/>
    <col min="5" max="5" width="36.33203125" style="5" bestFit="1" customWidth="1"/>
    <col min="6" max="6" width="43" style="5" bestFit="1" customWidth="1"/>
    <col min="7" max="7" width="27.33203125" style="5" bestFit="1" customWidth="1"/>
    <col min="8" max="8" width="8.88671875" style="5"/>
    <col min="9" max="9" width="31.5546875" style="5" bestFit="1" customWidth="1"/>
    <col min="10" max="10" width="14.5546875" style="5" bestFit="1" customWidth="1"/>
    <col min="11" max="11" width="8.33203125" style="5" bestFit="1" customWidth="1"/>
    <col min="12" max="12" width="30" style="5" bestFit="1" customWidth="1"/>
    <col min="13" max="13" width="25.5546875" style="5" bestFit="1" customWidth="1"/>
    <col min="14" max="14" width="27.44140625" style="5" bestFit="1" customWidth="1"/>
    <col min="15" max="15" width="18.109375" style="5" bestFit="1" customWidth="1"/>
    <col min="16" max="16384" width="8.88671875" style="5"/>
  </cols>
  <sheetData>
    <row r="1" spans="1:7" x14ac:dyDescent="0.25">
      <c r="A1" s="39" t="s">
        <v>10</v>
      </c>
      <c r="B1" s="33" t="s">
        <v>2</v>
      </c>
      <c r="C1" s="34">
        <f>0.11*0.113</f>
        <v>1.243E-2</v>
      </c>
      <c r="D1" s="2"/>
      <c r="E1" s="2"/>
      <c r="F1" s="2"/>
    </row>
    <row r="2" spans="1:7" x14ac:dyDescent="0.25">
      <c r="A2" s="40"/>
      <c r="B2" s="1" t="s">
        <v>15</v>
      </c>
      <c r="C2" s="2" t="s">
        <v>16</v>
      </c>
      <c r="D2" s="2" t="s">
        <v>1</v>
      </c>
      <c r="E2" s="2" t="s">
        <v>3</v>
      </c>
      <c r="F2" s="2" t="s">
        <v>0</v>
      </c>
    </row>
    <row r="3" spans="1:7" x14ac:dyDescent="0.25">
      <c r="A3" s="40"/>
      <c r="B3" s="6">
        <f>16-16</f>
        <v>0</v>
      </c>
      <c r="C3" s="7">
        <v>0</v>
      </c>
      <c r="D3" s="7"/>
      <c r="E3" s="7"/>
      <c r="F3" s="8"/>
    </row>
    <row r="4" spans="1:7" x14ac:dyDescent="0.25">
      <c r="A4" s="40"/>
      <c r="B4" s="6">
        <f>-16+34</f>
        <v>18</v>
      </c>
      <c r="C4" s="7">
        <v>5.55</v>
      </c>
      <c r="D4" s="7">
        <f t="shared" ref="D4:D11" si="0">C4-C3</f>
        <v>5.55</v>
      </c>
      <c r="E4" s="7">
        <f t="shared" ref="E4:E11" si="1">(D4)/(B4-B3)*60</f>
        <v>18.5</v>
      </c>
      <c r="F4" s="8">
        <f t="shared" ref="F4:F11" si="2">E4/$C$1</f>
        <v>1488.3346741753821</v>
      </c>
    </row>
    <row r="5" spans="1:7" x14ac:dyDescent="0.25">
      <c r="A5" s="40"/>
      <c r="B5" s="6">
        <f>-16+49</f>
        <v>33</v>
      </c>
      <c r="C5" s="8">
        <v>10.16</v>
      </c>
      <c r="D5" s="7">
        <f t="shared" si="0"/>
        <v>4.6100000000000003</v>
      </c>
      <c r="E5" s="7">
        <f t="shared" si="1"/>
        <v>18.440000000000001</v>
      </c>
      <c r="F5" s="8">
        <f t="shared" si="2"/>
        <v>1483.5076427996783</v>
      </c>
    </row>
    <row r="6" spans="1:7" x14ac:dyDescent="0.25">
      <c r="A6" s="40"/>
      <c r="B6" s="6">
        <f>-16+69</f>
        <v>53</v>
      </c>
      <c r="C6" s="8">
        <v>16.350000000000001</v>
      </c>
      <c r="D6" s="7">
        <f t="shared" si="0"/>
        <v>6.1900000000000013</v>
      </c>
      <c r="E6" s="7">
        <f t="shared" si="1"/>
        <v>18.570000000000004</v>
      </c>
      <c r="F6" s="8">
        <f t="shared" si="2"/>
        <v>1493.9662107803704</v>
      </c>
    </row>
    <row r="7" spans="1:7" x14ac:dyDescent="0.25">
      <c r="A7" s="40"/>
      <c r="B7" s="6">
        <f>-16+80</f>
        <v>64</v>
      </c>
      <c r="C7" s="8">
        <v>19.7</v>
      </c>
      <c r="D7" s="7">
        <f t="shared" si="0"/>
        <v>3.3499999999999979</v>
      </c>
      <c r="E7" s="7">
        <f t="shared" si="1"/>
        <v>18.272727272727259</v>
      </c>
      <c r="F7" s="8">
        <f t="shared" si="2"/>
        <v>1470.0504644189268</v>
      </c>
    </row>
    <row r="8" spans="1:7" x14ac:dyDescent="0.25">
      <c r="A8" s="40"/>
      <c r="B8" s="6">
        <f>-16+90</f>
        <v>74</v>
      </c>
      <c r="C8" s="8">
        <v>22.74</v>
      </c>
      <c r="D8" s="7">
        <f t="shared" si="0"/>
        <v>3.0399999999999991</v>
      </c>
      <c r="E8" s="7">
        <f t="shared" si="1"/>
        <v>18.239999999999995</v>
      </c>
      <c r="F8" s="8">
        <f t="shared" si="2"/>
        <v>1467.4175382139979</v>
      </c>
    </row>
    <row r="9" spans="1:7" x14ac:dyDescent="0.25">
      <c r="A9" s="40"/>
      <c r="B9" s="6">
        <f>-16+105</f>
        <v>89</v>
      </c>
      <c r="C9" s="8">
        <v>26.9</v>
      </c>
      <c r="D9" s="7">
        <f t="shared" si="0"/>
        <v>4.16</v>
      </c>
      <c r="E9" s="7">
        <f t="shared" si="1"/>
        <v>16.64</v>
      </c>
      <c r="F9" s="8">
        <f t="shared" si="2"/>
        <v>1338.69670152856</v>
      </c>
    </row>
    <row r="10" spans="1:7" x14ac:dyDescent="0.25">
      <c r="A10" s="40"/>
      <c r="B10" s="6">
        <f>-16+120</f>
        <v>104</v>
      </c>
      <c r="C10" s="8">
        <v>31.5</v>
      </c>
      <c r="D10" s="7">
        <f t="shared" si="0"/>
        <v>4.6000000000000014</v>
      </c>
      <c r="E10" s="7">
        <f t="shared" si="1"/>
        <v>18.400000000000006</v>
      </c>
      <c r="F10" s="9">
        <f t="shared" si="2"/>
        <v>1480.2896218825426</v>
      </c>
    </row>
    <row r="11" spans="1:7" ht="14.4" thickBot="1" x14ac:dyDescent="0.3">
      <c r="A11" s="15"/>
      <c r="B11" s="16">
        <v>119</v>
      </c>
      <c r="C11" s="8">
        <v>36.08</v>
      </c>
      <c r="D11" s="7">
        <f t="shared" si="0"/>
        <v>4.5799999999999983</v>
      </c>
      <c r="E11" s="7">
        <f t="shared" si="1"/>
        <v>18.319999999999993</v>
      </c>
      <c r="F11" s="9">
        <f t="shared" si="2"/>
        <v>1473.8535800482698</v>
      </c>
    </row>
    <row r="12" spans="1:7" x14ac:dyDescent="0.25">
      <c r="C12" s="45"/>
      <c r="F12" s="10">
        <f>AVERAGE(F4:F11)</f>
        <v>1462.014554230966</v>
      </c>
      <c r="G12" s="11" t="s">
        <v>4</v>
      </c>
    </row>
    <row r="13" spans="1:7" x14ac:dyDescent="0.25">
      <c r="C13" s="45"/>
      <c r="F13" s="10">
        <f>STDEV(F4:F11)</f>
        <v>50.639921349432157</v>
      </c>
      <c r="G13" s="11" t="s">
        <v>5</v>
      </c>
    </row>
    <row r="14" spans="1:7" x14ac:dyDescent="0.25">
      <c r="C14" s="45"/>
    </row>
    <row r="15" spans="1:7" x14ac:dyDescent="0.25">
      <c r="C15" s="45"/>
    </row>
    <row r="16" spans="1:7" x14ac:dyDescent="0.25">
      <c r="C16" s="45"/>
    </row>
    <row r="17" spans="1:7" x14ac:dyDescent="0.25">
      <c r="C17" s="45"/>
    </row>
    <row r="18" spans="1:7" ht="14.4" thickBot="1" x14ac:dyDescent="0.3">
      <c r="C18" s="45"/>
    </row>
    <row r="19" spans="1:7" x14ac:dyDescent="0.25">
      <c r="A19" s="39" t="s">
        <v>8</v>
      </c>
      <c r="B19" s="33" t="s">
        <v>2</v>
      </c>
      <c r="C19" s="34">
        <f>0.11*0.113</f>
        <v>1.243E-2</v>
      </c>
      <c r="D19" s="2"/>
      <c r="E19" s="2"/>
      <c r="F19" s="2"/>
    </row>
    <row r="20" spans="1:7" x14ac:dyDescent="0.25">
      <c r="A20" s="40"/>
      <c r="B20" s="1" t="s">
        <v>15</v>
      </c>
      <c r="C20" s="2" t="s">
        <v>16</v>
      </c>
      <c r="D20" s="2" t="s">
        <v>1</v>
      </c>
      <c r="E20" s="2" t="s">
        <v>3</v>
      </c>
      <c r="F20" s="2" t="s">
        <v>0</v>
      </c>
    </row>
    <row r="21" spans="1:7" x14ac:dyDescent="0.25">
      <c r="A21" s="40"/>
      <c r="B21" s="6">
        <v>0</v>
      </c>
      <c r="C21" s="7">
        <v>0</v>
      </c>
      <c r="D21" s="3"/>
      <c r="E21" s="3"/>
      <c r="F21" s="3"/>
    </row>
    <row r="22" spans="1:7" x14ac:dyDescent="0.25">
      <c r="A22" s="40"/>
      <c r="B22" s="6">
        <v>15</v>
      </c>
      <c r="C22" s="7">
        <v>4.25</v>
      </c>
      <c r="D22" s="7">
        <f>C22-C21</f>
        <v>4.25</v>
      </c>
      <c r="E22" s="7">
        <f>(D22)/(B22-A21)*60</f>
        <v>17</v>
      </c>
      <c r="F22" s="8">
        <f>E22/$C$1</f>
        <v>1367.6588897827835</v>
      </c>
    </row>
    <row r="23" spans="1:7" x14ac:dyDescent="0.25">
      <c r="A23" s="40"/>
      <c r="B23" s="6">
        <v>30</v>
      </c>
      <c r="C23" s="8">
        <v>8.65</v>
      </c>
      <c r="D23" s="7">
        <f t="shared" ref="D23:D29" si="3">C23-C22</f>
        <v>4.4000000000000004</v>
      </c>
      <c r="E23" s="7">
        <f t="shared" ref="E23:E29" si="4">(D23)/(B23-B22)*60</f>
        <v>17.600000000000001</v>
      </c>
      <c r="F23" s="8">
        <f t="shared" ref="F23:F29" si="5">E23/$C$1</f>
        <v>1415.9292035398232</v>
      </c>
    </row>
    <row r="24" spans="1:7" x14ac:dyDescent="0.25">
      <c r="A24" s="40"/>
      <c r="B24" s="6">
        <v>45</v>
      </c>
      <c r="C24" s="8">
        <v>13.15</v>
      </c>
      <c r="D24" s="7">
        <f t="shared" si="3"/>
        <v>4.5</v>
      </c>
      <c r="E24" s="7">
        <f t="shared" si="4"/>
        <v>18</v>
      </c>
      <c r="F24" s="8">
        <f t="shared" si="5"/>
        <v>1448.1094127111826</v>
      </c>
    </row>
    <row r="25" spans="1:7" x14ac:dyDescent="0.25">
      <c r="A25" s="40"/>
      <c r="B25" s="6">
        <v>60</v>
      </c>
      <c r="C25" s="8">
        <v>17.75</v>
      </c>
      <c r="D25" s="7">
        <f t="shared" si="3"/>
        <v>4.5999999999999996</v>
      </c>
      <c r="E25" s="7">
        <f t="shared" si="4"/>
        <v>18.399999999999999</v>
      </c>
      <c r="F25" s="8">
        <f t="shared" si="5"/>
        <v>1480.2896218825422</v>
      </c>
    </row>
    <row r="26" spans="1:7" x14ac:dyDescent="0.25">
      <c r="A26" s="40"/>
      <c r="B26" s="6">
        <v>75</v>
      </c>
      <c r="C26" s="8">
        <v>22.4</v>
      </c>
      <c r="D26" s="7">
        <f t="shared" si="3"/>
        <v>4.6499999999999986</v>
      </c>
      <c r="E26" s="7">
        <f t="shared" si="4"/>
        <v>18.599999999999994</v>
      </c>
      <c r="F26" s="8">
        <f t="shared" si="5"/>
        <v>1496.3797264682216</v>
      </c>
    </row>
    <row r="27" spans="1:7" x14ac:dyDescent="0.25">
      <c r="A27" s="40"/>
      <c r="B27" s="6">
        <v>90</v>
      </c>
      <c r="C27" s="8">
        <v>26.9</v>
      </c>
      <c r="D27" s="7">
        <f t="shared" si="3"/>
        <v>4.5</v>
      </c>
      <c r="E27" s="7">
        <f t="shared" si="4"/>
        <v>18</v>
      </c>
      <c r="F27" s="8">
        <f t="shared" si="5"/>
        <v>1448.1094127111826</v>
      </c>
    </row>
    <row r="28" spans="1:7" x14ac:dyDescent="0.25">
      <c r="A28" s="40"/>
      <c r="B28" s="6">
        <v>105</v>
      </c>
      <c r="C28" s="8">
        <v>31.35</v>
      </c>
      <c r="D28" s="7">
        <f t="shared" si="3"/>
        <v>4.4500000000000028</v>
      </c>
      <c r="E28" s="7">
        <f t="shared" si="4"/>
        <v>17.800000000000011</v>
      </c>
      <c r="F28" s="8">
        <f t="shared" si="5"/>
        <v>1432.0193081255038</v>
      </c>
    </row>
    <row r="29" spans="1:7" ht="14.4" thickBot="1" x14ac:dyDescent="0.3">
      <c r="A29" s="41"/>
      <c r="B29" s="6">
        <v>120</v>
      </c>
      <c r="C29" s="8">
        <v>35.85</v>
      </c>
      <c r="D29" s="7">
        <f t="shared" si="3"/>
        <v>4.5</v>
      </c>
      <c r="E29" s="7">
        <f t="shared" si="4"/>
        <v>18</v>
      </c>
      <c r="F29" s="9">
        <f t="shared" si="5"/>
        <v>1448.1094127111826</v>
      </c>
    </row>
    <row r="30" spans="1:7" x14ac:dyDescent="0.25">
      <c r="C30" s="45"/>
      <c r="F30" s="10">
        <f>AVERAGE(F22:F29)</f>
        <v>1442.0756234915527</v>
      </c>
      <c r="G30" s="11" t="s">
        <v>4</v>
      </c>
    </row>
    <row r="31" spans="1:7" x14ac:dyDescent="0.25">
      <c r="C31" s="45"/>
      <c r="F31" s="10">
        <f>STDEV(F22:F29)</f>
        <v>39.35385281752415</v>
      </c>
      <c r="G31" s="11" t="s">
        <v>5</v>
      </c>
    </row>
    <row r="32" spans="1:7" x14ac:dyDescent="0.25">
      <c r="C32" s="45"/>
    </row>
    <row r="33" spans="1:6" x14ac:dyDescent="0.25">
      <c r="C33" s="45"/>
    </row>
    <row r="34" spans="1:6" x14ac:dyDescent="0.25">
      <c r="C34" s="45"/>
    </row>
    <row r="35" spans="1:6" x14ac:dyDescent="0.25">
      <c r="C35" s="45"/>
    </row>
    <row r="36" spans="1:6" ht="14.4" thickBot="1" x14ac:dyDescent="0.3">
      <c r="C36" s="45"/>
    </row>
    <row r="37" spans="1:6" x14ac:dyDescent="0.25">
      <c r="A37" s="39" t="s">
        <v>9</v>
      </c>
      <c r="B37" s="33" t="s">
        <v>2</v>
      </c>
      <c r="C37" s="34">
        <f>0.11*0.113</f>
        <v>1.243E-2</v>
      </c>
      <c r="D37" s="2"/>
      <c r="E37" s="2"/>
      <c r="F37" s="2"/>
    </row>
    <row r="38" spans="1:6" x14ac:dyDescent="0.25">
      <c r="A38" s="40"/>
      <c r="B38" s="1" t="s">
        <v>15</v>
      </c>
      <c r="C38" s="2" t="s">
        <v>16</v>
      </c>
      <c r="D38" s="2" t="s">
        <v>1</v>
      </c>
      <c r="E38" s="2" t="s">
        <v>3</v>
      </c>
      <c r="F38" s="2" t="s">
        <v>0</v>
      </c>
    </row>
    <row r="39" spans="1:6" x14ac:dyDescent="0.25">
      <c r="A39" s="42"/>
      <c r="B39" s="3">
        <f>-19+19</f>
        <v>0</v>
      </c>
      <c r="C39" s="7">
        <v>0</v>
      </c>
      <c r="D39" s="7"/>
      <c r="E39" s="7"/>
      <c r="F39" s="8"/>
    </row>
    <row r="40" spans="1:6" x14ac:dyDescent="0.25">
      <c r="A40" s="42"/>
      <c r="B40" s="3">
        <f>-19+30</f>
        <v>11</v>
      </c>
      <c r="C40" s="7">
        <v>3.2</v>
      </c>
      <c r="D40" s="7">
        <f t="shared" ref="D40:D48" si="6">C40-C39</f>
        <v>3.2</v>
      </c>
      <c r="E40" s="7">
        <f t="shared" ref="E40:E48" si="7">(D40)/(B40-B39)*60</f>
        <v>17.454545454545457</v>
      </c>
      <c r="F40" s="8">
        <f t="shared" ref="F40:F48" si="8">E40/$C$1</f>
        <v>1404.2273092956925</v>
      </c>
    </row>
    <row r="41" spans="1:6" x14ac:dyDescent="0.25">
      <c r="A41" s="42"/>
      <c r="B41" s="3">
        <f>-19+45</f>
        <v>26</v>
      </c>
      <c r="C41" s="7">
        <v>8.1</v>
      </c>
      <c r="D41" s="7">
        <f t="shared" si="6"/>
        <v>4.8999999999999995</v>
      </c>
      <c r="E41" s="7">
        <f t="shared" si="7"/>
        <v>19.599999999999998</v>
      </c>
      <c r="F41" s="8">
        <f t="shared" si="8"/>
        <v>1576.830249396621</v>
      </c>
    </row>
    <row r="42" spans="1:6" x14ac:dyDescent="0.25">
      <c r="A42" s="42"/>
      <c r="B42" s="3">
        <f>-19+60</f>
        <v>41</v>
      </c>
      <c r="C42" s="8">
        <v>12.2</v>
      </c>
      <c r="D42" s="7">
        <f t="shared" si="6"/>
        <v>4.0999999999999996</v>
      </c>
      <c r="E42" s="7">
        <f t="shared" si="7"/>
        <v>16.399999999999999</v>
      </c>
      <c r="F42" s="8">
        <f t="shared" si="8"/>
        <v>1319.388576025744</v>
      </c>
    </row>
    <row r="43" spans="1:6" x14ac:dyDescent="0.25">
      <c r="A43" s="42"/>
      <c r="B43" s="3">
        <f>-19+75</f>
        <v>56</v>
      </c>
      <c r="C43" s="8">
        <v>16.600000000000001</v>
      </c>
      <c r="D43" s="7">
        <f t="shared" si="6"/>
        <v>4.4000000000000021</v>
      </c>
      <c r="E43" s="7">
        <f t="shared" si="7"/>
        <v>17.600000000000009</v>
      </c>
      <c r="F43" s="8">
        <f t="shared" si="8"/>
        <v>1415.9292035398237</v>
      </c>
    </row>
    <row r="44" spans="1:6" x14ac:dyDescent="0.25">
      <c r="A44" s="42"/>
      <c r="B44" s="3">
        <f>-19+90</f>
        <v>71</v>
      </c>
      <c r="C44" s="8">
        <v>21.05</v>
      </c>
      <c r="D44" s="7">
        <f t="shared" si="6"/>
        <v>4.4499999999999993</v>
      </c>
      <c r="E44" s="7">
        <f t="shared" si="7"/>
        <v>17.799999999999997</v>
      </c>
      <c r="F44" s="8">
        <f t="shared" si="8"/>
        <v>1432.0193081255027</v>
      </c>
    </row>
    <row r="45" spans="1:6" x14ac:dyDescent="0.25">
      <c r="A45" s="42"/>
      <c r="B45" s="3">
        <f>-19+107</f>
        <v>88</v>
      </c>
      <c r="C45" s="8">
        <v>26.2</v>
      </c>
      <c r="D45" s="7">
        <f t="shared" si="6"/>
        <v>5.1499999999999986</v>
      </c>
      <c r="E45" s="7">
        <f t="shared" si="7"/>
        <v>18.17647058823529</v>
      </c>
      <c r="F45" s="8">
        <f t="shared" si="8"/>
        <v>1462.3065638161938</v>
      </c>
    </row>
    <row r="46" spans="1:6" x14ac:dyDescent="0.25">
      <c r="A46" s="42"/>
      <c r="B46" s="3">
        <f>-19+120</f>
        <v>101</v>
      </c>
      <c r="C46" s="8">
        <v>30.15</v>
      </c>
      <c r="D46" s="7">
        <f t="shared" si="6"/>
        <v>3.9499999999999993</v>
      </c>
      <c r="E46" s="7">
        <f t="shared" si="7"/>
        <v>18.230769230769226</v>
      </c>
      <c r="F46" s="8">
        <f t="shared" si="8"/>
        <v>1466.6749180023512</v>
      </c>
    </row>
    <row r="47" spans="1:6" x14ac:dyDescent="0.25">
      <c r="A47" s="42"/>
      <c r="B47" s="17">
        <f>-19+135</f>
        <v>116</v>
      </c>
      <c r="C47" s="8">
        <v>34.65</v>
      </c>
      <c r="D47" s="7">
        <f t="shared" si="6"/>
        <v>4.5</v>
      </c>
      <c r="E47" s="7">
        <f t="shared" si="7"/>
        <v>18</v>
      </c>
      <c r="F47" s="8">
        <f t="shared" si="8"/>
        <v>1448.1094127111826</v>
      </c>
    </row>
    <row r="48" spans="1:6" ht="14.4" thickBot="1" x14ac:dyDescent="0.3">
      <c r="A48" s="18"/>
      <c r="B48" s="17">
        <f>-19+150</f>
        <v>131</v>
      </c>
      <c r="C48" s="8">
        <v>39.200000000000003</v>
      </c>
      <c r="D48" s="7">
        <f t="shared" si="6"/>
        <v>4.5500000000000043</v>
      </c>
      <c r="E48" s="7">
        <f t="shared" si="7"/>
        <v>18.200000000000017</v>
      </c>
      <c r="F48" s="8">
        <f t="shared" si="8"/>
        <v>1464.1995172968639</v>
      </c>
    </row>
    <row r="49" spans="1:14" x14ac:dyDescent="0.25">
      <c r="C49" s="45"/>
      <c r="F49" s="14">
        <f>AVERAGE(F40:F48)</f>
        <v>1443.2983398011083</v>
      </c>
      <c r="G49" s="11" t="s">
        <v>4</v>
      </c>
      <c r="I49" s="19"/>
      <c r="J49" s="20"/>
      <c r="K49" s="21"/>
      <c r="L49" s="22"/>
      <c r="M49" s="22"/>
      <c r="N49" s="23"/>
    </row>
    <row r="50" spans="1:14" x14ac:dyDescent="0.25">
      <c r="C50" s="45"/>
      <c r="F50" s="10">
        <f>STDEV(F40:F48)</f>
        <v>67.96599763018969</v>
      </c>
      <c r="G50" s="11" t="s">
        <v>5</v>
      </c>
    </row>
    <row r="51" spans="1:14" x14ac:dyDescent="0.25">
      <c r="C51" s="45"/>
    </row>
    <row r="55" spans="1:14" ht="14.4" thickBot="1" x14ac:dyDescent="0.3"/>
    <row r="56" spans="1:14" x14ac:dyDescent="0.25">
      <c r="A56" s="39" t="s">
        <v>11</v>
      </c>
      <c r="B56" s="33" t="s">
        <v>2</v>
      </c>
      <c r="C56" s="34">
        <f>0.11*0.113</f>
        <v>1.243E-2</v>
      </c>
      <c r="D56" s="2"/>
      <c r="E56" s="2"/>
      <c r="F56" s="2"/>
    </row>
    <row r="57" spans="1:14" x14ac:dyDescent="0.25">
      <c r="A57" s="40"/>
      <c r="B57" s="1" t="s">
        <v>15</v>
      </c>
      <c r="C57" s="2" t="s">
        <v>16</v>
      </c>
      <c r="D57" s="2" t="s">
        <v>1</v>
      </c>
      <c r="E57" s="2" t="s">
        <v>3</v>
      </c>
      <c r="F57" s="2" t="s">
        <v>0</v>
      </c>
    </row>
    <row r="58" spans="1:14" x14ac:dyDescent="0.25">
      <c r="A58" s="40"/>
      <c r="B58" s="6">
        <v>0</v>
      </c>
      <c r="C58" s="7">
        <v>0</v>
      </c>
      <c r="D58" s="7"/>
      <c r="E58" s="3"/>
      <c r="F58" s="3"/>
    </row>
    <row r="59" spans="1:14" x14ac:dyDescent="0.25">
      <c r="A59" s="40"/>
      <c r="B59" s="6">
        <v>12</v>
      </c>
      <c r="C59" s="7">
        <v>1.4</v>
      </c>
      <c r="D59" s="7">
        <f>C59-C58</f>
        <v>1.4</v>
      </c>
      <c r="E59" s="7">
        <f>(D59)/(B59-A58)*60</f>
        <v>6.9999999999999991</v>
      </c>
      <c r="F59" s="8">
        <f>E59/$C$1</f>
        <v>563.15366049879322</v>
      </c>
    </row>
    <row r="60" spans="1:14" x14ac:dyDescent="0.25">
      <c r="A60" s="40"/>
      <c r="B60" s="6">
        <v>28</v>
      </c>
      <c r="C60" s="7">
        <v>3.4</v>
      </c>
      <c r="D60" s="7">
        <f t="shared" ref="D60:D65" si="9">C60-C59</f>
        <v>2</v>
      </c>
      <c r="E60" s="7">
        <f t="shared" ref="E60:E65" si="10">(D60)/(B60-B59)*60</f>
        <v>7.5</v>
      </c>
      <c r="F60" s="8">
        <f t="shared" ref="F60:F65" si="11">E60/$C$1</f>
        <v>603.37892196299276</v>
      </c>
    </row>
    <row r="61" spans="1:14" x14ac:dyDescent="0.25">
      <c r="A61" s="40"/>
      <c r="B61" s="6">
        <v>41</v>
      </c>
      <c r="C61" s="7">
        <v>5</v>
      </c>
      <c r="D61" s="7">
        <f t="shared" si="9"/>
        <v>1.6</v>
      </c>
      <c r="E61" s="7">
        <f t="shared" si="10"/>
        <v>7.384615384615385</v>
      </c>
      <c r="F61" s="8">
        <f t="shared" si="11"/>
        <v>594.09616931740834</v>
      </c>
    </row>
    <row r="62" spans="1:14" x14ac:dyDescent="0.25">
      <c r="A62" s="40"/>
      <c r="B62" s="6">
        <v>57</v>
      </c>
      <c r="C62" s="7">
        <v>7.1</v>
      </c>
      <c r="D62" s="7">
        <f t="shared" si="9"/>
        <v>2.0999999999999996</v>
      </c>
      <c r="E62" s="7">
        <f t="shared" si="10"/>
        <v>7.8749999999999982</v>
      </c>
      <c r="F62" s="8">
        <f t="shared" si="11"/>
        <v>633.54786806114225</v>
      </c>
    </row>
    <row r="63" spans="1:14" x14ac:dyDescent="0.25">
      <c r="A63" s="40"/>
      <c r="B63" s="6">
        <v>74</v>
      </c>
      <c r="C63" s="7">
        <v>9.25</v>
      </c>
      <c r="D63" s="7">
        <f t="shared" si="9"/>
        <v>2.1500000000000004</v>
      </c>
      <c r="E63" s="7">
        <f t="shared" si="10"/>
        <v>7.5882352941176485</v>
      </c>
      <c r="F63" s="8">
        <f t="shared" si="11"/>
        <v>610.47749751549873</v>
      </c>
    </row>
    <row r="64" spans="1:14" x14ac:dyDescent="0.25">
      <c r="A64" s="40"/>
      <c r="B64" s="6">
        <v>86</v>
      </c>
      <c r="C64" s="7">
        <v>10.66</v>
      </c>
      <c r="D64" s="7">
        <f t="shared" si="9"/>
        <v>1.4100000000000001</v>
      </c>
      <c r="E64" s="7">
        <f t="shared" si="10"/>
        <v>7.0500000000000007</v>
      </c>
      <c r="F64" s="8">
        <f t="shared" si="11"/>
        <v>567.17618664521319</v>
      </c>
    </row>
    <row r="65" spans="1:7" ht="14.4" thickBot="1" x14ac:dyDescent="0.3">
      <c r="A65" s="41"/>
      <c r="B65" s="6">
        <v>101</v>
      </c>
      <c r="C65" s="7">
        <v>12.28</v>
      </c>
      <c r="D65" s="7">
        <f t="shared" si="9"/>
        <v>1.6199999999999992</v>
      </c>
      <c r="E65" s="7">
        <f t="shared" si="10"/>
        <v>6.4799999999999969</v>
      </c>
      <c r="F65" s="8">
        <f t="shared" si="11"/>
        <v>521.31938857602552</v>
      </c>
    </row>
    <row r="66" spans="1:7" x14ac:dyDescent="0.25">
      <c r="A66" s="24"/>
      <c r="B66" s="25"/>
      <c r="C66" s="21"/>
      <c r="D66" s="22"/>
      <c r="E66" s="22"/>
      <c r="F66" s="10">
        <f>AVERAGE(F59:F65)</f>
        <v>584.73567036815348</v>
      </c>
      <c r="G66" s="11" t="s">
        <v>4</v>
      </c>
    </row>
    <row r="67" spans="1:7" x14ac:dyDescent="0.25">
      <c r="A67" s="26"/>
      <c r="B67" s="20"/>
      <c r="C67" s="21"/>
      <c r="D67" s="22"/>
      <c r="E67" s="22"/>
      <c r="F67" s="10">
        <f>STDEV(F59:F65)</f>
        <v>37.139838211069808</v>
      </c>
      <c r="G67" s="11" t="s">
        <v>5</v>
      </c>
    </row>
    <row r="72" spans="1:7" ht="14.4" thickBot="1" x14ac:dyDescent="0.3"/>
    <row r="73" spans="1:7" x14ac:dyDescent="0.25">
      <c r="A73" s="39" t="s">
        <v>12</v>
      </c>
      <c r="B73" s="33" t="s">
        <v>2</v>
      </c>
      <c r="C73" s="34">
        <f>0.11*0.113</f>
        <v>1.243E-2</v>
      </c>
      <c r="D73" s="2"/>
      <c r="E73" s="2"/>
      <c r="F73" s="2"/>
    </row>
    <row r="74" spans="1:7" x14ac:dyDescent="0.25">
      <c r="A74" s="40"/>
      <c r="B74" s="1" t="s">
        <v>15</v>
      </c>
      <c r="C74" s="2" t="s">
        <v>16</v>
      </c>
      <c r="D74" s="2" t="s">
        <v>1</v>
      </c>
      <c r="E74" s="2" t="s">
        <v>3</v>
      </c>
      <c r="F74" s="2" t="s">
        <v>0</v>
      </c>
    </row>
    <row r="75" spans="1:7" x14ac:dyDescent="0.25">
      <c r="A75" s="40"/>
      <c r="B75" s="6">
        <v>0</v>
      </c>
      <c r="C75" s="7">
        <v>0</v>
      </c>
      <c r="D75" s="7"/>
      <c r="E75" s="3"/>
      <c r="F75" s="3"/>
    </row>
    <row r="76" spans="1:7" ht="14.4" thickBot="1" x14ac:dyDescent="0.3">
      <c r="A76" s="41"/>
      <c r="B76" s="6">
        <v>240</v>
      </c>
      <c r="C76" s="7">
        <v>74.59</v>
      </c>
      <c r="D76" s="7">
        <f>C76-C75</f>
        <v>74.59</v>
      </c>
      <c r="E76" s="7">
        <f>(D76)/(B76-A75)*60</f>
        <v>18.647500000000001</v>
      </c>
      <c r="F76" s="9">
        <f>E76/$C$1</f>
        <v>1500.2011263073211</v>
      </c>
    </row>
    <row r="77" spans="1:7" x14ac:dyDescent="0.25">
      <c r="F77" s="10">
        <f>AVERAGE(F76)</f>
        <v>1500.2011263073211</v>
      </c>
      <c r="G77" s="11" t="s">
        <v>4</v>
      </c>
    </row>
    <row r="78" spans="1:7" x14ac:dyDescent="0.25">
      <c r="F78" s="11" t="s">
        <v>13</v>
      </c>
      <c r="G78" s="11" t="s">
        <v>6</v>
      </c>
    </row>
    <row r="85" spans="1:1" x14ac:dyDescent="0.25">
      <c r="A85" s="36" t="s">
        <v>17</v>
      </c>
    </row>
    <row r="86" spans="1:1" x14ac:dyDescent="0.25">
      <c r="A86" s="5" t="s">
        <v>18</v>
      </c>
    </row>
    <row r="87" spans="1:1" x14ac:dyDescent="0.25">
      <c r="A87" s="5" t="s">
        <v>19</v>
      </c>
    </row>
    <row r="88" spans="1:1" ht="14.4" x14ac:dyDescent="0.3">
      <c r="A88" s="35" t="s">
        <v>20</v>
      </c>
    </row>
  </sheetData>
  <mergeCells count="5">
    <mergeCell ref="A1:A10"/>
    <mergeCell ref="A19:A29"/>
    <mergeCell ref="A37:A47"/>
    <mergeCell ref="A56:A65"/>
    <mergeCell ref="A73:A7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6"/>
  <sheetViews>
    <sheetView zoomScale="55" zoomScaleNormal="55" workbookViewId="0">
      <selection activeCell="D67" sqref="D67"/>
    </sheetView>
  </sheetViews>
  <sheetFormatPr defaultRowHeight="13.8" x14ac:dyDescent="0.25"/>
  <cols>
    <col min="1" max="1" width="79.109375" style="5" bestFit="1" customWidth="1"/>
    <col min="2" max="2" width="18.109375" style="5" bestFit="1" customWidth="1"/>
    <col min="3" max="3" width="11.6640625" style="5" customWidth="1"/>
    <col min="4" max="4" width="35.33203125" style="5" bestFit="1" customWidth="1"/>
    <col min="5" max="5" width="28.33203125" style="5" customWidth="1"/>
    <col min="6" max="6" width="33.44140625" style="5" bestFit="1" customWidth="1"/>
    <col min="7" max="7" width="23.88671875" style="5" bestFit="1" customWidth="1"/>
    <col min="8" max="10" width="8.88671875" style="5"/>
    <col min="11" max="11" width="30.33203125" style="5" bestFit="1" customWidth="1"/>
    <col min="12" max="12" width="14.5546875" style="5" bestFit="1" customWidth="1"/>
    <col min="13" max="13" width="8.33203125" style="5" bestFit="1" customWidth="1"/>
    <col min="14" max="14" width="27.44140625" style="5" bestFit="1" customWidth="1"/>
    <col min="15" max="15" width="22.6640625" style="5" bestFit="1" customWidth="1"/>
    <col min="16" max="16" width="27.44140625" style="5" bestFit="1" customWidth="1"/>
    <col min="17" max="17" width="18" style="5" bestFit="1" customWidth="1"/>
    <col min="18" max="16384" width="8.88671875" style="5"/>
  </cols>
  <sheetData>
    <row r="1" spans="1:7" x14ac:dyDescent="0.25">
      <c r="A1" s="39" t="s">
        <v>7</v>
      </c>
      <c r="B1" s="33" t="s">
        <v>2</v>
      </c>
      <c r="C1" s="34">
        <f>0.11*0.113</f>
        <v>1.243E-2</v>
      </c>
      <c r="D1" s="3"/>
      <c r="E1" s="3"/>
      <c r="F1" s="3"/>
    </row>
    <row r="2" spans="1:7" x14ac:dyDescent="0.25">
      <c r="A2" s="40"/>
      <c r="B2" s="1" t="s">
        <v>15</v>
      </c>
      <c r="C2" s="2" t="s">
        <v>16</v>
      </c>
      <c r="D2" s="2" t="s">
        <v>1</v>
      </c>
      <c r="E2" s="2" t="s">
        <v>3</v>
      </c>
      <c r="F2" s="2" t="s">
        <v>0</v>
      </c>
    </row>
    <row r="3" spans="1:7" x14ac:dyDescent="0.25">
      <c r="A3" s="40"/>
      <c r="B3" s="6">
        <v>0</v>
      </c>
      <c r="C3" s="7">
        <v>0</v>
      </c>
      <c r="D3" s="3"/>
      <c r="E3" s="3"/>
      <c r="F3" s="3"/>
    </row>
    <row r="4" spans="1:7" x14ac:dyDescent="0.25">
      <c r="A4" s="40"/>
      <c r="B4" s="6">
        <v>18</v>
      </c>
      <c r="C4" s="7">
        <v>10.8</v>
      </c>
      <c r="D4" s="7">
        <f>C4-C3</f>
        <v>10.8</v>
      </c>
      <c r="E4" s="7">
        <f>(D4)/(B4-A3)*60</f>
        <v>36.000000000000007</v>
      </c>
      <c r="F4" s="8">
        <f>E4/$C$1</f>
        <v>2896.2188254223656</v>
      </c>
    </row>
    <row r="5" spans="1:7" x14ac:dyDescent="0.25">
      <c r="A5" s="40"/>
      <c r="B5" s="6">
        <v>29</v>
      </c>
      <c r="C5" s="8">
        <v>18.05</v>
      </c>
      <c r="D5" s="7">
        <f t="shared" ref="D5:D11" si="0">C5-C4</f>
        <v>7.25</v>
      </c>
      <c r="E5" s="7">
        <f t="shared" ref="E5:E11" si="1">(D5)/(B5-B4)*60</f>
        <v>39.545454545454547</v>
      </c>
      <c r="F5" s="8">
        <f t="shared" ref="F5:F11" si="2">E5/$C$1</f>
        <v>3181.4524976230527</v>
      </c>
    </row>
    <row r="6" spans="1:7" x14ac:dyDescent="0.25">
      <c r="A6" s="40"/>
      <c r="B6" s="6">
        <v>45</v>
      </c>
      <c r="C6" s="8">
        <v>27.45</v>
      </c>
      <c r="D6" s="7">
        <f t="shared" si="0"/>
        <v>9.3999999999999986</v>
      </c>
      <c r="E6" s="7">
        <f t="shared" si="1"/>
        <v>35.249999999999993</v>
      </c>
      <c r="F6" s="8">
        <f t="shared" si="2"/>
        <v>2835.8809332260653</v>
      </c>
    </row>
    <row r="7" spans="1:7" x14ac:dyDescent="0.25">
      <c r="A7" s="40"/>
      <c r="B7" s="6">
        <v>59</v>
      </c>
      <c r="C7" s="8">
        <v>35.549999999999997</v>
      </c>
      <c r="D7" s="7">
        <f t="shared" si="0"/>
        <v>8.0999999999999979</v>
      </c>
      <c r="E7" s="7">
        <f t="shared" si="1"/>
        <v>34.714285714285701</v>
      </c>
      <c r="F7" s="8">
        <f t="shared" si="2"/>
        <v>2792.7824388001368</v>
      </c>
    </row>
    <row r="8" spans="1:7" x14ac:dyDescent="0.25">
      <c r="A8" s="40"/>
      <c r="B8" s="6">
        <v>76</v>
      </c>
      <c r="C8" s="8">
        <v>45.85</v>
      </c>
      <c r="D8" s="7">
        <f t="shared" si="0"/>
        <v>10.300000000000004</v>
      </c>
      <c r="E8" s="7">
        <f t="shared" si="1"/>
        <v>36.352941176470608</v>
      </c>
      <c r="F8" s="8">
        <f t="shared" si="2"/>
        <v>2924.6131276323899</v>
      </c>
    </row>
    <row r="9" spans="1:7" x14ac:dyDescent="0.25">
      <c r="A9" s="40"/>
      <c r="B9" s="6">
        <v>89</v>
      </c>
      <c r="C9" s="8">
        <v>53.55</v>
      </c>
      <c r="D9" s="7">
        <f t="shared" si="0"/>
        <v>7.6999999999999957</v>
      </c>
      <c r="E9" s="7">
        <f t="shared" si="1"/>
        <v>35.538461538461519</v>
      </c>
      <c r="F9" s="8">
        <f t="shared" si="2"/>
        <v>2859.0878148400257</v>
      </c>
    </row>
    <row r="10" spans="1:7" x14ac:dyDescent="0.25">
      <c r="A10" s="40"/>
      <c r="B10" s="6">
        <v>108</v>
      </c>
      <c r="C10" s="8">
        <v>64.650000000000006</v>
      </c>
      <c r="D10" s="7">
        <f t="shared" si="0"/>
        <v>11.100000000000009</v>
      </c>
      <c r="E10" s="7">
        <f t="shared" si="1"/>
        <v>35.052631578947398</v>
      </c>
      <c r="F10" s="8">
        <f t="shared" si="2"/>
        <v>2820.0025405428319</v>
      </c>
    </row>
    <row r="11" spans="1:7" ht="14.4" thickBot="1" x14ac:dyDescent="0.3">
      <c r="A11" s="41"/>
      <c r="B11" s="6">
        <v>119</v>
      </c>
      <c r="C11" s="8">
        <v>71.099999999999994</v>
      </c>
      <c r="D11" s="7">
        <f t="shared" si="0"/>
        <v>6.4499999999999886</v>
      </c>
      <c r="E11" s="7">
        <f t="shared" si="1"/>
        <v>35.181818181818116</v>
      </c>
      <c r="F11" s="8">
        <f t="shared" si="2"/>
        <v>2830.3956702991245</v>
      </c>
    </row>
    <row r="12" spans="1:7" x14ac:dyDescent="0.25">
      <c r="F12" s="14">
        <f>AVERAGE(F4:F11)</f>
        <v>2892.5542310482488</v>
      </c>
      <c r="G12" s="11" t="s">
        <v>4</v>
      </c>
    </row>
    <row r="13" spans="1:7" x14ac:dyDescent="0.25">
      <c r="F13" s="10">
        <f>STDEV(F4:F11)</f>
        <v>124.16413056337204</v>
      </c>
      <c r="G13" s="11" t="s">
        <v>5</v>
      </c>
    </row>
    <row r="18" spans="1:7" ht="14.4" thickBot="1" x14ac:dyDescent="0.3"/>
    <row r="19" spans="1:7" x14ac:dyDescent="0.25">
      <c r="A19" s="39" t="s">
        <v>8</v>
      </c>
      <c r="B19" s="33" t="s">
        <v>2</v>
      </c>
      <c r="C19" s="34">
        <f>0.11*0.113</f>
        <v>1.243E-2</v>
      </c>
      <c r="D19" s="2"/>
      <c r="E19" s="2"/>
      <c r="F19" s="2"/>
    </row>
    <row r="20" spans="1:7" x14ac:dyDescent="0.25">
      <c r="A20" s="40"/>
      <c r="B20" s="1" t="s">
        <v>15</v>
      </c>
      <c r="C20" s="2" t="s">
        <v>16</v>
      </c>
      <c r="D20" s="2" t="s">
        <v>1</v>
      </c>
      <c r="E20" s="2" t="s">
        <v>3</v>
      </c>
      <c r="F20" s="2" t="s">
        <v>0</v>
      </c>
    </row>
    <row r="21" spans="1:7" x14ac:dyDescent="0.25">
      <c r="A21" s="40"/>
      <c r="B21" s="6">
        <v>0</v>
      </c>
      <c r="C21" s="7">
        <v>0</v>
      </c>
      <c r="D21" s="3"/>
      <c r="E21" s="3"/>
      <c r="F21" s="3"/>
    </row>
    <row r="22" spans="1:7" x14ac:dyDescent="0.25">
      <c r="A22" s="40"/>
      <c r="B22" s="6">
        <v>7</v>
      </c>
      <c r="C22" s="7">
        <v>4.3</v>
      </c>
      <c r="D22" s="7">
        <f>C22-C21</f>
        <v>4.3</v>
      </c>
      <c r="E22" s="7">
        <f>(D22)/(B22-A21)*60</f>
        <v>36.857142857142854</v>
      </c>
      <c r="F22" s="8">
        <f>E22/$C$1</f>
        <v>2965.1764165038499</v>
      </c>
    </row>
    <row r="23" spans="1:7" x14ac:dyDescent="0.25">
      <c r="A23" s="40"/>
      <c r="B23" s="6">
        <v>22</v>
      </c>
      <c r="C23" s="7">
        <v>13.45</v>
      </c>
      <c r="D23" s="7">
        <f t="shared" ref="D23:D30" si="3">C23-C22</f>
        <v>9.1499999999999986</v>
      </c>
      <c r="E23" s="7">
        <f t="shared" ref="E23:E30" si="4">(D23)/(B23-B22)*60</f>
        <v>36.599999999999994</v>
      </c>
      <c r="F23" s="8">
        <f t="shared" ref="F23:F30" si="5">E23/$C$1</f>
        <v>2944.489139179404</v>
      </c>
    </row>
    <row r="24" spans="1:7" x14ac:dyDescent="0.25">
      <c r="A24" s="40"/>
      <c r="B24" s="6">
        <v>38</v>
      </c>
      <c r="C24" s="8">
        <v>23.25</v>
      </c>
      <c r="D24" s="7">
        <f t="shared" si="3"/>
        <v>9.8000000000000007</v>
      </c>
      <c r="E24" s="7">
        <f t="shared" si="4"/>
        <v>36.75</v>
      </c>
      <c r="F24" s="8">
        <f t="shared" si="5"/>
        <v>2956.5567176186646</v>
      </c>
    </row>
    <row r="25" spans="1:7" x14ac:dyDescent="0.25">
      <c r="A25" s="40"/>
      <c r="B25" s="6">
        <v>52</v>
      </c>
      <c r="C25" s="8">
        <v>31.7</v>
      </c>
      <c r="D25" s="7">
        <f t="shared" si="3"/>
        <v>8.4499999999999993</v>
      </c>
      <c r="E25" s="7">
        <f t="shared" si="4"/>
        <v>36.214285714285715</v>
      </c>
      <c r="F25" s="8">
        <f t="shared" si="5"/>
        <v>2913.4582231927366</v>
      </c>
    </row>
    <row r="26" spans="1:7" x14ac:dyDescent="0.25">
      <c r="A26" s="40"/>
      <c r="B26" s="6">
        <v>67</v>
      </c>
      <c r="C26" s="8">
        <v>40.97</v>
      </c>
      <c r="D26" s="7">
        <f t="shared" si="3"/>
        <v>9.27</v>
      </c>
      <c r="E26" s="7">
        <f t="shared" si="4"/>
        <v>37.08</v>
      </c>
      <c r="F26" s="8">
        <f t="shared" si="5"/>
        <v>2983.105390185036</v>
      </c>
    </row>
    <row r="27" spans="1:7" x14ac:dyDescent="0.25">
      <c r="A27" s="40"/>
      <c r="B27" s="6">
        <v>84</v>
      </c>
      <c r="C27" s="8">
        <v>51.25</v>
      </c>
      <c r="D27" s="7">
        <f t="shared" si="3"/>
        <v>10.280000000000001</v>
      </c>
      <c r="E27" s="7">
        <f t="shared" si="4"/>
        <v>36.28235294117647</v>
      </c>
      <c r="F27" s="8">
        <f t="shared" si="5"/>
        <v>2918.9342671903837</v>
      </c>
    </row>
    <row r="28" spans="1:7" x14ac:dyDescent="0.25">
      <c r="A28" s="40"/>
      <c r="B28" s="6">
        <v>104</v>
      </c>
      <c r="C28" s="8">
        <v>63.35</v>
      </c>
      <c r="D28" s="7">
        <f t="shared" si="3"/>
        <v>12.100000000000001</v>
      </c>
      <c r="E28" s="7">
        <f t="shared" si="4"/>
        <v>36.300000000000004</v>
      </c>
      <c r="F28" s="8">
        <f t="shared" si="5"/>
        <v>2920.3539823008855</v>
      </c>
    </row>
    <row r="29" spans="1:7" x14ac:dyDescent="0.25">
      <c r="A29" s="40"/>
      <c r="B29" s="6">
        <v>112</v>
      </c>
      <c r="C29" s="8">
        <v>68.25</v>
      </c>
      <c r="D29" s="7">
        <f t="shared" si="3"/>
        <v>4.8999999999999986</v>
      </c>
      <c r="E29" s="7">
        <f t="shared" si="4"/>
        <v>36.749999999999986</v>
      </c>
      <c r="F29" s="8">
        <f t="shared" si="5"/>
        <v>2956.5567176186632</v>
      </c>
    </row>
    <row r="30" spans="1:7" ht="14.4" thickBot="1" x14ac:dyDescent="0.3">
      <c r="A30" s="41"/>
      <c r="B30" s="16">
        <v>127</v>
      </c>
      <c r="C30" s="8">
        <v>77.45</v>
      </c>
      <c r="D30" s="7">
        <f t="shared" si="3"/>
        <v>9.2000000000000028</v>
      </c>
      <c r="E30" s="7">
        <f t="shared" si="4"/>
        <v>36.800000000000011</v>
      </c>
      <c r="F30" s="8">
        <f t="shared" si="5"/>
        <v>2960.5792437650853</v>
      </c>
    </row>
    <row r="31" spans="1:7" x14ac:dyDescent="0.25">
      <c r="F31" s="14">
        <f>AVERAGE(F22:F30)</f>
        <v>2946.5788997283012</v>
      </c>
      <c r="G31" s="11" t="s">
        <v>4</v>
      </c>
    </row>
    <row r="32" spans="1:7" x14ac:dyDescent="0.25">
      <c r="F32" s="10">
        <f>STDEV(F22:F30)</f>
        <v>24.053310020956669</v>
      </c>
      <c r="G32" s="11" t="s">
        <v>5</v>
      </c>
    </row>
    <row r="37" spans="1:7" ht="14.4" thickBot="1" x14ac:dyDescent="0.3"/>
    <row r="38" spans="1:7" x14ac:dyDescent="0.25">
      <c r="A38" s="43" t="s">
        <v>21</v>
      </c>
      <c r="B38" s="33" t="s">
        <v>2</v>
      </c>
      <c r="C38" s="34">
        <f>0.11*0.113</f>
        <v>1.243E-2</v>
      </c>
      <c r="D38" s="2"/>
      <c r="E38" s="2"/>
      <c r="F38" s="2"/>
    </row>
    <row r="39" spans="1:7" x14ac:dyDescent="0.25">
      <c r="A39" s="40"/>
      <c r="B39" s="1" t="s">
        <v>15</v>
      </c>
      <c r="C39" s="2" t="s">
        <v>16</v>
      </c>
      <c r="D39" s="2" t="s">
        <v>1</v>
      </c>
      <c r="E39" s="2" t="s">
        <v>3</v>
      </c>
      <c r="F39" s="2" t="s">
        <v>0</v>
      </c>
    </row>
    <row r="40" spans="1:7" x14ac:dyDescent="0.25">
      <c r="A40" s="40"/>
      <c r="B40" s="6">
        <v>0</v>
      </c>
      <c r="C40" s="8">
        <v>0</v>
      </c>
      <c r="D40" s="3"/>
      <c r="E40" s="3"/>
      <c r="F40" s="3"/>
    </row>
    <row r="41" spans="1:7" x14ac:dyDescent="0.25">
      <c r="A41" s="40"/>
      <c r="B41" s="6">
        <v>13</v>
      </c>
      <c r="C41" s="8">
        <v>7.05</v>
      </c>
      <c r="D41" s="7">
        <f>C41-C40</f>
        <v>7.05</v>
      </c>
      <c r="E41" s="7">
        <f>(D41)/(B41-A40)*60</f>
        <v>32.538461538461533</v>
      </c>
      <c r="F41" s="8">
        <f>E41/$C$1</f>
        <v>2617.7362460548297</v>
      </c>
    </row>
    <row r="42" spans="1:7" x14ac:dyDescent="0.25">
      <c r="A42" s="40"/>
      <c r="B42" s="6">
        <v>27</v>
      </c>
      <c r="C42" s="8">
        <v>14.65</v>
      </c>
      <c r="D42" s="7">
        <f t="shared" ref="D42:D46" si="6">C42-C41</f>
        <v>7.6000000000000005</v>
      </c>
      <c r="E42" s="7">
        <f>(D42)/(B42-B41)*60</f>
        <v>32.571428571428577</v>
      </c>
      <c r="F42" s="8">
        <f t="shared" ref="F42:F46" si="7">E42/$C$1</f>
        <v>2620.388461096426</v>
      </c>
    </row>
    <row r="43" spans="1:7" x14ac:dyDescent="0.25">
      <c r="A43" s="40"/>
      <c r="B43" s="6">
        <v>42</v>
      </c>
      <c r="C43" s="8">
        <v>22.8</v>
      </c>
      <c r="D43" s="7">
        <f t="shared" si="6"/>
        <v>8.15</v>
      </c>
      <c r="E43" s="7">
        <f>(D43)/(B43-B42)*60</f>
        <v>32.6</v>
      </c>
      <c r="F43" s="8">
        <f t="shared" si="7"/>
        <v>2622.6870474658085</v>
      </c>
    </row>
    <row r="44" spans="1:7" x14ac:dyDescent="0.25">
      <c r="A44" s="40"/>
      <c r="B44" s="6">
        <v>62</v>
      </c>
      <c r="C44" s="8">
        <v>33.35</v>
      </c>
      <c r="D44" s="7">
        <f t="shared" si="6"/>
        <v>10.55</v>
      </c>
      <c r="E44" s="7">
        <f>(D44)/(B44-B43)*60</f>
        <v>31.650000000000006</v>
      </c>
      <c r="F44" s="8">
        <f t="shared" si="7"/>
        <v>2546.2590506838301</v>
      </c>
    </row>
    <row r="45" spans="1:7" x14ac:dyDescent="0.25">
      <c r="A45" s="40"/>
      <c r="B45" s="6">
        <v>76</v>
      </c>
      <c r="C45" s="8">
        <v>41.1</v>
      </c>
      <c r="D45" s="7">
        <f t="shared" si="6"/>
        <v>7.75</v>
      </c>
      <c r="E45" s="7">
        <f>(D45)/(B45-B44)*60</f>
        <v>33.214285714285715</v>
      </c>
      <c r="F45" s="8">
        <f t="shared" si="7"/>
        <v>2672.1066544075393</v>
      </c>
    </row>
    <row r="46" spans="1:7" ht="14.4" thickBot="1" x14ac:dyDescent="0.3">
      <c r="A46" s="41"/>
      <c r="B46" s="6">
        <v>85</v>
      </c>
      <c r="C46" s="8">
        <v>45.92</v>
      </c>
      <c r="D46" s="7">
        <f t="shared" si="6"/>
        <v>4.82</v>
      </c>
      <c r="E46" s="7">
        <f>(D46)/(B46-B45)*60</f>
        <v>32.133333333333333</v>
      </c>
      <c r="F46" s="8">
        <f t="shared" si="7"/>
        <v>2585.1434700992222</v>
      </c>
    </row>
    <row r="47" spans="1:7" x14ac:dyDescent="0.25">
      <c r="F47" s="14">
        <f>AVERAGE(F41:F46)</f>
        <v>2610.7201549679426</v>
      </c>
      <c r="G47" s="11" t="s">
        <v>4</v>
      </c>
    </row>
    <row r="48" spans="1:7" x14ac:dyDescent="0.25">
      <c r="F48" s="10">
        <f>STDEV(F41:F46)</f>
        <v>42.103708343654738</v>
      </c>
      <c r="G48" s="11" t="s">
        <v>5</v>
      </c>
    </row>
    <row r="51" spans="1:11" x14ac:dyDescent="0.25">
      <c r="K51" s="24"/>
    </row>
    <row r="52" spans="1:11" x14ac:dyDescent="0.25">
      <c r="K52" s="24"/>
    </row>
    <row r="53" spans="1:11" ht="14.4" thickBot="1" x14ac:dyDescent="0.3"/>
    <row r="54" spans="1:11" x14ac:dyDescent="0.25">
      <c r="A54" s="43" t="s">
        <v>22</v>
      </c>
      <c r="B54" s="33" t="s">
        <v>2</v>
      </c>
      <c r="C54" s="34">
        <f>0.11*0.113</f>
        <v>1.243E-2</v>
      </c>
      <c r="D54" s="4"/>
      <c r="E54" s="4"/>
      <c r="F54" s="4"/>
    </row>
    <row r="55" spans="1:11" x14ac:dyDescent="0.25">
      <c r="A55" s="40"/>
      <c r="B55" s="1" t="s">
        <v>15</v>
      </c>
      <c r="C55" s="2" t="s">
        <v>16</v>
      </c>
      <c r="D55" s="4" t="s">
        <v>1</v>
      </c>
      <c r="E55" s="4" t="s">
        <v>3</v>
      </c>
      <c r="F55" s="4" t="s">
        <v>0</v>
      </c>
    </row>
    <row r="56" spans="1:11" x14ac:dyDescent="0.25">
      <c r="A56" s="40"/>
      <c r="B56" s="27">
        <f>-48+48</f>
        <v>0</v>
      </c>
      <c r="C56" s="28">
        <v>0</v>
      </c>
      <c r="D56" s="28"/>
      <c r="E56" s="29"/>
      <c r="F56" s="29"/>
    </row>
    <row r="57" spans="1:11" x14ac:dyDescent="0.25">
      <c r="A57" s="40"/>
      <c r="B57" s="27">
        <f>-48+61</f>
        <v>13</v>
      </c>
      <c r="C57" s="28">
        <v>3.4</v>
      </c>
      <c r="D57" s="28">
        <f t="shared" ref="D57:D64" si="8">C57-C56</f>
        <v>3.4</v>
      </c>
      <c r="E57" s="28">
        <f t="shared" ref="E57:E64" si="9">D57/(B57-B56)*60</f>
        <v>15.692307692307693</v>
      </c>
      <c r="F57" s="28">
        <f t="shared" ref="F57:F64" si="10">E57/$C$1</f>
        <v>1262.4543597994925</v>
      </c>
    </row>
    <row r="58" spans="1:11" x14ac:dyDescent="0.25">
      <c r="A58" s="40"/>
      <c r="B58" s="27">
        <f>-48+75</f>
        <v>27</v>
      </c>
      <c r="C58" s="28">
        <v>7</v>
      </c>
      <c r="D58" s="28">
        <f t="shared" si="8"/>
        <v>3.6</v>
      </c>
      <c r="E58" s="28">
        <f t="shared" si="9"/>
        <v>15.428571428571431</v>
      </c>
      <c r="F58" s="28">
        <f t="shared" si="10"/>
        <v>1241.2366394667281</v>
      </c>
    </row>
    <row r="59" spans="1:11" x14ac:dyDescent="0.25">
      <c r="A59" s="40"/>
      <c r="B59" s="27">
        <f>-48+91</f>
        <v>43</v>
      </c>
      <c r="C59" s="28">
        <v>11.4</v>
      </c>
      <c r="D59" s="28">
        <f t="shared" si="8"/>
        <v>4.4000000000000004</v>
      </c>
      <c r="E59" s="28">
        <f t="shared" si="9"/>
        <v>16.5</v>
      </c>
      <c r="F59" s="28">
        <f t="shared" si="10"/>
        <v>1327.4336283185842</v>
      </c>
    </row>
    <row r="60" spans="1:11" x14ac:dyDescent="0.25">
      <c r="A60" s="40"/>
      <c r="B60" s="27">
        <f>-48+105</f>
        <v>57</v>
      </c>
      <c r="C60" s="28">
        <v>15.3</v>
      </c>
      <c r="D60" s="28">
        <f t="shared" si="8"/>
        <v>3.9000000000000004</v>
      </c>
      <c r="E60" s="28">
        <f t="shared" si="9"/>
        <v>16.714285714285715</v>
      </c>
      <c r="F60" s="28">
        <f t="shared" si="10"/>
        <v>1344.6730260889553</v>
      </c>
    </row>
    <row r="61" spans="1:11" x14ac:dyDescent="0.25">
      <c r="A61" s="40"/>
      <c r="B61" s="27">
        <f>-48+120</f>
        <v>72</v>
      </c>
      <c r="C61" s="28">
        <v>19.600000000000001</v>
      </c>
      <c r="D61" s="28">
        <f t="shared" si="8"/>
        <v>4.3000000000000007</v>
      </c>
      <c r="E61" s="28">
        <f t="shared" si="9"/>
        <v>17.200000000000003</v>
      </c>
      <c r="F61" s="28">
        <f t="shared" si="10"/>
        <v>1383.7489943684636</v>
      </c>
    </row>
    <row r="62" spans="1:11" x14ac:dyDescent="0.25">
      <c r="A62" s="40"/>
      <c r="B62" s="27">
        <f>-48+136</f>
        <v>88</v>
      </c>
      <c r="C62" s="28">
        <v>24.2</v>
      </c>
      <c r="D62" s="28">
        <f t="shared" si="8"/>
        <v>4.5999999999999979</v>
      </c>
      <c r="E62" s="28">
        <f t="shared" si="9"/>
        <v>17.249999999999993</v>
      </c>
      <c r="F62" s="28">
        <f t="shared" si="10"/>
        <v>1387.7715205148827</v>
      </c>
    </row>
    <row r="63" spans="1:11" x14ac:dyDescent="0.25">
      <c r="A63" s="40"/>
      <c r="B63" s="27">
        <f>-48+150</f>
        <v>102</v>
      </c>
      <c r="C63" s="28">
        <v>28.07</v>
      </c>
      <c r="D63" s="28">
        <f t="shared" si="8"/>
        <v>3.870000000000001</v>
      </c>
      <c r="E63" s="28">
        <f t="shared" si="9"/>
        <v>16.585714285714293</v>
      </c>
      <c r="F63" s="28">
        <f t="shared" si="10"/>
        <v>1334.3293874267331</v>
      </c>
    </row>
    <row r="64" spans="1:11" ht="14.4" thickBot="1" x14ac:dyDescent="0.3">
      <c r="A64" s="41"/>
      <c r="B64" s="27">
        <f>-48+165</f>
        <v>117</v>
      </c>
      <c r="C64" s="28">
        <v>32.04</v>
      </c>
      <c r="D64" s="28">
        <f t="shared" si="8"/>
        <v>3.9699999999999989</v>
      </c>
      <c r="E64" s="28">
        <f t="shared" si="9"/>
        <v>15.879999999999995</v>
      </c>
      <c r="F64" s="44">
        <f t="shared" si="10"/>
        <v>1277.5543041029764</v>
      </c>
    </row>
    <row r="65" spans="1:7" x14ac:dyDescent="0.25">
      <c r="A65" s="24"/>
      <c r="B65" s="30"/>
      <c r="C65" s="31"/>
      <c r="D65" s="31"/>
      <c r="E65" s="30"/>
      <c r="F65" s="10">
        <f>AVERAGE(F57:F64)</f>
        <v>1319.900232510852</v>
      </c>
      <c r="G65" s="32" t="s">
        <v>4</v>
      </c>
    </row>
    <row r="66" spans="1:7" x14ac:dyDescent="0.25">
      <c r="A66" s="24"/>
      <c r="B66" s="19"/>
      <c r="C66" s="19"/>
      <c r="D66" s="19"/>
      <c r="E66" s="19"/>
      <c r="F66" s="10">
        <f>STDEV(F57:F64)</f>
        <v>54.567110458627042</v>
      </c>
      <c r="G66" s="32" t="s">
        <v>6</v>
      </c>
    </row>
    <row r="73" spans="1:7" x14ac:dyDescent="0.25">
      <c r="A73" s="36" t="s">
        <v>17</v>
      </c>
    </row>
    <row r="74" spans="1:7" x14ac:dyDescent="0.25">
      <c r="A74" s="5" t="s">
        <v>18</v>
      </c>
    </row>
    <row r="75" spans="1:7" x14ac:dyDescent="0.25">
      <c r="A75" s="5" t="s">
        <v>19</v>
      </c>
    </row>
    <row r="76" spans="1:7" ht="14.4" x14ac:dyDescent="0.3">
      <c r="A76" s="35" t="s">
        <v>20</v>
      </c>
    </row>
  </sheetData>
  <mergeCells count="4">
    <mergeCell ref="A1:A11"/>
    <mergeCell ref="A38:A46"/>
    <mergeCell ref="A19:A30"/>
    <mergeCell ref="A54:A6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Info</vt:lpstr>
      <vt:lpstr>1-stage</vt:lpstr>
      <vt:lpstr>3-stage</vt:lpstr>
      <vt:lpstr>10-stage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fasano</cp:lastModifiedBy>
  <dcterms:created xsi:type="dcterms:W3CDTF">2018-08-19T14:47:10Z</dcterms:created>
  <dcterms:modified xsi:type="dcterms:W3CDTF">2018-08-27T14:23:16Z</dcterms:modified>
</cp:coreProperties>
</file>